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4.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5.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doardocabiati/Desktop/Cose_brutte_PoliMI/V_anno/II_semestre/Molecular_Modeling_for_Process_Engineering/MMfP/Project4/"/>
    </mc:Choice>
  </mc:AlternateContent>
  <xr:revisionPtr revIDLastSave="0" documentId="13_ncr:1_{9D2F8A56-50F5-5642-821C-12E9E7FB6D9F}" xr6:coauthVersionLast="47" xr6:coauthVersionMax="47" xr10:uidLastSave="{00000000-0000-0000-0000-000000000000}"/>
  <bookViews>
    <workbookView xWindow="560" yWindow="1420" windowWidth="28220" windowHeight="14800" activeTab="4" xr2:uid="{BCAB5495-7A25-E24D-B8BB-73108533BADD}"/>
  </bookViews>
  <sheets>
    <sheet name="CH4" sheetId="1" r:id="rId1"/>
    <sheet name="C2H6" sheetId="3" r:id="rId2"/>
    <sheet name="NO2" sheetId="4" r:id="rId3"/>
    <sheet name="H2O" sheetId="5" r:id="rId4"/>
    <sheet name="CO"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4" i="6" l="1"/>
  <c r="D134" i="6"/>
  <c r="M139" i="1"/>
  <c r="L139" i="1"/>
  <c r="D137" i="1"/>
  <c r="E137" i="1"/>
  <c r="D175" i="1"/>
  <c r="D187" i="3"/>
  <c r="E146" i="3"/>
  <c r="M148" i="3" s="1"/>
  <c r="L148" i="3"/>
  <c r="D146" i="3"/>
  <c r="M139" i="4"/>
  <c r="L139" i="4"/>
  <c r="D137" i="4"/>
  <c r="E137" i="4"/>
  <c r="D175" i="5"/>
  <c r="M139" i="5"/>
  <c r="L139" i="5"/>
  <c r="D137" i="5"/>
  <c r="E137" i="5"/>
  <c r="D175" i="6"/>
  <c r="L67" i="6"/>
  <c r="E65" i="6"/>
  <c r="D65" i="6"/>
  <c r="D65" i="5"/>
  <c r="E65" i="5" s="1"/>
  <c r="L67" i="5" s="1"/>
  <c r="L67" i="4"/>
  <c r="E65" i="4"/>
  <c r="D65" i="4"/>
  <c r="L67" i="1"/>
  <c r="E65" i="1"/>
  <c r="D65" i="1"/>
  <c r="L76" i="3"/>
  <c r="E74" i="3"/>
  <c r="D74" i="3"/>
  <c r="C131" i="6"/>
  <c r="D138" i="6" s="1"/>
  <c r="H262" i="5"/>
  <c r="H263" i="5"/>
  <c r="H265" i="4"/>
  <c r="H266" i="4"/>
  <c r="H267" i="4"/>
  <c r="H268" i="4"/>
  <c r="H269" i="4"/>
  <c r="H270" i="4"/>
  <c r="H271" i="4"/>
  <c r="H272" i="4"/>
  <c r="H273" i="4"/>
  <c r="H274" i="4"/>
  <c r="H275" i="4"/>
  <c r="H276" i="4"/>
  <c r="H277" i="4"/>
  <c r="H278" i="4"/>
  <c r="H279" i="4"/>
  <c r="H280" i="4"/>
  <c r="H262" i="4"/>
  <c r="H263" i="4"/>
  <c r="H264" i="4"/>
  <c r="H283" i="3"/>
  <c r="H284" i="3"/>
  <c r="H285" i="3"/>
  <c r="H286" i="3"/>
  <c r="H287" i="3"/>
  <c r="H288" i="3"/>
  <c r="H289" i="3"/>
  <c r="H290" i="3"/>
  <c r="H291" i="3"/>
  <c r="H292" i="3"/>
  <c r="H293" i="3"/>
  <c r="H275" i="3"/>
  <c r="H276" i="3"/>
  <c r="H277" i="3"/>
  <c r="H278" i="3"/>
  <c r="H279" i="3"/>
  <c r="H280" i="3"/>
  <c r="H281" i="3"/>
  <c r="H282" i="3"/>
  <c r="H263" i="1"/>
  <c r="H264" i="1"/>
  <c r="H265" i="1"/>
  <c r="H266" i="1"/>
  <c r="H267" i="1"/>
  <c r="H268" i="1"/>
  <c r="H269" i="1"/>
  <c r="H270" i="1"/>
  <c r="H271" i="1"/>
  <c r="H272" i="1"/>
  <c r="H273" i="1"/>
  <c r="H274" i="1"/>
  <c r="H275" i="1"/>
  <c r="H276" i="1"/>
  <c r="H277" i="1"/>
  <c r="H278" i="1"/>
  <c r="H279" i="1"/>
  <c r="H280" i="1"/>
  <c r="H262" i="1"/>
  <c r="O266" i="6"/>
  <c r="Q265" i="6"/>
  <c r="Q264" i="6"/>
  <c r="O264" i="6"/>
  <c r="E264" i="6"/>
  <c r="D264" i="6"/>
  <c r="F264" i="6" s="1"/>
  <c r="C264" i="6"/>
  <c r="G263" i="6" a="1"/>
  <c r="G263" i="6" s="1"/>
  <c r="E263" i="6"/>
  <c r="D263" i="6"/>
  <c r="F263" i="6" s="1"/>
  <c r="G262" i="6" a="1"/>
  <c r="G262" i="6" s="1"/>
  <c r="E262" i="6"/>
  <c r="D262" i="6"/>
  <c r="F262" i="6" s="1"/>
  <c r="N264" i="6" s="1"/>
  <c r="N266" i="6" s="1"/>
  <c r="F258" i="6"/>
  <c r="E257" i="6"/>
  <c r="E258" i="6" s="1"/>
  <c r="D257" i="6"/>
  <c r="D258" i="6" s="1"/>
  <c r="F256" i="6"/>
  <c r="F257" i="6" s="1"/>
  <c r="E256" i="6"/>
  <c r="D256" i="6"/>
  <c r="D251" i="6"/>
  <c r="E251" i="6" s="1"/>
  <c r="O265" i="6" s="1"/>
  <c r="D250" i="6"/>
  <c r="E250" i="6" s="1"/>
  <c r="P265" i="6" s="1"/>
  <c r="E249" i="6"/>
  <c r="N265" i="6" s="1"/>
  <c r="D249" i="6"/>
  <c r="D248" i="6"/>
  <c r="E248" i="6" s="1"/>
  <c r="D247" i="6"/>
  <c r="E247" i="6" s="1"/>
  <c r="R265" i="6" s="1"/>
  <c r="F232" i="6"/>
  <c r="D232" i="6"/>
  <c r="F231" i="6"/>
  <c r="D231" i="6"/>
  <c r="F230" i="6"/>
  <c r="D230" i="6"/>
  <c r="F229" i="6"/>
  <c r="D229" i="6"/>
  <c r="F228" i="6"/>
  <c r="D228" i="6"/>
  <c r="F227" i="6"/>
  <c r="D227" i="6"/>
  <c r="F226" i="6"/>
  <c r="D226" i="6"/>
  <c r="F225" i="6"/>
  <c r="D225" i="6"/>
  <c r="F224" i="6"/>
  <c r="D224" i="6"/>
  <c r="F223" i="6"/>
  <c r="D223" i="6"/>
  <c r="F222" i="6"/>
  <c r="D222" i="6"/>
  <c r="F221" i="6"/>
  <c r="D221" i="6"/>
  <c r="F220" i="6"/>
  <c r="D220" i="6"/>
  <c r="F219" i="6"/>
  <c r="D219" i="6"/>
  <c r="F218" i="6"/>
  <c r="D218" i="6"/>
  <c r="F217" i="6"/>
  <c r="D217" i="6"/>
  <c r="M216" i="6"/>
  <c r="F216" i="6"/>
  <c r="D216" i="6"/>
  <c r="C216" i="6"/>
  <c r="N215" i="6"/>
  <c r="N217" i="6" s="1"/>
  <c r="M215" i="6"/>
  <c r="M217" i="6" s="1"/>
  <c r="L215" i="6"/>
  <c r="F215" i="6"/>
  <c r="E215" i="6" a="1"/>
  <c r="E215" i="6" s="1"/>
  <c r="D215" i="6"/>
  <c r="F214" i="6"/>
  <c r="H214" i="6" s="1"/>
  <c r="O215" i="6" s="1"/>
  <c r="O217" i="6" s="1"/>
  <c r="E214" i="6"/>
  <c r="D214" i="6"/>
  <c r="K215" i="6" s="1"/>
  <c r="K217" i="6" s="1"/>
  <c r="D209" i="6"/>
  <c r="E209" i="6" s="1"/>
  <c r="L216" i="6" s="1"/>
  <c r="E208" i="6"/>
  <c r="D208" i="6"/>
  <c r="D207" i="6"/>
  <c r="E207" i="6" s="1"/>
  <c r="K216" i="6" s="1"/>
  <c r="D206" i="6"/>
  <c r="E206" i="6" s="1"/>
  <c r="N216" i="6" s="1"/>
  <c r="E205" i="6"/>
  <c r="O216" i="6" s="1"/>
  <c r="D205" i="6"/>
  <c r="D193" i="6"/>
  <c r="D192" i="6"/>
  <c r="D191" i="6"/>
  <c r="D190" i="6"/>
  <c r="D189" i="6"/>
  <c r="D188" i="6"/>
  <c r="D187" i="6"/>
  <c r="D186" i="6"/>
  <c r="D185" i="6"/>
  <c r="D184" i="6"/>
  <c r="D183" i="6"/>
  <c r="D182" i="6"/>
  <c r="D181" i="6"/>
  <c r="D180" i="6"/>
  <c r="D179" i="6"/>
  <c r="D178" i="6"/>
  <c r="L176" i="6"/>
  <c r="L177" i="6" s="1"/>
  <c r="D177" i="6"/>
  <c r="C177" i="6"/>
  <c r="C178" i="6" s="1"/>
  <c r="C179" i="6" s="1"/>
  <c r="C180" i="6" s="1"/>
  <c r="C181" i="6" s="1"/>
  <c r="C182" i="6" s="1"/>
  <c r="C183" i="6" s="1"/>
  <c r="C184" i="6" s="1"/>
  <c r="C185" i="6" s="1"/>
  <c r="C186" i="6" s="1"/>
  <c r="C187" i="6" s="1"/>
  <c r="C188" i="6" s="1"/>
  <c r="C189" i="6" s="1"/>
  <c r="C190" i="6" s="1"/>
  <c r="C191" i="6" s="1"/>
  <c r="C192" i="6" s="1"/>
  <c r="C193" i="6" s="1"/>
  <c r="L175" i="6"/>
  <c r="D176" i="6"/>
  <c r="G169" i="6"/>
  <c r="F169" i="6"/>
  <c r="E169" i="6"/>
  <c r="D169" i="6"/>
  <c r="G168" i="6"/>
  <c r="F168" i="6"/>
  <c r="E168" i="6"/>
  <c r="D168" i="6"/>
  <c r="E167" i="6"/>
  <c r="F167" i="6" s="1"/>
  <c r="L140" i="6"/>
  <c r="C140" i="6"/>
  <c r="C141" i="6" s="1"/>
  <c r="C142" i="6" s="1"/>
  <c r="C139" i="6"/>
  <c r="D133" i="6"/>
  <c r="D132" i="6"/>
  <c r="I105" i="6"/>
  <c r="C104" i="6"/>
  <c r="C105" i="6" s="1"/>
  <c r="C106" i="6" s="1"/>
  <c r="D97" i="6" a="1"/>
  <c r="D97" i="6" s="1"/>
  <c r="D98" i="6" s="1"/>
  <c r="L68" i="6"/>
  <c r="C67" i="6"/>
  <c r="D67" i="6" s="1"/>
  <c r="E67" i="6" s="1"/>
  <c r="D66" i="6"/>
  <c r="E66" i="6" s="1"/>
  <c r="K45" i="6"/>
  <c r="L45" i="6" s="1"/>
  <c r="M45" i="6" s="1"/>
  <c r="F42" i="6"/>
  <c r="L38" i="6"/>
  <c r="K38" i="6"/>
  <c r="J38" i="6"/>
  <c r="I38" i="6"/>
  <c r="L33" i="6"/>
  <c r="K33" i="6"/>
  <c r="J33" i="6"/>
  <c r="I33" i="6"/>
  <c r="L28" i="6"/>
  <c r="K28" i="6"/>
  <c r="J28" i="6"/>
  <c r="I28" i="6"/>
  <c r="F25" i="6"/>
  <c r="E25" i="6"/>
  <c r="D25" i="6"/>
  <c r="F24" i="6"/>
  <c r="E24" i="6"/>
  <c r="D24" i="6"/>
  <c r="L23" i="6"/>
  <c r="K23" i="6"/>
  <c r="J23" i="6"/>
  <c r="I23" i="6"/>
  <c r="B13" i="6"/>
  <c r="T9" i="6"/>
  <c r="V8" i="6"/>
  <c r="V7" i="6"/>
  <c r="D137" i="6" l="1"/>
  <c r="L139" i="6" s="1"/>
  <c r="L141" i="6" s="1"/>
  <c r="C172" i="6"/>
  <c r="L69" i="6"/>
  <c r="C68" i="6"/>
  <c r="C69" i="6" s="1"/>
  <c r="C70" i="6" s="1"/>
  <c r="H264" i="6"/>
  <c r="J264" i="6" s="1"/>
  <c r="H216" i="6"/>
  <c r="C107" i="6"/>
  <c r="D106" i="6"/>
  <c r="E106" i="6" s="1"/>
  <c r="E68" i="6"/>
  <c r="C71" i="6"/>
  <c r="D70" i="6"/>
  <c r="E70" i="6" s="1"/>
  <c r="D140" i="6"/>
  <c r="L217" i="6"/>
  <c r="D141" i="6"/>
  <c r="D105" i="6"/>
  <c r="E105" i="6" s="1"/>
  <c r="H215" i="6"/>
  <c r="C217" i="6"/>
  <c r="E216" i="6" a="1"/>
  <c r="E216" i="6" s="1"/>
  <c r="D69" i="6"/>
  <c r="E69" i="6" s="1"/>
  <c r="D102" i="6"/>
  <c r="E102" i="6" s="1"/>
  <c r="I104" i="6" s="1"/>
  <c r="I106" i="6" s="1"/>
  <c r="D68" i="6"/>
  <c r="D139" i="6"/>
  <c r="D104" i="6"/>
  <c r="E104" i="6" s="1"/>
  <c r="D142" i="6"/>
  <c r="C143" i="6"/>
  <c r="Q266" i="6"/>
  <c r="D103" i="6"/>
  <c r="E103" i="6" s="1"/>
  <c r="G264" i="6" a="1"/>
  <c r="G264" i="6" s="1"/>
  <c r="C265" i="6"/>
  <c r="C108" i="6" l="1"/>
  <c r="D107" i="6"/>
  <c r="E107" i="6" s="1"/>
  <c r="D143" i="6"/>
  <c r="C144" i="6"/>
  <c r="D265" i="6"/>
  <c r="E265" i="6"/>
  <c r="C266" i="6"/>
  <c r="H265" i="6"/>
  <c r="G265" i="6" a="1"/>
  <c r="G265" i="6" s="1"/>
  <c r="E217" i="6" a="1"/>
  <c r="E217" i="6" s="1"/>
  <c r="H217" i="6" s="1"/>
  <c r="C218" i="6"/>
  <c r="D71" i="6"/>
  <c r="E71" i="6" s="1"/>
  <c r="C72" i="6"/>
  <c r="H263" i="6"/>
  <c r="J263" i="6" s="1"/>
  <c r="H262" i="6"/>
  <c r="C109" i="6" l="1"/>
  <c r="D108" i="6"/>
  <c r="E108" i="6" s="1"/>
  <c r="P264" i="6"/>
  <c r="P266" i="6" s="1"/>
  <c r="J262" i="6"/>
  <c r="R264" i="6" s="1"/>
  <c r="R266" i="6" s="1"/>
  <c r="D144" i="6"/>
  <c r="C145" i="6"/>
  <c r="G266" i="6" a="1"/>
  <c r="G266" i="6" s="1"/>
  <c r="E266" i="6"/>
  <c r="C267" i="6"/>
  <c r="H266" i="6"/>
  <c r="D266" i="6"/>
  <c r="C73" i="6"/>
  <c r="D72" i="6"/>
  <c r="E72" i="6" s="1"/>
  <c r="F265" i="6"/>
  <c r="J265" i="6" s="1"/>
  <c r="E218" i="6" a="1"/>
  <c r="E218" i="6" s="1"/>
  <c r="H218" i="6" s="1"/>
  <c r="C219" i="6"/>
  <c r="C146" i="6" l="1"/>
  <c r="D145" i="6"/>
  <c r="C74" i="6"/>
  <c r="D73" i="6"/>
  <c r="E73" i="6" s="1"/>
  <c r="F266" i="6"/>
  <c r="J266" i="6" s="1"/>
  <c r="C220" i="6"/>
  <c r="E219" i="6" a="1"/>
  <c r="E219" i="6" s="1"/>
  <c r="H219" i="6" s="1"/>
  <c r="H267" i="6"/>
  <c r="C268" i="6"/>
  <c r="G267" i="6" a="1"/>
  <c r="G267" i="6" s="1"/>
  <c r="E267" i="6"/>
  <c r="D267" i="6"/>
  <c r="F267" i="6" s="1"/>
  <c r="C110" i="6"/>
  <c r="D109" i="6"/>
  <c r="E109" i="6" s="1"/>
  <c r="J267" i="6" l="1"/>
  <c r="C221" i="6"/>
  <c r="E220" i="6" a="1"/>
  <c r="E220" i="6" s="1"/>
  <c r="H220" i="6" s="1"/>
  <c r="C111" i="6"/>
  <c r="D110" i="6"/>
  <c r="E110" i="6" s="1"/>
  <c r="D74" i="6"/>
  <c r="C75" i="6"/>
  <c r="E74" i="6"/>
  <c r="H268" i="6"/>
  <c r="C269" i="6"/>
  <c r="D268" i="6"/>
  <c r="G268" i="6" a="1"/>
  <c r="G268" i="6" s="1"/>
  <c r="E268" i="6"/>
  <c r="D146" i="6"/>
  <c r="C147" i="6"/>
  <c r="C76" i="6" l="1"/>
  <c r="D75" i="6"/>
  <c r="E75" i="6" s="1"/>
  <c r="C112" i="6"/>
  <c r="D111" i="6"/>
  <c r="E111" i="6" s="1"/>
  <c r="C148" i="6"/>
  <c r="D147" i="6"/>
  <c r="F268" i="6"/>
  <c r="J268" i="6" s="1"/>
  <c r="H269" i="6"/>
  <c r="C270" i="6"/>
  <c r="G269" i="6" a="1"/>
  <c r="G269" i="6" s="1"/>
  <c r="E269" i="6"/>
  <c r="D269" i="6"/>
  <c r="F269" i="6" s="1"/>
  <c r="E221" i="6" a="1"/>
  <c r="E221" i="6" s="1"/>
  <c r="H221" i="6" s="1"/>
  <c r="C222" i="6"/>
  <c r="H270" i="6" l="1"/>
  <c r="C271" i="6"/>
  <c r="D270" i="6"/>
  <c r="G270" i="6" a="1"/>
  <c r="G270" i="6" s="1"/>
  <c r="E270" i="6"/>
  <c r="C77" i="6"/>
  <c r="D76" i="6"/>
  <c r="E76" i="6" s="1"/>
  <c r="C223" i="6"/>
  <c r="E222" i="6" a="1"/>
  <c r="E222" i="6" s="1"/>
  <c r="H222" i="6" s="1"/>
  <c r="D148" i="6"/>
  <c r="C149" i="6"/>
  <c r="J269" i="6"/>
  <c r="C113" i="6"/>
  <c r="D112" i="6"/>
  <c r="E112" i="6" s="1"/>
  <c r="C114" i="6" l="1"/>
  <c r="D113" i="6"/>
  <c r="E113" i="6" s="1"/>
  <c r="C78" i="6"/>
  <c r="D77" i="6"/>
  <c r="E77" i="6" s="1"/>
  <c r="C150" i="6"/>
  <c r="D149" i="6"/>
  <c r="F270" i="6"/>
  <c r="J270" i="6" s="1"/>
  <c r="H271" i="6"/>
  <c r="C272" i="6"/>
  <c r="G271" i="6" a="1"/>
  <c r="G271" i="6" s="1"/>
  <c r="E271" i="6"/>
  <c r="D271" i="6"/>
  <c r="F271" i="6" s="1"/>
  <c r="C224" i="6"/>
  <c r="E223" i="6" a="1"/>
  <c r="E223" i="6" s="1"/>
  <c r="H223" i="6" s="1"/>
  <c r="J271" i="6" l="1"/>
  <c r="C151" i="6"/>
  <c r="D150" i="6"/>
  <c r="D78" i="6"/>
  <c r="E78" i="6" s="1"/>
  <c r="C79" i="6"/>
  <c r="E224" i="6" a="1"/>
  <c r="E224" i="6" s="1"/>
  <c r="H224" i="6" s="1"/>
  <c r="C225" i="6"/>
  <c r="H272" i="6"/>
  <c r="C273" i="6"/>
  <c r="D272" i="6"/>
  <c r="F272" i="6" s="1"/>
  <c r="G272" i="6" a="1"/>
  <c r="G272" i="6" s="1"/>
  <c r="E272" i="6"/>
  <c r="C115" i="6"/>
  <c r="D114" i="6"/>
  <c r="E114" i="6" s="1"/>
  <c r="J272" i="6" l="1"/>
  <c r="H273" i="6"/>
  <c r="C274" i="6"/>
  <c r="G273" i="6" a="1"/>
  <c r="G273" i="6" s="1"/>
  <c r="E273" i="6"/>
  <c r="D273" i="6"/>
  <c r="F273" i="6" s="1"/>
  <c r="J273" i="6" s="1"/>
  <c r="C152" i="6"/>
  <c r="D151" i="6"/>
  <c r="E225" i="6" a="1"/>
  <c r="E225" i="6" s="1"/>
  <c r="H225" i="6" s="1"/>
  <c r="C226" i="6"/>
  <c r="C116" i="6"/>
  <c r="D115" i="6"/>
  <c r="E115" i="6" s="1"/>
  <c r="D79" i="6"/>
  <c r="E79" i="6" s="1"/>
  <c r="C80" i="6"/>
  <c r="C81" i="6" l="1"/>
  <c r="D80" i="6"/>
  <c r="E80" i="6" s="1"/>
  <c r="C153" i="6"/>
  <c r="D152" i="6"/>
  <c r="C117" i="6"/>
  <c r="D116" i="6"/>
  <c r="E116" i="6" s="1"/>
  <c r="H274" i="6"/>
  <c r="C275" i="6"/>
  <c r="D274" i="6"/>
  <c r="G274" i="6" a="1"/>
  <c r="G274" i="6" s="1"/>
  <c r="E274" i="6"/>
  <c r="E226" i="6" a="1"/>
  <c r="E226" i="6" s="1"/>
  <c r="H226" i="6" s="1"/>
  <c r="C227" i="6"/>
  <c r="C228" i="6" l="1"/>
  <c r="E227" i="6" a="1"/>
  <c r="E227" i="6" s="1"/>
  <c r="H227" i="6" s="1"/>
  <c r="C118" i="6"/>
  <c r="D117" i="6"/>
  <c r="E117" i="6" s="1"/>
  <c r="C154" i="6"/>
  <c r="D153" i="6"/>
  <c r="F274" i="6"/>
  <c r="J274" i="6" s="1"/>
  <c r="H275" i="6"/>
  <c r="C276" i="6"/>
  <c r="G275" i="6" a="1"/>
  <c r="G275" i="6" s="1"/>
  <c r="E275" i="6"/>
  <c r="D275" i="6"/>
  <c r="F275" i="6" s="1"/>
  <c r="C82" i="6"/>
  <c r="D81" i="6"/>
  <c r="E81" i="6" s="1"/>
  <c r="D82" i="6" l="1"/>
  <c r="E82" i="6"/>
  <c r="C83" i="6"/>
  <c r="D154" i="6"/>
  <c r="C155" i="6"/>
  <c r="D155" i="6" s="1"/>
  <c r="J275" i="6"/>
  <c r="C119" i="6"/>
  <c r="D118" i="6"/>
  <c r="E118" i="6" s="1"/>
  <c r="H276" i="6"/>
  <c r="C277" i="6"/>
  <c r="D276" i="6"/>
  <c r="G276" i="6" a="1"/>
  <c r="G276" i="6" s="1"/>
  <c r="E276" i="6"/>
  <c r="E228" i="6" a="1"/>
  <c r="E228" i="6" s="1"/>
  <c r="H228" i="6" s="1"/>
  <c r="C229" i="6"/>
  <c r="E229" i="6" l="1" a="1"/>
  <c r="E229" i="6" s="1"/>
  <c r="H229" i="6" s="1"/>
  <c r="C230" i="6"/>
  <c r="C120" i="6"/>
  <c r="D120" i="6" s="1"/>
  <c r="E120" i="6" s="1"/>
  <c r="D119" i="6"/>
  <c r="E119" i="6" s="1"/>
  <c r="F276" i="6"/>
  <c r="J276" i="6" s="1"/>
  <c r="D83" i="6"/>
  <c r="E83" i="6" s="1"/>
  <c r="H277" i="6"/>
  <c r="C278" i="6"/>
  <c r="G277" i="6" a="1"/>
  <c r="G277" i="6" s="1"/>
  <c r="E277" i="6"/>
  <c r="D277" i="6"/>
  <c r="F277" i="6" s="1"/>
  <c r="J277" i="6" l="1"/>
  <c r="C231" i="6"/>
  <c r="E230" i="6" a="1"/>
  <c r="E230" i="6" s="1"/>
  <c r="H230" i="6" s="1"/>
  <c r="H278" i="6"/>
  <c r="C279" i="6"/>
  <c r="D278" i="6"/>
  <c r="F278" i="6" s="1"/>
  <c r="G278" i="6" a="1"/>
  <c r="G278" i="6" s="1"/>
  <c r="E278" i="6"/>
  <c r="J278" i="6" l="1"/>
  <c r="H279" i="6"/>
  <c r="C280" i="6"/>
  <c r="G279" i="6" a="1"/>
  <c r="G279" i="6" s="1"/>
  <c r="E279" i="6"/>
  <c r="D279" i="6"/>
  <c r="F279" i="6" s="1"/>
  <c r="C232" i="6"/>
  <c r="E232" i="6" s="1" a="1"/>
  <c r="E232" i="6" s="1"/>
  <c r="H232" i="6" s="1"/>
  <c r="E231" i="6" a="1"/>
  <c r="E231" i="6" s="1"/>
  <c r="H231" i="6" s="1"/>
  <c r="J279" i="6" l="1"/>
  <c r="H280" i="6"/>
  <c r="G280" i="6" a="1"/>
  <c r="G280" i="6" s="1"/>
  <c r="E280" i="6"/>
  <c r="D280" i="6"/>
  <c r="F280" i="6" s="1"/>
  <c r="J280" i="6" s="1"/>
  <c r="Q265" i="5"/>
  <c r="Q264" i="5"/>
  <c r="Q266" i="5" s="1"/>
  <c r="O264" i="5"/>
  <c r="O266" i="5" s="1"/>
  <c r="C264" i="5"/>
  <c r="H264" i="5" s="1"/>
  <c r="G263" i="5" a="1"/>
  <c r="G263" i="5" s="1"/>
  <c r="E263" i="5"/>
  <c r="D263" i="5"/>
  <c r="G262" i="5" a="1"/>
  <c r="G262" i="5" s="1"/>
  <c r="E262" i="5"/>
  <c r="D262" i="5"/>
  <c r="F262" i="5" s="1"/>
  <c r="F258" i="5"/>
  <c r="F256" i="5"/>
  <c r="F257" i="5" s="1"/>
  <c r="E256" i="5"/>
  <c r="E257" i="5" s="1"/>
  <c r="E258" i="5" s="1"/>
  <c r="D256" i="5"/>
  <c r="D257" i="5" s="1"/>
  <c r="D258" i="5" s="1"/>
  <c r="D251" i="5"/>
  <c r="E251" i="5" s="1"/>
  <c r="O265" i="5" s="1"/>
  <c r="D250" i="5"/>
  <c r="E250" i="5" s="1"/>
  <c r="P265" i="5" s="1"/>
  <c r="D249" i="5"/>
  <c r="E249" i="5" s="1"/>
  <c r="N265" i="5" s="1"/>
  <c r="D248" i="5"/>
  <c r="E248" i="5" s="1"/>
  <c r="D247" i="5"/>
  <c r="E247" i="5" s="1"/>
  <c r="R265" i="5" s="1"/>
  <c r="F232" i="5"/>
  <c r="D232" i="5"/>
  <c r="F231" i="5"/>
  <c r="D231" i="5"/>
  <c r="F230" i="5"/>
  <c r="D230" i="5"/>
  <c r="F229" i="5"/>
  <c r="D229" i="5"/>
  <c r="F228" i="5"/>
  <c r="D228" i="5"/>
  <c r="F227" i="5"/>
  <c r="D227" i="5"/>
  <c r="F226" i="5"/>
  <c r="D226" i="5"/>
  <c r="F225" i="5"/>
  <c r="D225" i="5"/>
  <c r="F224" i="5"/>
  <c r="D224" i="5"/>
  <c r="F223" i="5"/>
  <c r="D223" i="5"/>
  <c r="F222" i="5"/>
  <c r="D222" i="5"/>
  <c r="F221" i="5"/>
  <c r="D221" i="5"/>
  <c r="F220" i="5"/>
  <c r="D220" i="5"/>
  <c r="F219" i="5"/>
  <c r="D219" i="5"/>
  <c r="F218" i="5"/>
  <c r="D218" i="5"/>
  <c r="F217" i="5"/>
  <c r="D217" i="5"/>
  <c r="F216" i="5"/>
  <c r="D216" i="5"/>
  <c r="C216" i="5"/>
  <c r="N215" i="5"/>
  <c r="M215" i="5"/>
  <c r="F215" i="5"/>
  <c r="E215" i="5" a="1"/>
  <c r="E215" i="5" s="1"/>
  <c r="D215" i="5"/>
  <c r="F214" i="5"/>
  <c r="E214" i="5" a="1"/>
  <c r="E214" i="5" s="1"/>
  <c r="L215" i="5" s="1"/>
  <c r="D214" i="5"/>
  <c r="K209" i="5"/>
  <c r="E209" i="5"/>
  <c r="L216" i="5" s="1"/>
  <c r="D209" i="5"/>
  <c r="D208" i="5"/>
  <c r="E208" i="5" s="1"/>
  <c r="M216" i="5" s="1"/>
  <c r="D207" i="5"/>
  <c r="E207" i="5" s="1"/>
  <c r="K216" i="5" s="1"/>
  <c r="D206" i="5"/>
  <c r="E206" i="5" s="1"/>
  <c r="N216" i="5" s="1"/>
  <c r="D205" i="5"/>
  <c r="E205" i="5" s="1"/>
  <c r="O216" i="5" s="1"/>
  <c r="D193" i="5"/>
  <c r="D192" i="5"/>
  <c r="D191" i="5"/>
  <c r="D190" i="5"/>
  <c r="D189" i="5"/>
  <c r="D188" i="5"/>
  <c r="D187" i="5"/>
  <c r="D186" i="5"/>
  <c r="D185" i="5"/>
  <c r="D184" i="5"/>
  <c r="D183" i="5"/>
  <c r="D182" i="5"/>
  <c r="D181" i="5"/>
  <c r="D180" i="5"/>
  <c r="D179" i="5"/>
  <c r="D178" i="5"/>
  <c r="L176" i="5"/>
  <c r="D177" i="5"/>
  <c r="C177" i="5"/>
  <c r="C178" i="5" s="1"/>
  <c r="C179" i="5" s="1"/>
  <c r="C180" i="5" s="1"/>
  <c r="C181" i="5" s="1"/>
  <c r="C182" i="5" s="1"/>
  <c r="C183" i="5" s="1"/>
  <c r="C184" i="5" s="1"/>
  <c r="C185" i="5" s="1"/>
  <c r="C186" i="5" s="1"/>
  <c r="C187" i="5" s="1"/>
  <c r="C188" i="5" s="1"/>
  <c r="C189" i="5" s="1"/>
  <c r="C190" i="5" s="1"/>
  <c r="C191" i="5" s="1"/>
  <c r="C192" i="5" s="1"/>
  <c r="C193" i="5" s="1"/>
  <c r="L175" i="5"/>
  <c r="D176" i="5"/>
  <c r="F169" i="5"/>
  <c r="C172" i="5" s="1"/>
  <c r="F168" i="5"/>
  <c r="E168" i="5"/>
  <c r="E169" i="5" s="1"/>
  <c r="D168" i="5"/>
  <c r="D169" i="5" s="1"/>
  <c r="E167" i="5"/>
  <c r="L140" i="5"/>
  <c r="M140" i="5" s="1"/>
  <c r="C139" i="5"/>
  <c r="E138" i="5"/>
  <c r="L105" i="5"/>
  <c r="C105" i="5"/>
  <c r="C106" i="5" s="1"/>
  <c r="C107" i="5" s="1"/>
  <c r="C108" i="5" s="1"/>
  <c r="C109" i="5" s="1"/>
  <c r="C104" i="5"/>
  <c r="E101" i="5"/>
  <c r="F101" i="5" s="1"/>
  <c r="F97" i="5" a="1"/>
  <c r="F97" i="5" s="1"/>
  <c r="F98" i="5" s="1"/>
  <c r="E97" i="5" a="1"/>
  <c r="E97" i="5" s="1"/>
  <c r="E98" i="5" s="1"/>
  <c r="D97" i="5" a="1"/>
  <c r="D97" i="5" s="1"/>
  <c r="D98" i="5" s="1"/>
  <c r="L68" i="5"/>
  <c r="C67" i="5"/>
  <c r="D66" i="5"/>
  <c r="L69" i="5" s="1"/>
  <c r="K45" i="5"/>
  <c r="L45" i="5" s="1"/>
  <c r="M45" i="5" s="1"/>
  <c r="F44" i="5"/>
  <c r="F43" i="5"/>
  <c r="C43" i="5"/>
  <c r="C44" i="5" s="1"/>
  <c r="F42" i="5"/>
  <c r="L38" i="5"/>
  <c r="K38" i="5"/>
  <c r="J38" i="5"/>
  <c r="I38" i="5"/>
  <c r="L33" i="5"/>
  <c r="K33" i="5"/>
  <c r="J33" i="5"/>
  <c r="I33" i="5"/>
  <c r="L28" i="5"/>
  <c r="K28" i="5"/>
  <c r="J28" i="5"/>
  <c r="I28" i="5"/>
  <c r="F24" i="5"/>
  <c r="E24" i="5"/>
  <c r="D24" i="5"/>
  <c r="D132" i="5" s="1"/>
  <c r="L23" i="5"/>
  <c r="K23" i="5"/>
  <c r="J23" i="5"/>
  <c r="I23" i="5"/>
  <c r="B13" i="5"/>
  <c r="T9" i="5"/>
  <c r="V8" i="5"/>
  <c r="V7" i="5"/>
  <c r="F263" i="5" l="1"/>
  <c r="L177" i="5"/>
  <c r="M141" i="5"/>
  <c r="E66" i="5"/>
  <c r="C110" i="5"/>
  <c r="C111" i="5" s="1"/>
  <c r="C112" i="5" s="1"/>
  <c r="C113" i="5" s="1"/>
  <c r="E109" i="5"/>
  <c r="F111" i="5"/>
  <c r="F105" i="5"/>
  <c r="F108" i="5"/>
  <c r="F104" i="5"/>
  <c r="F102" i="5"/>
  <c r="F107" i="5"/>
  <c r="F109" i="5"/>
  <c r="F113" i="5"/>
  <c r="F106" i="5"/>
  <c r="F103" i="5"/>
  <c r="G258" i="5"/>
  <c r="J254" i="5" s="1"/>
  <c r="D104" i="5"/>
  <c r="D108" i="5"/>
  <c r="D102" i="5"/>
  <c r="D110" i="5"/>
  <c r="D106" i="5"/>
  <c r="D107" i="5"/>
  <c r="E132" i="5"/>
  <c r="E25" i="5"/>
  <c r="D67" i="5"/>
  <c r="E67" i="5" s="1"/>
  <c r="F25" i="5"/>
  <c r="F132" i="5"/>
  <c r="D139" i="5" s="1"/>
  <c r="C68" i="5"/>
  <c r="D105" i="5"/>
  <c r="L217" i="5"/>
  <c r="D103" i="5"/>
  <c r="K215" i="5"/>
  <c r="K217" i="5" s="1"/>
  <c r="H214" i="5"/>
  <c r="O215" i="5" s="1"/>
  <c r="O217" i="5" s="1"/>
  <c r="M217" i="5"/>
  <c r="E108" i="5"/>
  <c r="E102" i="5"/>
  <c r="E111" i="5"/>
  <c r="E105" i="5"/>
  <c r="E106" i="5"/>
  <c r="E104" i="5"/>
  <c r="E110" i="5"/>
  <c r="E107" i="5"/>
  <c r="C140" i="5"/>
  <c r="E139" i="5"/>
  <c r="D25" i="5"/>
  <c r="E103" i="5"/>
  <c r="D109" i="5"/>
  <c r="N217" i="5"/>
  <c r="N264" i="5"/>
  <c r="N266" i="5" s="1"/>
  <c r="G257" i="5"/>
  <c r="G256" i="5"/>
  <c r="G264" i="5" a="1"/>
  <c r="G264" i="5" s="1"/>
  <c r="C265" i="5"/>
  <c r="H265" i="5" s="1"/>
  <c r="E264" i="5"/>
  <c r="H215" i="5"/>
  <c r="C217" i="5"/>
  <c r="E216" i="5" a="1"/>
  <c r="E216" i="5" s="1"/>
  <c r="H216" i="5" s="1"/>
  <c r="D264" i="5"/>
  <c r="G109" i="5" l="1"/>
  <c r="E112" i="5"/>
  <c r="D111" i="5"/>
  <c r="G111" i="5" s="1"/>
  <c r="D138" i="5"/>
  <c r="F112" i="5"/>
  <c r="G108" i="5"/>
  <c r="G106" i="5"/>
  <c r="G105" i="5"/>
  <c r="G102" i="5"/>
  <c r="L104" i="5" s="1"/>
  <c r="L106" i="5" s="1"/>
  <c r="J263" i="5"/>
  <c r="D140" i="5"/>
  <c r="E140" i="5"/>
  <c r="C141" i="5"/>
  <c r="D68" i="5"/>
  <c r="E68" i="5"/>
  <c r="C69" i="5"/>
  <c r="D265" i="5"/>
  <c r="C266" i="5"/>
  <c r="H266" i="5" s="1"/>
  <c r="G265" i="5" a="1"/>
  <c r="G265" i="5" s="1"/>
  <c r="E265" i="5"/>
  <c r="G103" i="5"/>
  <c r="G107" i="5"/>
  <c r="G104" i="5"/>
  <c r="C114" i="5"/>
  <c r="E113" i="5"/>
  <c r="E217" i="5" a="1"/>
  <c r="E217" i="5" s="1"/>
  <c r="H217" i="5" s="1"/>
  <c r="C218" i="5"/>
  <c r="L141" i="5"/>
  <c r="F264" i="5"/>
  <c r="D112" i="5"/>
  <c r="D113" i="5"/>
  <c r="F110" i="5"/>
  <c r="G110" i="5" s="1"/>
  <c r="G112" i="5" l="1"/>
  <c r="D69" i="5"/>
  <c r="E69" i="5" s="1"/>
  <c r="C70" i="5"/>
  <c r="C219" i="5"/>
  <c r="E218" i="5" a="1"/>
  <c r="E218" i="5" s="1"/>
  <c r="H218" i="5" s="1"/>
  <c r="G113" i="5"/>
  <c r="G266" i="5" a="1"/>
  <c r="G266" i="5" s="1"/>
  <c r="E266" i="5"/>
  <c r="C267" i="5"/>
  <c r="H267" i="5" s="1"/>
  <c r="D266" i="5"/>
  <c r="F265" i="5"/>
  <c r="J265" i="5" s="1"/>
  <c r="P264" i="5"/>
  <c r="P266" i="5" s="1"/>
  <c r="J262" i="5"/>
  <c r="R264" i="5" s="1"/>
  <c r="R266" i="5" s="1"/>
  <c r="C142" i="5"/>
  <c r="D141" i="5"/>
  <c r="E141" i="5"/>
  <c r="C115" i="5"/>
  <c r="F114" i="5"/>
  <c r="E114" i="5"/>
  <c r="D114" i="5"/>
  <c r="J264" i="5"/>
  <c r="G114" i="5" l="1"/>
  <c r="C220" i="5"/>
  <c r="E219" i="5" a="1"/>
  <c r="E219" i="5" s="1"/>
  <c r="H219" i="5" s="1"/>
  <c r="F266" i="5"/>
  <c r="J266" i="5" s="1"/>
  <c r="C116" i="5"/>
  <c r="F115" i="5"/>
  <c r="D115" i="5"/>
  <c r="E115" i="5"/>
  <c r="C268" i="5"/>
  <c r="H268" i="5" s="1"/>
  <c r="D267" i="5"/>
  <c r="E267" i="5"/>
  <c r="G267" i="5" a="1"/>
  <c r="G267" i="5" s="1"/>
  <c r="E142" i="5"/>
  <c r="D142" i="5"/>
  <c r="C143" i="5"/>
  <c r="C71" i="5"/>
  <c r="D70" i="5"/>
  <c r="E70" i="5" s="1"/>
  <c r="G115" i="5" l="1"/>
  <c r="C72" i="5"/>
  <c r="D71" i="5"/>
  <c r="E71" i="5" s="1"/>
  <c r="E143" i="5"/>
  <c r="D143" i="5"/>
  <c r="C144" i="5"/>
  <c r="C117" i="5"/>
  <c r="D116" i="5"/>
  <c r="F116" i="5"/>
  <c r="E116" i="5"/>
  <c r="F267" i="5"/>
  <c r="J267" i="5" s="1"/>
  <c r="G268" i="5" a="1"/>
  <c r="G268" i="5" s="1"/>
  <c r="E268" i="5"/>
  <c r="D268" i="5"/>
  <c r="F268" i="5" s="1"/>
  <c r="C269" i="5"/>
  <c r="H269" i="5" s="1"/>
  <c r="C221" i="5"/>
  <c r="E220" i="5" a="1"/>
  <c r="E220" i="5" s="1"/>
  <c r="H220" i="5" s="1"/>
  <c r="J268" i="5" l="1"/>
  <c r="C118" i="5"/>
  <c r="E117" i="5"/>
  <c r="D117" i="5"/>
  <c r="F117" i="5"/>
  <c r="C145" i="5"/>
  <c r="E144" i="5"/>
  <c r="D144" i="5"/>
  <c r="E221" i="5" a="1"/>
  <c r="E221" i="5" s="1"/>
  <c r="H221" i="5" s="1"/>
  <c r="C222" i="5"/>
  <c r="C73" i="5"/>
  <c r="D72" i="5"/>
  <c r="E72" i="5"/>
  <c r="C270" i="5"/>
  <c r="H270" i="5" s="1"/>
  <c r="G269" i="5" a="1"/>
  <c r="G269" i="5" s="1"/>
  <c r="E269" i="5"/>
  <c r="D269" i="5"/>
  <c r="G116" i="5"/>
  <c r="C146" i="5" l="1"/>
  <c r="E145" i="5"/>
  <c r="D145" i="5"/>
  <c r="G117" i="5"/>
  <c r="C74" i="5"/>
  <c r="D73" i="5"/>
  <c r="E73" i="5" s="1"/>
  <c r="F269" i="5"/>
  <c r="J269" i="5" s="1"/>
  <c r="C223" i="5"/>
  <c r="E222" i="5" a="1"/>
  <c r="E222" i="5" s="1"/>
  <c r="H222" i="5" s="1"/>
  <c r="C119" i="5"/>
  <c r="D118" i="5"/>
  <c r="E118" i="5"/>
  <c r="F118" i="5"/>
  <c r="G270" i="5" a="1"/>
  <c r="G270" i="5" s="1"/>
  <c r="E270" i="5"/>
  <c r="D270" i="5"/>
  <c r="F270" i="5" s="1"/>
  <c r="C271" i="5"/>
  <c r="H271" i="5" s="1"/>
  <c r="D74" i="5" l="1"/>
  <c r="E74" i="5" s="1"/>
  <c r="C75" i="5"/>
  <c r="G118" i="5"/>
  <c r="C272" i="5"/>
  <c r="H272" i="5" s="1"/>
  <c r="D271" i="5"/>
  <c r="G271" i="5" a="1"/>
  <c r="G271" i="5" s="1"/>
  <c r="E271" i="5"/>
  <c r="C120" i="5"/>
  <c r="F119" i="5"/>
  <c r="E119" i="5"/>
  <c r="D119" i="5"/>
  <c r="J270" i="5"/>
  <c r="C224" i="5"/>
  <c r="E223" i="5" a="1"/>
  <c r="E223" i="5" s="1"/>
  <c r="H223" i="5" s="1"/>
  <c r="D146" i="5"/>
  <c r="C147" i="5"/>
  <c r="E146" i="5"/>
  <c r="F271" i="5" l="1"/>
  <c r="G119" i="5"/>
  <c r="E224" i="5" a="1"/>
  <c r="E224" i="5" s="1"/>
  <c r="H224" i="5" s="1"/>
  <c r="C225" i="5"/>
  <c r="G272" i="5" a="1"/>
  <c r="G272" i="5" s="1"/>
  <c r="E272" i="5"/>
  <c r="D272" i="5"/>
  <c r="F272" i="5" s="1"/>
  <c r="C273" i="5"/>
  <c r="H273" i="5" s="1"/>
  <c r="D75" i="5"/>
  <c r="E75" i="5" s="1"/>
  <c r="C76" i="5"/>
  <c r="C148" i="5"/>
  <c r="D147" i="5"/>
  <c r="E147" i="5"/>
  <c r="J271" i="5"/>
  <c r="D120" i="5"/>
  <c r="E120" i="5"/>
  <c r="F120" i="5"/>
  <c r="J272" i="5" l="1"/>
  <c r="C149" i="5"/>
  <c r="E148" i="5"/>
  <c r="D148" i="5"/>
  <c r="C77" i="5"/>
  <c r="D76" i="5"/>
  <c r="E76" i="5" s="1"/>
  <c r="E225" i="5" a="1"/>
  <c r="E225" i="5" s="1"/>
  <c r="H225" i="5" s="1"/>
  <c r="C226" i="5"/>
  <c r="G120" i="5"/>
  <c r="C274" i="5"/>
  <c r="H274" i="5" s="1"/>
  <c r="D273" i="5"/>
  <c r="G273" i="5" a="1"/>
  <c r="G273" i="5" s="1"/>
  <c r="E273" i="5"/>
  <c r="E149" i="5" l="1"/>
  <c r="D149" i="5"/>
  <c r="C150" i="5"/>
  <c r="C227" i="5"/>
  <c r="E226" i="5" a="1"/>
  <c r="E226" i="5" s="1"/>
  <c r="H226" i="5" s="1"/>
  <c r="F273" i="5"/>
  <c r="J273" i="5" s="1"/>
  <c r="D77" i="5"/>
  <c r="E77" i="5" s="1"/>
  <c r="C78" i="5"/>
  <c r="G274" i="5" a="1"/>
  <c r="G274" i="5" s="1"/>
  <c r="E274" i="5"/>
  <c r="D274" i="5"/>
  <c r="C275" i="5"/>
  <c r="H275" i="5" s="1"/>
  <c r="F274" i="5" l="1"/>
  <c r="J274" i="5" s="1"/>
  <c r="D78" i="5"/>
  <c r="C79" i="5"/>
  <c r="E78" i="5"/>
  <c r="C276" i="5"/>
  <c r="H276" i="5" s="1"/>
  <c r="D275" i="5"/>
  <c r="G275" i="5" a="1"/>
  <c r="G275" i="5" s="1"/>
  <c r="E275" i="5"/>
  <c r="C228" i="5"/>
  <c r="E227" i="5" a="1"/>
  <c r="E227" i="5" s="1"/>
  <c r="H227" i="5" s="1"/>
  <c r="C151" i="5"/>
  <c r="E150" i="5"/>
  <c r="D150" i="5"/>
  <c r="F275" i="5" l="1"/>
  <c r="J275" i="5" s="1"/>
  <c r="G276" i="5" a="1"/>
  <c r="G276" i="5" s="1"/>
  <c r="E276" i="5"/>
  <c r="D276" i="5"/>
  <c r="F276" i="5" s="1"/>
  <c r="J276" i="5" s="1"/>
  <c r="C277" i="5"/>
  <c r="H277" i="5" s="1"/>
  <c r="E151" i="5"/>
  <c r="D151" i="5"/>
  <c r="C152" i="5"/>
  <c r="C80" i="5"/>
  <c r="D79" i="5"/>
  <c r="E79" i="5" s="1"/>
  <c r="C229" i="5"/>
  <c r="E228" i="5" a="1"/>
  <c r="E228" i="5" s="1"/>
  <c r="H228" i="5" s="1"/>
  <c r="C278" i="5" l="1"/>
  <c r="H278" i="5" s="1"/>
  <c r="G277" i="5" a="1"/>
  <c r="G277" i="5" s="1"/>
  <c r="E277" i="5"/>
  <c r="D277" i="5"/>
  <c r="F277" i="5" s="1"/>
  <c r="E229" i="5" a="1"/>
  <c r="E229" i="5" s="1"/>
  <c r="H229" i="5" s="1"/>
  <c r="C230" i="5"/>
  <c r="C81" i="5"/>
  <c r="D80" i="5"/>
  <c r="E80" i="5" s="1"/>
  <c r="C153" i="5"/>
  <c r="D152" i="5"/>
  <c r="E152" i="5"/>
  <c r="J277" i="5" l="1"/>
  <c r="D81" i="5"/>
  <c r="E81" i="5" s="1"/>
  <c r="C82" i="5"/>
  <c r="C231" i="5"/>
  <c r="E230" i="5" a="1"/>
  <c r="E230" i="5" s="1"/>
  <c r="H230" i="5" s="1"/>
  <c r="C154" i="5"/>
  <c r="E153" i="5"/>
  <c r="D153" i="5"/>
  <c r="G278" i="5" a="1"/>
  <c r="G278" i="5" s="1"/>
  <c r="E278" i="5"/>
  <c r="D278" i="5"/>
  <c r="F278" i="5" s="1"/>
  <c r="C279" i="5"/>
  <c r="H279" i="5" s="1"/>
  <c r="J278" i="5" l="1"/>
  <c r="D154" i="5"/>
  <c r="C155" i="5"/>
  <c r="E154" i="5"/>
  <c r="C280" i="5"/>
  <c r="H280" i="5" s="1"/>
  <c r="G279" i="5" a="1"/>
  <c r="G279" i="5" s="1"/>
  <c r="E279" i="5"/>
  <c r="D279" i="5"/>
  <c r="F279" i="5" s="1"/>
  <c r="C232" i="5"/>
  <c r="E232" i="5" s="1" a="1"/>
  <c r="E232" i="5" s="1"/>
  <c r="H232" i="5" s="1"/>
  <c r="E231" i="5" a="1"/>
  <c r="E231" i="5" s="1"/>
  <c r="H231" i="5" s="1"/>
  <c r="D82" i="5"/>
  <c r="E82" i="5" s="1"/>
  <c r="C83" i="5"/>
  <c r="J279" i="5" l="1"/>
  <c r="E155" i="5"/>
  <c r="D155" i="5"/>
  <c r="D83" i="5"/>
  <c r="E83" i="5"/>
  <c r="G280" i="5" a="1"/>
  <c r="G280" i="5" s="1"/>
  <c r="E280" i="5"/>
  <c r="D280" i="5"/>
  <c r="F280" i="5" s="1"/>
  <c r="J280" i="5" l="1"/>
  <c r="I280" i="4"/>
  <c r="I279" i="4"/>
  <c r="I278" i="4"/>
  <c r="I277" i="4"/>
  <c r="I276" i="4"/>
  <c r="I275" i="4"/>
  <c r="I274" i="4"/>
  <c r="I273" i="4"/>
  <c r="I272" i="4"/>
  <c r="I271" i="4"/>
  <c r="I270" i="4"/>
  <c r="I269" i="4"/>
  <c r="I268" i="4"/>
  <c r="I267" i="4"/>
  <c r="I266" i="4"/>
  <c r="I265" i="4"/>
  <c r="Q264" i="4"/>
  <c r="I264" i="4"/>
  <c r="G264" i="4" a="1"/>
  <c r="G264" i="4" s="1"/>
  <c r="E264" i="4"/>
  <c r="C264" i="4"/>
  <c r="I263" i="4"/>
  <c r="G263" i="4" a="1"/>
  <c r="G263" i="4" s="1"/>
  <c r="E263" i="4"/>
  <c r="F263" i="4" s="1"/>
  <c r="D263" i="4"/>
  <c r="I262" i="4"/>
  <c r="G262" i="4" a="1"/>
  <c r="G262" i="4" s="1"/>
  <c r="O264" i="4" s="1"/>
  <c r="E262" i="4"/>
  <c r="D262" i="4"/>
  <c r="F262" i="4" s="1"/>
  <c r="F257" i="4"/>
  <c r="F258" i="4" s="1"/>
  <c r="D257" i="4"/>
  <c r="D258" i="4" s="1"/>
  <c r="F256" i="4"/>
  <c r="E256" i="4"/>
  <c r="E257" i="4" s="1"/>
  <c r="D256" i="4"/>
  <c r="E251" i="4"/>
  <c r="O265" i="4" s="1"/>
  <c r="D251" i="4"/>
  <c r="E250" i="4"/>
  <c r="P265" i="4" s="1"/>
  <c r="D250" i="4"/>
  <c r="D249" i="4"/>
  <c r="E249" i="4" s="1"/>
  <c r="N265" i="4" s="1"/>
  <c r="E248" i="4"/>
  <c r="Q265" i="4" s="1"/>
  <c r="Q266" i="4" s="1"/>
  <c r="D248" i="4"/>
  <c r="D247" i="4"/>
  <c r="E247" i="4" s="1"/>
  <c r="R265" i="4" s="1"/>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F217" i="4"/>
  <c r="D217" i="4"/>
  <c r="O216" i="4"/>
  <c r="N216" i="4"/>
  <c r="N217" i="4" s="1"/>
  <c r="F216" i="4"/>
  <c r="D216" i="4"/>
  <c r="C216" i="4"/>
  <c r="E216" i="4" s="1" a="1"/>
  <c r="E216" i="4" s="1"/>
  <c r="N215" i="4"/>
  <c r="F215" i="4"/>
  <c r="E215" i="4" a="1"/>
  <c r="E215" i="4" s="1"/>
  <c r="H215" i="4" s="1"/>
  <c r="D215" i="4"/>
  <c r="F214" i="4"/>
  <c r="M215" i="4" s="1"/>
  <c r="E214" i="4" a="1"/>
  <c r="E214" i="4" s="1"/>
  <c r="L215" i="4" s="1"/>
  <c r="D214" i="4"/>
  <c r="K209" i="4"/>
  <c r="E209" i="4"/>
  <c r="L216" i="4" s="1"/>
  <c r="D209" i="4"/>
  <c r="D208" i="4"/>
  <c r="E208" i="4" s="1"/>
  <c r="M216" i="4" s="1"/>
  <c r="M217" i="4" s="1"/>
  <c r="E207" i="4"/>
  <c r="K216" i="4" s="1"/>
  <c r="D207" i="4"/>
  <c r="E206" i="4"/>
  <c r="D206" i="4"/>
  <c r="E205" i="4"/>
  <c r="D205" i="4"/>
  <c r="C179" i="4"/>
  <c r="C180" i="4" s="1"/>
  <c r="C181" i="4" s="1"/>
  <c r="C182" i="4" s="1"/>
  <c r="C183" i="4" s="1"/>
  <c r="C184" i="4" s="1"/>
  <c r="C185" i="4" s="1"/>
  <c r="C186" i="4" s="1"/>
  <c r="C187" i="4" s="1"/>
  <c r="C188" i="4" s="1"/>
  <c r="C189" i="4" s="1"/>
  <c r="C190" i="4" s="1"/>
  <c r="C191" i="4" s="1"/>
  <c r="C192" i="4" s="1"/>
  <c r="C193" i="4" s="1"/>
  <c r="C194" i="4" s="1"/>
  <c r="C195" i="4" s="1"/>
  <c r="L177" i="4"/>
  <c r="F171" i="4"/>
  <c r="E171" i="4"/>
  <c r="D171" i="4"/>
  <c r="H170" i="4"/>
  <c r="H171" i="4" s="1"/>
  <c r="G170" i="4"/>
  <c r="G171" i="4" s="1"/>
  <c r="F170" i="4"/>
  <c r="E170" i="4"/>
  <c r="D170" i="4"/>
  <c r="E169" i="4"/>
  <c r="F169" i="4" s="1"/>
  <c r="G169" i="4" s="1"/>
  <c r="L140" i="4"/>
  <c r="M140" i="4" s="1"/>
  <c r="M141" i="4"/>
  <c r="L141" i="4"/>
  <c r="C140" i="4"/>
  <c r="C141" i="4" s="1"/>
  <c r="C139" i="4"/>
  <c r="E139" i="4" s="1"/>
  <c r="E138" i="4"/>
  <c r="D132" i="4"/>
  <c r="D138" i="4" s="1"/>
  <c r="K105" i="4"/>
  <c r="C104" i="4"/>
  <c r="C105" i="4" s="1"/>
  <c r="C106" i="4" s="1"/>
  <c r="C107" i="4" s="1"/>
  <c r="C108" i="4" s="1"/>
  <c r="C109" i="4" s="1"/>
  <c r="C110" i="4" s="1"/>
  <c r="C111" i="4" s="1"/>
  <c r="C112" i="4" s="1"/>
  <c r="C113" i="4" s="1"/>
  <c r="C114" i="4" s="1"/>
  <c r="C115" i="4" s="1"/>
  <c r="C116" i="4" s="1"/>
  <c r="C117" i="4" s="1"/>
  <c r="C118" i="4" s="1"/>
  <c r="C119" i="4" s="1"/>
  <c r="C120" i="4" s="1"/>
  <c r="E101" i="4"/>
  <c r="F101" i="4" s="1"/>
  <c r="F97" i="4" a="1"/>
  <c r="F97" i="4" s="1"/>
  <c r="F98" i="4" s="1"/>
  <c r="F107" i="4" s="1"/>
  <c r="E97" i="4" a="1"/>
  <c r="E97" i="4" s="1"/>
  <c r="E98" i="4" s="1"/>
  <c r="D97" i="4" a="1"/>
  <c r="D97" i="4" s="1"/>
  <c r="D98" i="4" s="1"/>
  <c r="L68" i="4"/>
  <c r="C67" i="4"/>
  <c r="D67" i="4" s="1"/>
  <c r="E66" i="4"/>
  <c r="D66" i="4"/>
  <c r="L69" i="4" s="1"/>
  <c r="K45" i="4"/>
  <c r="L45" i="4" s="1"/>
  <c r="M45" i="4" s="1"/>
  <c r="N45" i="4" s="1"/>
  <c r="F44" i="4"/>
  <c r="C44" i="4"/>
  <c r="F43" i="4"/>
  <c r="C43" i="4"/>
  <c r="F42" i="4"/>
  <c r="L38" i="4"/>
  <c r="K38" i="4"/>
  <c r="J38" i="4"/>
  <c r="I38" i="4"/>
  <c r="L33" i="4"/>
  <c r="K33" i="4"/>
  <c r="J33" i="4"/>
  <c r="I33" i="4"/>
  <c r="L28" i="4"/>
  <c r="K28" i="4"/>
  <c r="J28" i="4"/>
  <c r="I28" i="4"/>
  <c r="F25" i="4"/>
  <c r="E25" i="4"/>
  <c r="D25" i="4"/>
  <c r="F24" i="4"/>
  <c r="F132" i="4" s="1"/>
  <c r="E24" i="4"/>
  <c r="E132" i="4" s="1"/>
  <c r="D24" i="4"/>
  <c r="L23" i="4"/>
  <c r="K23" i="4"/>
  <c r="J23" i="4"/>
  <c r="I23" i="4"/>
  <c r="B13" i="4"/>
  <c r="T9" i="4"/>
  <c r="V8" i="4"/>
  <c r="V7" i="4" s="1"/>
  <c r="C174" i="4" l="1"/>
  <c r="D177" i="4" s="1"/>
  <c r="D139" i="4"/>
  <c r="C142" i="4"/>
  <c r="E141" i="4"/>
  <c r="D141" i="4"/>
  <c r="N264" i="4"/>
  <c r="N266" i="4" s="1"/>
  <c r="L217" i="4"/>
  <c r="D118" i="4"/>
  <c r="D110" i="4"/>
  <c r="D113" i="4"/>
  <c r="D104" i="4"/>
  <c r="D111" i="4"/>
  <c r="D109" i="4"/>
  <c r="D107" i="4"/>
  <c r="D105" i="4"/>
  <c r="D103" i="4"/>
  <c r="D108" i="4"/>
  <c r="D102" i="4"/>
  <c r="D114" i="4"/>
  <c r="D119" i="4"/>
  <c r="D117" i="4"/>
  <c r="D115" i="4"/>
  <c r="D116" i="4"/>
  <c r="D106" i="4"/>
  <c r="D120" i="4"/>
  <c r="D112" i="4"/>
  <c r="D195" i="4"/>
  <c r="D188" i="4"/>
  <c r="D182" i="4"/>
  <c r="D178" i="4"/>
  <c r="L176" i="4"/>
  <c r="L178" i="4" s="1"/>
  <c r="D181" i="4"/>
  <c r="D190" i="4"/>
  <c r="D189" i="4"/>
  <c r="D179" i="4"/>
  <c r="O266" i="4"/>
  <c r="E113" i="4"/>
  <c r="E104" i="4"/>
  <c r="E116" i="4"/>
  <c r="E108" i="4"/>
  <c r="E102" i="4"/>
  <c r="E103" i="4"/>
  <c r="E119" i="4"/>
  <c r="E117" i="4"/>
  <c r="E115" i="4"/>
  <c r="E106" i="4"/>
  <c r="E112" i="4"/>
  <c r="E118" i="4"/>
  <c r="E120" i="4"/>
  <c r="E114" i="4"/>
  <c r="E111" i="4"/>
  <c r="E109" i="4"/>
  <c r="E107" i="4"/>
  <c r="E105" i="4"/>
  <c r="E110" i="4"/>
  <c r="G257" i="4"/>
  <c r="E258" i="4"/>
  <c r="F120" i="4"/>
  <c r="F104" i="4"/>
  <c r="F103" i="4"/>
  <c r="F118" i="4"/>
  <c r="C68" i="4"/>
  <c r="E67" i="4"/>
  <c r="F116" i="4"/>
  <c r="F108" i="4"/>
  <c r="F102" i="4"/>
  <c r="F119" i="4"/>
  <c r="F111" i="4"/>
  <c r="F105" i="4"/>
  <c r="F109" i="4"/>
  <c r="F106" i="4"/>
  <c r="H214" i="4"/>
  <c r="O215" i="4" s="1"/>
  <c r="O217" i="4" s="1"/>
  <c r="G258" i="4"/>
  <c r="J254" i="4" s="1"/>
  <c r="E140" i="4"/>
  <c r="D140" i="4"/>
  <c r="G256" i="4"/>
  <c r="C217" i="4"/>
  <c r="H216" i="4"/>
  <c r="F110" i="4"/>
  <c r="F112" i="4"/>
  <c r="F114" i="4"/>
  <c r="K215" i="4"/>
  <c r="K217" i="4" s="1"/>
  <c r="C265" i="4"/>
  <c r="F113" i="4"/>
  <c r="F115" i="4"/>
  <c r="F117" i="4"/>
  <c r="D264" i="4"/>
  <c r="F264" i="4" s="1"/>
  <c r="D187" i="4" l="1"/>
  <c r="D186" i="4"/>
  <c r="D193" i="4"/>
  <c r="D192" i="4"/>
  <c r="D183" i="4"/>
  <c r="D184" i="4"/>
  <c r="D180" i="4"/>
  <c r="D194" i="4"/>
  <c r="D185" i="4"/>
  <c r="D191" i="4"/>
  <c r="G112" i="4"/>
  <c r="G119" i="4"/>
  <c r="G111" i="4"/>
  <c r="G114" i="4"/>
  <c r="G104" i="4"/>
  <c r="J263" i="4"/>
  <c r="C69" i="4"/>
  <c r="D68" i="4"/>
  <c r="E68" i="4" s="1"/>
  <c r="G120" i="4"/>
  <c r="G108" i="4"/>
  <c r="G110" i="4"/>
  <c r="G103" i="4"/>
  <c r="G102" i="4"/>
  <c r="K104" i="4" s="1"/>
  <c r="K106" i="4" s="1"/>
  <c r="G113" i="4"/>
  <c r="D265" i="4"/>
  <c r="G265" i="4" a="1"/>
  <c r="G265" i="4" s="1"/>
  <c r="E265" i="4"/>
  <c r="C266" i="4"/>
  <c r="C218" i="4"/>
  <c r="E217" i="4" a="1"/>
  <c r="E217" i="4" s="1"/>
  <c r="H217" i="4" s="1"/>
  <c r="G106" i="4"/>
  <c r="G118" i="4"/>
  <c r="G116" i="4"/>
  <c r="G105" i="4"/>
  <c r="J264" i="4"/>
  <c r="G115" i="4"/>
  <c r="G107" i="4"/>
  <c r="C143" i="4"/>
  <c r="D142" i="4"/>
  <c r="E142" i="4"/>
  <c r="G117" i="4"/>
  <c r="G109" i="4"/>
  <c r="E218" i="4" l="1" a="1"/>
  <c r="E218" i="4" s="1"/>
  <c r="H218" i="4" s="1"/>
  <c r="C219" i="4"/>
  <c r="P264" i="4"/>
  <c r="P266" i="4" s="1"/>
  <c r="J262" i="4"/>
  <c r="R264" i="4" s="1"/>
  <c r="R266" i="4" s="1"/>
  <c r="F265" i="4"/>
  <c r="J265" i="4" s="1"/>
  <c r="C70" i="4"/>
  <c r="D69" i="4"/>
  <c r="E69" i="4"/>
  <c r="C144" i="4"/>
  <c r="E143" i="4"/>
  <c r="D143" i="4"/>
  <c r="E266" i="4"/>
  <c r="D266" i="4"/>
  <c r="F266" i="4" s="1"/>
  <c r="C267" i="4"/>
  <c r="G266" i="4" a="1"/>
  <c r="G266" i="4" s="1"/>
  <c r="G267" i="4" l="1" a="1"/>
  <c r="G267" i="4" s="1"/>
  <c r="E267" i="4"/>
  <c r="D267" i="4"/>
  <c r="C268" i="4"/>
  <c r="C71" i="4"/>
  <c r="D70" i="4"/>
  <c r="E70" i="4" s="1"/>
  <c r="J266" i="4"/>
  <c r="E219" i="4" a="1"/>
  <c r="E219" i="4" s="1"/>
  <c r="H219" i="4" s="1"/>
  <c r="C220" i="4"/>
  <c r="D144" i="4"/>
  <c r="C145" i="4"/>
  <c r="E144" i="4"/>
  <c r="E220" i="4" l="1" a="1"/>
  <c r="E220" i="4" s="1"/>
  <c r="H220" i="4" s="1"/>
  <c r="C221" i="4"/>
  <c r="G268" i="4" a="1"/>
  <c r="G268" i="4" s="1"/>
  <c r="E268" i="4"/>
  <c r="C269" i="4"/>
  <c r="D268" i="4"/>
  <c r="F268" i="4" s="1"/>
  <c r="C72" i="4"/>
  <c r="D71" i="4"/>
  <c r="E71" i="4" s="1"/>
  <c r="C146" i="4"/>
  <c r="E145" i="4"/>
  <c r="D145" i="4"/>
  <c r="F267" i="4"/>
  <c r="J267" i="4" s="1"/>
  <c r="E146" i="4" l="1"/>
  <c r="D146" i="4"/>
  <c r="C147" i="4"/>
  <c r="C222" i="4"/>
  <c r="E221" i="4" a="1"/>
  <c r="E221" i="4" s="1"/>
  <c r="H221" i="4" s="1"/>
  <c r="D72" i="4"/>
  <c r="C73" i="4"/>
  <c r="E72" i="4"/>
  <c r="J268" i="4"/>
  <c r="C270" i="4"/>
  <c r="E269" i="4"/>
  <c r="D269" i="4"/>
  <c r="F269" i="4" s="1"/>
  <c r="G269" i="4" a="1"/>
  <c r="G269" i="4" s="1"/>
  <c r="D73" i="4" l="1"/>
  <c r="E73" i="4" s="1"/>
  <c r="C74" i="4"/>
  <c r="J269" i="4"/>
  <c r="C223" i="4"/>
  <c r="E222" i="4" a="1"/>
  <c r="E222" i="4" s="1"/>
  <c r="H222" i="4" s="1"/>
  <c r="E147" i="4"/>
  <c r="D147" i="4"/>
  <c r="C148" i="4"/>
  <c r="E270" i="4"/>
  <c r="C271" i="4"/>
  <c r="D270" i="4"/>
  <c r="F270" i="4" s="1"/>
  <c r="G270" i="4" a="1"/>
  <c r="G270" i="4" s="1"/>
  <c r="E223" i="4" l="1" a="1"/>
  <c r="E223" i="4" s="1"/>
  <c r="H223" i="4" s="1"/>
  <c r="C224" i="4"/>
  <c r="J270" i="4"/>
  <c r="C272" i="4"/>
  <c r="D271" i="4"/>
  <c r="E271" i="4"/>
  <c r="G271" i="4" a="1"/>
  <c r="G271" i="4" s="1"/>
  <c r="C75" i="4"/>
  <c r="D74" i="4"/>
  <c r="E74" i="4" s="1"/>
  <c r="C149" i="4"/>
  <c r="E148" i="4"/>
  <c r="D148" i="4"/>
  <c r="F271" i="4" l="1"/>
  <c r="J271" i="4" s="1"/>
  <c r="D149" i="4"/>
  <c r="E149" i="4"/>
  <c r="C150" i="4"/>
  <c r="C273" i="4"/>
  <c r="D272" i="4"/>
  <c r="G272" i="4" a="1"/>
  <c r="G272" i="4" s="1"/>
  <c r="E272" i="4"/>
  <c r="C225" i="4"/>
  <c r="E224" i="4" a="1"/>
  <c r="E224" i="4" s="1"/>
  <c r="H224" i="4" s="1"/>
  <c r="D75" i="4"/>
  <c r="E75" i="4" s="1"/>
  <c r="C76" i="4"/>
  <c r="C77" i="4" l="1"/>
  <c r="D76" i="4"/>
  <c r="E76" i="4" s="1"/>
  <c r="C274" i="4"/>
  <c r="D273" i="4"/>
  <c r="G273" i="4" a="1"/>
  <c r="G273" i="4" s="1"/>
  <c r="E273" i="4"/>
  <c r="C151" i="4"/>
  <c r="E150" i="4"/>
  <c r="D150" i="4"/>
  <c r="C226" i="4"/>
  <c r="E225" i="4" a="1"/>
  <c r="E225" i="4" s="1"/>
  <c r="H225" i="4" s="1"/>
  <c r="F272" i="4"/>
  <c r="J272" i="4" s="1"/>
  <c r="F273" i="4" l="1"/>
  <c r="J273" i="4" s="1"/>
  <c r="G274" i="4" a="1"/>
  <c r="G274" i="4" s="1"/>
  <c r="C275" i="4"/>
  <c r="E274" i="4"/>
  <c r="D274" i="4"/>
  <c r="F274" i="4" s="1"/>
  <c r="J274" i="4" s="1"/>
  <c r="E226" i="4" a="1"/>
  <c r="E226" i="4" s="1"/>
  <c r="H226" i="4" s="1"/>
  <c r="C227" i="4"/>
  <c r="D77" i="4"/>
  <c r="E77" i="4" s="1"/>
  <c r="C78" i="4"/>
  <c r="C152" i="4"/>
  <c r="E151" i="4"/>
  <c r="D151" i="4"/>
  <c r="E227" i="4" l="1" a="1"/>
  <c r="E227" i="4" s="1"/>
  <c r="H227" i="4" s="1"/>
  <c r="C228" i="4"/>
  <c r="C153" i="4"/>
  <c r="D152" i="4"/>
  <c r="E152" i="4"/>
  <c r="G275" i="4" a="1"/>
  <c r="G275" i="4" s="1"/>
  <c r="E275" i="4"/>
  <c r="D275" i="4"/>
  <c r="C276" i="4"/>
  <c r="C79" i="4"/>
  <c r="D78" i="4"/>
  <c r="E78" i="4" s="1"/>
  <c r="C80" i="4" l="1"/>
  <c r="D79" i="4"/>
  <c r="E79" i="4" s="1"/>
  <c r="C154" i="4"/>
  <c r="D153" i="4"/>
  <c r="E153" i="4"/>
  <c r="G276" i="4" a="1"/>
  <c r="G276" i="4" s="1"/>
  <c r="E276" i="4"/>
  <c r="C277" i="4"/>
  <c r="D276" i="4"/>
  <c r="E228" i="4" a="1"/>
  <c r="E228" i="4" s="1"/>
  <c r="H228" i="4" s="1"/>
  <c r="C229" i="4"/>
  <c r="F275" i="4"/>
  <c r="J275" i="4" s="1"/>
  <c r="C230" i="4" l="1"/>
  <c r="E229" i="4" a="1"/>
  <c r="E229" i="4" s="1"/>
  <c r="H229" i="4" s="1"/>
  <c r="E154" i="4"/>
  <c r="D154" i="4"/>
  <c r="C155" i="4"/>
  <c r="F276" i="4"/>
  <c r="J276" i="4" s="1"/>
  <c r="C278" i="4"/>
  <c r="D277" i="4"/>
  <c r="E277" i="4"/>
  <c r="G277" i="4" a="1"/>
  <c r="G277" i="4" s="1"/>
  <c r="D80" i="4"/>
  <c r="E80" i="4" s="1"/>
  <c r="C81" i="4"/>
  <c r="C231" i="4" l="1"/>
  <c r="E230" i="4" a="1"/>
  <c r="E230" i="4" s="1"/>
  <c r="H230" i="4" s="1"/>
  <c r="E155" i="4"/>
  <c r="D155" i="4"/>
  <c r="F277" i="4"/>
  <c r="J277" i="4" s="1"/>
  <c r="E278" i="4"/>
  <c r="C279" i="4"/>
  <c r="D278" i="4"/>
  <c r="F278" i="4" s="1"/>
  <c r="G278" i="4" a="1"/>
  <c r="G278" i="4" s="1"/>
  <c r="C82" i="4"/>
  <c r="D81" i="4"/>
  <c r="E81" i="4" s="1"/>
  <c r="C83" i="4" l="1"/>
  <c r="D82" i="4"/>
  <c r="E82" i="4" s="1"/>
  <c r="J278" i="4"/>
  <c r="C280" i="4"/>
  <c r="D279" i="4"/>
  <c r="E279" i="4"/>
  <c r="G279" i="4" a="1"/>
  <c r="G279" i="4" s="1"/>
  <c r="E231" i="4" a="1"/>
  <c r="E231" i="4" s="1"/>
  <c r="H231" i="4" s="1"/>
  <c r="C232" i="4"/>
  <c r="E232" i="4" s="1" a="1"/>
  <c r="E232" i="4" s="1"/>
  <c r="H232" i="4" s="1"/>
  <c r="F279" i="4" l="1"/>
  <c r="J279" i="4" s="1"/>
  <c r="G280" i="4" a="1"/>
  <c r="G280" i="4" s="1"/>
  <c r="D280" i="4"/>
  <c r="E280" i="4"/>
  <c r="D83" i="4"/>
  <c r="E83" i="4" s="1"/>
  <c r="F280" i="4" l="1"/>
  <c r="J280" i="4" s="1"/>
  <c r="Q278" i="3"/>
  <c r="Q277" i="3"/>
  <c r="O277" i="3"/>
  <c r="O279" i="3" s="1"/>
  <c r="G277" i="3" a="1"/>
  <c r="G277" i="3" s="1"/>
  <c r="E277" i="3"/>
  <c r="D277" i="3"/>
  <c r="F277" i="3" s="1"/>
  <c r="C277" i="3"/>
  <c r="G276" i="3" a="1"/>
  <c r="G276" i="3" s="1"/>
  <c r="F276" i="3"/>
  <c r="E276" i="3"/>
  <c r="D276" i="3"/>
  <c r="G275" i="3" a="1"/>
  <c r="G275" i="3" s="1"/>
  <c r="E275" i="3"/>
  <c r="D275" i="3"/>
  <c r="F275" i="3" s="1"/>
  <c r="G271" i="3"/>
  <c r="J267" i="3" s="1"/>
  <c r="G270" i="3"/>
  <c r="E270" i="3"/>
  <c r="E271" i="3" s="1"/>
  <c r="D270" i="3"/>
  <c r="D271" i="3" s="1"/>
  <c r="G269" i="3"/>
  <c r="F269" i="3"/>
  <c r="F270" i="3" s="1"/>
  <c r="F271" i="3" s="1"/>
  <c r="E269" i="3"/>
  <c r="D269" i="3"/>
  <c r="D264" i="3"/>
  <c r="E264" i="3" s="1"/>
  <c r="O278" i="3" s="1"/>
  <c r="D263" i="3"/>
  <c r="E263" i="3" s="1"/>
  <c r="P278" i="3" s="1"/>
  <c r="E262" i="3"/>
  <c r="N278" i="3" s="1"/>
  <c r="D262" i="3"/>
  <c r="D261" i="3"/>
  <c r="E261" i="3" s="1"/>
  <c r="E260" i="3"/>
  <c r="R278" i="3" s="1"/>
  <c r="D260" i="3"/>
  <c r="F245" i="3"/>
  <c r="D245" i="3"/>
  <c r="F244" i="3"/>
  <c r="D244" i="3"/>
  <c r="F243" i="3"/>
  <c r="D243" i="3"/>
  <c r="F242" i="3"/>
  <c r="D242" i="3"/>
  <c r="F241" i="3"/>
  <c r="D241" i="3"/>
  <c r="F240" i="3"/>
  <c r="D240" i="3"/>
  <c r="F239" i="3"/>
  <c r="D239" i="3"/>
  <c r="F238" i="3"/>
  <c r="D238" i="3"/>
  <c r="F237" i="3"/>
  <c r="D237" i="3"/>
  <c r="F236" i="3"/>
  <c r="D236" i="3"/>
  <c r="F235" i="3"/>
  <c r="D235" i="3"/>
  <c r="F234" i="3"/>
  <c r="D234" i="3"/>
  <c r="F233" i="3"/>
  <c r="D233" i="3"/>
  <c r="F232" i="3"/>
  <c r="D232" i="3"/>
  <c r="F231" i="3"/>
  <c r="E231" i="3" a="1"/>
  <c r="E231" i="3" s="1"/>
  <c r="D231" i="3"/>
  <c r="C231" i="3"/>
  <c r="C232" i="3" s="1"/>
  <c r="F230" i="3"/>
  <c r="E230" i="3"/>
  <c r="E230" i="3" a="1"/>
  <c r="D230" i="3"/>
  <c r="F229" i="3"/>
  <c r="E229" i="3" a="1"/>
  <c r="E229" i="3" s="1"/>
  <c r="H229" i="3" s="1"/>
  <c r="D229" i="3"/>
  <c r="C229" i="3"/>
  <c r="C230" i="3" s="1"/>
  <c r="N228" i="3"/>
  <c r="F228" i="3"/>
  <c r="E228" i="3" a="1"/>
  <c r="E228" i="3" s="1"/>
  <c r="H228" i="3" s="1"/>
  <c r="D228" i="3"/>
  <c r="F227" i="3"/>
  <c r="M228" i="3" s="1"/>
  <c r="E227" i="3" a="1"/>
  <c r="E227" i="3" s="1"/>
  <c r="L228" i="3" s="1"/>
  <c r="L230" i="3" s="1"/>
  <c r="D227" i="3"/>
  <c r="K222" i="3"/>
  <c r="D222" i="3"/>
  <c r="E222" i="3" s="1"/>
  <c r="L229" i="3" s="1"/>
  <c r="E221" i="3"/>
  <c r="M229" i="3" s="1"/>
  <c r="D221" i="3"/>
  <c r="D220" i="3"/>
  <c r="E220" i="3" s="1"/>
  <c r="K229" i="3" s="1"/>
  <c r="E219" i="3"/>
  <c r="N229" i="3" s="1"/>
  <c r="D219" i="3"/>
  <c r="E218" i="3"/>
  <c r="O229" i="3" s="1"/>
  <c r="D218" i="3"/>
  <c r="C189" i="3"/>
  <c r="C190" i="3" s="1"/>
  <c r="C191" i="3" s="1"/>
  <c r="C192" i="3" s="1"/>
  <c r="C193" i="3" s="1"/>
  <c r="C194" i="3" s="1"/>
  <c r="C195" i="3" s="1"/>
  <c r="C196" i="3" s="1"/>
  <c r="C197" i="3" s="1"/>
  <c r="C198" i="3" s="1"/>
  <c r="C199" i="3" s="1"/>
  <c r="C200" i="3" s="1"/>
  <c r="C201" i="3" s="1"/>
  <c r="C202" i="3" s="1"/>
  <c r="C203" i="3" s="1"/>
  <c r="C204" i="3" s="1"/>
  <c r="C205" i="3" s="1"/>
  <c r="L187" i="3"/>
  <c r="D188" i="3"/>
  <c r="L186" i="3"/>
  <c r="L188" i="3" s="1"/>
  <c r="G181" i="3"/>
  <c r="D181" i="3"/>
  <c r="I180" i="3"/>
  <c r="I181" i="3" s="1"/>
  <c r="H180" i="3"/>
  <c r="H181" i="3" s="1"/>
  <c r="G180" i="3"/>
  <c r="F180" i="3"/>
  <c r="F181" i="3" s="1"/>
  <c r="E180" i="3"/>
  <c r="E181" i="3" s="1"/>
  <c r="D180" i="3"/>
  <c r="E179" i="3"/>
  <c r="F179" i="3" s="1"/>
  <c r="G179" i="3" s="1"/>
  <c r="H179" i="3" s="1"/>
  <c r="M149" i="3"/>
  <c r="L149" i="3"/>
  <c r="M150" i="3"/>
  <c r="L150" i="3"/>
  <c r="E148" i="3"/>
  <c r="C148" i="3"/>
  <c r="E147" i="3"/>
  <c r="E141" i="3"/>
  <c r="Z114" i="3"/>
  <c r="C114" i="3"/>
  <c r="C115" i="3" s="1"/>
  <c r="C113" i="3"/>
  <c r="E110" i="3"/>
  <c r="F110" i="3" s="1"/>
  <c r="G110" i="3" s="1"/>
  <c r="H110" i="3" s="1"/>
  <c r="I110" i="3" s="1"/>
  <c r="J110" i="3" s="1"/>
  <c r="K110" i="3" s="1"/>
  <c r="L110" i="3" s="1"/>
  <c r="M110" i="3" s="1"/>
  <c r="N110" i="3" s="1"/>
  <c r="O110" i="3" s="1"/>
  <c r="P110" i="3" s="1"/>
  <c r="Q110" i="3" s="1"/>
  <c r="R110" i="3" s="1"/>
  <c r="S110" i="3" s="1"/>
  <c r="T110" i="3" s="1"/>
  <c r="U110" i="3" s="1"/>
  <c r="U106" i="3" a="1"/>
  <c r="U106" i="3" s="1"/>
  <c r="U107" i="3" s="1"/>
  <c r="U113" i="3" s="1"/>
  <c r="T106" i="3" a="1"/>
  <c r="T106" i="3" s="1"/>
  <c r="T107" i="3" s="1"/>
  <c r="S106" i="3" a="1"/>
  <c r="S106" i="3" s="1"/>
  <c r="S107" i="3" s="1"/>
  <c r="S111" i="3" s="1"/>
  <c r="R106" i="3" a="1"/>
  <c r="R106" i="3" s="1"/>
  <c r="R107" i="3" s="1"/>
  <c r="Q106" i="3" a="1"/>
  <c r="Q106" i="3" s="1"/>
  <c r="Q107" i="3" s="1"/>
  <c r="P106" i="3" a="1"/>
  <c r="P106" i="3" s="1"/>
  <c r="P107" i="3" s="1"/>
  <c r="O106" i="3" a="1"/>
  <c r="O106" i="3" s="1"/>
  <c r="O107" i="3" s="1"/>
  <c r="N106" i="3" a="1"/>
  <c r="N106" i="3" s="1"/>
  <c r="N107" i="3" s="1"/>
  <c r="M106" i="3" a="1"/>
  <c r="M106" i="3" s="1"/>
  <c r="M107" i="3" s="1"/>
  <c r="L106" i="3" a="1"/>
  <c r="L106" i="3" s="1"/>
  <c r="L107" i="3" s="1"/>
  <c r="K106" i="3" a="1"/>
  <c r="K106" i="3" s="1"/>
  <c r="K107" i="3" s="1"/>
  <c r="J106" i="3" a="1"/>
  <c r="J106" i="3" s="1"/>
  <c r="J107" i="3" s="1"/>
  <c r="I106" i="3" a="1"/>
  <c r="I106" i="3" s="1"/>
  <c r="I107" i="3" s="1"/>
  <c r="H106" i="3" a="1"/>
  <c r="H106" i="3" s="1"/>
  <c r="H107" i="3" s="1"/>
  <c r="G106" i="3" a="1"/>
  <c r="G106" i="3" s="1"/>
  <c r="G107" i="3" s="1"/>
  <c r="F106" i="3" a="1"/>
  <c r="F106" i="3" s="1"/>
  <c r="F107" i="3" s="1"/>
  <c r="E106" i="3" a="1"/>
  <c r="E106" i="3" s="1"/>
  <c r="E107" i="3" s="1"/>
  <c r="E115" i="3" s="1"/>
  <c r="D106" i="3" a="1"/>
  <c r="D106" i="3" s="1"/>
  <c r="D107" i="3" s="1"/>
  <c r="L77" i="3"/>
  <c r="C76" i="3"/>
  <c r="C77" i="3" s="1"/>
  <c r="C78" i="3" s="1"/>
  <c r="D75" i="3"/>
  <c r="L78" i="3" s="1"/>
  <c r="F59" i="3"/>
  <c r="F58" i="3"/>
  <c r="F57" i="3"/>
  <c r="F56" i="3"/>
  <c r="F55" i="3"/>
  <c r="F54" i="3"/>
  <c r="F53" i="3"/>
  <c r="F52" i="3"/>
  <c r="F51" i="3"/>
  <c r="F50" i="3"/>
  <c r="F49" i="3"/>
  <c r="F48" i="3"/>
  <c r="F47" i="3"/>
  <c r="F46" i="3"/>
  <c r="K45" i="3"/>
  <c r="L45" i="3" s="1"/>
  <c r="M45" i="3" s="1"/>
  <c r="N45" i="3" s="1"/>
  <c r="O45" i="3" s="1"/>
  <c r="F45" i="3"/>
  <c r="F44" i="3"/>
  <c r="F43" i="3"/>
  <c r="C43" i="3"/>
  <c r="C44" i="3" s="1"/>
  <c r="C45" i="3" s="1"/>
  <c r="C46" i="3" s="1"/>
  <c r="C47" i="3" s="1"/>
  <c r="C48" i="3" s="1"/>
  <c r="C49" i="3" s="1"/>
  <c r="C50" i="3" s="1"/>
  <c r="C51" i="3" s="1"/>
  <c r="C52" i="3" s="1"/>
  <c r="C53" i="3" s="1"/>
  <c r="C54" i="3" s="1"/>
  <c r="C55" i="3" s="1"/>
  <c r="C56" i="3" s="1"/>
  <c r="C57" i="3" s="1"/>
  <c r="C58" i="3" s="1"/>
  <c r="C59" i="3" s="1"/>
  <c r="F42" i="3"/>
  <c r="L38" i="3"/>
  <c r="K38" i="3"/>
  <c r="J38" i="3"/>
  <c r="I38" i="3"/>
  <c r="L33" i="3"/>
  <c r="K33" i="3"/>
  <c r="J33" i="3"/>
  <c r="I33" i="3"/>
  <c r="L28" i="3"/>
  <c r="K28" i="3"/>
  <c r="J28" i="3"/>
  <c r="I28" i="3"/>
  <c r="F25" i="3"/>
  <c r="E25" i="3"/>
  <c r="F24" i="3"/>
  <c r="F141" i="3" s="1"/>
  <c r="E24" i="3"/>
  <c r="D24" i="3"/>
  <c r="D141" i="3" s="1"/>
  <c r="D147" i="3" s="1"/>
  <c r="L23" i="3"/>
  <c r="K23" i="3"/>
  <c r="J23" i="3"/>
  <c r="I23" i="3"/>
  <c r="B13" i="3"/>
  <c r="T9" i="3"/>
  <c r="V8" i="3"/>
  <c r="V7" i="3"/>
  <c r="H113" i="3" l="1"/>
  <c r="H112" i="3"/>
  <c r="H111" i="3"/>
  <c r="H114" i="3"/>
  <c r="E75" i="3"/>
  <c r="J112" i="3"/>
  <c r="J111" i="3"/>
  <c r="J113" i="3"/>
  <c r="J114" i="3"/>
  <c r="J115" i="3"/>
  <c r="T115" i="3"/>
  <c r="T111" i="3"/>
  <c r="T114" i="3"/>
  <c r="T112" i="3"/>
  <c r="T113" i="3"/>
  <c r="K113" i="3"/>
  <c r="K111" i="3"/>
  <c r="K114" i="3"/>
  <c r="K115" i="3"/>
  <c r="K112" i="3"/>
  <c r="G112" i="3"/>
  <c r="G115" i="3"/>
  <c r="G114" i="3"/>
  <c r="G113" i="3"/>
  <c r="G111" i="3"/>
  <c r="C79" i="3"/>
  <c r="E78" i="3"/>
  <c r="D78" i="3"/>
  <c r="I114" i="3"/>
  <c r="I115" i="3"/>
  <c r="I111" i="3"/>
  <c r="P277" i="3"/>
  <c r="P279" i="3" s="1"/>
  <c r="U115" i="3"/>
  <c r="U111" i="3"/>
  <c r="I112" i="3"/>
  <c r="F113" i="3"/>
  <c r="F114" i="3"/>
  <c r="F111" i="3"/>
  <c r="F112" i="3"/>
  <c r="F115" i="3"/>
  <c r="O112" i="3"/>
  <c r="O111" i="3"/>
  <c r="O115" i="3"/>
  <c r="O114" i="3"/>
  <c r="O113" i="3"/>
  <c r="H115" i="3"/>
  <c r="C116" i="3"/>
  <c r="J275" i="3"/>
  <c r="R277" i="3" s="1"/>
  <c r="R279" i="3" s="1"/>
  <c r="N277" i="3"/>
  <c r="N279" i="3" s="1"/>
  <c r="U112" i="3"/>
  <c r="C233" i="3"/>
  <c r="E232" i="3" a="1"/>
  <c r="E232" i="3" s="1"/>
  <c r="H232" i="3" s="1"/>
  <c r="Q114" i="3"/>
  <c r="Q115" i="3"/>
  <c r="Q112" i="3"/>
  <c r="Q113" i="3"/>
  <c r="Q116" i="3"/>
  <c r="Q111" i="3"/>
  <c r="D77" i="3"/>
  <c r="E77" i="3" s="1"/>
  <c r="N113" i="3"/>
  <c r="N114" i="3"/>
  <c r="N111" i="3"/>
  <c r="N112" i="3"/>
  <c r="N115" i="3"/>
  <c r="I113" i="3"/>
  <c r="M230" i="3"/>
  <c r="D115" i="3"/>
  <c r="D111" i="3"/>
  <c r="D114" i="3"/>
  <c r="D113" i="3"/>
  <c r="D112" i="3"/>
  <c r="S113" i="3"/>
  <c r="S114" i="3"/>
  <c r="S112" i="3"/>
  <c r="S115" i="3"/>
  <c r="U114" i="3"/>
  <c r="J276" i="3"/>
  <c r="D76" i="3"/>
  <c r="M112" i="3"/>
  <c r="M113" i="3"/>
  <c r="M114" i="3"/>
  <c r="L115" i="3"/>
  <c r="L112" i="3"/>
  <c r="L113" i="3"/>
  <c r="L114" i="3"/>
  <c r="M115" i="3"/>
  <c r="E76" i="3"/>
  <c r="L111" i="3"/>
  <c r="K228" i="3"/>
  <c r="K230" i="3" s="1"/>
  <c r="H227" i="3"/>
  <c r="O228" i="3" s="1"/>
  <c r="O230" i="3" s="1"/>
  <c r="D25" i="3"/>
  <c r="E111" i="3"/>
  <c r="M111" i="3"/>
  <c r="E112" i="3"/>
  <c r="P112" i="3"/>
  <c r="E113" i="3"/>
  <c r="P113" i="3"/>
  <c r="E114" i="3"/>
  <c r="P114" i="3"/>
  <c r="P115" i="3"/>
  <c r="D148" i="3"/>
  <c r="N230" i="3"/>
  <c r="R115" i="3"/>
  <c r="R112" i="3"/>
  <c r="R111" i="3"/>
  <c r="R114" i="3"/>
  <c r="P111" i="3"/>
  <c r="R113" i="3"/>
  <c r="C149" i="3"/>
  <c r="C184" i="3"/>
  <c r="H230" i="3"/>
  <c r="H231" i="3"/>
  <c r="J277" i="3"/>
  <c r="C278" i="3"/>
  <c r="Q279" i="3"/>
  <c r="C117" i="3" l="1"/>
  <c r="H116" i="3"/>
  <c r="L116" i="3"/>
  <c r="S116" i="3"/>
  <c r="V113" i="3"/>
  <c r="J116" i="3"/>
  <c r="C80" i="3"/>
  <c r="D79" i="3"/>
  <c r="E79" i="3" s="1"/>
  <c r="V115" i="3"/>
  <c r="C234" i="3"/>
  <c r="E233" i="3" a="1"/>
  <c r="E233" i="3" s="1"/>
  <c r="H233" i="3" s="1"/>
  <c r="K116" i="3"/>
  <c r="T116" i="3"/>
  <c r="E149" i="3"/>
  <c r="D149" i="3"/>
  <c r="C150" i="3"/>
  <c r="R116" i="3"/>
  <c r="D278" i="3"/>
  <c r="E278" i="3"/>
  <c r="G278" i="3" a="1"/>
  <c r="G278" i="3" s="1"/>
  <c r="C279" i="3"/>
  <c r="E116" i="3"/>
  <c r="V114" i="3"/>
  <c r="D204" i="3"/>
  <c r="D200" i="3"/>
  <c r="D196" i="3"/>
  <c r="D192" i="3"/>
  <c r="D201" i="3"/>
  <c r="D199" i="3"/>
  <c r="D190" i="3"/>
  <c r="D197" i="3"/>
  <c r="D202" i="3"/>
  <c r="D198" i="3"/>
  <c r="D195" i="3"/>
  <c r="D194" i="3"/>
  <c r="D189" i="3"/>
  <c r="D205" i="3"/>
  <c r="D193" i="3"/>
  <c r="D203" i="3"/>
  <c r="D191" i="3"/>
  <c r="M116" i="3"/>
  <c r="D116" i="3"/>
  <c r="P116" i="3"/>
  <c r="F116" i="3"/>
  <c r="U116" i="3"/>
  <c r="I116" i="3"/>
  <c r="V112" i="3"/>
  <c r="V111" i="3"/>
  <c r="Z113" i="3" s="1"/>
  <c r="Z115" i="3" s="1"/>
  <c r="N116" i="3"/>
  <c r="O116" i="3"/>
  <c r="G116" i="3"/>
  <c r="G279" i="3" l="1" a="1"/>
  <c r="G279" i="3" s="1"/>
  <c r="C280" i="3"/>
  <c r="E279" i="3"/>
  <c r="D279" i="3"/>
  <c r="F279" i="3" s="1"/>
  <c r="C81" i="3"/>
  <c r="D80" i="3"/>
  <c r="E80" i="3" s="1"/>
  <c r="V116" i="3"/>
  <c r="F278" i="3"/>
  <c r="J278" i="3" s="1"/>
  <c r="C235" i="3"/>
  <c r="E234" i="3" a="1"/>
  <c r="E234" i="3" s="1"/>
  <c r="H234" i="3" s="1"/>
  <c r="C151" i="3"/>
  <c r="E150" i="3"/>
  <c r="D150" i="3"/>
  <c r="C118" i="3"/>
  <c r="H117" i="3"/>
  <c r="E117" i="3"/>
  <c r="F117" i="3"/>
  <c r="S117" i="3"/>
  <c r="R117" i="3"/>
  <c r="I117" i="3"/>
  <c r="M117" i="3"/>
  <c r="L117" i="3"/>
  <c r="K117" i="3"/>
  <c r="U117" i="3"/>
  <c r="T117" i="3"/>
  <c r="D117" i="3"/>
  <c r="O117" i="3"/>
  <c r="G117" i="3"/>
  <c r="Q117" i="3"/>
  <c r="N117" i="3"/>
  <c r="J117" i="3"/>
  <c r="P117" i="3"/>
  <c r="H118" i="3" l="1"/>
  <c r="C119" i="3"/>
  <c r="U118" i="3"/>
  <c r="R118" i="3"/>
  <c r="J118" i="3"/>
  <c r="K118" i="3"/>
  <c r="G118" i="3"/>
  <c r="I118" i="3"/>
  <c r="S118" i="3"/>
  <c r="L118" i="3"/>
  <c r="O118" i="3"/>
  <c r="E118" i="3"/>
  <c r="N118" i="3"/>
  <c r="F118" i="3"/>
  <c r="Q118" i="3"/>
  <c r="D118" i="3"/>
  <c r="M118" i="3"/>
  <c r="T118" i="3"/>
  <c r="P118" i="3"/>
  <c r="J279" i="3"/>
  <c r="C236" i="3"/>
  <c r="E235" i="3" a="1"/>
  <c r="E235" i="3" s="1"/>
  <c r="H235" i="3" s="1"/>
  <c r="C281" i="3"/>
  <c r="E280" i="3"/>
  <c r="G280" i="3" a="1"/>
  <c r="G280" i="3" s="1"/>
  <c r="D280" i="3"/>
  <c r="F280" i="3" s="1"/>
  <c r="C82" i="3"/>
  <c r="D81" i="3"/>
  <c r="E81" i="3" s="1"/>
  <c r="D151" i="3"/>
  <c r="E151" i="3"/>
  <c r="C152" i="3"/>
  <c r="V117" i="3"/>
  <c r="V118" i="3" l="1"/>
  <c r="C282" i="3"/>
  <c r="E281" i="3"/>
  <c r="D281" i="3"/>
  <c r="F281" i="3" s="1"/>
  <c r="J281" i="3" s="1"/>
  <c r="G281" i="3" a="1"/>
  <c r="G281" i="3" s="1"/>
  <c r="E236" i="3" a="1"/>
  <c r="E236" i="3" s="1"/>
  <c r="H236" i="3" s="1"/>
  <c r="C237" i="3"/>
  <c r="D82" i="3"/>
  <c r="E82" i="3" s="1"/>
  <c r="C83" i="3"/>
  <c r="J280" i="3"/>
  <c r="C120" i="3"/>
  <c r="H119" i="3"/>
  <c r="O119" i="3"/>
  <c r="U119" i="3"/>
  <c r="E119" i="3"/>
  <c r="K119" i="3"/>
  <c r="L119" i="3"/>
  <c r="Q119" i="3"/>
  <c r="D119" i="3"/>
  <c r="R119" i="3"/>
  <c r="P119" i="3"/>
  <c r="F119" i="3"/>
  <c r="N119" i="3"/>
  <c r="M119" i="3"/>
  <c r="J119" i="3"/>
  <c r="T119" i="3"/>
  <c r="G119" i="3"/>
  <c r="I119" i="3"/>
  <c r="S119" i="3"/>
  <c r="C153" i="3"/>
  <c r="D152" i="3"/>
  <c r="E152" i="3"/>
  <c r="E153" i="3" l="1"/>
  <c r="C154" i="3"/>
  <c r="D153" i="3"/>
  <c r="E237" i="3" a="1"/>
  <c r="E237" i="3" s="1"/>
  <c r="H237" i="3" s="1"/>
  <c r="C238" i="3"/>
  <c r="V119" i="3"/>
  <c r="C121" i="3"/>
  <c r="R120" i="3"/>
  <c r="F120" i="3"/>
  <c r="I120" i="3"/>
  <c r="L120" i="3"/>
  <c r="E120" i="3"/>
  <c r="M120" i="3"/>
  <c r="N120" i="3"/>
  <c r="S120" i="3"/>
  <c r="J120" i="3"/>
  <c r="T120" i="3"/>
  <c r="O120" i="3"/>
  <c r="G120" i="3"/>
  <c r="K120" i="3"/>
  <c r="U120" i="3"/>
  <c r="Q120" i="3"/>
  <c r="D120" i="3"/>
  <c r="H120" i="3"/>
  <c r="P120" i="3"/>
  <c r="C283" i="3"/>
  <c r="D282" i="3"/>
  <c r="G282" i="3" a="1"/>
  <c r="G282" i="3" s="1"/>
  <c r="E282" i="3"/>
  <c r="C84" i="3"/>
  <c r="D83" i="3"/>
  <c r="E83" i="3" s="1"/>
  <c r="V120" i="3" l="1"/>
  <c r="C85" i="3"/>
  <c r="D84" i="3"/>
  <c r="E84" i="3" s="1"/>
  <c r="H121" i="3"/>
  <c r="L121" i="3"/>
  <c r="C122" i="3"/>
  <c r="G121" i="3"/>
  <c r="F121" i="3"/>
  <c r="T121" i="3"/>
  <c r="M121" i="3"/>
  <c r="P121" i="3"/>
  <c r="E121" i="3"/>
  <c r="N121" i="3"/>
  <c r="R121" i="3"/>
  <c r="D121" i="3"/>
  <c r="S121" i="3"/>
  <c r="J121" i="3"/>
  <c r="Q121" i="3"/>
  <c r="I121" i="3"/>
  <c r="U121" i="3"/>
  <c r="K121" i="3"/>
  <c r="O121" i="3"/>
  <c r="E238" i="3" a="1"/>
  <c r="E238" i="3" s="1"/>
  <c r="H238" i="3" s="1"/>
  <c r="C239" i="3"/>
  <c r="F282" i="3"/>
  <c r="J282" i="3" s="1"/>
  <c r="C284" i="3"/>
  <c r="G283" i="3" a="1"/>
  <c r="G283" i="3" s="1"/>
  <c r="D283" i="3"/>
  <c r="E283" i="3"/>
  <c r="C155" i="3"/>
  <c r="E154" i="3"/>
  <c r="D154" i="3"/>
  <c r="C123" i="3" l="1"/>
  <c r="P122" i="3"/>
  <c r="O122" i="3"/>
  <c r="N122" i="3"/>
  <c r="E122" i="3"/>
  <c r="L122" i="3"/>
  <c r="J122" i="3"/>
  <c r="S122" i="3"/>
  <c r="G122" i="3"/>
  <c r="R122" i="3"/>
  <c r="M122" i="3"/>
  <c r="I122" i="3"/>
  <c r="Q122" i="3"/>
  <c r="H122" i="3"/>
  <c r="K122" i="3"/>
  <c r="F122" i="3"/>
  <c r="U122" i="3"/>
  <c r="T122" i="3"/>
  <c r="D122" i="3"/>
  <c r="F283" i="3"/>
  <c r="J283" i="3" s="1"/>
  <c r="E239" i="3" a="1"/>
  <c r="E239" i="3" s="1"/>
  <c r="H239" i="3" s="1"/>
  <c r="C240" i="3"/>
  <c r="E155" i="3"/>
  <c r="D155" i="3"/>
  <c r="C156" i="3"/>
  <c r="V121" i="3"/>
  <c r="C285" i="3"/>
  <c r="G284" i="3" a="1"/>
  <c r="G284" i="3" s="1"/>
  <c r="E284" i="3"/>
  <c r="D284" i="3"/>
  <c r="F284" i="3" s="1"/>
  <c r="J284" i="3" s="1"/>
  <c r="C86" i="3"/>
  <c r="D85" i="3"/>
  <c r="E85" i="3" s="1"/>
  <c r="C286" i="3" l="1"/>
  <c r="E285" i="3"/>
  <c r="D285" i="3"/>
  <c r="G285" i="3" a="1"/>
  <c r="G285" i="3" s="1"/>
  <c r="C87" i="3"/>
  <c r="D86" i="3"/>
  <c r="E86" i="3" s="1"/>
  <c r="E240" i="3" a="1"/>
  <c r="E240" i="3" s="1"/>
  <c r="H240" i="3" s="1"/>
  <c r="C241" i="3"/>
  <c r="V122" i="3"/>
  <c r="E156" i="3"/>
  <c r="C157" i="3"/>
  <c r="D156" i="3"/>
  <c r="C124" i="3"/>
  <c r="H123" i="3"/>
  <c r="S123" i="3"/>
  <c r="Q123" i="3"/>
  <c r="P123" i="3"/>
  <c r="E123" i="3"/>
  <c r="F123" i="3"/>
  <c r="N123" i="3"/>
  <c r="R123" i="3"/>
  <c r="I123" i="3"/>
  <c r="U123" i="3"/>
  <c r="D123" i="3"/>
  <c r="T123" i="3"/>
  <c r="K123" i="3"/>
  <c r="G123" i="3"/>
  <c r="M123" i="3"/>
  <c r="L123" i="3"/>
  <c r="O123" i="3"/>
  <c r="J123" i="3"/>
  <c r="C125" i="3" l="1"/>
  <c r="H124" i="3"/>
  <c r="L124" i="3"/>
  <c r="T124" i="3"/>
  <c r="F124" i="3"/>
  <c r="M124" i="3"/>
  <c r="D124" i="3"/>
  <c r="P124" i="3"/>
  <c r="U124" i="3"/>
  <c r="Q124" i="3"/>
  <c r="N124" i="3"/>
  <c r="K124" i="3"/>
  <c r="J124" i="3"/>
  <c r="I124" i="3"/>
  <c r="O124" i="3"/>
  <c r="G124" i="3"/>
  <c r="E124" i="3"/>
  <c r="R124" i="3"/>
  <c r="S124" i="3"/>
  <c r="C158" i="3"/>
  <c r="E157" i="3"/>
  <c r="D157" i="3"/>
  <c r="F285" i="3"/>
  <c r="J285" i="3" s="1"/>
  <c r="C88" i="3"/>
  <c r="D87" i="3"/>
  <c r="E87" i="3" s="1"/>
  <c r="V123" i="3"/>
  <c r="C242" i="3"/>
  <c r="E241" i="3" a="1"/>
  <c r="E241" i="3" s="1"/>
  <c r="H241" i="3" s="1"/>
  <c r="C287" i="3"/>
  <c r="G286" i="3" a="1"/>
  <c r="G286" i="3" s="1"/>
  <c r="E286" i="3"/>
  <c r="D286" i="3"/>
  <c r="F286" i="3" s="1"/>
  <c r="E242" i="3" l="1" a="1"/>
  <c r="E242" i="3" s="1"/>
  <c r="H242" i="3" s="1"/>
  <c r="C243" i="3"/>
  <c r="D158" i="3"/>
  <c r="E158" i="3"/>
  <c r="C159" i="3"/>
  <c r="J286" i="3"/>
  <c r="C288" i="3"/>
  <c r="G287" i="3" a="1"/>
  <c r="G287" i="3" s="1"/>
  <c r="E287" i="3"/>
  <c r="D287" i="3"/>
  <c r="F287" i="3" s="1"/>
  <c r="V124" i="3"/>
  <c r="C89" i="3"/>
  <c r="D88" i="3"/>
  <c r="E88" i="3" s="1"/>
  <c r="C126" i="3"/>
  <c r="P125" i="3"/>
  <c r="E125" i="3"/>
  <c r="D125" i="3"/>
  <c r="T125" i="3"/>
  <c r="K125" i="3"/>
  <c r="Q125" i="3"/>
  <c r="G125" i="3"/>
  <c r="L125" i="3"/>
  <c r="U125" i="3"/>
  <c r="F125" i="3"/>
  <c r="N125" i="3"/>
  <c r="M125" i="3"/>
  <c r="S125" i="3"/>
  <c r="R125" i="3"/>
  <c r="J125" i="3"/>
  <c r="O125" i="3"/>
  <c r="I125" i="3"/>
  <c r="H125" i="3"/>
  <c r="C289" i="3" l="1"/>
  <c r="E288" i="3"/>
  <c r="G288" i="3" a="1"/>
  <c r="G288" i="3" s="1"/>
  <c r="D288" i="3"/>
  <c r="F288" i="3" s="1"/>
  <c r="C127" i="3"/>
  <c r="H126" i="3"/>
  <c r="N126" i="3"/>
  <c r="P126" i="3"/>
  <c r="M126" i="3"/>
  <c r="J126" i="3"/>
  <c r="D126" i="3"/>
  <c r="T126" i="3"/>
  <c r="K126" i="3"/>
  <c r="Q126" i="3"/>
  <c r="R126" i="3"/>
  <c r="I126" i="3"/>
  <c r="O126" i="3"/>
  <c r="E126" i="3"/>
  <c r="F126" i="3"/>
  <c r="U126" i="3"/>
  <c r="S126" i="3"/>
  <c r="G126" i="3"/>
  <c r="L126" i="3"/>
  <c r="E159" i="3"/>
  <c r="D159" i="3"/>
  <c r="C160" i="3"/>
  <c r="V125" i="3"/>
  <c r="C90" i="3"/>
  <c r="D89" i="3"/>
  <c r="E89" i="3"/>
  <c r="J287" i="3"/>
  <c r="C244" i="3"/>
  <c r="E243" i="3" a="1"/>
  <c r="E243" i="3" s="1"/>
  <c r="H243" i="3" s="1"/>
  <c r="D90" i="3" l="1"/>
  <c r="C91" i="3"/>
  <c r="E90" i="3"/>
  <c r="J288" i="3"/>
  <c r="C128" i="3"/>
  <c r="M127" i="3"/>
  <c r="L127" i="3"/>
  <c r="J127" i="3"/>
  <c r="F127" i="3"/>
  <c r="D127" i="3"/>
  <c r="T127" i="3"/>
  <c r="P127" i="3"/>
  <c r="G127" i="3"/>
  <c r="E127" i="3"/>
  <c r="R127" i="3"/>
  <c r="H127" i="3"/>
  <c r="K127" i="3"/>
  <c r="I127" i="3"/>
  <c r="O127" i="3"/>
  <c r="U127" i="3"/>
  <c r="Q127" i="3"/>
  <c r="N127" i="3"/>
  <c r="S127" i="3"/>
  <c r="V126" i="3"/>
  <c r="C161" i="3"/>
  <c r="E160" i="3"/>
  <c r="D160" i="3"/>
  <c r="C290" i="3"/>
  <c r="G289" i="3" a="1"/>
  <c r="G289" i="3" s="1"/>
  <c r="E289" i="3"/>
  <c r="D289" i="3"/>
  <c r="F289" i="3" s="1"/>
  <c r="C245" i="3"/>
  <c r="E245" i="3" s="1" a="1"/>
  <c r="E245" i="3" s="1"/>
  <c r="H245" i="3" s="1"/>
  <c r="E244" i="3" a="1"/>
  <c r="E244" i="3" s="1"/>
  <c r="H244" i="3" s="1"/>
  <c r="C129" i="3" l="1"/>
  <c r="H128" i="3"/>
  <c r="R128" i="3"/>
  <c r="D128" i="3"/>
  <c r="S128" i="3"/>
  <c r="Q128" i="3"/>
  <c r="J128" i="3"/>
  <c r="O128" i="3"/>
  <c r="F128" i="3"/>
  <c r="G128" i="3"/>
  <c r="U128" i="3"/>
  <c r="N128" i="3"/>
  <c r="L128" i="3"/>
  <c r="P128" i="3"/>
  <c r="E128" i="3"/>
  <c r="T128" i="3"/>
  <c r="K128" i="3"/>
  <c r="I128" i="3"/>
  <c r="M128" i="3"/>
  <c r="J289" i="3"/>
  <c r="V127" i="3"/>
  <c r="C92" i="3"/>
  <c r="D91" i="3"/>
  <c r="E91" i="3" s="1"/>
  <c r="C291" i="3"/>
  <c r="D290" i="3"/>
  <c r="F290" i="3" s="1"/>
  <c r="J290" i="3" s="1"/>
  <c r="G290" i="3" a="1"/>
  <c r="G290" i="3" s="1"/>
  <c r="E290" i="3"/>
  <c r="E161" i="3"/>
  <c r="C162" i="3"/>
  <c r="D161" i="3"/>
  <c r="C292" i="3" l="1"/>
  <c r="G291" i="3" a="1"/>
  <c r="G291" i="3" s="1"/>
  <c r="E291" i="3"/>
  <c r="D291" i="3"/>
  <c r="F291" i="3" s="1"/>
  <c r="H129" i="3"/>
  <c r="U129" i="3"/>
  <c r="J129" i="3"/>
  <c r="K129" i="3"/>
  <c r="S129" i="3"/>
  <c r="I129" i="3"/>
  <c r="P129" i="3"/>
  <c r="F129" i="3"/>
  <c r="R129" i="3"/>
  <c r="E129" i="3"/>
  <c r="D129" i="3"/>
  <c r="N129" i="3"/>
  <c r="L129" i="3"/>
  <c r="T129" i="3"/>
  <c r="M129" i="3"/>
  <c r="Q129" i="3"/>
  <c r="G129" i="3"/>
  <c r="O129" i="3"/>
  <c r="E162" i="3"/>
  <c r="C163" i="3"/>
  <c r="D162" i="3"/>
  <c r="D92" i="3"/>
  <c r="E92" i="3" s="1"/>
  <c r="V128" i="3"/>
  <c r="C293" i="3" l="1"/>
  <c r="G292" i="3" a="1"/>
  <c r="G292" i="3" s="1"/>
  <c r="E292" i="3"/>
  <c r="D292" i="3"/>
  <c r="E163" i="3"/>
  <c r="D163" i="3"/>
  <c r="C164" i="3"/>
  <c r="V129" i="3"/>
  <c r="J291" i="3"/>
  <c r="E164" i="3" l="1"/>
  <c r="D164" i="3"/>
  <c r="F292" i="3"/>
  <c r="J292" i="3" s="1"/>
  <c r="G293" i="3" a="1"/>
  <c r="G293" i="3" s="1"/>
  <c r="E293" i="3"/>
  <c r="D293" i="3"/>
  <c r="F293" i="3" s="1"/>
  <c r="J293" i="3" s="1"/>
  <c r="L175" i="1" l="1"/>
  <c r="L177" i="1" s="1"/>
  <c r="D177" i="1"/>
  <c r="D178" i="1"/>
  <c r="D179" i="1"/>
  <c r="D180" i="1"/>
  <c r="D181" i="1"/>
  <c r="D182" i="1"/>
  <c r="D183" i="1"/>
  <c r="D184" i="1"/>
  <c r="D185" i="1"/>
  <c r="D186" i="1"/>
  <c r="D187" i="1"/>
  <c r="D188" i="1"/>
  <c r="D189" i="1"/>
  <c r="D190" i="1"/>
  <c r="D191" i="1"/>
  <c r="D192" i="1"/>
  <c r="D193" i="1"/>
  <c r="D176" i="1"/>
  <c r="E256" i="1"/>
  <c r="F256" i="1"/>
  <c r="D256" i="1"/>
  <c r="G256" i="1" s="1"/>
  <c r="D248" i="1"/>
  <c r="E248" i="1" s="1"/>
  <c r="Q265" i="1" s="1"/>
  <c r="D249" i="1"/>
  <c r="E249" i="1" s="1"/>
  <c r="N265" i="1" s="1"/>
  <c r="D250" i="1"/>
  <c r="E250" i="1" s="1"/>
  <c r="P265" i="1" s="1"/>
  <c r="D251" i="1"/>
  <c r="E251" i="1" s="1"/>
  <c r="O265" i="1" s="1"/>
  <c r="D247" i="1"/>
  <c r="D206" i="1"/>
  <c r="D207" i="1"/>
  <c r="E207" i="1" s="1"/>
  <c r="K216" i="1" s="1"/>
  <c r="D208" i="1"/>
  <c r="E208" i="1" s="1"/>
  <c r="M216" i="1" s="1"/>
  <c r="D209" i="1"/>
  <c r="E209" i="1" s="1"/>
  <c r="L216" i="1" s="1"/>
  <c r="D205" i="1"/>
  <c r="E205" i="1" s="1"/>
  <c r="O216" i="1" s="1"/>
  <c r="E138" i="1"/>
  <c r="E97" i="1" a="1"/>
  <c r="E97" i="1" s="1"/>
  <c r="E98" i="1" s="1"/>
  <c r="E103" i="1" s="1"/>
  <c r="F97" i="1" a="1"/>
  <c r="F97" i="1" s="1"/>
  <c r="F98" i="1" s="1"/>
  <c r="G97" i="1" a="1"/>
  <c r="G97" i="1" s="1"/>
  <c r="G98" i="1" s="1"/>
  <c r="H97" i="1" a="1"/>
  <c r="H97" i="1" s="1"/>
  <c r="H98" i="1" s="1"/>
  <c r="H110" i="1" s="1"/>
  <c r="I97" i="1" a="1"/>
  <c r="I97" i="1" s="1"/>
  <c r="I98" i="1" s="1"/>
  <c r="I102" i="1" s="1"/>
  <c r="J97" i="1" a="1"/>
  <c r="J97" i="1" s="1"/>
  <c r="J98" i="1" s="1"/>
  <c r="J102" i="1" s="1"/>
  <c r="K97" i="1" a="1"/>
  <c r="K97" i="1" s="1"/>
  <c r="K98" i="1" s="1"/>
  <c r="L97" i="1" a="1"/>
  <c r="L97" i="1" s="1"/>
  <c r="L98" i="1" s="1"/>
  <c r="D97" i="1" a="1"/>
  <c r="D97" i="1" s="1"/>
  <c r="D98" i="1" s="1"/>
  <c r="D103" i="1" s="1"/>
  <c r="E215" i="1" a="1"/>
  <c r="E215" i="1" s="1"/>
  <c r="E214" i="1" a="1"/>
  <c r="E214" i="1" s="1"/>
  <c r="E168" i="1"/>
  <c r="E169" i="1" s="1"/>
  <c r="F168" i="1"/>
  <c r="D168" i="1"/>
  <c r="Q264" i="1"/>
  <c r="K209" i="1"/>
  <c r="N215" i="1"/>
  <c r="F214" i="1"/>
  <c r="M215" i="1" s="1"/>
  <c r="D214" i="1"/>
  <c r="K215" i="1" s="1"/>
  <c r="E247" i="1"/>
  <c r="R265" i="1" s="1"/>
  <c r="G262" i="1" a="1"/>
  <c r="G262" i="1" s="1"/>
  <c r="O264" i="1" s="1"/>
  <c r="E262" i="1"/>
  <c r="D262" i="1"/>
  <c r="D263" i="1"/>
  <c r="E263" i="1"/>
  <c r="G263" i="1" a="1"/>
  <c r="G263" i="1" s="1"/>
  <c r="F257" i="1"/>
  <c r="F258" i="1" s="1"/>
  <c r="E257" i="1"/>
  <c r="E258" i="1" s="1"/>
  <c r="D257" i="1"/>
  <c r="D258" i="1" s="1"/>
  <c r="G258" i="1" s="1"/>
  <c r="C264" i="1"/>
  <c r="C265" i="1" s="1"/>
  <c r="D265" i="1" s="1"/>
  <c r="E206" i="1"/>
  <c r="N216" i="1" s="1"/>
  <c r="F216" i="1"/>
  <c r="F217" i="1"/>
  <c r="F218" i="1"/>
  <c r="F219" i="1"/>
  <c r="F220" i="1"/>
  <c r="F221" i="1"/>
  <c r="F222" i="1"/>
  <c r="F223" i="1"/>
  <c r="F224" i="1"/>
  <c r="F225" i="1"/>
  <c r="F226" i="1"/>
  <c r="F227" i="1"/>
  <c r="F228" i="1"/>
  <c r="F229" i="1"/>
  <c r="F230" i="1"/>
  <c r="F231" i="1"/>
  <c r="F232" i="1"/>
  <c r="F215" i="1"/>
  <c r="D215" i="1"/>
  <c r="D216" i="1"/>
  <c r="D217" i="1"/>
  <c r="D218" i="1"/>
  <c r="D219" i="1"/>
  <c r="D220" i="1"/>
  <c r="D221" i="1"/>
  <c r="D222" i="1"/>
  <c r="D223" i="1"/>
  <c r="D224" i="1"/>
  <c r="D225" i="1"/>
  <c r="D226" i="1"/>
  <c r="D227" i="1"/>
  <c r="D228" i="1"/>
  <c r="D229" i="1"/>
  <c r="D230" i="1"/>
  <c r="D231" i="1"/>
  <c r="D232" i="1"/>
  <c r="C216" i="1"/>
  <c r="E216" i="1" s="1" a="1"/>
  <c r="E216" i="1" s="1"/>
  <c r="L176" i="1"/>
  <c r="L38" i="1"/>
  <c r="L33" i="1"/>
  <c r="L28" i="1"/>
  <c r="L23" i="1"/>
  <c r="F169" i="1"/>
  <c r="D169" i="1"/>
  <c r="E167" i="1"/>
  <c r="K45" i="1"/>
  <c r="L45" i="1" s="1"/>
  <c r="C177" i="1"/>
  <c r="C178" i="1" s="1"/>
  <c r="C179" i="1" s="1"/>
  <c r="C180" i="1" s="1"/>
  <c r="E24" i="1"/>
  <c r="E25" i="1" s="1"/>
  <c r="F24" i="1"/>
  <c r="F25" i="1" s="1"/>
  <c r="D24" i="1"/>
  <c r="D25" i="1" s="1"/>
  <c r="L140" i="1"/>
  <c r="M140" i="1" s="1"/>
  <c r="E132" i="1"/>
  <c r="C139" i="1"/>
  <c r="C140" i="1" s="1"/>
  <c r="E140" i="1" s="1"/>
  <c r="R105" i="1"/>
  <c r="E101" i="1"/>
  <c r="F101" i="1" s="1"/>
  <c r="G101" i="1" s="1"/>
  <c r="H101" i="1" s="1"/>
  <c r="I101" i="1" s="1"/>
  <c r="J101" i="1" s="1"/>
  <c r="K101" i="1" s="1"/>
  <c r="L101" i="1" s="1"/>
  <c r="C104" i="1"/>
  <c r="C105" i="1" s="1"/>
  <c r="C106" i="1" s="1"/>
  <c r="C107" i="1" s="1"/>
  <c r="C108" i="1" s="1"/>
  <c r="C109" i="1" s="1"/>
  <c r="C110" i="1" s="1"/>
  <c r="C111" i="1" s="1"/>
  <c r="C112" i="1" s="1"/>
  <c r="C113" i="1" s="1"/>
  <c r="C114" i="1" s="1"/>
  <c r="C115" i="1" s="1"/>
  <c r="C116" i="1" s="1"/>
  <c r="C117" i="1" s="1"/>
  <c r="C118" i="1" s="1"/>
  <c r="C119" i="1" s="1"/>
  <c r="C120" i="1" s="1"/>
  <c r="L68" i="1"/>
  <c r="T9" i="1"/>
  <c r="V8" i="1"/>
  <c r="V7" i="1" s="1"/>
  <c r="D66" i="1"/>
  <c r="F43" i="1"/>
  <c r="F44" i="1"/>
  <c r="F45" i="1"/>
  <c r="F46" i="1"/>
  <c r="F47" i="1"/>
  <c r="F48" i="1"/>
  <c r="F49" i="1"/>
  <c r="F50" i="1"/>
  <c r="F42" i="1"/>
  <c r="C67" i="1"/>
  <c r="D67" i="1" s="1"/>
  <c r="K38" i="1"/>
  <c r="J38" i="1"/>
  <c r="I38" i="1"/>
  <c r="K33" i="1"/>
  <c r="J33" i="1"/>
  <c r="I33" i="1"/>
  <c r="K28" i="1"/>
  <c r="J28" i="1"/>
  <c r="I28" i="1"/>
  <c r="K23" i="1"/>
  <c r="J23" i="1"/>
  <c r="I23" i="1"/>
  <c r="C43" i="1"/>
  <c r="C44" i="1" s="1"/>
  <c r="C45" i="1" s="1"/>
  <c r="C46" i="1" s="1"/>
  <c r="C47" i="1" s="1"/>
  <c r="C48" i="1" s="1"/>
  <c r="C49" i="1" s="1"/>
  <c r="C50" i="1" s="1"/>
  <c r="B13" i="1"/>
  <c r="N217" i="1" l="1"/>
  <c r="M217" i="1"/>
  <c r="E139" i="1"/>
  <c r="K217" i="1"/>
  <c r="Q266" i="1"/>
  <c r="O266" i="1"/>
  <c r="G257" i="1"/>
  <c r="L102" i="1"/>
  <c r="L118" i="1"/>
  <c r="L103" i="1"/>
  <c r="L110" i="1"/>
  <c r="L119" i="1"/>
  <c r="L108" i="1"/>
  <c r="L111" i="1"/>
  <c r="K103" i="1"/>
  <c r="K102" i="1"/>
  <c r="J103" i="1"/>
  <c r="H214" i="1"/>
  <c r="O215" i="1" s="1"/>
  <c r="O217" i="1" s="1"/>
  <c r="L215" i="1"/>
  <c r="L217" i="1" s="1"/>
  <c r="F262" i="1"/>
  <c r="N264" i="1" s="1"/>
  <c r="N266" i="1" s="1"/>
  <c r="G110" i="1"/>
  <c r="L109" i="1"/>
  <c r="F118" i="1"/>
  <c r="L115" i="1"/>
  <c r="L107" i="1"/>
  <c r="D118" i="1"/>
  <c r="L114" i="1"/>
  <c r="L106" i="1"/>
  <c r="M141" i="1"/>
  <c r="D110" i="1"/>
  <c r="L113" i="1"/>
  <c r="L105" i="1"/>
  <c r="C172" i="1"/>
  <c r="H120" i="1"/>
  <c r="L117" i="1"/>
  <c r="L116" i="1"/>
  <c r="H216" i="1"/>
  <c r="L120" i="1"/>
  <c r="L112" i="1"/>
  <c r="L104" i="1"/>
  <c r="F132" i="1"/>
  <c r="F263" i="1"/>
  <c r="G265" i="1" a="1"/>
  <c r="G265" i="1" s="1"/>
  <c r="D117" i="1"/>
  <c r="D109" i="1"/>
  <c r="K120" i="1"/>
  <c r="K119" i="1"/>
  <c r="K118" i="1"/>
  <c r="K117" i="1"/>
  <c r="K116" i="1"/>
  <c r="K115" i="1"/>
  <c r="K114" i="1"/>
  <c r="K113" i="1"/>
  <c r="K112" i="1"/>
  <c r="K111" i="1"/>
  <c r="K110" i="1"/>
  <c r="K109" i="1"/>
  <c r="K108" i="1"/>
  <c r="K107" i="1"/>
  <c r="K106" i="1"/>
  <c r="K105" i="1"/>
  <c r="K104" i="1"/>
  <c r="G264" i="1" a="1"/>
  <c r="G264" i="1" s="1"/>
  <c r="D116" i="1"/>
  <c r="J118" i="1"/>
  <c r="J112" i="1"/>
  <c r="J109" i="1"/>
  <c r="J105" i="1"/>
  <c r="D115" i="1"/>
  <c r="D107" i="1"/>
  <c r="I120" i="1"/>
  <c r="I119" i="1"/>
  <c r="I118" i="1"/>
  <c r="I117" i="1"/>
  <c r="I116" i="1"/>
  <c r="I115" i="1"/>
  <c r="I114" i="1"/>
  <c r="I113" i="1"/>
  <c r="I112" i="1"/>
  <c r="I111" i="1"/>
  <c r="I110" i="1"/>
  <c r="I109" i="1"/>
  <c r="I108" i="1"/>
  <c r="I107" i="1"/>
  <c r="I106" i="1"/>
  <c r="I105" i="1"/>
  <c r="I104" i="1"/>
  <c r="I103" i="1"/>
  <c r="H102" i="1"/>
  <c r="J254" i="1"/>
  <c r="J120" i="1"/>
  <c r="J115" i="1"/>
  <c r="J110" i="1"/>
  <c r="J108" i="1"/>
  <c r="J104" i="1"/>
  <c r="H118" i="1"/>
  <c r="H108" i="1"/>
  <c r="J117" i="1"/>
  <c r="J114" i="1"/>
  <c r="J111" i="1"/>
  <c r="J107" i="1"/>
  <c r="H116" i="1"/>
  <c r="H115" i="1"/>
  <c r="H114" i="1"/>
  <c r="H113" i="1"/>
  <c r="H111" i="1"/>
  <c r="H109" i="1"/>
  <c r="H107" i="1"/>
  <c r="H106" i="1"/>
  <c r="H105" i="1"/>
  <c r="H104" i="1"/>
  <c r="H103" i="1"/>
  <c r="G102" i="1"/>
  <c r="D113" i="1"/>
  <c r="G120" i="1"/>
  <c r="G116" i="1"/>
  <c r="G114" i="1"/>
  <c r="G111" i="1"/>
  <c r="G109" i="1"/>
  <c r="G107" i="1"/>
  <c r="G103" i="1"/>
  <c r="E265" i="1"/>
  <c r="F265" i="1" s="1"/>
  <c r="D108" i="1"/>
  <c r="J116" i="1"/>
  <c r="J106" i="1"/>
  <c r="D114" i="1"/>
  <c r="H119" i="1"/>
  <c r="H112" i="1"/>
  <c r="D102" i="1"/>
  <c r="G118" i="1"/>
  <c r="G115" i="1"/>
  <c r="G112" i="1"/>
  <c r="G108" i="1"/>
  <c r="G106" i="1"/>
  <c r="G105" i="1"/>
  <c r="G104" i="1"/>
  <c r="F102" i="1"/>
  <c r="D112" i="1"/>
  <c r="D104" i="1"/>
  <c r="F120" i="1"/>
  <c r="F119" i="1"/>
  <c r="F117" i="1"/>
  <c r="F116" i="1"/>
  <c r="F115" i="1"/>
  <c r="F114" i="1"/>
  <c r="F113" i="1"/>
  <c r="F112" i="1"/>
  <c r="F111" i="1"/>
  <c r="F110" i="1"/>
  <c r="F109" i="1"/>
  <c r="F108" i="1"/>
  <c r="F107" i="1"/>
  <c r="F106" i="1"/>
  <c r="F105" i="1"/>
  <c r="F104" i="1"/>
  <c r="F103" i="1"/>
  <c r="E102" i="1"/>
  <c r="H215" i="1"/>
  <c r="E264" i="1"/>
  <c r="D264" i="1"/>
  <c r="J119" i="1"/>
  <c r="J113" i="1"/>
  <c r="D106" i="1"/>
  <c r="H117" i="1"/>
  <c r="D105" i="1"/>
  <c r="G119" i="1"/>
  <c r="G117" i="1"/>
  <c r="G113" i="1"/>
  <c r="D120" i="1"/>
  <c r="D119" i="1"/>
  <c r="D111" i="1"/>
  <c r="E120" i="1"/>
  <c r="E119" i="1"/>
  <c r="E118" i="1"/>
  <c r="E117" i="1"/>
  <c r="E116" i="1"/>
  <c r="E115" i="1"/>
  <c r="E114" i="1"/>
  <c r="E113" i="1"/>
  <c r="E112" i="1"/>
  <c r="E111" i="1"/>
  <c r="E110" i="1"/>
  <c r="E109" i="1"/>
  <c r="E108" i="1"/>
  <c r="E107" i="1"/>
  <c r="E106" i="1"/>
  <c r="E105" i="1"/>
  <c r="E104" i="1"/>
  <c r="D132" i="1"/>
  <c r="D139" i="1" s="1"/>
  <c r="C217" i="1"/>
  <c r="E217" i="1" s="1" a="1"/>
  <c r="E217" i="1" s="1"/>
  <c r="C266" i="1"/>
  <c r="C267" i="1" s="1"/>
  <c r="C181" i="1"/>
  <c r="C141" i="1"/>
  <c r="E141" i="1" s="1"/>
  <c r="L69" i="1"/>
  <c r="E66" i="1"/>
  <c r="E67" i="1"/>
  <c r="C68" i="1"/>
  <c r="C69" i="1"/>
  <c r="M103" i="1" l="1"/>
  <c r="J262" i="1"/>
  <c r="R264" i="1" s="1"/>
  <c r="R266" i="1" s="1"/>
  <c r="P264" i="1"/>
  <c r="P266" i="1" s="1"/>
  <c r="J263" i="1"/>
  <c r="J265" i="1"/>
  <c r="F264" i="1"/>
  <c r="D140" i="1"/>
  <c r="M110" i="1"/>
  <c r="M118" i="1"/>
  <c r="M102" i="1"/>
  <c r="R104" i="1" s="1"/>
  <c r="R106" i="1" s="1"/>
  <c r="M116" i="1"/>
  <c r="M114" i="1"/>
  <c r="M107" i="1"/>
  <c r="L141" i="1"/>
  <c r="D138" i="1"/>
  <c r="M115" i="1"/>
  <c r="M109" i="1"/>
  <c r="M105" i="1"/>
  <c r="M111" i="1"/>
  <c r="M106" i="1"/>
  <c r="M117" i="1"/>
  <c r="D141" i="1"/>
  <c r="M104" i="1"/>
  <c r="M119" i="1"/>
  <c r="M108" i="1"/>
  <c r="M120" i="1"/>
  <c r="M112" i="1"/>
  <c r="M113" i="1"/>
  <c r="C218" i="1"/>
  <c r="E218" i="1" s="1" a="1"/>
  <c r="E218" i="1" s="1"/>
  <c r="H217" i="1"/>
  <c r="E267" i="1"/>
  <c r="D267" i="1"/>
  <c r="G267" i="1" a="1"/>
  <c r="G267" i="1" s="1"/>
  <c r="E266" i="1"/>
  <c r="D266" i="1"/>
  <c r="G266" i="1" a="1"/>
  <c r="G266" i="1" s="1"/>
  <c r="C268" i="1"/>
  <c r="C182" i="1"/>
  <c r="C142" i="1"/>
  <c r="E142" i="1" s="1"/>
  <c r="D68" i="1"/>
  <c r="E68" i="1" s="1"/>
  <c r="C70" i="1"/>
  <c r="D69" i="1"/>
  <c r="E69" i="1" s="1"/>
  <c r="F267" i="1" l="1"/>
  <c r="J264" i="1"/>
  <c r="F266" i="1"/>
  <c r="J266" i="1"/>
  <c r="D142" i="1"/>
  <c r="J267" i="1"/>
  <c r="C219" i="1"/>
  <c r="E219" i="1" s="1" a="1"/>
  <c r="E219" i="1" s="1"/>
  <c r="H218" i="1"/>
  <c r="E268" i="1"/>
  <c r="D268" i="1"/>
  <c r="G268" i="1" a="1"/>
  <c r="G268" i="1" s="1"/>
  <c r="C269" i="1"/>
  <c r="C183" i="1"/>
  <c r="C143" i="1"/>
  <c r="E143" i="1" s="1"/>
  <c r="C71" i="1"/>
  <c r="D70" i="1"/>
  <c r="E70" i="1" s="1"/>
  <c r="F268" i="1" l="1"/>
  <c r="D143" i="1"/>
  <c r="J268" i="1"/>
  <c r="C220" i="1"/>
  <c r="E220" i="1" s="1" a="1"/>
  <c r="E220" i="1" s="1"/>
  <c r="H219" i="1"/>
  <c r="D269" i="1"/>
  <c r="G269" i="1" a="1"/>
  <c r="G269" i="1" s="1"/>
  <c r="E269" i="1"/>
  <c r="C270" i="1"/>
  <c r="C184" i="1"/>
  <c r="C144" i="1"/>
  <c r="E144" i="1" s="1"/>
  <c r="C72" i="1"/>
  <c r="D71" i="1"/>
  <c r="E71" i="1" s="1"/>
  <c r="D144" i="1" l="1"/>
  <c r="C221" i="1"/>
  <c r="E221" i="1" s="1" a="1"/>
  <c r="E221" i="1" s="1"/>
  <c r="H220" i="1"/>
  <c r="E270" i="1"/>
  <c r="D270" i="1"/>
  <c r="F270" i="1" s="1"/>
  <c r="G270" i="1" a="1"/>
  <c r="G270" i="1" s="1"/>
  <c r="F269" i="1"/>
  <c r="J269" i="1" s="1"/>
  <c r="C271" i="1"/>
  <c r="C185" i="1"/>
  <c r="C145" i="1"/>
  <c r="E145" i="1" s="1"/>
  <c r="C73" i="1"/>
  <c r="D72" i="1"/>
  <c r="E72" i="1" s="1"/>
  <c r="J270" i="1" l="1"/>
  <c r="D145" i="1"/>
  <c r="C222" i="1"/>
  <c r="E222" i="1" s="1" a="1"/>
  <c r="E222" i="1" s="1"/>
  <c r="H221" i="1"/>
  <c r="E271" i="1"/>
  <c r="D271" i="1"/>
  <c r="F271" i="1" s="1"/>
  <c r="G271" i="1" a="1"/>
  <c r="G271" i="1" s="1"/>
  <c r="C272" i="1"/>
  <c r="C186" i="1"/>
  <c r="C146" i="1"/>
  <c r="E146" i="1" s="1"/>
  <c r="C74" i="1"/>
  <c r="D73" i="1"/>
  <c r="E73" i="1" s="1"/>
  <c r="J271" i="1" l="1"/>
  <c r="D146" i="1"/>
  <c r="C223" i="1"/>
  <c r="E223" i="1" s="1" a="1"/>
  <c r="E223" i="1" s="1"/>
  <c r="H222" i="1"/>
  <c r="E272" i="1"/>
  <c r="D272" i="1"/>
  <c r="G272" i="1" a="1"/>
  <c r="G272" i="1" s="1"/>
  <c r="C273" i="1"/>
  <c r="C187" i="1"/>
  <c r="C147" i="1"/>
  <c r="E147" i="1" s="1"/>
  <c r="C75" i="1"/>
  <c r="D74" i="1"/>
  <c r="E74" i="1" s="1"/>
  <c r="F272" i="1" l="1"/>
  <c r="J272" i="1" s="1"/>
  <c r="D147" i="1"/>
  <c r="C224" i="1"/>
  <c r="E224" i="1" s="1" a="1"/>
  <c r="E224" i="1" s="1"/>
  <c r="H223" i="1"/>
  <c r="G273" i="1" a="1"/>
  <c r="G273" i="1" s="1"/>
  <c r="E273" i="1"/>
  <c r="D273" i="1"/>
  <c r="C274" i="1"/>
  <c r="C188" i="1"/>
  <c r="C148" i="1"/>
  <c r="E148" i="1" s="1"/>
  <c r="C76" i="1"/>
  <c r="D75" i="1"/>
  <c r="E75" i="1" s="1"/>
  <c r="F273" i="1" l="1"/>
  <c r="J273" i="1" s="1"/>
  <c r="D148" i="1"/>
  <c r="C225" i="1"/>
  <c r="E225" i="1" s="1" a="1"/>
  <c r="E225" i="1" s="1"/>
  <c r="H224" i="1"/>
  <c r="E274" i="1"/>
  <c r="D274" i="1"/>
  <c r="F274" i="1" s="1"/>
  <c r="G274" i="1" a="1"/>
  <c r="G274" i="1" s="1"/>
  <c r="C275" i="1"/>
  <c r="C189" i="1"/>
  <c r="C149" i="1"/>
  <c r="E149" i="1" s="1"/>
  <c r="C77" i="1"/>
  <c r="D76" i="1"/>
  <c r="E76" i="1" s="1"/>
  <c r="J274" i="1" l="1"/>
  <c r="D149" i="1"/>
  <c r="C226" i="1"/>
  <c r="E226" i="1" s="1" a="1"/>
  <c r="E226" i="1" s="1"/>
  <c r="H225" i="1"/>
  <c r="E275" i="1"/>
  <c r="D275" i="1"/>
  <c r="G275" i="1" a="1"/>
  <c r="G275" i="1" s="1"/>
  <c r="C276" i="1"/>
  <c r="C190" i="1"/>
  <c r="C150" i="1"/>
  <c r="E150" i="1" s="1"/>
  <c r="C78" i="1"/>
  <c r="D77" i="1"/>
  <c r="E77" i="1" s="1"/>
  <c r="F275" i="1" l="1"/>
  <c r="J275" i="1"/>
  <c r="D150" i="1"/>
  <c r="C227" i="1"/>
  <c r="E227" i="1" s="1" a="1"/>
  <c r="E227" i="1" s="1"/>
  <c r="H226" i="1"/>
  <c r="E276" i="1"/>
  <c r="D276" i="1"/>
  <c r="G276" i="1" a="1"/>
  <c r="G276" i="1" s="1"/>
  <c r="C277" i="1"/>
  <c r="C191" i="1"/>
  <c r="C151" i="1"/>
  <c r="E151" i="1" s="1"/>
  <c r="C79" i="1"/>
  <c r="D78" i="1"/>
  <c r="E78" i="1" s="1"/>
  <c r="F276" i="1" l="1"/>
  <c r="J276" i="1" s="1"/>
  <c r="D151" i="1"/>
  <c r="C228" i="1"/>
  <c r="E228" i="1" s="1" a="1"/>
  <c r="E228" i="1" s="1"/>
  <c r="H227" i="1"/>
  <c r="D277" i="1"/>
  <c r="G277" i="1" a="1"/>
  <c r="G277" i="1" s="1"/>
  <c r="E277" i="1"/>
  <c r="C278" i="1"/>
  <c r="C192" i="1"/>
  <c r="C152" i="1"/>
  <c r="E152" i="1" s="1"/>
  <c r="C80" i="1"/>
  <c r="D79" i="1"/>
  <c r="E79" i="1" s="1"/>
  <c r="D152" i="1" l="1"/>
  <c r="C229" i="1"/>
  <c r="E229" i="1" s="1" a="1"/>
  <c r="E229" i="1" s="1"/>
  <c r="H228" i="1"/>
  <c r="G278" i="1" a="1"/>
  <c r="G278" i="1" s="1"/>
  <c r="E278" i="1"/>
  <c r="D278" i="1"/>
  <c r="F278" i="1" s="1"/>
  <c r="F277" i="1"/>
  <c r="J277" i="1" s="1"/>
  <c r="C279" i="1"/>
  <c r="C193" i="1"/>
  <c r="C153" i="1"/>
  <c r="E153" i="1" s="1"/>
  <c r="C81" i="1"/>
  <c r="D80" i="1"/>
  <c r="E80" i="1" s="1"/>
  <c r="J278" i="1" l="1"/>
  <c r="D153" i="1"/>
  <c r="C230" i="1"/>
  <c r="E230" i="1" s="1" a="1"/>
  <c r="E230" i="1" s="1"/>
  <c r="H229" i="1"/>
  <c r="G279" i="1" a="1"/>
  <c r="G279" i="1" s="1"/>
  <c r="E279" i="1"/>
  <c r="D279" i="1"/>
  <c r="C280" i="1"/>
  <c r="C154" i="1"/>
  <c r="E154" i="1" s="1"/>
  <c r="C82" i="1"/>
  <c r="D81" i="1"/>
  <c r="E81" i="1" s="1"/>
  <c r="F279" i="1" l="1"/>
  <c r="J279" i="1" s="1"/>
  <c r="D154" i="1"/>
  <c r="C231" i="1"/>
  <c r="E231" i="1" s="1" a="1"/>
  <c r="E231" i="1" s="1"/>
  <c r="H230" i="1"/>
  <c r="G280" i="1" a="1"/>
  <c r="G280" i="1" s="1"/>
  <c r="E280" i="1"/>
  <c r="D280" i="1"/>
  <c r="C155" i="1"/>
  <c r="E155" i="1" s="1"/>
  <c r="C83" i="1"/>
  <c r="D82" i="1"/>
  <c r="E82" i="1" s="1"/>
  <c r="F280" i="1" l="1"/>
  <c r="J280" i="1" s="1"/>
  <c r="D155" i="1"/>
  <c r="C232" i="1"/>
  <c r="H231" i="1"/>
  <c r="D83" i="1"/>
  <c r="E83" i="1" s="1"/>
  <c r="E232" i="1" l="1" a="1"/>
  <c r="E232" i="1" s="1"/>
  <c r="H2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<sst xmlns="http://schemas.openxmlformats.org/spreadsheetml/2006/main" count="1228" uniqueCount="149">
  <si>
    <t>TABLE OF CONSTANTS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</si>
  <si>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</si>
  <si>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</si>
  <si>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</si>
  <si>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</si>
  <si>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</si>
  <si>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</si>
  <si>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t>hartree</t>
  </si>
  <si>
    <t>eV</t>
  </si>
  <si>
    <t>kcal/mol</t>
  </si>
  <si>
    <t>kJ/mol</t>
  </si>
  <si>
    <t>J</t>
  </si>
  <si>
    <t>Hz</t>
  </si>
  <si>
    <t>TABLE OF CONVERSIONS (ENERGY)</t>
  </si>
  <si>
    <r>
      <t>cm</t>
    </r>
    <r>
      <rPr>
        <b/>
        <vertAlign val="superscript"/>
        <sz val="14"/>
        <color theme="1"/>
        <rFont val="Aptos Narrow"/>
        <scheme val="minor"/>
      </rPr>
      <t>-1</t>
    </r>
  </si>
  <si>
    <r>
      <t>o</t>
    </r>
    <r>
      <rPr>
        <b/>
        <sz val="14"/>
        <color theme="1"/>
        <rFont val="Aptos Narrow"/>
        <scheme val="minor"/>
      </rPr>
      <t>K</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</si>
  <si>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</si>
  <si>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t>TABLE OF CONVERSIONS (DISTANCE)</t>
  </si>
  <si>
    <t>a0</t>
  </si>
  <si>
    <t>angstrom</t>
  </si>
  <si>
    <t>m</t>
  </si>
  <si>
    <t xml:space="preserve">                      out
in</t>
  </si>
  <si>
    <t>Rotational Symmetry Number</t>
  </si>
  <si>
    <t>Temperature [ K ]</t>
  </si>
  <si>
    <t>Pressure [Atm]</t>
  </si>
  <si>
    <t>Molecular Mass [ amu ]</t>
  </si>
  <si>
    <t xml:space="preserve">Principal Moments of Inertia </t>
  </si>
  <si>
    <t>Rotational Temperatures [ K ]</t>
  </si>
  <si>
    <t>Rotational Constants [ GHZ ]</t>
  </si>
  <si>
    <r>
      <t>[ kg Å</t>
    </r>
    <r>
      <rPr>
        <b/>
        <vertAlign val="superscript"/>
        <sz val="14"/>
        <color theme="1"/>
        <rFont val="Aptos Narrow (Body)"/>
      </rPr>
      <t>2</t>
    </r>
    <r>
      <rPr>
        <b/>
        <sz val="14"/>
        <color theme="1"/>
        <rFont val="Aptos Narrow"/>
        <family val="2"/>
        <scheme val="minor"/>
      </rPr>
      <t xml:space="preserve"> ]</t>
    </r>
  </si>
  <si>
    <r>
      <t>[ kg m</t>
    </r>
    <r>
      <rPr>
        <b/>
        <vertAlign val="superscript"/>
        <sz val="14"/>
        <color theme="1"/>
        <rFont val="Aptos Narrow (Body)"/>
      </rPr>
      <t>2</t>
    </r>
    <r>
      <rPr>
        <b/>
        <sz val="14"/>
        <color theme="1"/>
        <rFont val="Aptos Narrow"/>
        <family val="2"/>
        <scheme val="minor"/>
      </rPr>
      <t xml:space="preserve"> ]</t>
    </r>
  </si>
  <si>
    <r>
      <t>[ amu Å</t>
    </r>
    <r>
      <rPr>
        <b/>
        <vertAlign val="superscript"/>
        <sz val="14"/>
        <color theme="1"/>
        <rFont val="Aptos Narrow (Body)"/>
      </rPr>
      <t xml:space="preserve">2 </t>
    </r>
    <r>
      <rPr>
        <b/>
        <sz val="14"/>
        <color theme="1"/>
        <rFont val="Aptos Narrow"/>
        <family val="2"/>
        <scheme val="minor"/>
      </rPr>
      <t>]</t>
    </r>
  </si>
  <si>
    <t xml:space="preserve">                   out
in</t>
  </si>
  <si>
    <r>
      <t>m</t>
    </r>
    <r>
      <rPr>
        <b/>
        <vertAlign val="subscript"/>
        <sz val="14"/>
        <color theme="1"/>
        <rFont val="Aptos Narrow (Body)"/>
      </rPr>
      <t>e</t>
    </r>
  </si>
  <si>
    <t>TABLE OF CONVERSIONS (MASS)</t>
  </si>
  <si>
    <t>kg</t>
  </si>
  <si>
    <t>x</t>
  </si>
  <si>
    <t>y</t>
  </si>
  <si>
    <t>z</t>
  </si>
  <si>
    <t>Zero-point Correction [ Hartree/Particle ]</t>
  </si>
  <si>
    <t>Thermal Correction to Energy [ Hartree/Particle ]</t>
  </si>
  <si>
    <t>Thermal Correction to Enthalpy [ Hartree/Particle ]</t>
  </si>
  <si>
    <t>Thermal Correction to Gibbs Free Energy [ Hartree/Particle ]</t>
  </si>
  <si>
    <t>E (Thermal) [KCal/Mol]</t>
  </si>
  <si>
    <t>S [Cal/Mol-Kelvin]</t>
  </si>
  <si>
    <t>Total</t>
  </si>
  <si>
    <t>Electronic</t>
  </si>
  <si>
    <t>Translational</t>
  </si>
  <si>
    <t>Rotational</t>
  </si>
  <si>
    <t>Vibrational</t>
  </si>
  <si>
    <t>Q</t>
  </si>
  <si>
    <t>Log10(Q)</t>
  </si>
  <si>
    <t>Ln(Q)</t>
  </si>
  <si>
    <t>Total Bot</t>
  </si>
  <si>
    <t>Total V=0</t>
  </si>
  <si>
    <t>Vib (Bot)</t>
  </si>
  <si>
    <t>Vib (V=0)</t>
  </si>
  <si>
    <t>INTERNAL ENERGY, HEAT CAPACITY,ENTROPY</t>
  </si>
  <si>
    <r>
      <t>C</t>
    </r>
    <r>
      <rPr>
        <b/>
        <vertAlign val="subscript"/>
        <sz val="14"/>
        <rFont val="Calibri"/>
        <family val="2"/>
      </rPr>
      <t>V</t>
    </r>
    <r>
      <rPr>
        <b/>
        <sz val="14"/>
        <rFont val="Calibri"/>
        <family val="2"/>
      </rPr>
      <t xml:space="preserve"> [Cal/Mol-Kelvin]</t>
    </r>
  </si>
  <si>
    <t>MOLECULAR PARTITION FUNCTION</t>
  </si>
  <si>
    <t>Vibrational Temperatures
 [ K ]</t>
  </si>
  <si>
    <t>Harmonic 
Frequencies 
[ cm^-1 ]</t>
  </si>
  <si>
    <t>Zero-point Vibrational Energy</t>
  </si>
  <si>
    <t xml:space="preserve"> [ J/mol ]</t>
  </si>
  <si>
    <t xml:space="preserve"> [ Kcal/mol ]</t>
  </si>
  <si>
    <t>Hartree</t>
  </si>
  <si>
    <t xml:space="preserve"> from theory...</t>
  </si>
  <si>
    <r>
      <t>Volume [ m</t>
    </r>
    <r>
      <rPr>
        <b/>
        <vertAlign val="superscript"/>
        <sz val="14"/>
        <color rgb="FFFF0000"/>
        <rFont val="Aptos Narrow (Body)"/>
      </rPr>
      <t>3</t>
    </r>
    <r>
      <rPr>
        <b/>
        <sz val="14"/>
        <color rgb="FFFF0000"/>
        <rFont val="Aptos Narrow (Body)"/>
      </rPr>
      <t xml:space="preserve"> ]</t>
    </r>
  </si>
  <si>
    <t>Temperatures[K]</t>
  </si>
  <si>
    <t>Harmonic 
Frequencies 
[ Hz ]</t>
  </si>
  <si>
    <t>Reduced Masses [ amu ]</t>
  </si>
  <si>
    <r>
      <rPr>
        <b/>
        <sz val="14"/>
        <color theme="1"/>
        <rFont val="Aptos Narrow"/>
        <scheme val="minor"/>
      </rPr>
      <t>Tamb</t>
    </r>
    <r>
      <rPr>
        <sz val="14"/>
        <color theme="1"/>
        <rFont val="Aptos Narrow"/>
        <scheme val="minor"/>
      </rPr>
      <t xml:space="preserve"> [ K ]</t>
    </r>
  </si>
  <si>
    <r>
      <rPr>
        <b/>
        <sz val="14"/>
        <color theme="1"/>
        <rFont val="Aptos Narrow"/>
        <scheme val="minor"/>
      </rPr>
      <t xml:space="preserve">P </t>
    </r>
    <r>
      <rPr>
        <sz val="14"/>
        <color theme="1"/>
        <rFont val="Aptos Narrow"/>
        <scheme val="minor"/>
      </rPr>
      <t>[ atm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</si>
  <si>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</si>
  <si>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rPr>
        <b/>
        <sz val="14"/>
        <color theme="1"/>
        <rFont val="Aptos Narrow"/>
        <scheme val="minor"/>
      </rPr>
      <t xml:space="preserve">P </t>
    </r>
    <r>
      <rPr>
        <sz val="14"/>
        <color theme="1"/>
        <rFont val="Aptos Narrow"/>
        <scheme val="minor"/>
      </rPr>
      <t>[ Pa ]</t>
    </r>
  </si>
  <si>
    <t>1. TRANSLATIONAL P.F.</t>
  </si>
  <si>
    <r>
      <rPr>
        <b/>
        <sz val="14"/>
        <color theme="1"/>
        <rFont val="Aptos Narrow"/>
        <scheme val="minor"/>
      </rPr>
      <t>h</t>
    </r>
    <r>
      <rPr>
        <sz val="14"/>
        <color theme="1"/>
        <rFont val="Aptos Narrow"/>
        <scheme val="minor"/>
      </rPr>
      <t xml:space="preserve"> [ J s ]</t>
    </r>
  </si>
  <si>
    <r>
      <t>Q</t>
    </r>
    <r>
      <rPr>
        <b/>
        <vertAlign val="subscript"/>
        <sz val="14"/>
        <color rgb="FFFF0000"/>
        <rFont val="Aptos Narrow (Body)"/>
      </rPr>
      <t>transl</t>
    </r>
  </si>
  <si>
    <t>u</t>
  </si>
  <si>
    <t>Theoretical</t>
  </si>
  <si>
    <t>Gaussian</t>
  </si>
  <si>
    <t>P. Error</t>
  </si>
  <si>
    <t>298.15 K</t>
  </si>
  <si>
    <t>COMPARISON AT 298.15 K (Gaussian output is actually set at 298.15 K)</t>
  </si>
  <si>
    <t>2. VIBRATIONAL  P.F.</t>
  </si>
  <si>
    <t xml:space="preserve">                               i
T[K]</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</si>
  <si>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</si>
  <si>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</si>
  <si>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</si>
  <si>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</si>
  <si>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</si>
  <si>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3. ROTATIONAL P.F.</t>
  </si>
  <si>
    <r>
      <t>[ kg m</t>
    </r>
    <r>
      <rPr>
        <b/>
        <vertAlign val="superscript"/>
        <sz val="14"/>
        <color rgb="FFFF0000"/>
        <rFont val="Aptos Narrow (Body)"/>
      </rPr>
      <t>2</t>
    </r>
    <r>
      <rPr>
        <b/>
        <sz val="14"/>
        <color rgb="FFFF0000"/>
        <rFont val="Aptos Narrow"/>
        <family val="2"/>
        <scheme val="minor"/>
      </rPr>
      <t xml:space="preserve"> ]</t>
    </r>
  </si>
  <si>
    <t>𝜎=12 and (1)</t>
  </si>
  <si>
    <t>𝜎=3 and (2)</t>
  </si>
  <si>
    <r>
      <t>Q</t>
    </r>
    <r>
      <rPr>
        <b/>
        <vertAlign val="subscript"/>
        <sz val="14"/>
        <color rgb="FFFF0000"/>
        <rFont val="Aptos Narrow (Body)"/>
      </rPr>
      <t>rot</t>
    </r>
    <r>
      <rPr>
        <b/>
        <sz val="14"/>
        <color rgb="FFFF0000"/>
        <rFont val="Aptos Narrow"/>
        <scheme val="minor"/>
      </rPr>
      <t>(1) and 𝜎=12</t>
    </r>
  </si>
  <si>
    <r>
      <t>Q</t>
    </r>
    <r>
      <rPr>
        <b/>
        <vertAlign val="subscript"/>
        <sz val="14"/>
        <color rgb="FFFF0000"/>
        <rFont val="Aptos Narrow (Body)"/>
      </rPr>
      <t>rot</t>
    </r>
    <r>
      <rPr>
        <b/>
        <sz val="14"/>
        <color rgb="FFFF0000"/>
        <rFont val="Aptos Narrow"/>
        <scheme val="minor"/>
      </rPr>
      <t>(2) and 𝜎=3</t>
    </r>
  </si>
  <si>
    <t>4. ELECTRONIC P.F.</t>
  </si>
  <si>
    <t>Energies SCF [ Hartree ]</t>
  </si>
  <si>
    <r>
      <t>Q</t>
    </r>
    <r>
      <rPr>
        <b/>
        <vertAlign val="subscript"/>
        <sz val="14"/>
        <color rgb="FFFF0000"/>
        <rFont val="Aptos Narrow (Body)"/>
      </rPr>
      <t>el</t>
    </r>
  </si>
  <si>
    <t xml:space="preserve">Energies SCF </t>
  </si>
  <si>
    <t>[ Hartree ]</t>
  </si>
  <si>
    <t>final</t>
  </si>
  <si>
    <t>[ J ]</t>
  </si>
  <si>
    <r>
      <t>E</t>
    </r>
    <r>
      <rPr>
        <b/>
        <vertAlign val="subscript"/>
        <sz val="14"/>
        <color rgb="FFFF0000"/>
        <rFont val="Aptos Narrow (Body)"/>
      </rPr>
      <t>el</t>
    </r>
    <r>
      <rPr>
        <b/>
        <sz val="14"/>
        <color rgb="FFFF0000"/>
        <rFont val="Aptos Narrow"/>
        <scheme val="minor"/>
      </rPr>
      <t xml:space="preserve"> [ J ]</t>
    </r>
  </si>
  <si>
    <t>5. HEAT CAPACITY</t>
  </si>
  <si>
    <t>TRANS.</t>
  </si>
  <si>
    <t>VIBR.</t>
  </si>
  <si>
    <t>ROT.</t>
  </si>
  <si>
    <t>ELECT.</t>
  </si>
  <si>
    <t>CONTRIBUTES</t>
  </si>
  <si>
    <t>Vibration</t>
  </si>
  <si>
    <t>Rotation</t>
  </si>
  <si>
    <t>Electron</t>
  </si>
  <si>
    <t xml:space="preserve">Translation </t>
  </si>
  <si>
    <t>[ J mol-1 K -1 ]</t>
  </si>
  <si>
    <t>TOT</t>
  </si>
  <si>
    <t>[Cal/Mol-Kelvin]</t>
  </si>
  <si>
    <t>Entropy</t>
  </si>
  <si>
    <t>Heat Capacity (V=const)</t>
  </si>
  <si>
    <t>Transl. Factor (A)</t>
  </si>
  <si>
    <t>ϑrot</t>
  </si>
  <si>
    <t>Vtilde</t>
  </si>
  <si>
    <t>6. ENTROPY</t>
  </si>
  <si>
    <t>Theoretical 𝜎</t>
  </si>
  <si>
    <r>
      <t>THEORETICAL DATA - CH</t>
    </r>
    <r>
      <rPr>
        <b/>
        <vertAlign val="subscript"/>
        <sz val="22"/>
        <color theme="1"/>
        <rFont val="Aptos Narrow (Body)"/>
      </rPr>
      <t>4</t>
    </r>
  </si>
  <si>
    <r>
      <t>EXPERIMENTAL DATA - CH</t>
    </r>
    <r>
      <rPr>
        <b/>
        <vertAlign val="subscript"/>
        <sz val="22"/>
        <color theme="1"/>
        <rFont val="Aptos Narrow (Body)"/>
      </rPr>
      <t>4</t>
    </r>
  </si>
  <si>
    <r>
      <t>EXPERIMENTAL DATA - C</t>
    </r>
    <r>
      <rPr>
        <b/>
        <vertAlign val="subscript"/>
        <sz val="22"/>
        <color theme="1"/>
        <rFont val="Aptos Narrow (Body)"/>
      </rPr>
      <t>2</t>
    </r>
    <r>
      <rPr>
        <b/>
        <sz val="22"/>
        <color theme="1"/>
        <rFont val="Aptos Narrow"/>
        <scheme val="minor"/>
      </rPr>
      <t>H</t>
    </r>
    <r>
      <rPr>
        <b/>
        <vertAlign val="subscript"/>
        <sz val="22"/>
        <color theme="1"/>
        <rFont val="Aptos Narrow (Body)"/>
      </rPr>
      <t>6</t>
    </r>
  </si>
  <si>
    <r>
      <t>THEORETICAL DATA - C</t>
    </r>
    <r>
      <rPr>
        <b/>
        <vertAlign val="subscript"/>
        <sz val="22"/>
        <color theme="1"/>
        <rFont val="Aptos Narrow (Body)"/>
      </rPr>
      <t>2</t>
    </r>
    <r>
      <rPr>
        <b/>
        <sz val="22"/>
        <color theme="1"/>
        <rFont val="Aptos Narrow"/>
        <scheme val="minor"/>
      </rPr>
      <t>H</t>
    </r>
    <r>
      <rPr>
        <b/>
        <vertAlign val="subscript"/>
        <sz val="22"/>
        <color theme="1"/>
        <rFont val="Aptos Narrow (Body)"/>
      </rPr>
      <t>6</t>
    </r>
  </si>
  <si>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</si>
  <si>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𝜎=2</t>
    </r>
  </si>
  <si>
    <t>𝜎=6 and (1)</t>
  </si>
  <si>
    <t>𝜎=2and (2)</t>
  </si>
  <si>
    <r>
      <t>EXPERIMENTAL DATA - NO</t>
    </r>
    <r>
      <rPr>
        <b/>
        <vertAlign val="subscript"/>
        <sz val="22"/>
        <color theme="1"/>
        <rFont val="Aptos Narrow (Body)"/>
      </rPr>
      <t>2</t>
    </r>
  </si>
  <si>
    <t>THEORETICAL DATA - NO2</t>
  </si>
  <si>
    <r>
      <t>Q</t>
    </r>
    <r>
      <rPr>
        <b/>
        <vertAlign val="subscript"/>
        <sz val="14"/>
        <color rgb="FFFF0000"/>
        <rFont val="Aptos Narrow (Body)"/>
      </rPr>
      <t>rot</t>
    </r>
    <r>
      <rPr>
        <b/>
        <sz val="14"/>
        <color rgb="FFFF0000"/>
        <rFont val="Aptos Narrow"/>
        <scheme val="minor"/>
      </rPr>
      <t>(1) and 𝜎=2</t>
    </r>
  </si>
  <si>
    <t>𝜎=2 and (1)</t>
  </si>
  <si>
    <t>𝜎=2 and (2)</t>
  </si>
  <si>
    <r>
      <t>EXPERIMENTAL DATA - H</t>
    </r>
    <r>
      <rPr>
        <b/>
        <vertAlign val="subscript"/>
        <sz val="22"/>
        <color theme="1"/>
        <rFont val="Aptos Narrow (Body)"/>
      </rPr>
      <t>2</t>
    </r>
    <r>
      <rPr>
        <b/>
        <sz val="22"/>
        <color theme="1"/>
        <rFont val="Aptos Narrow"/>
        <scheme val="minor"/>
      </rPr>
      <t>O</t>
    </r>
  </si>
  <si>
    <r>
      <t>THEORETICAL DATA - H</t>
    </r>
    <r>
      <rPr>
        <b/>
        <vertAlign val="subscript"/>
        <sz val="22"/>
        <color theme="1"/>
        <rFont val="Aptos Narrow (Body)"/>
      </rPr>
      <t>2</t>
    </r>
    <r>
      <rPr>
        <b/>
        <sz val="22"/>
        <color theme="1"/>
        <rFont val="Aptos Narrow"/>
        <scheme val="minor"/>
      </rPr>
      <t>O</t>
    </r>
  </si>
  <si>
    <t>EXPERIMENTAL DATA - CO</t>
  </si>
  <si>
    <t>Rotational Temperature [ K ]</t>
  </si>
  <si>
    <t>THEORETICAL DATA - CO</t>
  </si>
  <si>
    <r>
      <t>Moment of Inertia [kg m</t>
    </r>
    <r>
      <rPr>
        <b/>
        <vertAlign val="superscript"/>
        <sz val="14"/>
        <color rgb="FFFF0000"/>
        <rFont val="Aptos Narrow (Body)"/>
      </rPr>
      <t>2</t>
    </r>
    <r>
      <rPr>
        <b/>
        <sz val="14"/>
        <color rgb="FFFF0000"/>
        <rFont val="Aptos Narrow"/>
        <scheme val="minor"/>
      </rPr>
      <t>]</t>
    </r>
  </si>
  <si>
    <r>
      <t>m</t>
    </r>
    <r>
      <rPr>
        <b/>
        <vertAlign val="subscript"/>
        <sz val="14"/>
        <color rgb="FFFF0000"/>
        <rFont val="Aptos Narrow (Body)"/>
      </rPr>
      <t>a</t>
    </r>
    <r>
      <rPr>
        <b/>
        <sz val="14"/>
        <color rgb="FFFF0000"/>
        <rFont val="Aptos Narrow"/>
        <family val="2"/>
        <scheme val="minor"/>
      </rPr>
      <t xml:space="preserve"> [kg]</t>
    </r>
  </si>
  <si>
    <r>
      <t>m</t>
    </r>
    <r>
      <rPr>
        <b/>
        <vertAlign val="subscript"/>
        <sz val="14"/>
        <color rgb="FFFF0000"/>
        <rFont val="Aptos Narrow (Body)"/>
      </rPr>
      <t>b</t>
    </r>
    <r>
      <rPr>
        <b/>
        <sz val="14"/>
        <color rgb="FFFF0000"/>
        <rFont val="Aptos Narrow"/>
        <scheme val="minor"/>
      </rPr>
      <t xml:space="preserve"> [kg]</t>
    </r>
  </si>
  <si>
    <r>
      <t>r</t>
    </r>
    <r>
      <rPr>
        <b/>
        <vertAlign val="subscript"/>
        <sz val="14"/>
        <color rgb="FFFF0000"/>
        <rFont val="Aptos Narrow (Body)"/>
      </rPr>
      <t>e</t>
    </r>
    <r>
      <rPr>
        <b/>
        <sz val="14"/>
        <color rgb="FFFF0000"/>
        <rFont val="Aptos Narrow"/>
        <scheme val="minor"/>
      </rPr>
      <t xml:space="preserve"> [m]</t>
    </r>
  </si>
  <si>
    <r>
      <t>Q</t>
    </r>
    <r>
      <rPr>
        <b/>
        <vertAlign val="subscript"/>
        <sz val="14"/>
        <color rgb="FFFF0000"/>
        <rFont val="Aptos Narrow (Body)"/>
      </rPr>
      <t>rot</t>
    </r>
    <r>
      <rPr>
        <b/>
        <sz val="14"/>
        <color rgb="FFFF0000"/>
        <rFont val="Aptos Narrow"/>
        <scheme val="minor"/>
      </rPr>
      <t>(1) and 𝜎=1</t>
    </r>
  </si>
  <si>
    <t>𝜎=1 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</si>
</sst>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44" x14ac:knownFonts="1">
    <font>
      <sz val="12"/>
      <color theme="1"/>
      <name val="Aptos Narrow"/>
      <family val="2"/>
      <scheme val="minor"/>
    </font>
    <font>
      <sz val="14"/>
      <color rgb="FF202122"/>
      <name val="Arial"/>
      <family val="2"/>
    </font>
    <font>
      <sz val="14"/>
      <color theme="1"/>
      <name val="Aptos Narrow"/>
      <family val="2"/>
      <scheme val="minor"/>
    </font>
    <font>
      <sz val="14"/>
      <color theme="1"/>
      <name val="Aptos Narrow (Corpo)"/>
    </font>
    <font>
      <sz val="12"/>
      <color theme="1"/>
      <name val="Aptos Narrow"/>
      <scheme val="minor"/>
    </font>
    <font>
      <sz val="14"/>
      <color theme="1"/>
      <name val="Aptos Narrow"/>
      <scheme val="minor"/>
    </font>
    <font>
      <vertAlign val="superscript"/>
      <sz val="14"/>
      <color theme="1"/>
      <name val="Aptos Narrow"/>
      <scheme val="minor"/>
    </font>
    <fon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b/>
      <sz val="14"/>
      <color theme="1"/>
      <name val="Aptos Narrow"/>
      <scheme val="minor"/>
    </font>
    <font>
      <b/>
      <vertAlign val="subscript"/>
      <sz val="14"/>
      <color theme="1"/>
      <name val="Aptos Narrow"/>
      <scheme val="minor"/>
    </font>
    <font>
      <b/>
      <sz val="14"/>
      <color rgb="FF202122"/>
      <name val="Aptos Narrow"/>
      <scheme val="minor"/>
    </font>
    <font>
      <b/>
      <vertAlign val="subscript"/>
      <sz val="14"/>
      <color rgb="FF202122"/>
      <name val="Aptos Narrow"/>
      <scheme val="minor"/>
    </font>
    <font>
      <b/>
      <vertAlign val="subscript"/>
      <sz val="14"/>
      <color theme="1"/>
      <name val="Aptos Narrow (Corpo)"/>
    </font>
    <font>
      <b/>
      <sz val="12"/>
      <color theme="1"/>
      <name val="Aptos Narrow"/>
      <scheme val="minor"/>
    </font>
    <font>
      <b/>
      <vertAlign val="superscript"/>
      <sz val="14"/>
      <color theme="1"/>
      <name val="Aptos Narrow"/>
      <scheme val="minor"/>
    </font>
    <font>
      <sz val="14"/>
      <color rgb="FF000000"/>
      <name val="Aptos Narrow"/>
      <scheme val="minor"/>
    </font>
    <font>
      <b/>
      <sz val="16"/>
      <color theme="1"/>
      <name val="Aptos Narrow"/>
      <scheme val="minor"/>
    </font>
    <font>
      <vertAlign val="superscript"/>
      <sz val="14"/>
      <color theme="1"/>
      <name val="Aptos Narrow (Body)"/>
    </font>
    <font>
      <b/>
      <sz val="10"/>
      <color theme="1"/>
      <name val="Aptos Narrow (Body)"/>
    </font>
    <font>
      <b/>
      <sz val="14"/>
      <color theme="1"/>
      <name val="Aptos Narrow (Body)"/>
    </font>
    <font>
      <b/>
      <sz val="16"/>
      <color theme="1"/>
      <name val="Aptos Narrow (Body)"/>
    </font>
    <font>
      <b/>
      <sz val="14"/>
      <color rgb="FFFF0000"/>
      <name val="Aptos Narrow"/>
      <scheme val="minor"/>
    </font>
    <font>
      <b/>
      <sz val="14"/>
      <color theme="1"/>
      <name val="Aptos Narrow"/>
      <family val="2"/>
      <scheme val="minor"/>
    </font>
    <font>
      <b/>
      <vertAlign val="superscript"/>
      <sz val="14"/>
      <color theme="1"/>
      <name val="Aptos Narrow (Body)"/>
    </font>
    <font>
      <b/>
      <vertAlign val="subscript"/>
      <sz val="14"/>
      <color theme="1"/>
      <name val="Aptos Narrow (Body)"/>
    </font>
    <font>
      <b/>
      <sz val="14"/>
      <color rgb="FFFF0000"/>
      <name val="Aptos Narrow (Body)"/>
    </font>
    <font>
      <b/>
      <sz val="14"/>
      <name val="Calibri"/>
      <family val="2"/>
    </font>
    <font>
      <b/>
      <vertAlign val="subscript"/>
      <sz val="14"/>
      <name val="Calibri"/>
      <family val="2"/>
    </font>
    <font>
      <b/>
      <sz val="14"/>
      <color rgb="FFFF0000"/>
      <name val="Calibri"/>
      <family val="2"/>
    </font>
    <font>
      <b/>
      <sz val="20"/>
      <color theme="1"/>
      <name val="Aptos Narrow (Body)"/>
    </font>
    <font>
      <sz val="20"/>
      <color theme="1"/>
      <name val="Aptos Narrow"/>
      <family val="2"/>
      <scheme val="minor"/>
    </font>
    <font>
      <b/>
      <sz val="14"/>
      <color rgb="FFFF0000"/>
      <name val="Aptos Narrow"/>
      <family val="2"/>
      <scheme val="minor"/>
    </font>
    <font>
      <b/>
      <vertAlign val="superscript"/>
      <sz val="14"/>
      <color rgb="FFFF0000"/>
      <name val="Aptos Narrow (Body)"/>
    </font>
    <font>
      <b/>
      <vertAlign val="subscript"/>
      <sz val="14"/>
      <color rgb="FFFF0000"/>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sz val="14"/>
      <color theme="1"/>
      <name val="Calibri"/>
      <family val="2"/>
    </font>
    <font>
      <b/>
      <sz val="22"/>
      <color theme="1"/>
      <name val="Aptos Narrow"/>
      <scheme val="minor"/>
    </font>
    <font>
      <b/>
      <vertAlign val="subscript"/>
      <sz val="22"/>
      <color theme="1"/>
      <name val="Aptos Narrow (Body)"/>
    </font>
  </fonts>
  <fills count="10">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1"/>
        <bgColor indexed="64"/>
      </patternFill>
    </fill>
    <fill>
      <patternFill patternType="solid">
        <fgColor rgb="FFE97674"/>
        <bgColor indexed="64"/>
      </patternFill>
    </fill>
    <fill>
      <patternFill patternType="solid">
        <fgColor rgb="FF4D93D9"/>
        <bgColor rgb="FF000000"/>
      </patternFill>
    </fill>
  </fills>
  <borders count="67">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diagonalDown="1">
      <left style="medium">
        <color indexed="64"/>
      </left>
      <right style="thin">
        <color indexed="64"/>
      </right>
      <top style="thin">
        <color indexed="64"/>
      </top>
      <bottom style="thin">
        <color indexed="64"/>
      </bottom>
      <diagonal style="medium">
        <color indexed="64"/>
      </diagonal>
    </border>
    <border>
      <left/>
      <right/>
      <top/>
      <bottom style="double">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364">
    <xf numFmtId="0" fontId="0" fillId="0" borderId="0" xfId="0"/>
    <xf numFmtId="0" fontId="2" fillId="0" borderId="0" xfId="0" applyFont="1"/>
    <xf numFmtId="0" fontId="4" fillId="0" borderId="0" xfId="0" applyFont="1"/>
    <xf numFmtId="0" fontId="5" fillId="0" borderId="0" xfId="0" applyFont="1"/>
    <xf numFmtId="11" fontId="2" fillId="0" borderId="0" xfId="0" applyNumberFormat="1" applyFont="1"/>
    <xf numFmtId="0" fontId="11" fillId="3" borderId="7" xfId="0" applyFont="1" applyFill="1" applyBorder="1"/>
    <xf numFmtId="0" fontId="17" fillId="3" borderId="7" xfId="0" applyFont="1" applyFill="1" applyBorder="1"/>
    <xf numFmtId="11" fontId="5" fillId="3" borderId="7" xfId="0" applyNumberFormat="1" applyFont="1" applyFill="1" applyBorder="1"/>
    <xf numFmtId="0" fontId="19" fillId="3" borderId="1" xfId="0" applyFont="1" applyFill="1" applyBorder="1"/>
    <xf numFmtId="0" fontId="11" fillId="3" borderId="12" xfId="0" applyFont="1" applyFill="1" applyBorder="1"/>
    <xf numFmtId="0" fontId="4" fillId="3" borderId="2" xfId="0" applyFont="1" applyFill="1" applyBorder="1"/>
    <xf numFmtId="0" fontId="11" fillId="3" borderId="3" xfId="0" applyFont="1" applyFill="1" applyBorder="1"/>
    <xf numFmtId="0" fontId="11" fillId="3" borderId="4" xfId="0" applyFont="1" applyFill="1" applyBorder="1"/>
    <xf numFmtId="0" fontId="17" fillId="3" borderId="3" xfId="0" applyFont="1" applyFill="1" applyBorder="1"/>
    <xf numFmtId="0" fontId="11" fillId="3" borderId="5" xfId="0" applyFont="1" applyFill="1" applyBorder="1"/>
    <xf numFmtId="0" fontId="21" fillId="3" borderId="16" xfId="0" applyFont="1" applyFill="1" applyBorder="1" applyAlignment="1">
      <alignment wrapText="1"/>
    </xf>
    <xf numFmtId="11" fontId="0" fillId="0" borderId="0" xfId="0" applyNumberFormat="1"/>
    <xf numFmtId="0" fontId="19" fillId="4" borderId="0" xfId="0" applyFont="1" applyFill="1"/>
    <xf numFmtId="0" fontId="11" fillId="4" borderId="7" xfId="0" applyFont="1" applyFill="1" applyBorder="1"/>
    <xf numFmtId="0" fontId="2" fillId="4" borderId="7" xfId="0" applyFont="1" applyFill="1" applyBorder="1"/>
    <xf numFmtId="165" fontId="2" fillId="4" borderId="7" xfId="0" applyNumberFormat="1" applyFont="1" applyFill="1" applyBorder="1"/>
    <xf numFmtId="0" fontId="19" fillId="4" borderId="1" xfId="0" applyFont="1" applyFill="1" applyBorder="1"/>
    <xf numFmtId="0" fontId="2" fillId="4" borderId="12" xfId="0" applyFont="1" applyFill="1" applyBorder="1"/>
    <xf numFmtId="0" fontId="2" fillId="4" borderId="2" xfId="0" applyFont="1" applyFill="1" applyBorder="1"/>
    <xf numFmtId="0" fontId="11" fillId="4" borderId="4" xfId="0" applyFont="1" applyFill="1" applyBorder="1"/>
    <xf numFmtId="0" fontId="11" fillId="4" borderId="3" xfId="0" applyFont="1" applyFill="1" applyBorder="1"/>
    <xf numFmtId="11" fontId="2" fillId="4" borderId="4" xfId="0" applyNumberFormat="1" applyFont="1" applyFill="1" applyBorder="1"/>
    <xf numFmtId="0" fontId="11" fillId="4" borderId="5" xfId="0" applyFont="1" applyFill="1" applyBorder="1"/>
    <xf numFmtId="11" fontId="2" fillId="4" borderId="13" xfId="0" applyNumberFormat="1" applyFont="1" applyFill="1" applyBorder="1"/>
    <xf numFmtId="0" fontId="2" fillId="4" borderId="6" xfId="0" applyFont="1" applyFill="1" applyBorder="1"/>
    <xf numFmtId="0" fontId="2" fillId="0" borderId="11" xfId="0" applyFont="1" applyBorder="1" applyAlignment="1">
      <alignment horizontal="center"/>
    </xf>
    <xf numFmtId="0" fontId="24" fillId="0" borderId="0" xfId="0" applyFont="1"/>
    <xf numFmtId="0" fontId="21" fillId="4" borderId="16" xfId="0" applyFont="1" applyFill="1" applyBorder="1" applyAlignment="1">
      <alignment wrapText="1"/>
    </xf>
    <xf numFmtId="0" fontId="19" fillId="5" borderId="1" xfId="0" applyFont="1" applyFill="1" applyBorder="1"/>
    <xf numFmtId="0" fontId="2" fillId="5" borderId="12" xfId="0" applyFont="1" applyFill="1" applyBorder="1"/>
    <xf numFmtId="0" fontId="2" fillId="5" borderId="2" xfId="0" applyFont="1" applyFill="1" applyBorder="1"/>
    <xf numFmtId="0" fontId="21" fillId="5" borderId="16" xfId="0" applyFont="1" applyFill="1" applyBorder="1" applyAlignment="1">
      <alignment wrapText="1"/>
    </xf>
    <xf numFmtId="0" fontId="11" fillId="5" borderId="7" xfId="0" applyFont="1" applyFill="1" applyBorder="1"/>
    <xf numFmtId="0" fontId="11" fillId="5" borderId="4" xfId="0" applyFont="1" applyFill="1" applyBorder="1"/>
    <xf numFmtId="0" fontId="11" fillId="5" borderId="3" xfId="0" applyFont="1" applyFill="1" applyBorder="1"/>
    <xf numFmtId="0" fontId="2" fillId="5" borderId="7" xfId="0" applyFont="1" applyFill="1" applyBorder="1"/>
    <xf numFmtId="11" fontId="2" fillId="5" borderId="7" xfId="0" applyNumberFormat="1" applyFont="1" applyFill="1" applyBorder="1"/>
    <xf numFmtId="11" fontId="2" fillId="5" borderId="4" xfId="0" applyNumberFormat="1" applyFont="1" applyFill="1" applyBorder="1"/>
    <xf numFmtId="0" fontId="11" fillId="5" borderId="5" xfId="0" applyFont="1" applyFill="1" applyBorder="1"/>
    <xf numFmtId="11" fontId="2" fillId="5" borderId="13" xfId="0" applyNumberFormat="1" applyFont="1" applyFill="1" applyBorder="1"/>
    <xf numFmtId="0" fontId="2" fillId="5" borderId="6" xfId="0" applyFont="1" applyFill="1" applyBorder="1"/>
    <xf numFmtId="0" fontId="25" fillId="0" borderId="18" xfId="0" applyFont="1" applyBorder="1"/>
    <xf numFmtId="0" fontId="25" fillId="0" borderId="21" xfId="0" applyFont="1" applyBorder="1"/>
    <xf numFmtId="0" fontId="25" fillId="0" borderId="23" xfId="0" applyFont="1" applyBorder="1"/>
    <xf numFmtId="0" fontId="2" fillId="0" borderId="31" xfId="0" applyFont="1" applyBorder="1"/>
    <xf numFmtId="0" fontId="2" fillId="0" borderId="32" xfId="0" applyFont="1" applyBorder="1"/>
    <xf numFmtId="0" fontId="2" fillId="0" borderId="33" xfId="0" applyFont="1" applyBorder="1"/>
    <xf numFmtId="0" fontId="2" fillId="0" borderId="35" xfId="0" applyFont="1" applyBorder="1"/>
    <xf numFmtId="0" fontId="2" fillId="0" borderId="11" xfId="0" applyFont="1" applyBorder="1"/>
    <xf numFmtId="0" fontId="2" fillId="6" borderId="27" xfId="0" applyFont="1" applyFill="1" applyBorder="1"/>
    <xf numFmtId="0" fontId="2" fillId="6" borderId="19" xfId="0" applyFont="1" applyFill="1" applyBorder="1"/>
    <xf numFmtId="0" fontId="2" fillId="6" borderId="20" xfId="0" applyFont="1" applyFill="1" applyBorder="1"/>
    <xf numFmtId="11" fontId="2" fillId="6" borderId="3" xfId="0" applyNumberFormat="1" applyFont="1" applyFill="1" applyBorder="1"/>
    <xf numFmtId="11" fontId="2" fillId="6" borderId="7" xfId="0" applyNumberFormat="1" applyFont="1" applyFill="1" applyBorder="1"/>
    <xf numFmtId="11" fontId="2" fillId="6" borderId="5" xfId="0" applyNumberFormat="1" applyFont="1" applyFill="1" applyBorder="1"/>
    <xf numFmtId="11" fontId="2" fillId="6" borderId="13" xfId="0" applyNumberFormat="1" applyFont="1" applyFill="1" applyBorder="1"/>
    <xf numFmtId="11" fontId="2" fillId="6" borderId="6" xfId="0" applyNumberFormat="1" applyFont="1" applyFill="1" applyBorder="1"/>
    <xf numFmtId="0" fontId="28" fillId="0" borderId="28" xfId="0" applyFont="1" applyBorder="1"/>
    <xf numFmtId="0" fontId="2" fillId="0" borderId="29" xfId="0" applyFont="1" applyBorder="1"/>
    <xf numFmtId="0" fontId="2" fillId="0" borderId="30" xfId="0" applyFont="1" applyBorder="1"/>
    <xf numFmtId="0" fontId="29" fillId="0" borderId="35" xfId="0" applyFont="1" applyBorder="1" applyAlignment="1">
      <alignment horizontal="center" vertical="top"/>
    </xf>
    <xf numFmtId="0" fontId="29" fillId="0" borderId="36" xfId="0" applyFont="1" applyBorder="1" applyAlignment="1">
      <alignment horizontal="center" vertical="top"/>
    </xf>
    <xf numFmtId="0" fontId="29" fillId="0" borderId="37" xfId="0" applyFont="1" applyBorder="1" applyAlignment="1">
      <alignment horizontal="center" vertical="top"/>
    </xf>
    <xf numFmtId="0" fontId="29" fillId="0" borderId="31" xfId="0" applyFont="1" applyBorder="1" applyAlignment="1">
      <alignment horizontal="center" vertical="top"/>
    </xf>
    <xf numFmtId="0" fontId="29" fillId="0" borderId="32" xfId="0" applyFont="1" applyBorder="1" applyAlignment="1">
      <alignment horizontal="center" vertical="top"/>
    </xf>
    <xf numFmtId="0" fontId="29" fillId="0" borderId="33" xfId="0" applyFont="1" applyBorder="1" applyAlignment="1">
      <alignment horizontal="center" vertical="top"/>
    </xf>
    <xf numFmtId="0" fontId="2" fillId="0" borderId="18" xfId="0" applyFont="1" applyBorder="1"/>
    <xf numFmtId="0" fontId="2" fillId="0" borderId="23" xfId="0" applyFont="1" applyBorder="1"/>
    <xf numFmtId="0" fontId="29" fillId="0" borderId="42" xfId="0" applyFont="1" applyBorder="1" applyAlignment="1">
      <alignment horizontal="center" vertical="top"/>
    </xf>
    <xf numFmtId="0" fontId="29" fillId="0" borderId="43" xfId="0" applyFont="1" applyBorder="1" applyAlignment="1">
      <alignment horizontal="center" vertical="top"/>
    </xf>
    <xf numFmtId="0" fontId="29" fillId="0" borderId="44" xfId="0" applyFont="1" applyBorder="1" applyAlignment="1">
      <alignment horizontal="center" vertical="top"/>
    </xf>
    <xf numFmtId="0" fontId="2" fillId="6" borderId="7" xfId="0" applyFont="1" applyFill="1" applyBorder="1"/>
    <xf numFmtId="0" fontId="2" fillId="6" borderId="4" xfId="0" applyFont="1" applyFill="1" applyBorder="1"/>
    <xf numFmtId="0" fontId="2" fillId="6" borderId="13" xfId="0" applyFont="1" applyFill="1" applyBorder="1"/>
    <xf numFmtId="0" fontId="2" fillId="6" borderId="6" xfId="0" applyFont="1" applyFill="1" applyBorder="1"/>
    <xf numFmtId="0" fontId="2" fillId="7" borderId="18" xfId="0" applyFont="1" applyFill="1" applyBorder="1"/>
    <xf numFmtId="0" fontId="0" fillId="7" borderId="0" xfId="0" applyFill="1"/>
    <xf numFmtId="0" fontId="24" fillId="0" borderId="28" xfId="0" applyFont="1" applyBorder="1"/>
    <xf numFmtId="0" fontId="0" fillId="7" borderId="11" xfId="0" applyFill="1" applyBorder="1"/>
    <xf numFmtId="0" fontId="2" fillId="6" borderId="10" xfId="0" applyFont="1" applyFill="1" applyBorder="1"/>
    <xf numFmtId="0" fontId="2" fillId="6" borderId="45" xfId="0" applyFont="1" applyFill="1" applyBorder="1"/>
    <xf numFmtId="0" fontId="2" fillId="6" borderId="34" xfId="0" applyFont="1" applyFill="1" applyBorder="1"/>
    <xf numFmtId="0" fontId="2" fillId="7" borderId="11" xfId="0" applyFont="1" applyFill="1" applyBorder="1"/>
    <xf numFmtId="0" fontId="0" fillId="0" borderId="29" xfId="0" applyBorder="1"/>
    <xf numFmtId="0" fontId="0" fillId="0" borderId="30" xfId="0" applyBorder="1"/>
    <xf numFmtId="0" fontId="31" fillId="0" borderId="28" xfId="0" applyFont="1" applyBorder="1" applyAlignment="1">
      <alignment horizontal="left" vertical="top"/>
    </xf>
    <xf numFmtId="0" fontId="16" fillId="0" borderId="35" xfId="0" applyFont="1" applyBorder="1" applyAlignment="1">
      <alignment horizontal="center"/>
    </xf>
    <xf numFmtId="0" fontId="16" fillId="0" borderId="36" xfId="0" applyFont="1" applyBorder="1" applyAlignment="1">
      <alignment horizontal="center"/>
    </xf>
    <xf numFmtId="0" fontId="16" fillId="0" borderId="37" xfId="0" applyFont="1" applyBorder="1" applyAlignment="1">
      <alignment horizontal="center"/>
    </xf>
    <xf numFmtId="0" fontId="2" fillId="6" borderId="46" xfId="0" applyFont="1" applyFill="1" applyBorder="1"/>
    <xf numFmtId="0" fontId="2" fillId="6" borderId="47" xfId="0" applyFont="1" applyFill="1" applyBorder="1"/>
    <xf numFmtId="0" fontId="2" fillId="6" borderId="48" xfId="0" applyFont="1" applyFill="1" applyBorder="1"/>
    <xf numFmtId="0" fontId="16" fillId="0" borderId="0" xfId="0" applyFont="1" applyAlignment="1">
      <alignment horizontal="center"/>
    </xf>
    <xf numFmtId="0" fontId="2" fillId="6" borderId="49" xfId="0" applyFont="1" applyFill="1" applyBorder="1"/>
    <xf numFmtId="0" fontId="24" fillId="0" borderId="31" xfId="0" applyFont="1" applyBorder="1" applyAlignment="1">
      <alignment horizontal="center" wrapText="1"/>
    </xf>
    <xf numFmtId="0" fontId="24" fillId="0" borderId="33" xfId="0" applyFont="1" applyBorder="1" applyAlignment="1">
      <alignment horizontal="center" wrapText="1"/>
    </xf>
    <xf numFmtId="0" fontId="29" fillId="0" borderId="0" xfId="0" applyFont="1" applyAlignment="1">
      <alignment horizontal="center" vertical="top"/>
    </xf>
    <xf numFmtId="0" fontId="11" fillId="0" borderId="35" xfId="0" applyFont="1" applyBorder="1"/>
    <xf numFmtId="0" fontId="11" fillId="0" borderId="37" xfId="0" applyFont="1" applyBorder="1"/>
    <xf numFmtId="0" fontId="11" fillId="0" borderId="0" xfId="0" applyFont="1" applyAlignment="1">
      <alignment horizontal="center"/>
    </xf>
    <xf numFmtId="0" fontId="11" fillId="0" borderId="2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11"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xf numFmtId="0" fontId="2" fillId="6" borderId="31" xfId="0" applyFont="1" applyFill="1" applyBorder="1"/>
    <xf numFmtId="0" fontId="2" fillId="6" borderId="32" xfId="0" applyFont="1" applyFill="1" applyBorder="1"/>
    <xf numFmtId="0" fontId="2" fillId="6" borderId="33" xfId="0" applyFont="1" applyFill="1" applyBorder="1"/>
    <xf numFmtId="0" fontId="2" fillId="6" borderId="11" xfId="0" applyFont="1" applyFill="1" applyBorder="1"/>
    <xf numFmtId="0" fontId="11" fillId="0" borderId="31" xfId="0" applyFont="1" applyBorder="1" applyAlignment="1">
      <alignment horizontal="center"/>
    </xf>
    <xf numFmtId="0" fontId="11" fillId="0" borderId="32" xfId="0" applyFont="1" applyBorder="1" applyAlignment="1">
      <alignment horizontal="center"/>
    </xf>
    <xf numFmtId="0" fontId="11" fillId="0" borderId="33" xfId="0" applyFont="1" applyBorder="1" applyAlignment="1">
      <alignment horizontal="center"/>
    </xf>
    <xf numFmtId="0" fontId="5" fillId="6" borderId="31" xfId="0" applyFont="1" applyFill="1" applyBorder="1"/>
    <xf numFmtId="0" fontId="5" fillId="6" borderId="32" xfId="0" applyFont="1" applyFill="1" applyBorder="1"/>
    <xf numFmtId="0" fontId="5" fillId="6" borderId="33" xfId="0" applyFont="1" applyFill="1" applyBorder="1"/>
    <xf numFmtId="0" fontId="24" fillId="0" borderId="11"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11" fillId="0" borderId="37" xfId="0" applyFont="1" applyBorder="1" applyAlignment="1">
      <alignment horizontal="center"/>
    </xf>
    <xf numFmtId="0" fontId="32" fillId="8" borderId="0" xfId="0" applyFont="1" applyFill="1"/>
    <xf numFmtId="0" fontId="33" fillId="8" borderId="0" xfId="0" applyFont="1" applyFill="1"/>
    <xf numFmtId="0" fontId="2" fillId="6" borderId="50" xfId="0" applyFont="1" applyFill="1" applyBorder="1"/>
    <xf numFmtId="0" fontId="2" fillId="6" borderId="9" xfId="0" applyFont="1" applyFill="1" applyBorder="1"/>
    <xf numFmtId="0" fontId="2" fillId="6" borderId="51" xfId="0" applyFont="1" applyFill="1" applyBorder="1"/>
    <xf numFmtId="0" fontId="24" fillId="0" borderId="44" xfId="0" applyFont="1" applyBorder="1" applyAlignment="1">
      <alignment horizontal="center" wrapText="1"/>
    </xf>
    <xf numFmtId="11" fontId="2" fillId="6" borderId="35" xfId="0" applyNumberFormat="1" applyFont="1" applyFill="1" applyBorder="1"/>
    <xf numFmtId="11" fontId="2" fillId="6" borderId="36" xfId="0" applyNumberFormat="1" applyFont="1" applyFill="1" applyBorder="1"/>
    <xf numFmtId="11" fontId="2" fillId="6" borderId="37" xfId="0" applyNumberFormat="1" applyFont="1" applyFill="1" applyBorder="1"/>
    <xf numFmtId="0" fontId="24" fillId="0" borderId="11" xfId="0" applyFont="1" applyBorder="1" applyAlignment="1">
      <alignment horizontal="center" vertical="center" wrapText="1"/>
    </xf>
    <xf numFmtId="0" fontId="5" fillId="2" borderId="21" xfId="0" applyFont="1" applyFill="1" applyBorder="1"/>
    <xf numFmtId="0" fontId="7" fillId="2" borderId="21" xfId="0" applyFont="1" applyFill="1" applyBorder="1"/>
    <xf numFmtId="11" fontId="1" fillId="2" borderId="22" xfId="0" applyNumberFormat="1" applyFont="1" applyFill="1" applyBorder="1"/>
    <xf numFmtId="11" fontId="2" fillId="2" borderId="22" xfId="0" applyNumberFormat="1" applyFont="1" applyFill="1" applyBorder="1"/>
    <xf numFmtId="0" fontId="5" fillId="2" borderId="54" xfId="0" applyFont="1" applyFill="1" applyBorder="1"/>
    <xf numFmtId="0" fontId="2" fillId="2" borderId="22" xfId="0" applyFont="1" applyFill="1" applyBorder="1" applyAlignment="1">
      <alignment horizontal="right" vertical="center"/>
    </xf>
    <xf numFmtId="11" fontId="2" fillId="2" borderId="49" xfId="0" applyNumberFormat="1" applyFont="1" applyFill="1" applyBorder="1" applyAlignment="1">
      <alignment horizontal="right"/>
    </xf>
    <xf numFmtId="0" fontId="5" fillId="2" borderId="40" xfId="0" applyFont="1" applyFill="1" applyBorder="1"/>
    <xf numFmtId="164" fontId="7" fillId="2" borderId="46" xfId="0" applyNumberFormat="1" applyFont="1" applyFill="1" applyBorder="1"/>
    <xf numFmtId="11" fontId="1" fillId="2" borderId="46" xfId="0" applyNumberFormat="1" applyFont="1" applyFill="1" applyBorder="1"/>
    <xf numFmtId="0" fontId="2" fillId="2" borderId="46" xfId="0" applyFont="1" applyFill="1" applyBorder="1" applyAlignment="1">
      <alignment horizontal="right" vertical="center"/>
    </xf>
    <xf numFmtId="11" fontId="7" fillId="2" borderId="49" xfId="0" applyNumberFormat="1" applyFont="1" applyFill="1" applyBorder="1"/>
    <xf numFmtId="0" fontId="19" fillId="2" borderId="28" xfId="0" applyFont="1" applyFill="1" applyBorder="1"/>
    <xf numFmtId="0" fontId="5" fillId="2" borderId="30" xfId="0" applyFont="1" applyFill="1" applyBorder="1"/>
    <xf numFmtId="11" fontId="2" fillId="2" borderId="46" xfId="0" applyNumberFormat="1" applyFont="1" applyFill="1" applyBorder="1"/>
    <xf numFmtId="0" fontId="11" fillId="0" borderId="1" xfId="0" applyFont="1" applyBorder="1" applyAlignment="1">
      <alignment horizontal="center"/>
    </xf>
    <xf numFmtId="0" fontId="11" fillId="0" borderId="40" xfId="0" applyFont="1" applyBorder="1" applyAlignment="1">
      <alignment horizontal="center"/>
    </xf>
    <xf numFmtId="0" fontId="11" fillId="0" borderId="41" xfId="0" applyFont="1" applyBorder="1" applyAlignment="1">
      <alignment horizontal="center"/>
    </xf>
    <xf numFmtId="0" fontId="28" fillId="0" borderId="24" xfId="0" applyFont="1" applyBorder="1" applyAlignment="1">
      <alignment horizontal="center" vertical="center"/>
    </xf>
    <xf numFmtId="11" fontId="2" fillId="0" borderId="35" xfId="0" applyNumberFormat="1" applyFont="1" applyBorder="1"/>
    <xf numFmtId="11" fontId="2" fillId="0" borderId="36" xfId="0" applyNumberFormat="1" applyFont="1" applyBorder="1"/>
    <xf numFmtId="11" fontId="2" fillId="0" borderId="37" xfId="0" applyNumberFormat="1" applyFont="1" applyBorder="1"/>
    <xf numFmtId="0" fontId="24" fillId="0" borderId="24" xfId="0" applyFont="1" applyBorder="1" applyAlignment="1">
      <alignment horizontal="center" vertical="center"/>
    </xf>
    <xf numFmtId="11" fontId="2" fillId="2" borderId="46" xfId="0" applyNumberFormat="1" applyFont="1" applyFill="1" applyBorder="1" applyAlignment="1">
      <alignment horizontal="right" vertical="center"/>
    </xf>
    <xf numFmtId="11" fontId="2" fillId="0" borderId="1" xfId="0" applyNumberFormat="1" applyFont="1" applyBorder="1"/>
    <xf numFmtId="11" fontId="2" fillId="0" borderId="40" xfId="0" applyNumberFormat="1" applyFont="1" applyBorder="1"/>
    <xf numFmtId="11" fontId="2" fillId="0" borderId="41" xfId="0" applyNumberFormat="1" applyFont="1" applyBorder="1"/>
    <xf numFmtId="0" fontId="23" fillId="8" borderId="0" xfId="0" applyFont="1" applyFill="1"/>
    <xf numFmtId="0" fontId="2" fillId="8" borderId="0" xfId="0" applyFont="1" applyFill="1"/>
    <xf numFmtId="10" fontId="2" fillId="4" borderId="0" xfId="0" applyNumberFormat="1" applyFont="1" applyFill="1"/>
    <xf numFmtId="0" fontId="0" fillId="8" borderId="0" xfId="0" applyFill="1"/>
    <xf numFmtId="0" fontId="24" fillId="0" borderId="55" xfId="0" applyFont="1" applyBorder="1" applyAlignment="1">
      <alignment horizontal="left" vertical="center" wrapText="1"/>
    </xf>
    <xf numFmtId="0" fontId="16" fillId="0" borderId="31" xfId="0" applyFont="1" applyBorder="1" applyAlignment="1">
      <alignment horizontal="center"/>
    </xf>
    <xf numFmtId="0" fontId="16" fillId="0" borderId="32" xfId="0" applyFont="1" applyBorder="1" applyAlignment="1">
      <alignment horizontal="center"/>
    </xf>
    <xf numFmtId="0" fontId="16" fillId="0" borderId="33" xfId="0" applyFont="1" applyBorder="1" applyAlignment="1">
      <alignment horizontal="center"/>
    </xf>
    <xf numFmtId="0" fontId="16" fillId="0" borderId="31" xfId="0" applyFont="1" applyBorder="1" applyAlignment="1">
      <alignment horizontal="center" vertical="center"/>
    </xf>
    <xf numFmtId="0" fontId="16" fillId="0" borderId="32" xfId="0" applyFont="1" applyBorder="1" applyAlignment="1">
      <alignment horizontal="center" vertical="center"/>
    </xf>
    <xf numFmtId="0" fontId="16" fillId="0" borderId="33" xfId="0" applyFont="1" applyBorder="1" applyAlignment="1">
      <alignment horizontal="center" vertical="center"/>
    </xf>
    <xf numFmtId="0" fontId="11" fillId="0" borderId="11" xfId="0" applyFont="1" applyBorder="1" applyAlignment="1">
      <alignment horizontal="center"/>
    </xf>
    <xf numFmtId="0" fontId="28" fillId="0" borderId="11" xfId="0" applyFont="1" applyBorder="1"/>
    <xf numFmtId="0" fontId="28" fillId="0" borderId="11" xfId="0" applyFont="1" applyBorder="1" applyAlignment="1">
      <alignment horizontal="center"/>
    </xf>
    <xf numFmtId="0" fontId="24" fillId="0" borderId="28" xfId="0" applyFont="1" applyBorder="1" applyAlignment="1">
      <alignment horizontal="center"/>
    </xf>
    <xf numFmtId="0" fontId="2" fillId="6" borderId="42" xfId="0" applyFont="1" applyFill="1" applyBorder="1"/>
    <xf numFmtId="11" fontId="0" fillId="0" borderId="7" xfId="0" applyNumberFormat="1" applyBorder="1"/>
    <xf numFmtId="11" fontId="0" fillId="0" borderId="10" xfId="0" applyNumberFormat="1" applyBorder="1"/>
    <xf numFmtId="11" fontId="0" fillId="0" borderId="45" xfId="0" applyNumberFormat="1" applyBorder="1"/>
    <xf numFmtId="11" fontId="0" fillId="0" borderId="34" xfId="0" applyNumberFormat="1" applyBorder="1"/>
    <xf numFmtId="11" fontId="0" fillId="0" borderId="56" xfId="0" applyNumberFormat="1" applyBorder="1"/>
    <xf numFmtId="11" fontId="0" fillId="0" borderId="8" xfId="0" applyNumberFormat="1" applyBorder="1"/>
    <xf numFmtId="0" fontId="0" fillId="0" borderId="24" xfId="0" applyBorder="1"/>
    <xf numFmtId="0" fontId="0" fillId="0" borderId="25" xfId="0" applyBorder="1"/>
    <xf numFmtId="0" fontId="0" fillId="0" borderId="26" xfId="0" applyBorder="1"/>
    <xf numFmtId="0" fontId="39" fillId="0" borderId="11" xfId="0" applyFont="1" applyBorder="1" applyAlignment="1">
      <alignment horizontal="center"/>
    </xf>
    <xf numFmtId="0" fontId="34" fillId="0" borderId="23" xfId="0" applyFont="1" applyBorder="1" applyAlignment="1">
      <alignment horizontal="center"/>
    </xf>
    <xf numFmtId="0" fontId="24" fillId="0" borderId="18" xfId="0" applyFont="1" applyBorder="1" applyAlignment="1">
      <alignment horizontal="center" vertical="center"/>
    </xf>
    <xf numFmtId="0" fontId="24" fillId="0" borderId="39" xfId="0" applyFont="1" applyBorder="1" applyAlignment="1">
      <alignment horizontal="center" vertical="center"/>
    </xf>
    <xf numFmtId="0" fontId="31" fillId="0" borderId="0" xfId="0" applyFont="1"/>
    <xf numFmtId="0" fontId="24" fillId="0" borderId="26" xfId="0" applyFont="1" applyBorder="1" applyAlignment="1">
      <alignment horizontal="center"/>
    </xf>
    <xf numFmtId="0" fontId="28" fillId="0" borderId="35" xfId="0" applyFont="1" applyBorder="1" applyAlignment="1">
      <alignment horizontal="center"/>
    </xf>
    <xf numFmtId="0" fontId="11" fillId="0" borderId="57" xfId="0" applyFont="1" applyBorder="1" applyAlignment="1">
      <alignment horizontal="center"/>
    </xf>
    <xf numFmtId="0" fontId="5" fillId="6" borderId="57" xfId="0" applyFont="1" applyFill="1" applyBorder="1"/>
    <xf numFmtId="11" fontId="0" fillId="0" borderId="11" xfId="0" applyNumberFormat="1" applyBorder="1" applyAlignment="1">
      <alignment horizontal="center"/>
    </xf>
    <xf numFmtId="0" fontId="41" fillId="6" borderId="11" xfId="0" applyFont="1" applyFill="1" applyBorder="1" applyAlignment="1">
      <alignment horizontal="center" vertical="center"/>
    </xf>
    <xf numFmtId="11" fontId="2" fillId="6" borderId="11" xfId="0" applyNumberFormat="1" applyFont="1" applyFill="1" applyBorder="1" applyAlignment="1">
      <alignment horizontal="center"/>
    </xf>
    <xf numFmtId="0" fontId="16" fillId="0" borderId="11"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0" fontId="24" fillId="0" borderId="33" xfId="0" applyFont="1" applyBorder="1" applyAlignment="1">
      <alignment horizontal="center"/>
    </xf>
    <xf numFmtId="11" fontId="0" fillId="0" borderId="24" xfId="0" applyNumberFormat="1" applyBorder="1"/>
    <xf numFmtId="11" fontId="2" fillId="6" borderId="59" xfId="0" applyNumberFormat="1" applyFont="1" applyFill="1" applyBorder="1"/>
    <xf numFmtId="0" fontId="24" fillId="0" borderId="33" xfId="0" applyFont="1" applyBorder="1"/>
    <xf numFmtId="0" fontId="11" fillId="0" borderId="18" xfId="0" applyFont="1" applyBorder="1" applyAlignment="1">
      <alignment horizontal="center"/>
    </xf>
    <xf numFmtId="0" fontId="0" fillId="7" borderId="26" xfId="0" applyFill="1" applyBorder="1"/>
    <xf numFmtId="11" fontId="2" fillId="6" borderId="40" xfId="0" applyNumberFormat="1" applyFont="1" applyFill="1" applyBorder="1"/>
    <xf numFmtId="0" fontId="24" fillId="0" borderId="43" xfId="0" applyFont="1" applyBorder="1" applyAlignment="1">
      <alignment horizontal="center"/>
    </xf>
    <xf numFmtId="0" fontId="24" fillId="0" borderId="29" xfId="0" applyFont="1" applyBorder="1"/>
    <xf numFmtId="0" fontId="24" fillId="0" borderId="30" xfId="0" applyFont="1" applyBorder="1"/>
    <xf numFmtId="11" fontId="11" fillId="6" borderId="33" xfId="0" applyNumberFormat="1" applyFont="1" applyFill="1" applyBorder="1" applyAlignment="1">
      <alignment horizontal="center"/>
    </xf>
    <xf numFmtId="11" fontId="2" fillId="0" borderId="35" xfId="0" applyNumberFormat="1" applyFont="1" applyBorder="1" applyAlignment="1">
      <alignment horizontal="center"/>
    </xf>
    <xf numFmtId="11" fontId="2" fillId="0" borderId="36" xfId="0" applyNumberFormat="1" applyFont="1" applyBorder="1" applyAlignment="1">
      <alignment horizontal="center"/>
    </xf>
    <xf numFmtId="11" fontId="2" fillId="0" borderId="37" xfId="0" applyNumberFormat="1" applyFont="1" applyBorder="1" applyAlignment="1">
      <alignment horizontal="center"/>
    </xf>
    <xf numFmtId="11" fontId="2" fillId="0" borderId="18" xfId="0" applyNumberFormat="1" applyFont="1" applyBorder="1" applyAlignment="1">
      <alignment horizontal="center"/>
    </xf>
    <xf numFmtId="164" fontId="2" fillId="0" borderId="0" xfId="0" applyNumberFormat="1" applyFont="1" applyAlignment="1">
      <alignment horizontal="center"/>
    </xf>
    <xf numFmtId="11" fontId="2" fillId="0" borderId="0" xfId="0" applyNumberFormat="1" applyFont="1" applyAlignment="1">
      <alignment horizontal="center"/>
    </xf>
    <xf numFmtId="0" fontId="2" fillId="0" borderId="3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5" xfId="0" applyFont="1" applyBorder="1" applyAlignment="1">
      <alignment horizontal="center"/>
    </xf>
    <xf numFmtId="0" fontId="2" fillId="0" borderId="18" xfId="0" applyFont="1" applyBorder="1" applyAlignment="1">
      <alignment horizontal="center"/>
    </xf>
    <xf numFmtId="164" fontId="2" fillId="0" borderId="38" xfId="0" applyNumberFormat="1" applyFont="1" applyBorder="1" applyAlignment="1">
      <alignment horizontal="center"/>
    </xf>
    <xf numFmtId="0" fontId="2" fillId="0" borderId="38" xfId="0" applyFont="1" applyBorder="1" applyAlignment="1">
      <alignment horizontal="center"/>
    </xf>
    <xf numFmtId="11" fontId="2" fillId="0" borderId="24" xfId="0" applyNumberFormat="1" applyFont="1" applyBorder="1"/>
    <xf numFmtId="164" fontId="2" fillId="0" borderId="14" xfId="0" applyNumberFormat="1" applyFont="1" applyBorder="1" applyAlignment="1">
      <alignment horizontal="center"/>
    </xf>
    <xf numFmtId="0" fontId="2" fillId="0" borderId="14" xfId="0" applyFont="1" applyBorder="1" applyAlignment="1">
      <alignment horizontal="center"/>
    </xf>
    <xf numFmtId="11" fontId="2" fillId="0" borderId="12" xfId="0" applyNumberFormat="1" applyFont="1" applyBorder="1" applyAlignment="1">
      <alignment horizontal="center"/>
    </xf>
    <xf numFmtId="11" fontId="2" fillId="0" borderId="9" xfId="0" applyNumberFormat="1" applyFont="1" applyBorder="1" applyAlignment="1">
      <alignment horizontal="center"/>
    </xf>
    <xf numFmtId="11" fontId="2" fillId="0" borderId="51" xfId="0" applyNumberFormat="1" applyFont="1" applyBorder="1" applyAlignment="1">
      <alignment horizontal="center"/>
    </xf>
    <xf numFmtId="0" fontId="24" fillId="0" borderId="42" xfId="0" applyFont="1" applyBorder="1" applyAlignment="1">
      <alignment horizontal="center"/>
    </xf>
    <xf numFmtId="0" fontId="24" fillId="0" borderId="44" xfId="0" applyFont="1" applyBorder="1" applyAlignment="1">
      <alignment horizontal="center"/>
    </xf>
    <xf numFmtId="11" fontId="2" fillId="0" borderId="38" xfId="0" applyNumberFormat="1" applyFont="1" applyBorder="1" applyAlignment="1">
      <alignment horizontal="center"/>
    </xf>
    <xf numFmtId="11" fontId="2" fillId="0" borderId="21" xfId="0" applyNumberFormat="1" applyFont="1" applyBorder="1" applyAlignment="1">
      <alignment horizontal="center"/>
    </xf>
    <xf numFmtId="11" fontId="2" fillId="0" borderId="23" xfId="0" applyNumberFormat="1" applyFont="1" applyBorder="1" applyAlignment="1">
      <alignment horizontal="center"/>
    </xf>
    <xf numFmtId="11" fontId="2" fillId="0" borderId="14" xfId="0" applyNumberFormat="1" applyFont="1" applyBorder="1" applyAlignment="1">
      <alignment horizontal="center"/>
    </xf>
    <xf numFmtId="11" fontId="2" fillId="6" borderId="11" xfId="0" applyNumberFormat="1" applyFont="1" applyFill="1" applyBorder="1"/>
    <xf numFmtId="0" fontId="41" fillId="6" borderId="52" xfId="0" applyFont="1" applyFill="1" applyBorder="1" applyAlignment="1">
      <alignment horizontal="center" vertical="center"/>
    </xf>
    <xf numFmtId="0" fontId="41" fillId="6" borderId="58" xfId="0" applyFont="1" applyFill="1" applyBorder="1" applyAlignment="1">
      <alignment horizontal="center" vertical="center"/>
    </xf>
    <xf numFmtId="0" fontId="41" fillId="6" borderId="53" xfId="0" applyFont="1" applyFill="1" applyBorder="1" applyAlignment="1">
      <alignment horizontal="center" vertical="center"/>
    </xf>
    <xf numFmtId="0" fontId="2" fillId="6" borderId="35" xfId="0" applyFont="1" applyFill="1" applyBorder="1"/>
    <xf numFmtId="0" fontId="2" fillId="6" borderId="36" xfId="0" applyFont="1" applyFill="1" applyBorder="1"/>
    <xf numFmtId="0" fontId="2" fillId="6" borderId="37" xfId="0" applyFont="1" applyFill="1" applyBorder="1"/>
    <xf numFmtId="11" fontId="2" fillId="6" borderId="33" xfId="0" applyNumberFormat="1" applyFont="1" applyFill="1" applyBorder="1" applyAlignment="1">
      <alignment horizontal="center"/>
    </xf>
    <xf numFmtId="0" fontId="2" fillId="0" borderId="0" xfId="0" applyFont="1" applyAlignment="1">
      <alignment horizontal="center"/>
    </xf>
    <xf numFmtId="0" fontId="24" fillId="0" borderId="42" xfId="0" applyFont="1" applyBorder="1" applyAlignment="1">
      <alignment horizontal="center" wrapText="1"/>
    </xf>
    <xf numFmtId="0" fontId="24" fillId="0" borderId="24" xfId="0" applyFont="1" applyBorder="1" applyAlignment="1">
      <alignment horizontal="center" vertical="center" wrapText="1"/>
    </xf>
    <xf numFmtId="0" fontId="16" fillId="0" borderId="1" xfId="0" applyFont="1" applyBorder="1" applyAlignment="1">
      <alignment horizontal="center"/>
    </xf>
    <xf numFmtId="11" fontId="2" fillId="6" borderId="19" xfId="0" applyNumberFormat="1" applyFont="1" applyFill="1" applyBorder="1"/>
    <xf numFmtId="0" fontId="16" fillId="0" borderId="40" xfId="0" applyFont="1" applyBorder="1" applyAlignment="1">
      <alignment horizontal="center"/>
    </xf>
    <xf numFmtId="0" fontId="2" fillId="6" borderId="3" xfId="0" applyFont="1" applyFill="1" applyBorder="1"/>
    <xf numFmtId="0" fontId="16" fillId="0" borderId="41" xfId="0" applyFont="1" applyBorder="1" applyAlignment="1">
      <alignment horizontal="center"/>
    </xf>
    <xf numFmtId="0" fontId="2" fillId="6" borderId="5" xfId="0" applyFont="1" applyFill="1" applyBorder="1"/>
    <xf numFmtId="11" fontId="2" fillId="0" borderId="2" xfId="0" applyNumberFormat="1" applyFont="1" applyBorder="1"/>
    <xf numFmtId="11" fontId="2" fillId="0" borderId="46" xfId="0" applyNumberFormat="1" applyFont="1" applyBorder="1"/>
    <xf numFmtId="11" fontId="2" fillId="0" borderId="47" xfId="0" applyNumberFormat="1" applyFont="1" applyBorder="1"/>
    <xf numFmtId="0" fontId="16" fillId="0" borderId="57" xfId="0" applyFont="1" applyBorder="1" applyAlignment="1">
      <alignment horizontal="center"/>
    </xf>
    <xf numFmtId="0" fontId="2" fillId="0" borderId="28" xfId="0" applyFont="1" applyBorder="1" applyAlignment="1">
      <alignment horizontal="center"/>
    </xf>
    <xf numFmtId="164" fontId="2" fillId="0" borderId="29" xfId="0" applyNumberFormat="1"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6" borderId="2" xfId="0" applyFont="1" applyFill="1" applyBorder="1"/>
    <xf numFmtId="0" fontId="2" fillId="6" borderId="12" xfId="0" applyFont="1" applyFill="1" applyBorder="1"/>
    <xf numFmtId="0" fontId="2" fillId="6" borderId="24" xfId="0" applyFont="1" applyFill="1" applyBorder="1"/>
    <xf numFmtId="0" fontId="16" fillId="0" borderId="57" xfId="0" applyFont="1" applyBorder="1" applyAlignment="1">
      <alignment horizontal="center" vertical="center"/>
    </xf>
    <xf numFmtId="0" fontId="0" fillId="7" borderId="25" xfId="0" applyFill="1" applyBorder="1"/>
    <xf numFmtId="0" fontId="0" fillId="0" borderId="35" xfId="0" applyBorder="1"/>
    <xf numFmtId="0" fontId="0" fillId="0" borderId="36" xfId="0" applyBorder="1"/>
    <xf numFmtId="0" fontId="0" fillId="0" borderId="60" xfId="0" applyBorder="1"/>
    <xf numFmtId="0" fontId="16" fillId="0" borderId="42" xfId="0" applyFont="1" applyBorder="1" applyAlignment="1">
      <alignment horizontal="center"/>
    </xf>
    <xf numFmtId="0" fontId="16" fillId="0" borderId="43" xfId="0" applyFont="1" applyBorder="1" applyAlignment="1">
      <alignment horizontal="center"/>
    </xf>
    <xf numFmtId="0" fontId="16" fillId="0" borderId="44" xfId="0" applyFont="1" applyBorder="1" applyAlignment="1">
      <alignment horizontal="center"/>
    </xf>
    <xf numFmtId="0" fontId="41" fillId="6" borderId="31" xfId="0" applyFont="1" applyFill="1" applyBorder="1" applyAlignment="1">
      <alignment horizontal="center" vertical="center"/>
    </xf>
    <xf numFmtId="0" fontId="41" fillId="6" borderId="32" xfId="0" applyFont="1" applyFill="1" applyBorder="1" applyAlignment="1">
      <alignment horizontal="center" vertical="center"/>
    </xf>
    <xf numFmtId="0" fontId="37" fillId="0" borderId="28" xfId="0" applyFont="1" applyBorder="1"/>
    <xf numFmtId="0" fontId="39" fillId="0" borderId="30" xfId="0" applyFont="1" applyBorder="1" applyAlignment="1">
      <alignment horizontal="center"/>
    </xf>
    <xf numFmtId="0" fontId="0" fillId="7" borderId="35" xfId="0" applyFill="1" applyBorder="1"/>
    <xf numFmtId="0" fontId="16" fillId="0" borderId="0" xfId="0" applyFont="1" applyAlignment="1">
      <alignment horizontal="center" vertical="center"/>
    </xf>
    <xf numFmtId="11" fontId="0" fillId="0" borderId="61" xfId="0" applyNumberFormat="1" applyBorder="1"/>
    <xf numFmtId="11" fontId="0" fillId="0" borderId="62" xfId="0" applyNumberFormat="1" applyBorder="1"/>
    <xf numFmtId="11" fontId="0" fillId="0" borderId="63" xfId="0" applyNumberFormat="1" applyBorder="1"/>
    <xf numFmtId="11" fontId="0" fillId="0" borderId="27" xfId="0" applyNumberFormat="1" applyBorder="1"/>
    <xf numFmtId="11" fontId="0" fillId="0" borderId="19" xfId="0" applyNumberFormat="1" applyBorder="1"/>
    <xf numFmtId="11" fontId="0" fillId="0" borderId="20" xfId="0" applyNumberFormat="1" applyBorder="1"/>
    <xf numFmtId="11" fontId="0" fillId="0" borderId="3" xfId="0" applyNumberFormat="1" applyBorder="1"/>
    <xf numFmtId="11" fontId="0" fillId="0" borderId="4" xfId="0" applyNumberFormat="1" applyBorder="1"/>
    <xf numFmtId="11" fontId="0" fillId="0" borderId="5" xfId="0" applyNumberFormat="1" applyBorder="1"/>
    <xf numFmtId="11" fontId="0" fillId="0" borderId="13" xfId="0" applyNumberFormat="1" applyBorder="1"/>
    <xf numFmtId="11" fontId="0" fillId="0" borderId="6" xfId="0" applyNumberFormat="1" applyBorder="1"/>
    <xf numFmtId="0" fontId="0" fillId="0" borderId="37" xfId="0" applyBorder="1"/>
    <xf numFmtId="0" fontId="11" fillId="6" borderId="11" xfId="0" applyFont="1" applyFill="1" applyBorder="1" applyAlignment="1">
      <alignment horizontal="center"/>
    </xf>
    <xf numFmtId="0" fontId="2" fillId="6" borderId="30" xfId="0" applyFont="1" applyFill="1" applyBorder="1"/>
    <xf numFmtId="0" fontId="2" fillId="6" borderId="29" xfId="0" applyFont="1" applyFill="1" applyBorder="1"/>
    <xf numFmtId="11" fontId="2" fillId="6" borderId="28" xfId="0" applyNumberFormat="1" applyFont="1" applyFill="1" applyBorder="1"/>
    <xf numFmtId="0" fontId="16" fillId="0" borderId="28" xfId="0" applyFont="1" applyBorder="1" applyAlignment="1">
      <alignment horizontal="center" vertical="center"/>
    </xf>
    <xf numFmtId="0" fontId="34" fillId="0" borderId="28" xfId="0" applyFont="1" applyBorder="1" applyAlignment="1">
      <alignment horizontal="center"/>
    </xf>
    <xf numFmtId="11" fontId="2" fillId="0" borderId="30" xfId="0" applyNumberFormat="1" applyFont="1" applyBorder="1"/>
    <xf numFmtId="0" fontId="24" fillId="0" borderId="0" xfId="0" applyFont="1" applyAlignment="1">
      <alignment horizontal="center" vertical="center"/>
    </xf>
    <xf numFmtId="10" fontId="2" fillId="0" borderId="0" xfId="0" applyNumberFormat="1" applyFont="1"/>
    <xf numFmtId="0" fontId="22" fillId="0" borderId="28" xfId="0" applyFont="1" applyBorder="1"/>
    <xf numFmtId="0" fontId="22" fillId="0" borderId="29" xfId="0" applyFont="1" applyBorder="1"/>
    <xf numFmtId="0" fontId="22" fillId="0" borderId="30" xfId="0" applyFont="1" applyBorder="1"/>
    <xf numFmtId="11" fontId="2" fillId="0" borderId="28" xfId="0" applyNumberFormat="1" applyFont="1" applyBorder="1" applyAlignment="1">
      <alignment horizontal="center"/>
    </xf>
    <xf numFmtId="11" fontId="2" fillId="0" borderId="29" xfId="0" applyNumberFormat="1" applyFont="1" applyBorder="1" applyAlignment="1">
      <alignment horizontal="center"/>
    </xf>
    <xf numFmtId="11" fontId="0" fillId="0" borderId="35" xfId="0" applyNumberFormat="1" applyBorder="1"/>
    <xf numFmtId="11" fontId="0" fillId="0" borderId="36" xfId="0" applyNumberFormat="1" applyBorder="1"/>
    <xf numFmtId="11" fontId="0" fillId="0" borderId="37" xfId="0" applyNumberFormat="1" applyBorder="1"/>
    <xf numFmtId="11" fontId="0" fillId="0" borderId="64" xfId="0" applyNumberFormat="1" applyBorder="1"/>
    <xf numFmtId="11" fontId="0" fillId="0" borderId="59" xfId="0" applyNumberFormat="1" applyBorder="1"/>
    <xf numFmtId="0" fontId="5" fillId="3" borderId="7" xfId="0" applyFont="1" applyFill="1" applyBorder="1"/>
    <xf numFmtId="0" fontId="5" fillId="3" borderId="4" xfId="0" applyFont="1" applyFill="1" applyBorder="1"/>
    <xf numFmtId="0" fontId="18" fillId="3" borderId="4" xfId="0" applyFont="1" applyFill="1" applyBorder="1"/>
    <xf numFmtId="0" fontId="5" fillId="3" borderId="13" xfId="0" applyFont="1" applyFill="1" applyBorder="1"/>
    <xf numFmtId="0" fontId="5" fillId="3" borderId="6" xfId="0" applyFont="1" applyFill="1" applyBorder="1"/>
    <xf numFmtId="0" fontId="18" fillId="9" borderId="7" xfId="0" applyFont="1" applyFill="1" applyBorder="1"/>
    <xf numFmtId="0" fontId="18" fillId="9" borderId="10" xfId="0" applyFont="1" applyFill="1" applyBorder="1"/>
    <xf numFmtId="0" fontId="18" fillId="9" borderId="46" xfId="0" applyFont="1" applyFill="1" applyBorder="1"/>
    <xf numFmtId="0" fontId="18" fillId="9" borderId="34" xfId="0" applyFont="1" applyFill="1" applyBorder="1"/>
    <xf numFmtId="0" fontId="18" fillId="9" borderId="45" xfId="0" applyFont="1" applyFill="1" applyBorder="1"/>
    <xf numFmtId="11" fontId="18" fillId="9" borderId="45" xfId="0" applyNumberFormat="1" applyFont="1" applyFill="1" applyBorder="1"/>
    <xf numFmtId="0" fontId="18" fillId="9" borderId="49" xfId="0" applyFont="1" applyFill="1" applyBorder="1"/>
    <xf numFmtId="0" fontId="18" fillId="9" borderId="58" xfId="0" applyFont="1" applyFill="1" applyBorder="1"/>
    <xf numFmtId="0" fontId="18" fillId="9" borderId="65" xfId="0" applyFont="1" applyFill="1" applyBorder="1"/>
    <xf numFmtId="0" fontId="18" fillId="9" borderId="15" xfId="0" applyFont="1" applyFill="1" applyBorder="1"/>
    <xf numFmtId="0" fontId="24" fillId="0" borderId="11" xfId="0" applyFont="1" applyBorder="1" applyAlignment="1">
      <alignment horizontal="center" vertical="center"/>
    </xf>
    <xf numFmtId="11" fontId="2" fillId="0" borderId="25" xfId="0" applyNumberFormat="1" applyFont="1" applyBorder="1"/>
    <xf numFmtId="11" fontId="2" fillId="0" borderId="26" xfId="0" applyNumberFormat="1" applyFont="1" applyBorder="1"/>
    <xf numFmtId="11" fontId="0" fillId="0" borderId="25" xfId="0" applyNumberFormat="1" applyBorder="1"/>
    <xf numFmtId="11" fontId="0" fillId="0" borderId="26" xfId="0" applyNumberFormat="1" applyBorder="1"/>
    <xf numFmtId="11" fontId="2" fillId="6" borderId="24" xfId="0" applyNumberFormat="1" applyFont="1" applyFill="1" applyBorder="1"/>
    <xf numFmtId="11" fontId="2" fillId="6" borderId="4" xfId="0" applyNumberFormat="1" applyFont="1" applyFill="1" applyBorder="1"/>
    <xf numFmtId="11" fontId="2" fillId="6" borderId="1" xfId="0" applyNumberFormat="1" applyFont="1" applyFill="1" applyBorder="1"/>
    <xf numFmtId="11" fontId="2" fillId="6" borderId="54" xfId="0" applyNumberFormat="1" applyFont="1" applyFill="1" applyBorder="1"/>
    <xf numFmtId="11" fontId="2" fillId="6" borderId="23" xfId="0" applyNumberFormat="1" applyFont="1" applyFill="1" applyBorder="1"/>
    <xf numFmtId="11" fontId="2" fillId="6" borderId="27" xfId="0" applyNumberFormat="1" applyFont="1" applyFill="1" applyBorder="1"/>
    <xf numFmtId="11" fontId="2" fillId="6" borderId="10" xfId="0" applyNumberFormat="1" applyFont="1" applyFill="1" applyBorder="1"/>
    <xf numFmtId="0" fontId="2" fillId="6" borderId="1" xfId="0" applyFont="1" applyFill="1" applyBorder="1"/>
    <xf numFmtId="0" fontId="2" fillId="6" borderId="66" xfId="0" applyFont="1" applyFill="1" applyBorder="1"/>
    <xf numFmtId="11" fontId="2" fillId="6" borderId="9" xfId="0" applyNumberFormat="1" applyFont="1" applyFill="1" applyBorder="1"/>
    <xf numFmtId="11" fontId="2" fillId="6" borderId="30" xfId="0" applyNumberFormat="1" applyFont="1" applyFill="1" applyBorder="1"/>
    <xf numFmtId="0" fontId="29" fillId="0" borderId="28" xfId="0" applyFont="1" applyBorder="1" applyAlignment="1">
      <alignment horizontal="center" vertical="top"/>
    </xf>
    <xf numFmtId="0" fontId="29" fillId="0" borderId="30" xfId="0" applyFont="1" applyBorder="1" applyAlignment="1">
      <alignment horizontal="center" vertical="top"/>
    </xf>
    <xf numFmtId="0" fontId="24" fillId="0" borderId="18"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29" fillId="0" borderId="0" xfId="0" applyFont="1" applyAlignment="1">
      <alignment horizontal="center" vertical="top"/>
    </xf>
    <xf numFmtId="0" fontId="42" fillId="0" borderId="17" xfId="0" applyFont="1" applyBorder="1" applyAlignment="1">
      <alignment horizontal="center"/>
    </xf>
    <xf numFmtId="0" fontId="37" fillId="0" borderId="28" xfId="0" applyFont="1"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22" fillId="0" borderId="28" xfId="0" applyFont="1" applyBorder="1" applyAlignment="1">
      <alignment horizontal="center"/>
    </xf>
    <xf numFmtId="0" fontId="22" fillId="0" borderId="29" xfId="0" applyFont="1" applyBorder="1" applyAlignment="1">
      <alignment horizontal="center"/>
    </xf>
    <xf numFmtId="0" fontId="22" fillId="0" borderId="30" xfId="0" applyFont="1" applyBorder="1" applyAlignment="1">
      <alignment horizontal="center"/>
    </xf>
    <xf numFmtId="0" fontId="24" fillId="0" borderId="28" xfId="0" applyFont="1" applyBorder="1" applyAlignment="1">
      <alignment horizontal="center"/>
    </xf>
    <xf numFmtId="0" fontId="24" fillId="0" borderId="29" xfId="0" applyFont="1" applyBorder="1" applyAlignment="1">
      <alignment horizontal="center"/>
    </xf>
    <xf numFmtId="0" fontId="24" fillId="0" borderId="30" xfId="0" applyFont="1" applyBorder="1" applyAlignment="1">
      <alignment horizontal="center"/>
    </xf>
    <xf numFmtId="0" fontId="29" fillId="0" borderId="14" xfId="0" applyFont="1" applyBorder="1" applyAlignment="1">
      <alignment horizontal="center" vertical="top"/>
    </xf>
    <xf numFmtId="0" fontId="37" fillId="0" borderId="29" xfId="0" applyFont="1" applyBorder="1" applyAlignment="1">
      <alignment horizontal="center"/>
    </xf>
    <xf numFmtId="0" fontId="37" fillId="0" borderId="30" xfId="0" applyFont="1" applyBorder="1" applyAlignment="1">
      <alignment horizontal="center"/>
    </xf>
    <xf numFmtId="11" fontId="2" fillId="0" borderId="23" xfId="0" applyNumberFormat="1" applyFont="1" applyBorder="1" applyAlignment="1">
      <alignment horizontal="center"/>
    </xf>
    <xf numFmtId="0" fontId="2" fillId="0" borderId="15"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E97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'CH4'!$E$64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'CH4'!$C$66:$C$83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'CH4'!$E$66:$E$83</c:f>
              <c:numCache>
                <c:formatCode>0.00E+00</c:formatCode>
                <c:ptCount val="18"/>
                <c:pt idx="0">
                  <c:v>2561019.5780483168</c:v>
                </c:pt>
                <c:pt idx="1">
                  <c:v>5257263.4410172841</c:v>
                </c:pt>
                <c:pt idx="2">
                  <c:v>9184061.2732337248</c:v>
                </c:pt>
                <c:pt idx="3">
                  <c:v>14487314.483115843</c:v>
                </c:pt>
                <c:pt idx="4">
                  <c:v>21298786.576327905</c:v>
                </c:pt>
                <c:pt idx="5">
                  <c:v>29739573.03701964</c:v>
                </c:pt>
                <c:pt idx="6">
                  <c:v>39922344.255225062</c:v>
                </c:pt>
                <c:pt idx="7">
                  <c:v>51952896.041090004</c:v>
                </c:pt>
                <c:pt idx="8">
                  <c:v>65931275.037711106</c:v>
                </c:pt>
                <c:pt idx="9">
                  <c:v>81952626.497546583</c:v>
                </c:pt>
                <c:pt idx="10">
                  <c:v>100107851.90564039</c:v>
                </c:pt>
                <c:pt idx="11">
                  <c:v>120484131.35333039</c:v>
                </c:pt>
                <c:pt idx="12">
                  <c:v>143165346.70559824</c:v>
                </c:pt>
                <c:pt idx="13">
                  <c:v>168232430.11255404</c:v>
                </c:pt>
                <c:pt idx="14">
                  <c:v>195763655.11076817</c:v>
                </c:pt>
                <c:pt idx="15">
                  <c:v>225834882.74986503</c:v>
                </c:pt>
                <c:pt idx="16">
                  <c:v>258519771.9152036</c:v>
                </c:pt>
                <c:pt idx="17">
                  <c:v>293889960.74347669</c:v>
                </c:pt>
              </c:numCache>
            </c:numRef>
          </c:val>
          <c:smooth val="0"/>
          <c:extLst>
            <c:ext xmlns:c16="http://schemas.microsoft.com/office/drawing/2014/chart" uri="{C3380CC4-5D6E-409C-BE32-E72D297353CC}">
              <c16:uniqueId val="{00000001-A299-EE45-9B35-3B932BA7C510}"/>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'CH4'!$C$102:$C$120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'CH4'!$M$102:$M$120</c:f>
              <c:numCache>
                <c:formatCode>General</c:formatCode>
                <c:ptCount val="19"/>
                <c:pt idx="0">
                  <c:v>2.5355808117016426E-21</c:v>
                </c:pt>
                <c:pt idx="1">
                  <c:v>3.3978367772632512E-21</c:v>
                </c:pt>
                <c:pt idx="2">
                  <c:v>4.5703494617055732E-16</c:v>
                </c:pt>
                <c:pt idx="3">
                  <c:v>5.6806048065785407E-13</c:v>
                </c:pt>
                <c:pt idx="4">
                  <c:v>6.8947857557642675E-11</c:v>
                </c:pt>
                <c:pt idx="5">
                  <c:v>2.2356883107766513E-9</c:v>
                </c:pt>
                <c:pt idx="6">
                  <c:v>3.1939537355046428E-8</c:v>
                </c:pt>
                <c:pt idx="7">
                  <c:v>2.6495611538135276E-7</c:v>
                </c:pt>
                <c:pt idx="8">
                  <c:v>1.5044841838196512E-6</c:v>
                </c:pt>
                <c:pt idx="9">
                  <c:v>6.4879933666317555E-6</c:v>
                </c:pt>
                <c:pt idx="10">
                  <c:v>2.2762808596289294E-5</c:v>
                </c:pt>
                <c:pt idx="11">
                  <c:v>6.8121566395477971E-5</c:v>
                </c:pt>
                <c:pt idx="12">
                  <c:v>1.798357952614356E-4</c:v>
                </c:pt>
                <c:pt idx="13">
                  <c:v>4.2918288474663252E-4</c:v>
                </c:pt>
                <c:pt idx="14">
                  <c:v>9.4304016652811847E-4</c:v>
                </c:pt>
                <c:pt idx="15">
                  <c:v>1.9346248076668661E-3</c:v>
                </c:pt>
                <c:pt idx="16">
                  <c:v>3.7457906843177419E-3</c:v>
                </c:pt>
                <c:pt idx="17">
                  <c:v>6.9036527261848567E-3</c:v>
                </c:pt>
                <c:pt idx="18">
                  <c:v>1.2194694474482135E-2</c:v>
                </c:pt>
              </c:numCache>
            </c:numRef>
          </c:val>
          <c:smooth val="0"/>
          <c:extLst>
            <c:ext xmlns:c16="http://schemas.microsoft.com/office/drawing/2014/chart" uri="{C3380CC4-5D6E-409C-BE32-E72D297353CC}">
              <c16:uniqueId val="{00000001-2B32-4943-AFE3-8A02B15DCE7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'CH4'!$D$136</c:f>
              <c:strCache>
                <c:ptCount val="1"/>
                <c:pt idx="0">
                  <c:v>Qrot(1) and 𝜎=12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'CH4'!$D$138:$D$155</c:f>
              <c:numCache>
                <c:formatCode>0.00E+00</c:formatCode>
                <c:ptCount val="18"/>
                <c:pt idx="0">
                  <c:v>249.17524638314001</c:v>
                </c:pt>
                <c:pt idx="1">
                  <c:v>383.63038819919609</c:v>
                </c:pt>
                <c:pt idx="2">
                  <c:v>536.13976640501767</c:v>
                </c:pt>
                <c:pt idx="3">
                  <c:v>704.77402568539014</c:v>
                </c:pt>
                <c:pt idx="4">
                  <c:v>888.11677722445518</c:v>
                </c:pt>
                <c:pt idx="5">
                  <c:v>1085.0705958595045</c:v>
                </c:pt>
                <c:pt idx="6">
                  <c:v>1294.7525601722703</c:v>
                </c:pt>
                <c:pt idx="7">
                  <c:v>1516.4322579550208</c:v>
                </c:pt>
                <c:pt idx="8">
                  <c:v>1749.4923267732656</c:v>
                </c:pt>
                <c:pt idx="9">
                  <c:v>1993.4019710651312</c:v>
                </c:pt>
                <c:pt idx="10">
                  <c:v>2247.6984326522916</c:v>
                </c:pt>
                <c:pt idx="11">
                  <c:v>2511.9735826438255</c:v>
                </c:pt>
                <c:pt idx="12">
                  <c:v>2785.86394611479</c:v>
                </c:pt>
                <c:pt idx="13">
                  <c:v>3069.0431055935424</c:v>
                </c:pt>
                <c:pt idx="14">
                  <c:v>3361.2157999517285</c:v>
                </c:pt>
                <c:pt idx="15">
                  <c:v>3662.1132610258333</c:v>
                </c:pt>
                <c:pt idx="16">
                  <c:v>3971.4894728499617</c:v>
                </c:pt>
                <c:pt idx="17">
                  <c:v>4289.118131240105</c:v>
                </c:pt>
              </c:numCache>
            </c:numRef>
          </c:val>
          <c:smooth val="0"/>
          <c:extLst>
            <c:ext xmlns:c16="http://schemas.microsoft.com/office/drawing/2014/chart" uri="{C3380CC4-5D6E-409C-BE32-E72D297353CC}">
              <c16:uniqueId val="{00000000-A35C-BD49-8E71-3180E2A6DA15}"/>
            </c:ext>
          </c:extLst>
        </c:ser>
        <c:ser>
          <c:idx val="1"/>
          <c:order val="1"/>
          <c:tx>
            <c:strRef>
              <c:f>'CH4'!$E$136</c:f>
              <c:strCache>
                <c:ptCount val="1"/>
                <c:pt idx="0">
                  <c:v>Qrot(2) and 𝜎=3</c:v>
                </c:pt>
              </c:strCache>
            </c:strRef>
          </c:tx>
          <c:spPr>
            <a:ln w="28575" cap="rnd">
              <a:solidFill>
                <a:schemeClr val="accent2"/>
              </a:solidFill>
              <a:round/>
            </a:ln>
            <a:effectLst/>
          </c:spPr>
          <c:marker>
            <c:symbol val="x"/>
            <c:size val="5"/>
            <c:spPr>
              <a:noFill/>
              <a:ln w="9525">
                <a:solidFill>
                  <a:schemeClr val="accent2"/>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'CH4'!$E$138:$E$155</c:f>
              <c:numCache>
                <c:formatCode>0.00E+00</c:formatCode>
                <c:ptCount val="18"/>
                <c:pt idx="0">
                  <c:v>147.76790334428063</c:v>
                </c:pt>
                <c:pt idx="1">
                  <c:v>227.50357006241873</c:v>
                </c:pt>
                <c:pt idx="2">
                  <c:v>317.9459048646591</c:v>
                </c:pt>
                <c:pt idx="3">
                  <c:v>417.95074598583614</c:v>
                </c:pt>
                <c:pt idx="4">
                  <c:v>526.67813516895399</c:v>
                </c:pt>
                <c:pt idx="5">
                  <c:v>643.47726854113989</c:v>
                </c:pt>
                <c:pt idx="6">
                  <c:v>767.82454896066304</c:v>
                </c:pt>
                <c:pt idx="7">
                  <c:v>899.28682152117278</c:v>
                </c:pt>
                <c:pt idx="8">
                  <c:v>1037.4979729996389</c:v>
                </c:pt>
                <c:pt idx="9">
                  <c:v>1182.143226754245</c:v>
                </c:pt>
                <c:pt idx="10">
                  <c:v>1332.9481542181418</c:v>
                </c:pt>
                <c:pt idx="11">
                  <c:v>1489.6707235226113</c:v>
                </c:pt>
                <c:pt idx="12">
                  <c:v>1652.0953838521509</c:v>
                </c:pt>
                <c:pt idx="13">
                  <c:v>1820.0285604993505</c:v>
                </c:pt>
                <c:pt idx="14">
                  <c:v>1993.2951553414787</c:v>
                </c:pt>
                <c:pt idx="15">
                  <c:v>2171.7357813263507</c:v>
                </c:pt>
                <c:pt idx="16">
                  <c:v>2355.2045440924217</c:v>
                </c:pt>
                <c:pt idx="17">
                  <c:v>2543.5672389172692</c:v>
                </c:pt>
              </c:numCache>
            </c:numRef>
          </c:val>
          <c:smooth val="0"/>
          <c:extLst>
            <c:ext xmlns:c16="http://schemas.microsoft.com/office/drawing/2014/chart" uri="{C3380CC4-5D6E-409C-BE32-E72D297353CC}">
              <c16:uniqueId val="{00000001-A35C-BD49-8E71-3180E2A6DA1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23D2-D646-AE18-A74779275A97}"/>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'CH4'!$H$215:$H$232</c:f>
              <c:numCache>
                <c:formatCode>0.00E+00</c:formatCode>
                <c:ptCount val="18"/>
                <c:pt idx="0">
                  <c:v>27.0948541465064</c:v>
                </c:pt>
                <c:pt idx="1">
                  <c:v>31.586053313565774</c:v>
                </c:pt>
                <c:pt idx="2">
                  <c:v>37.203725057213674</c:v>
                </c:pt>
                <c:pt idx="3">
                  <c:v>42.914798735219449</c:v>
                </c:pt>
                <c:pt idx="4">
                  <c:v>48.339760524406756</c:v>
                </c:pt>
                <c:pt idx="5">
                  <c:v>53.368415171871533</c:v>
                </c:pt>
                <c:pt idx="6">
                  <c:v>57.967221363696353</c:v>
                </c:pt>
                <c:pt idx="7">
                  <c:v>62.128709445501073</c:v>
                </c:pt>
                <c:pt idx="8">
                  <c:v>65.862106989071492</c:v>
                </c:pt>
                <c:pt idx="9">
                  <c:v>69.189645768537744</c:v>
                </c:pt>
                <c:pt idx="10">
                  <c:v>72.142295197128732</c:v>
                </c:pt>
                <c:pt idx="11">
                  <c:v>74.755492331867757</c:v>
                </c:pt>
                <c:pt idx="12">
                  <c:v>77.065741541593255</c:v>
                </c:pt>
                <c:pt idx="13">
                  <c:v>79.10832420744434</c:v>
                </c:pt>
                <c:pt idx="14">
                  <c:v>80.915972610273613</c:v>
                </c:pt>
                <c:pt idx="15">
                  <c:v>82.518245721202746</c:v>
                </c:pt>
                <c:pt idx="16">
                  <c:v>83.9413615857286</c:v>
                </c:pt>
                <c:pt idx="17">
                  <c:v>85.208299710683761</c:v>
                </c:pt>
              </c:numCache>
            </c:numRef>
          </c:val>
          <c:smooth val="0"/>
          <c:extLst>
            <c:ext xmlns:c16="http://schemas.microsoft.com/office/drawing/2014/chart" uri="{C3380CC4-5D6E-409C-BE32-E72D297353CC}">
              <c16:uniqueId val="{00000000-52B5-4D48-B17E-0294C8EFDCE3}"/>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'CH4'!$J$263:$J$280</c:f>
              <c:numCache>
                <c:formatCode>0.00E+00</c:formatCode>
                <c:ptCount val="18"/>
                <c:pt idx="0">
                  <c:v>197.84929525810085</c:v>
                </c:pt>
                <c:pt idx="1">
                  <c:v>208.60534217558455</c:v>
                </c:pt>
                <c:pt idx="2">
                  <c:v>218.10385360393238</c:v>
                </c:pt>
                <c:pt idx="3">
                  <c:v>226.91026174615203</c:v>
                </c:pt>
                <c:pt idx="4">
                  <c:v>235.21934932023964</c:v>
                </c:pt>
                <c:pt idx="5">
                  <c:v>243.11739676932339</c:v>
                </c:pt>
                <c:pt idx="6">
                  <c:v>250.65238854601637</c:v>
                </c:pt>
                <c:pt idx="7">
                  <c:v>257.85505554918967</c:v>
                </c:pt>
                <c:pt idx="8">
                  <c:v>264.7474177289389</c:v>
                </c:pt>
                <c:pt idx="9">
                  <c:v>271.34712429272554</c:v>
                </c:pt>
                <c:pt idx="10">
                  <c:v>277.66973606173349</c:v>
                </c:pt>
                <c:pt idx="11">
                  <c:v>283.72983529656932</c:v>
                </c:pt>
                <c:pt idx="12">
                  <c:v>289.54148288755317</c:v>
                </c:pt>
                <c:pt idx="13">
                  <c:v>295.1183432665955</c:v>
                </c:pt>
                <c:pt idx="14">
                  <c:v>300.47366241465187</c:v>
                </c:pt>
                <c:pt idx="15">
                  <c:v>305.6201973823413</c:v>
                </c:pt>
                <c:pt idx="16">
                  <c:v>310.5701443083758</c:v>
                </c:pt>
                <c:pt idx="17">
                  <c:v>315.33508384279168</c:v>
                </c:pt>
              </c:numCache>
            </c:numRef>
          </c:val>
          <c:smooth val="0"/>
          <c:extLst>
            <c:ext xmlns:c16="http://schemas.microsoft.com/office/drawing/2014/chart" uri="{C3380CC4-5D6E-409C-BE32-E72D297353CC}">
              <c16:uniqueId val="{00000000-0AE4-EE4D-B5AC-7089D9138EF2}"/>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'C2H6'!$E$73</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'C2H6'!$C$75:$C$92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'C2H6'!$E$75:$E$92</c:f>
              <c:numCache>
                <c:formatCode>0.00E+00</c:formatCode>
                <c:ptCount val="18"/>
                <c:pt idx="0">
                  <c:v>6571437.4429959673</c:v>
                </c:pt>
                <c:pt idx="1">
                  <c:v>13489853.072627708</c:v>
                </c:pt>
                <c:pt idx="2">
                  <c:v>23565803.497562602</c:v>
                </c:pt>
                <c:pt idx="3">
                  <c:v>37173663.824685179</c:v>
                </c:pt>
                <c:pt idx="4">
                  <c:v>54651532.068616025</c:v>
                </c:pt>
                <c:pt idx="5">
                  <c:v>76310132.678922117</c:v>
                </c:pt>
                <c:pt idx="6">
                  <c:v>102438571.7702668</c:v>
                </c:pt>
                <c:pt idx="7">
                  <c:v>133308315.65788789</c:v>
                </c:pt>
                <c:pt idx="8">
                  <c:v>169176078.60595047</c:v>
                </c:pt>
                <c:pt idx="9">
                  <c:v>210285998.17587215</c:v>
                </c:pt>
                <c:pt idx="10">
                  <c:v>256871322.65187597</c:v>
                </c:pt>
                <c:pt idx="11">
                  <c:v>309155751.42362052</c:v>
                </c:pt>
                <c:pt idx="12">
                  <c:v>367354520.81066382</c:v>
                </c:pt>
                <c:pt idx="13">
                  <c:v>431675298.32408905</c:v>
                </c:pt>
                <c:pt idx="14">
                  <c:v>502318929.61670303</c:v>
                </c:pt>
                <c:pt idx="15">
                  <c:v>579480070.03056562</c:v>
                </c:pt>
                <c:pt idx="16">
                  <c:v>663347724.27354527</c:v>
                </c:pt>
                <c:pt idx="17">
                  <c:v>754105711.92199683</c:v>
                </c:pt>
              </c:numCache>
            </c:numRef>
          </c:val>
          <c:smooth val="0"/>
          <c:extLst>
            <c:ext xmlns:c16="http://schemas.microsoft.com/office/drawing/2014/chart" uri="{C3380CC4-5D6E-409C-BE32-E72D297353CC}">
              <c16:uniqueId val="{00000000-97D7-FD40-AD2A-3670B73D1E3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'C2H6'!$C$111:$C$129</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'C2H6'!$V$111:$V$129</c:f>
              <c:numCache>
                <c:formatCode>General</c:formatCode>
                <c:ptCount val="19"/>
                <c:pt idx="0">
                  <c:v>6.5373435452722565E-35</c:v>
                </c:pt>
                <c:pt idx="1">
                  <c:v>1.06890672487093E-34</c:v>
                </c:pt>
                <c:pt idx="2">
                  <c:v>4.7368169626482121E-26</c:v>
                </c:pt>
                <c:pt idx="3">
                  <c:v>8.7464256006690152E-21</c:v>
                </c:pt>
                <c:pt idx="4">
                  <c:v>3.36784458901195E-17</c:v>
                </c:pt>
                <c:pt idx="5">
                  <c:v>1.4334010333891447E-14</c:v>
                </c:pt>
                <c:pt idx="6">
                  <c:v>1.5445542871836268E-12</c:v>
                </c:pt>
                <c:pt idx="7">
                  <c:v>6.6596710257787473E-11</c:v>
                </c:pt>
                <c:pt idx="8">
                  <c:v>1.5100011630829544E-9</c:v>
                </c:pt>
                <c:pt idx="9">
                  <c:v>2.1406854190081182E-8</c:v>
                </c:pt>
                <c:pt idx="10">
                  <c:v>2.1286965890386778E-7</c:v>
                </c:pt>
                <c:pt idx="11">
                  <c:v>1.6074389455571003E-6</c:v>
                </c:pt>
                <c:pt idx="12">
                  <c:v>9.7543178377886607E-6</c:v>
                </c:pt>
                <c:pt idx="13">
                  <c:v>4.9581202393477749E-5</c:v>
                </c:pt>
                <c:pt idx="14">
                  <c:v>2.1777878658240792E-4</c:v>
                </c:pt>
                <c:pt idx="15">
                  <c:v>8.465478741534777E-4</c:v>
                </c:pt>
                <c:pt idx="16">
                  <c:v>2.9669325928770528E-3</c:v>
                </c:pt>
                <c:pt idx="17">
                  <c:v>9.5146667419778192E-3</c:v>
                </c:pt>
                <c:pt idx="18">
                  <c:v>2.8253085330665825E-2</c:v>
                </c:pt>
              </c:numCache>
            </c:numRef>
          </c:val>
          <c:smooth val="0"/>
          <c:extLst>
            <c:ext xmlns:c16="http://schemas.microsoft.com/office/drawing/2014/chart" uri="{C3380CC4-5D6E-409C-BE32-E72D297353CC}">
              <c16:uniqueId val="{00000000-3743-CB4A-851C-0504AD824F5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'C2H6'!$D$145</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'C2H6'!$C$147:$C$164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'C2H6'!$D$147:$D$164</c:f>
              <c:numCache>
                <c:formatCode>0.00E+00</c:formatCode>
                <c:ptCount val="18"/>
                <c:pt idx="0">
                  <c:v>5534.8859435231889</c:v>
                </c:pt>
                <c:pt idx="1">
                  <c:v>8521.5143718053805</c:v>
                </c:pt>
                <c:pt idx="2">
                  <c:v>11909.178379123803</c:v>
                </c:pt>
                <c:pt idx="3">
                  <c:v>15655.021535037436</c:v>
                </c:pt>
                <c:pt idx="4">
                  <c:v>19727.581843777236</c:v>
                </c:pt>
                <c:pt idx="5">
                  <c:v>24102.482393128554</c:v>
                </c:pt>
                <c:pt idx="6">
                  <c:v>28760.111004842791</c:v>
                </c:pt>
                <c:pt idx="7">
                  <c:v>33684.243160954247</c:v>
                </c:pt>
                <c:pt idx="8">
                  <c:v>38861.165498236354</c:v>
                </c:pt>
                <c:pt idx="9">
                  <c:v>44279.087548185751</c:v>
                </c:pt>
                <c:pt idx="10">
                  <c:v>49927.730144739013</c:v>
                </c:pt>
                <c:pt idx="11">
                  <c:v>55798.027592590151</c:v>
                </c:pt>
                <c:pt idx="12">
                  <c:v>61881.906087129377</c:v>
                </c:pt>
                <c:pt idx="13">
                  <c:v>68172.114974442477</c:v>
                </c:pt>
                <c:pt idx="14">
                  <c:v>74662.095670991475</c:v>
                </c:pt>
                <c:pt idx="15">
                  <c:v>81345.878076808993</c:v>
                </c:pt>
                <c:pt idx="16">
                  <c:v>88217.997482493607</c:v>
                </c:pt>
                <c:pt idx="17">
                  <c:v>95273.42703298961</c:v>
                </c:pt>
              </c:numCache>
            </c:numRef>
          </c:val>
          <c:smooth val="0"/>
          <c:extLst>
            <c:ext xmlns:c16="http://schemas.microsoft.com/office/drawing/2014/chart" uri="{C3380CC4-5D6E-409C-BE32-E72D297353CC}">
              <c16:uniqueId val="{00000000-E398-0B45-861D-121F48853705}"/>
            </c:ext>
          </c:extLst>
        </c:ser>
        <c:ser>
          <c:idx val="1"/>
          <c:order val="1"/>
          <c:tx>
            <c:strRef>
              <c:f>'C2H6'!$E$145</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'C2H6'!$C$147:$C$164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'C2H6'!$E$147:$E$164</c:f>
              <c:numCache>
                <c:formatCode>0.00E+00</c:formatCode>
                <c:ptCount val="18"/>
                <c:pt idx="0">
                  <c:v>1641.1677307014465</c:v>
                </c:pt>
                <c:pt idx="1">
                  <c:v>2526.7430162821533</c:v>
                </c:pt>
                <c:pt idx="2">
                  <c:v>3531.2307162998468</c:v>
                </c:pt>
                <c:pt idx="3">
                  <c:v>4641.923325774118</c:v>
                </c:pt>
                <c:pt idx="4">
                  <c:v>5849.4919420453243</c:v>
                </c:pt>
                <c:pt idx="5">
                  <c:v>7146.7084845154413</c:v>
                </c:pt>
                <c:pt idx="6">
                  <c:v>8527.7576799522667</c:v>
                </c:pt>
                <c:pt idx="7">
                  <c:v>9987.8287417193969</c:v>
                </c:pt>
                <c:pt idx="8">
                  <c:v>11522.855474155793</c:v>
                </c:pt>
                <c:pt idx="9">
                  <c:v>13129.341845611574</c:v>
                </c:pt>
                <c:pt idx="10">
                  <c:v>14804.239945829486</c:v>
                </c:pt>
                <c:pt idx="11">
                  <c:v>16544.861674865282</c:v>
                </c:pt>
                <c:pt idx="12">
                  <c:v>18348.813041637528</c:v>
                </c:pt>
                <c:pt idx="13">
                  <c:v>20213.944130257234</c:v>
                </c:pt>
                <c:pt idx="14">
                  <c:v>22138.310232961558</c:v>
                </c:pt>
                <c:pt idx="15">
                  <c:v>24120.141135239654</c:v>
                </c:pt>
                <c:pt idx="16">
                  <c:v>26157.816477643762</c:v>
                </c:pt>
                <c:pt idx="17">
                  <c:v>28249.845730398734</c:v>
                </c:pt>
              </c:numCache>
            </c:numRef>
          </c:val>
          <c:smooth val="0"/>
          <c:extLst>
            <c:ext xmlns:c16="http://schemas.microsoft.com/office/drawing/2014/chart" uri="{C3380CC4-5D6E-409C-BE32-E72D297353CC}">
              <c16:uniqueId val="{00000001-E398-0B45-861D-121F4885370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'C2H6'!$D$186</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'C2H6'!$C$188:$C$205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'C2H6'!$D$188:$D$205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69F-1949-A297-749EF82066AB}"/>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'C2H6'!$C$228:$C$245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'C2H6'!$H$228:$H$245</c:f>
              <c:numCache>
                <c:formatCode>0.00E+00</c:formatCode>
                <c:ptCount val="18"/>
                <c:pt idx="0">
                  <c:v>42.510207479830939</c:v>
                </c:pt>
                <c:pt idx="1">
                  <c:v>55.195536906465335</c:v>
                </c:pt>
                <c:pt idx="2">
                  <c:v>68.029525513241452</c:v>
                </c:pt>
                <c:pt idx="3">
                  <c:v>79.729233318248035</c:v>
                </c:pt>
                <c:pt idx="4">
                  <c:v>90.103811554570456</c:v>
                </c:pt>
                <c:pt idx="5">
                  <c:v>99.269108418846557</c:v>
                </c:pt>
                <c:pt idx="6">
                  <c:v>107.36296269848475</c:v>
                </c:pt>
                <c:pt idx="7">
                  <c:v>114.49958460712428</c:v>
                </c:pt>
                <c:pt idx="8">
                  <c:v>120.77796345979468</c:v>
                </c:pt>
                <c:pt idx="9">
                  <c:v>126.29037625271219</c:v>
                </c:pt>
                <c:pt idx="10">
                  <c:v>131.12470770433222</c:v>
                </c:pt>
                <c:pt idx="11">
                  <c:v>135.36361946030783</c:v>
                </c:pt>
                <c:pt idx="12">
                  <c:v>139.08312078695977</c:v>
                </c:pt>
                <c:pt idx="13">
                  <c:v>142.35160470009322</c:v>
                </c:pt>
                <c:pt idx="14">
                  <c:v>145.22954828233128</c:v>
                </c:pt>
                <c:pt idx="15">
                  <c:v>147.76974430130389</c:v>
                </c:pt>
                <c:pt idx="16">
                  <c:v>150.01786475174433</c:v>
                </c:pt>
                <c:pt idx="17">
                  <c:v>152.01318803706076</c:v>
                </c:pt>
              </c:numCache>
            </c:numRef>
          </c:val>
          <c:smooth val="0"/>
          <c:extLst>
            <c:ext xmlns:c16="http://schemas.microsoft.com/office/drawing/2014/chart" uri="{C3380CC4-5D6E-409C-BE32-E72D297353CC}">
              <c16:uniqueId val="{00000000-6CE0-E14B-8D6C-5740987B8F64}"/>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'C2H6'!$C$276:$C$293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'C2H6'!$J$276:$J$293</c:f>
              <c:numCache>
                <c:formatCode>0.00E+00</c:formatCode>
                <c:ptCount val="18"/>
                <c:pt idx="0">
                  <c:v>237.09498321002263</c:v>
                </c:pt>
                <c:pt idx="1">
                  <c:v>252.85201044064576</c:v>
                </c:pt>
                <c:pt idx="2">
                  <c:v>267.30971376570312</c:v>
                </c:pt>
                <c:pt idx="3">
                  <c:v>280.68176066736794</c:v>
                </c:pt>
                <c:pt idx="4">
                  <c:v>293.03172721298409</c:v>
                </c:pt>
                <c:pt idx="5">
                  <c:v>304.4277642888004</c:v>
                </c:pt>
                <c:pt idx="6">
                  <c:v>314.95340585986605</c:v>
                </c:pt>
                <c:pt idx="7">
                  <c:v>324.69704186463463</c:v>
                </c:pt>
                <c:pt idx="8">
                  <c:v>333.74366010448989</c:v>
                </c:pt>
                <c:pt idx="9">
                  <c:v>342.17080132624585</c:v>
                </c:pt>
                <c:pt idx="10">
                  <c:v>350.04725492422989</c:v>
                </c:pt>
                <c:pt idx="11">
                  <c:v>357.43317015253518</c:v>
                </c:pt>
                <c:pt idx="12">
                  <c:v>364.3807893033229</c:v>
                </c:pt>
                <c:pt idx="13">
                  <c:v>370.93538783294946</c:v>
                </c:pt>
                <c:pt idx="14">
                  <c:v>377.13622259818771</c:v>
                </c:pt>
                <c:pt idx="15">
                  <c:v>383.01740265613461</c:v>
                </c:pt>
                <c:pt idx="16">
                  <c:v>388.60865338275789</c:v>
                </c:pt>
                <c:pt idx="17">
                  <c:v>393.93597114087788</c:v>
                </c:pt>
              </c:numCache>
            </c:numRef>
          </c:val>
          <c:smooth val="0"/>
          <c:extLst>
            <c:ext xmlns:c16="http://schemas.microsoft.com/office/drawing/2014/chart" uri="{C3380CC4-5D6E-409C-BE32-E72D297353CC}">
              <c16:uniqueId val="{00000000-8526-DD4B-B094-076607CBDC3E}"/>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'NO2'!$E$64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'NO2'!$C$66:$C$83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'NO2'!$E$66:$E$83</c:f>
              <c:numCache>
                <c:formatCode>0.00E+00</c:formatCode>
                <c:ptCount val="18"/>
                <c:pt idx="0">
                  <c:v>12445030.854564963</c:v>
                </c:pt>
                <c:pt idx="1">
                  <c:v>25547171.249622203</c:v>
                </c:pt>
                <c:pt idx="2">
                  <c:v>44629071.521081105</c:v>
                </c:pt>
                <c:pt idx="3">
                  <c:v>70399725.674709797</c:v>
                </c:pt>
                <c:pt idx="4">
                  <c:v>103499425.92363513</c:v>
                </c:pt>
                <c:pt idx="5">
                  <c:v>144516624.24593532</c:v>
                </c:pt>
                <c:pt idx="6">
                  <c:v>193998831.67681888</c:v>
                </c:pt>
                <c:pt idx="7">
                  <c:v>252460152.88492769</c:v>
                </c:pt>
                <c:pt idx="8">
                  <c:v>320386755.0088802</c:v>
                </c:pt>
                <c:pt idx="9">
                  <c:v>398240987.34607536</c:v>
                </c:pt>
                <c:pt idx="10">
                  <c:v>486464577.01012164</c:v>
                </c:pt>
                <c:pt idx="11">
                  <c:v>585481167.35613883</c:v>
                </c:pt>
                <c:pt idx="12">
                  <c:v>695698374.32224691</c:v>
                </c:pt>
                <c:pt idx="13">
                  <c:v>817509479.98791504</c:v>
                </c:pt>
                <c:pt idx="14">
                  <c:v>951294847.15322471</c:v>
                </c:pt>
                <c:pt idx="15">
                  <c:v>1097423115.367573</c:v>
                </c:pt>
                <c:pt idx="16">
                  <c:v>1256252222.9726827</c:v>
                </c:pt>
                <c:pt idx="17">
                  <c:v>1428130288.6746032</c:v>
                </c:pt>
              </c:numCache>
            </c:numRef>
          </c:val>
          <c:smooth val="0"/>
          <c:extLst>
            <c:ext xmlns:c16="http://schemas.microsoft.com/office/drawing/2014/chart" uri="{C3380CC4-5D6E-409C-BE32-E72D297353CC}">
              <c16:uniqueId val="{00000000-64E2-A64B-9D4F-E2516C722FA9}"/>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'NO2'!$C$102:$C$120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'NO2'!$G$102:$G$120</c:f>
              <c:numCache>
                <c:formatCode>General</c:formatCode>
                <c:ptCount val="19"/>
                <c:pt idx="0">
                  <c:v>9.3966328022693875E-5</c:v>
                </c:pt>
                <c:pt idx="1">
                  <c:v>9.9582142431043694E-5</c:v>
                </c:pt>
                <c:pt idx="2">
                  <c:v>1.0549944529514531E-3</c:v>
                </c:pt>
                <c:pt idx="3">
                  <c:v>4.5268584449686304E-3</c:v>
                </c:pt>
                <c:pt idx="4">
                  <c:v>1.2425516097884283E-2</c:v>
                </c:pt>
                <c:pt idx="5">
                  <c:v>2.6472567410659949E-2</c:v>
                </c:pt>
                <c:pt idx="6">
                  <c:v>4.8152269323223702E-2</c:v>
                </c:pt>
                <c:pt idx="7">
                  <c:v>7.8783590853871918E-2</c:v>
                </c:pt>
                <c:pt idx="8">
                  <c:v>0.11958901162361234</c:v>
                </c:pt>
                <c:pt idx="9">
                  <c:v>0.17173867862314962</c:v>
                </c:pt>
                <c:pt idx="10">
                  <c:v>0.23637545957679013</c:v>
                </c:pt>
                <c:pt idx="11">
                  <c:v>0.31462848891683359</c:v>
                </c:pt>
                <c:pt idx="12">
                  <c:v>0.40762033726419727</c:v>
                </c:pt>
                <c:pt idx="13">
                  <c:v>0.51647075431101808</c:v>
                </c:pt>
                <c:pt idx="14">
                  <c:v>0.64229858939844864</c:v>
                </c:pt>
                <c:pt idx="15">
                  <c:v>0.78622274629559141</c:v>
                </c:pt>
                <c:pt idx="16">
                  <c:v>0.94936262792240811</c:v>
                </c:pt>
                <c:pt idx="17">
                  <c:v>1.1328383140977805</c:v>
                </c:pt>
                <c:pt idx="18">
                  <c:v>1.3377706023873841</c:v>
                </c:pt>
              </c:numCache>
            </c:numRef>
          </c:val>
          <c:smooth val="0"/>
          <c:extLst>
            <c:ext xmlns:c16="http://schemas.microsoft.com/office/drawing/2014/chart" uri="{C3380CC4-5D6E-409C-BE32-E72D297353CC}">
              <c16:uniqueId val="{00000000-1C51-EF4E-ADED-2A2A7DC7936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'NO2'!$D$136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'NO2'!$C$138:$C$155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'NO2'!$D$138:$D$155</c:f>
              <c:numCache>
                <c:formatCode>0.00E+00</c:formatCode>
                <c:ptCount val="18"/>
                <c:pt idx="0">
                  <c:v>15317.097534883629</c:v>
                </c:pt>
                <c:pt idx="1">
                  <c:v>23582.214359917056</c:v>
                </c:pt>
                <c:pt idx="2">
                  <c:v>32957.146480466115</c:v>
                </c:pt>
                <c:pt idx="3">
                  <c:v>43323.294140047969</c:v>
                </c:pt>
                <c:pt idx="4">
                  <c:v>54593.590240486839</c:v>
                </c:pt>
                <c:pt idx="5">
                  <c:v>66700.574757167749</c:v>
                </c:pt>
                <c:pt idx="6">
                  <c:v>79589.973464719049</c:v>
                </c:pt>
                <c:pt idx="7">
                  <c:v>93216.887059582732</c:v>
                </c:pt>
                <c:pt idx="8">
                  <c:v>107543.36554166557</c:v>
                </c:pt>
                <c:pt idx="9">
                  <c:v>122536.78027906969</c:v>
                </c:pt>
                <c:pt idx="10">
                  <c:v>138168.6849784519</c:v>
                </c:pt>
                <c:pt idx="11">
                  <c:v>154413.99147347227</c:v>
                </c:pt>
                <c:pt idx="12">
                  <c:v>171250.35652997074</c:v>
                </c:pt>
                <c:pt idx="13">
                  <c:v>188657.71487933485</c:v>
                </c:pt>
                <c:pt idx="14">
                  <c:v>206617.91647027782</c:v>
                </c:pt>
                <c:pt idx="15">
                  <c:v>225114.43980544151</c:v>
                </c:pt>
                <c:pt idx="16">
                  <c:v>244132.16199200472</c:v>
                </c:pt>
                <c:pt idx="17">
                  <c:v>263657.17184372665</c:v>
                </c:pt>
              </c:numCache>
            </c:numRef>
          </c:val>
          <c:smooth val="0"/>
          <c:extLst>
            <c:ext xmlns:c16="http://schemas.microsoft.com/office/drawing/2014/chart" uri="{C3380CC4-5D6E-409C-BE32-E72D297353CC}">
              <c16:uniqueId val="{00000000-F2D8-7F4A-B025-D258252B35C2}"/>
            </c:ext>
          </c:extLst>
        </c:ser>
        <c:ser>
          <c:idx val="1"/>
          <c:order val="1"/>
          <c:tx>
            <c:strRef>
              <c:f>'NO2'!$E$136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'NO2'!$C$138:$C$155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'NO2'!$E$138:$E$155</c:f>
              <c:numCache>
                <c:formatCode>0.00E+00</c:formatCode>
                <c:ptCount val="18"/>
                <c:pt idx="0">
                  <c:v>2270.8676290200037</c:v>
                </c:pt>
                <c:pt idx="1">
                  <c:v>3496.2294317565506</c:v>
                </c:pt>
                <c:pt idx="2">
                  <c:v>4886.1291714644449</c:v>
                </c:pt>
                <c:pt idx="3">
                  <c:v>6422.9835986282415</c:v>
                </c:pt>
                <c:pt idx="4">
                  <c:v>8093.8844024959317</c:v>
                </c:pt>
                <c:pt idx="5">
                  <c:v>9888.830159116178</c:v>
                </c:pt>
                <c:pt idx="6">
                  <c:v>11799.774332178356</c:v>
                </c:pt>
                <c:pt idx="7">
                  <c:v>13820.060283583654</c:v>
                </c:pt>
                <c:pt idx="8">
                  <c:v>15944.061658434162</c:v>
                </c:pt>
                <c:pt idx="9">
                  <c:v>18166.941032160034</c:v>
                </c:pt>
                <c:pt idx="10">
                  <c:v>20484.481041349904</c:v>
                </c:pt>
                <c:pt idx="11">
                  <c:v>22892.96218857963</c:v>
                </c:pt>
                <c:pt idx="12">
                  <c:v>25389.071931962528</c:v>
                </c:pt>
                <c:pt idx="13">
                  <c:v>27969.835454052416</c:v>
                </c:pt>
                <c:pt idx="14">
                  <c:v>30632.561881866633</c:v>
                </c:pt>
                <c:pt idx="15">
                  <c:v>33374.801787017153</c:v>
                </c:pt>
                <c:pt idx="16">
                  <c:v>36194.31309409118</c:v>
                </c:pt>
                <c:pt idx="17">
                  <c:v>39089.033371715501</c:v>
                </c:pt>
              </c:numCache>
            </c:numRef>
          </c:val>
          <c:smooth val="0"/>
          <c:extLst>
            <c:ext xmlns:c16="http://schemas.microsoft.com/office/drawing/2014/chart" uri="{C3380CC4-5D6E-409C-BE32-E72D297353CC}">
              <c16:uniqueId val="{00000001-F2D8-7F4A-B025-D258252B35C2}"/>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'NO2'!$D$176</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'NO2'!$C$178:$C$195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'NO2'!$D$178:$D$195</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3B6E-FF46-B25A-103C27BE5FD5}"/>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'NO2'!$H$215:$H$232</c:f>
              <c:numCache>
                <c:formatCode>0.00E+00</c:formatCode>
                <c:ptCount val="18"/>
                <c:pt idx="0">
                  <c:v>28.68326297564737</c:v>
                </c:pt>
                <c:pt idx="1">
                  <c:v>31.710419286989847</c:v>
                </c:pt>
                <c:pt idx="2">
                  <c:v>34.663538383907664</c:v>
                </c:pt>
                <c:pt idx="3">
                  <c:v>37.256054011002732</c:v>
                </c:pt>
                <c:pt idx="4">
                  <c:v>39.404917355209193</c:v>
                </c:pt>
                <c:pt idx="5">
                  <c:v>41.139802457385699</c:v>
                </c:pt>
                <c:pt idx="6">
                  <c:v>42.528374712033305</c:v>
                </c:pt>
                <c:pt idx="7">
                  <c:v>43.640593185108472</c:v>
                </c:pt>
                <c:pt idx="8">
                  <c:v>44.536426674626568</c:v>
                </c:pt>
                <c:pt idx="9">
                  <c:v>45.263672799288543</c:v>
                </c:pt>
                <c:pt idx="10">
                  <c:v>45.859282026991892</c:v>
                </c:pt>
                <c:pt idx="11">
                  <c:v>46.351498709874676</c:v>
                </c:pt>
                <c:pt idx="12">
                  <c:v>46.76187806954654</c:v>
                </c:pt>
                <c:pt idx="13">
                  <c:v>47.106928228380141</c:v>
                </c:pt>
                <c:pt idx="14">
                  <c:v>47.399370689706913</c:v>
                </c:pt>
                <c:pt idx="15">
                  <c:v>47.649083481303705</c:v>
                </c:pt>
                <c:pt idx="16">
                  <c:v>47.863799821484122</c:v>
                </c:pt>
                <c:pt idx="17">
                  <c:v>48.049624702648629</c:v>
                </c:pt>
              </c:numCache>
            </c:numRef>
          </c:val>
          <c:smooth val="0"/>
          <c:extLst>
            <c:ext xmlns:c16="http://schemas.microsoft.com/office/drawing/2014/chart" uri="{C3380CC4-5D6E-409C-BE32-E72D297353CC}">
              <c16:uniqueId val="{00000000-53C2-8244-A3F9-487E0FEC9BB0}"/>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'NO2'!$J$263:$J$280</c:f>
              <c:numCache>
                <c:formatCode>0.00E+00</c:formatCode>
                <c:ptCount val="18"/>
                <c:pt idx="0">
                  <c:v>240.28299886484459</c:v>
                </c:pt>
                <c:pt idx="1">
                  <c:v>251.33769981934253</c:v>
                </c:pt>
                <c:pt idx="2">
                  <c:v>260.5910376022016</c:v>
                </c:pt>
                <c:pt idx="3">
                  <c:v>268.66255215015951</c:v>
                </c:pt>
                <c:pt idx="4">
                  <c:v>275.85430067848921</c:v>
                </c:pt>
                <c:pt idx="5">
                  <c:v>282.34383813881522</c:v>
                </c:pt>
                <c:pt idx="6">
                  <c:v>288.25191770128231</c:v>
                </c:pt>
                <c:pt idx="7">
                  <c:v>293.66844548550171</c:v>
                </c:pt>
                <c:pt idx="8">
                  <c:v>298.66380993127706</c:v>
                </c:pt>
                <c:pt idx="9">
                  <c:v>303.2946892458869</c:v>
                </c:pt>
                <c:pt idx="10">
                  <c:v>307.60751699321827</c:v>
                </c:pt>
                <c:pt idx="11">
                  <c:v>311.64079752137133</c:v>
                </c:pt>
                <c:pt idx="12">
                  <c:v>315.42676722315991</c:v>
                </c:pt>
                <c:pt idx="13">
                  <c:v>318.99263747628913</c:v>
                </c:pt>
                <c:pt idx="14">
                  <c:v>322.36154815972463</c:v>
                </c:pt>
                <c:pt idx="15">
                  <c:v>325.55331104055938</c:v>
                </c:pt>
                <c:pt idx="16">
                  <c:v>328.58499610941755</c:v>
                </c:pt>
                <c:pt idx="17">
                  <c:v>331.47139836153792</c:v>
                </c:pt>
              </c:numCache>
            </c:numRef>
          </c:val>
          <c:smooth val="0"/>
          <c:extLst>
            <c:ext xmlns:c16="http://schemas.microsoft.com/office/drawing/2014/chart" uri="{C3380CC4-5D6E-409C-BE32-E72D297353CC}">
              <c16:uniqueId val="{00000000-C29A-854C-80EC-277072CA0931}"/>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H2O!$E$64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H2O!$C$66:$C$83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H2O!$E$66:$E$83</c:f>
              <c:numCache>
                <c:formatCode>0.00E+00</c:formatCode>
                <c:ptCount val="18"/>
                <c:pt idx="0">
                  <c:v>3049654.2964746249</c:v>
                </c:pt>
                <c:pt idx="1">
                  <c:v>6260333.2586841406</c:v>
                </c:pt>
                <c:pt idx="2">
                  <c:v>10936352.131422339</c:v>
                </c:pt>
                <c:pt idx="3">
                  <c:v>17251449.866495226</c:v>
                </c:pt>
                <c:pt idx="4">
                  <c:v>25362530.044261605</c:v>
                </c:pt>
                <c:pt idx="5">
                  <c:v>35413792.797625959</c:v>
                </c:pt>
                <c:pt idx="6">
                  <c:v>47539405.683132768</c:v>
                </c:pt>
                <c:pt idx="7">
                  <c:v>61865350.028581679</c:v>
                </c:pt>
                <c:pt idx="8">
                  <c:v>78510761.071194604</c:v>
                </c:pt>
                <c:pt idx="9">
                  <c:v>97588937.487187162</c:v>
                </c:pt>
                <c:pt idx="10">
                  <c:v>119208124.48748784</c:v>
                </c:pt>
                <c:pt idx="11">
                  <c:v>143472135.85875982</c:v>
                </c:pt>
                <c:pt idx="12">
                  <c:v>170480857.8697885</c:v>
                </c:pt>
                <c:pt idx="13">
                  <c:v>200330664.27789077</c:v>
                </c:pt>
                <c:pt idx="14">
                  <c:v>233114762.97150701</c:v>
                </c:pt>
                <c:pt idx="15">
                  <c:v>268923489.05697256</c:v>
                </c:pt>
                <c:pt idx="16">
                  <c:v>307844555.31012899</c:v>
                </c:pt>
                <c:pt idx="17">
                  <c:v>349963268.20551682</c:v>
                </c:pt>
              </c:numCache>
            </c:numRef>
          </c:val>
          <c:smooth val="0"/>
          <c:extLst>
            <c:ext xmlns:c16="http://schemas.microsoft.com/office/drawing/2014/chart" uri="{C3380CC4-5D6E-409C-BE32-E72D297353CC}">
              <c16:uniqueId val="{00000000-3FB1-2D46-A74A-C4DB47BFB5EF}"/>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H2O!$C$102:$C$120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H2O!$G$102:$G$120</c:f>
              <c:numCache>
                <c:formatCode>General</c:formatCode>
                <c:ptCount val="19"/>
                <c:pt idx="0">
                  <c:v>1.6142419417418757E-10</c:v>
                </c:pt>
                <c:pt idx="1">
                  <c:v>1.855082668784347E-10</c:v>
                </c:pt>
                <c:pt idx="2">
                  <c:v>5.0406484895422924E-8</c:v>
                </c:pt>
                <c:pt idx="3">
                  <c:v>1.4629950407126921E-6</c:v>
                </c:pt>
                <c:pt idx="4">
                  <c:v>1.3917529687877594E-5</c:v>
                </c:pt>
                <c:pt idx="5">
                  <c:v>7.0133750675118502E-5</c:v>
                </c:pt>
                <c:pt idx="6">
                  <c:v>2.3790459010295092E-4</c:v>
                </c:pt>
                <c:pt idx="7">
                  <c:v>6.2043171810677203E-4</c:v>
                </c:pt>
                <c:pt idx="8">
                  <c:v>1.3469596942530403E-3</c:v>
                </c:pt>
                <c:pt idx="9">
                  <c:v>2.5604934217519667E-3</c:v>
                </c:pt>
                <c:pt idx="10">
                  <c:v>4.4074388116079923E-3</c:v>
                </c:pt>
                <c:pt idx="11">
                  <c:v>7.0308022892973821E-3</c:v>
                </c:pt>
                <c:pt idx="12">
                  <c:v>1.0566645688391822E-2</c:v>
                </c:pt>
                <c:pt idx="13">
                  <c:v>1.5142840460980146E-2</c:v>
                </c:pt>
                <c:pt idx="14">
                  <c:v>2.0879191321025052E-2</c:v>
                </c:pt>
                <c:pt idx="15">
                  <c:v>2.7888247440029598E-2</c:v>
                </c:pt>
                <c:pt idx="16">
                  <c:v>3.6276372401637884E-2</c:v>
                </c:pt>
                <c:pt idx="17">
                  <c:v>4.6144833846395575E-2</c:v>
                </c:pt>
                <c:pt idx="18">
                  <c:v>5.759079642759888E-2</c:v>
                </c:pt>
              </c:numCache>
            </c:numRef>
          </c:val>
          <c:smooth val="0"/>
          <c:extLst>
            <c:ext xmlns:c16="http://schemas.microsoft.com/office/drawing/2014/chart" uri="{C3380CC4-5D6E-409C-BE32-E72D297353CC}">
              <c16:uniqueId val="{00000000-B559-4F46-B7C8-85A0A6B27C89}"/>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H2O!$D$136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H2O!$C$138:$C$155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H2O!$D$138:$D$155</c:f>
              <c:numCache>
                <c:formatCode>0.00E+00</c:formatCode>
                <c:ptCount val="18"/>
                <c:pt idx="0">
                  <c:v>297.03047368624931</c:v>
                </c:pt>
                <c:pt idx="1">
                  <c:v>457.30833050741234</c:v>
                </c:pt>
                <c:pt idx="2">
                  <c:v>639.10782105719147</c:v>
                </c:pt>
                <c:pt idx="3">
                  <c:v>840.12904865039923</c:v>
                </c:pt>
                <c:pt idx="4">
                  <c:v>1058.6836006256458</c:v>
                </c:pt>
                <c:pt idx="5">
                  <c:v>1293.4632863795462</c:v>
                </c:pt>
                <c:pt idx="6">
                  <c:v>1543.415615462497</c:v>
                </c:pt>
                <c:pt idx="7">
                  <c:v>1807.6698967155737</c:v>
                </c:pt>
                <c:pt idx="8">
                  <c:v>2085.4902004707433</c:v>
                </c:pt>
                <c:pt idx="9">
                  <c:v>2376.2437894900077</c:v>
                </c:pt>
                <c:pt idx="10">
                  <c:v>2679.3790308045805</c:v>
                </c:pt>
                <c:pt idx="11">
                  <c:v>2994.4094125335473</c:v>
                </c:pt>
                <c:pt idx="12">
                  <c:v>3320.9016527570702</c:v>
                </c:pt>
                <c:pt idx="13">
                  <c:v>3658.4666440592682</c:v>
                </c:pt>
                <c:pt idx="14">
                  <c:v>4006.7524190834752</c:v>
                </c:pt>
                <c:pt idx="15">
                  <c:v>4365.4385915309749</c:v>
                </c:pt>
                <c:pt idx="16">
                  <c:v>4734.2318969626021</c:v>
                </c:pt>
                <c:pt idx="17">
                  <c:v>5112.8625684574872</c:v>
                </c:pt>
              </c:numCache>
            </c:numRef>
          </c:val>
          <c:smooth val="0"/>
          <c:extLst>
            <c:ext xmlns:c16="http://schemas.microsoft.com/office/drawing/2014/chart" uri="{C3380CC4-5D6E-409C-BE32-E72D297353CC}">
              <c16:uniqueId val="{00000000-3EB1-B040-AD9E-912D2B3683B1}"/>
            </c:ext>
          </c:extLst>
        </c:ser>
        <c:ser>
          <c:idx val="1"/>
          <c:order val="1"/>
          <c:tx>
            <c:strRef>
              <c:f>H2O!$E$136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H2O!$C$138:$C$155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H2O!$E$138:$E$155</c:f>
              <c:numCache>
                <c:formatCode>0.00E+00</c:formatCode>
                <c:ptCount val="18"/>
                <c:pt idx="0">
                  <c:v>44.036832644096386</c:v>
                </c:pt>
                <c:pt idx="1">
                  <c:v>67.799139150206813</c:v>
                </c:pt>
                <c:pt idx="2">
                  <c:v>94.752177472393626</c:v>
                </c:pt>
                <c:pt idx="3">
                  <c:v>124.5549719384706</c:v>
                </c:pt>
                <c:pt idx="4">
                  <c:v>156.95720363374636</c:v>
                </c:pt>
                <c:pt idx="5">
                  <c:v>191.76492420688615</c:v>
                </c:pt>
                <c:pt idx="6">
                  <c:v>228.82209463194795</c:v>
                </c:pt>
                <c:pt idx="7">
                  <c:v>267.99962889168285</c:v>
                </c:pt>
                <c:pt idx="8">
                  <c:v>309.18842029670515</c:v>
                </c:pt>
                <c:pt idx="9">
                  <c:v>352.2946611527712</c:v>
                </c:pt>
                <c:pt idx="10">
                  <c:v>397.23656803738118</c:v>
                </c:pt>
                <c:pt idx="11">
                  <c:v>443.94201218199993</c:v>
                </c:pt>
                <c:pt idx="12">
                  <c:v>492.34675652990694</c:v>
                </c:pt>
                <c:pt idx="13">
                  <c:v>542.39311320165473</c:v>
                </c:pt>
                <c:pt idx="14">
                  <c:v>594.0289005897863</c:v>
                </c:pt>
                <c:pt idx="15">
                  <c:v>647.2066191982417</c:v>
                </c:pt>
                <c:pt idx="16">
                  <c:v>701.88279053515885</c:v>
                </c:pt>
                <c:pt idx="17">
                  <c:v>758.01741977914787</c:v>
                </c:pt>
              </c:numCache>
            </c:numRef>
          </c:val>
          <c:smooth val="0"/>
          <c:extLst>
            <c:ext xmlns:c16="http://schemas.microsoft.com/office/drawing/2014/chart" uri="{C3380CC4-5D6E-409C-BE32-E72D297353CC}">
              <c16:uniqueId val="{00000001-3EB1-B040-AD9E-912D2B3683B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H2O!$D$174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AA04-D547-AD38-A73F2303A7C1}"/>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H2O!$H$215:$H$232</c:f>
              <c:numCache>
                <c:formatCode>0.00E+00</c:formatCode>
                <c:ptCount val="18"/>
                <c:pt idx="0">
                  <c:v>25.168680738871643</c:v>
                </c:pt>
                <c:pt idx="1">
                  <c:v>25.817450098465009</c:v>
                </c:pt>
                <c:pt idx="2">
                  <c:v>26.764581590573293</c:v>
                </c:pt>
                <c:pt idx="3">
                  <c:v>27.823852884221346</c:v>
                </c:pt>
                <c:pt idx="4">
                  <c:v>28.922903563474055</c:v>
                </c:pt>
                <c:pt idx="5">
                  <c:v>30.050328287916898</c:v>
                </c:pt>
                <c:pt idx="6">
                  <c:v>31.201493439782464</c:v>
                </c:pt>
                <c:pt idx="7">
                  <c:v>32.36270822029222</c:v>
                </c:pt>
                <c:pt idx="8">
                  <c:v>33.514023301097083</c:v>
                </c:pt>
                <c:pt idx="9">
                  <c:v>34.635208874160995</c:v>
                </c:pt>
                <c:pt idx="10">
                  <c:v>35.70963679062654</c:v>
                </c:pt>
                <c:pt idx="11">
                  <c:v>36.725681669698048</c:v>
                </c:pt>
                <c:pt idx="12">
                  <c:v>37.676556677661154</c:v>
                </c:pt>
                <c:pt idx="13">
                  <c:v>38.5594504267806</c:v>
                </c:pt>
                <c:pt idx="14">
                  <c:v>39.374498897629934</c:v>
                </c:pt>
                <c:pt idx="15">
                  <c:v>40.123850155452629</c:v>
                </c:pt>
                <c:pt idx="16">
                  <c:v>40.810913006316568</c:v>
                </c:pt>
                <c:pt idx="17">
                  <c:v>41.43979726772892</c:v>
                </c:pt>
              </c:numCache>
            </c:numRef>
          </c:val>
          <c:smooth val="0"/>
          <c:extLst>
            <c:ext xmlns:c16="http://schemas.microsoft.com/office/drawing/2014/chart" uri="{C3380CC4-5D6E-409C-BE32-E72D297353CC}">
              <c16:uniqueId val="{00000000-C77A-E74C-8E36-8DAF7AF1DD82}"/>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H2O!$J$263:$J$280</c:f>
              <c:numCache>
                <c:formatCode>0.00E+00</c:formatCode>
                <c:ptCount val="18"/>
                <c:pt idx="0">
                  <c:v>188.89935088986749</c:v>
                </c:pt>
                <c:pt idx="1">
                  <c:v>198.6107929340285</c:v>
                </c:pt>
                <c:pt idx="2">
                  <c:v>206.32539326516138</c:v>
                </c:pt>
                <c:pt idx="3">
                  <c:v>212.81380180270133</c:v>
                </c:pt>
                <c:pt idx="4">
                  <c:v>218.46669272449185</c:v>
                </c:pt>
                <c:pt idx="5">
                  <c:v>223.51233549177567</c:v>
                </c:pt>
                <c:pt idx="6">
                  <c:v>228.09733016379417</c:v>
                </c:pt>
                <c:pt idx="7">
                  <c:v>232.32083828728287</c:v>
                </c:pt>
                <c:pt idx="8">
                  <c:v>236.25193731728316</c:v>
                </c:pt>
                <c:pt idx="9">
                  <c:v>239.93984148817412</c:v>
                </c:pt>
                <c:pt idx="10">
                  <c:v>243.42042771946882</c:v>
                </c:pt>
                <c:pt idx="11">
                  <c:v>246.72052982085751</c:v>
                </c:pt>
                <c:pt idx="12">
                  <c:v>249.8607853708879</c:v>
                </c:pt>
                <c:pt idx="13">
                  <c:v>252.85752521012813</c:v>
                </c:pt>
                <c:pt idx="14">
                  <c:v>255.72402983045615</c:v>
                </c:pt>
                <c:pt idx="15">
                  <c:v>258.47136912558642</c:v>
                </c:pt>
                <c:pt idx="16">
                  <c:v>261.10896890962204</c:v>
                </c:pt>
                <c:pt idx="17">
                  <c:v>263.64499830334421</c:v>
                </c:pt>
              </c:numCache>
            </c:numRef>
          </c:val>
          <c:smooth val="0"/>
          <c:extLst>
            <c:ext xmlns:c16="http://schemas.microsoft.com/office/drawing/2014/chart" uri="{C3380CC4-5D6E-409C-BE32-E72D297353CC}">
              <c16:uniqueId val="{00000000-5A67-FE47-8320-447EF8B90DD8}"/>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CO!$E$64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CO!$C$66:$C$83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CO!$E$66:$E$83</c:f>
              <c:numCache>
                <c:formatCode>0.00E+00</c:formatCode>
                <c:ptCount val="18"/>
                <c:pt idx="0">
                  <c:v>5909876.4258579137</c:v>
                </c:pt>
                <c:pt idx="1">
                  <c:v>12131799.983454125</c:v>
                </c:pt>
                <c:pt idx="2">
                  <c:v>21193382.384714074</c:v>
                </c:pt>
                <c:pt idx="3">
                  <c:v>33431309.573589273</c:v>
                </c:pt>
                <c:pt idx="4">
                  <c:v>49149642.49618905</c:v>
                </c:pt>
                <c:pt idx="5">
                  <c:v>68627824.290394261</c:v>
                </c:pt>
                <c:pt idx="6">
                  <c:v>92125856.124354914</c:v>
                </c:pt>
                <c:pt idx="7">
                  <c:v>119887875.20408711</c:v>
                </c:pt>
                <c:pt idx="8">
                  <c:v>152144751.80586106</c:v>
                </c:pt>
                <c:pt idx="9">
                  <c:v>189116045.6274516</c:v>
                </c:pt>
                <c:pt idx="10">
                  <c:v>231011523.33683923</c:v>
                </c:pt>
                <c:pt idx="11">
                  <c:v>278032364.01559907</c:v>
                </c:pt>
                <c:pt idx="12">
                  <c:v>330372135.67103916</c:v>
                </c:pt>
                <c:pt idx="13">
                  <c:v>388217599.47052866</c:v>
                </c:pt>
                <c:pt idx="14">
                  <c:v>451749381.49460119</c:v>
                </c:pt>
                <c:pt idx="15">
                  <c:v>521142540.70518214</c:v>
                </c:pt>
                <c:pt idx="16">
                  <c:v>596567054.29174936</c:v>
                </c:pt>
                <c:pt idx="17">
                  <c:v>678188236.3108542</c:v>
                </c:pt>
              </c:numCache>
            </c:numRef>
          </c:val>
          <c:smooth val="0"/>
          <c:extLst>
            <c:ext xmlns:c16="http://schemas.microsoft.com/office/drawing/2014/chart" uri="{C3380CC4-5D6E-409C-BE32-E72D297353CC}">
              <c16:uniqueId val="{00000000-9B11-3341-AA9F-87286B19C0AC}"/>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CO!$C$102:$C$120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CO!$E$102:$E$120</c:f>
              <c:numCache>
                <c:formatCode>General</c:formatCode>
                <c:ptCount val="19"/>
                <c:pt idx="0">
                  <c:v>4.9231486510156811E-3</c:v>
                </c:pt>
                <c:pt idx="1">
                  <c:v>5.0871541240202732E-3</c:v>
                </c:pt>
                <c:pt idx="2">
                  <c:v>1.9054841624569847E-2</c:v>
                </c:pt>
                <c:pt idx="3">
                  <c:v>4.2135406872049391E-2</c:v>
                </c:pt>
                <c:pt idx="4">
                  <c:v>7.1688044286948749E-2</c:v>
                </c:pt>
                <c:pt idx="5">
                  <c:v>0.10514273316292055</c:v>
                </c:pt>
                <c:pt idx="6">
                  <c:v>0.14069416374876173</c:v>
                </c:pt>
                <c:pt idx="7">
                  <c:v>0.1772260117240739</c:v>
                </c:pt>
                <c:pt idx="8">
                  <c:v>0.21409236554383554</c:v>
                </c:pt>
                <c:pt idx="9">
                  <c:v>0.25093724825300529</c:v>
                </c:pt>
                <c:pt idx="10">
                  <c:v>0.2875751767591051</c:v>
                </c:pt>
                <c:pt idx="11">
                  <c:v>0.32391833665024211</c:v>
                </c:pt>
                <c:pt idx="12">
                  <c:v>0.3599337159308883</c:v>
                </c:pt>
                <c:pt idx="13">
                  <c:v>0.39561827494920127</c:v>
                </c:pt>
                <c:pt idx="14">
                  <c:v>0.43098468715454891</c:v>
                </c:pt>
                <c:pt idx="15">
                  <c:v>0.4660532126807474</c:v>
                </c:pt>
                <c:pt idx="16">
                  <c:v>0.50084711988216657</c:v>
                </c:pt>
                <c:pt idx="17">
                  <c:v>0.53539015862716988</c:v>
                </c:pt>
                <c:pt idx="18">
                  <c:v>0.56970521891876702</c:v>
                </c:pt>
              </c:numCache>
            </c:numRef>
          </c:val>
          <c:smooth val="0"/>
          <c:extLst>
            <c:ext xmlns:c16="http://schemas.microsoft.com/office/drawing/2014/chart" uri="{C3380CC4-5D6E-409C-BE32-E72D297353CC}">
              <c16:uniqueId val="{00000000-4DEF-E847-BC5D-EFCE35C0FEAC}"/>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CO!$D$136</c:f>
              <c:strCache>
                <c:ptCount val="1"/>
                <c:pt idx="0">
                  <c:v>Qrot(1) and 𝜎=1</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CO!$D$138:$D$155</c:f>
              <c:numCache>
                <c:formatCode>0.00E+00</c:formatCode>
                <c:ptCount val="18"/>
                <c:pt idx="0">
                  <c:v>109.72355501464084</c:v>
                </c:pt>
                <c:pt idx="1">
                  <c:v>146.29807335285446</c:v>
                </c:pt>
                <c:pt idx="2">
                  <c:v>182.87259169106807</c:v>
                </c:pt>
                <c:pt idx="3">
                  <c:v>219.44711002928167</c:v>
                </c:pt>
                <c:pt idx="4">
                  <c:v>256.02162836749528</c:v>
                </c:pt>
                <c:pt idx="5">
                  <c:v>292.59614670570892</c:v>
                </c:pt>
                <c:pt idx="6">
                  <c:v>329.1706650439225</c:v>
                </c:pt>
                <c:pt idx="7">
                  <c:v>365.74518338213613</c:v>
                </c:pt>
                <c:pt idx="8">
                  <c:v>402.31970172034977</c:v>
                </c:pt>
                <c:pt idx="9">
                  <c:v>438.89422005856335</c:v>
                </c:pt>
                <c:pt idx="10">
                  <c:v>475.46873839677704</c:v>
                </c:pt>
                <c:pt idx="11">
                  <c:v>512.04325673499056</c:v>
                </c:pt>
                <c:pt idx="12">
                  <c:v>548.61777507320414</c:v>
                </c:pt>
                <c:pt idx="13">
                  <c:v>585.19229341141784</c:v>
                </c:pt>
                <c:pt idx="14">
                  <c:v>621.76681174963142</c:v>
                </c:pt>
                <c:pt idx="15">
                  <c:v>658.34133008784499</c:v>
                </c:pt>
                <c:pt idx="16">
                  <c:v>694.91584842605857</c:v>
                </c:pt>
                <c:pt idx="17">
                  <c:v>731.49036676427227</c:v>
                </c:pt>
              </c:numCache>
            </c:numRef>
          </c:val>
          <c:smooth val="0"/>
          <c:extLst>
            <c:ext xmlns:c16="http://schemas.microsoft.com/office/drawing/2014/chart" uri="{C3380CC4-5D6E-409C-BE32-E72D297353CC}">
              <c16:uniqueId val="{00000000-C19D-8545-82D1-C4D00BBDD3BF}"/>
            </c:ext>
          </c:extLst>
        </c:ser>
        <c:ser>
          <c:idx val="1"/>
          <c:order val="1"/>
          <c:tx>
            <c:strRef>
              <c:f>CO!$E$136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CO!$C$138:$C$155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CO!$E$137:$E$154</c:f>
              <c:numCache>
                <c:formatCode>0.00E+00</c:formatCode>
                <c:ptCount val="18"/>
              </c:numCache>
            </c:numRef>
          </c:val>
          <c:smooth val="0"/>
          <c:extLst>
            <c:ext xmlns:c16="http://schemas.microsoft.com/office/drawing/2014/chart" uri="{C3380CC4-5D6E-409C-BE32-E72D297353CC}">
              <c16:uniqueId val="{00000001-C19D-8545-82D1-C4D00BBDD3BF}"/>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CO!$D$174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B70A-634B-886C-EE02B65A7173}"/>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CO!$H$215:$H$232</c:f>
              <c:numCache>
                <c:formatCode>0.00E+00</c:formatCode>
                <c:ptCount val="18"/>
                <c:pt idx="0">
                  <c:v>20.810004474059753</c:v>
                </c:pt>
                <c:pt idx="1">
                  <c:v>20.975440524839865</c:v>
                </c:pt>
                <c:pt idx="2">
                  <c:v>21.378836501431568</c:v>
                </c:pt>
                <c:pt idx="3">
                  <c:v>21.977709670670293</c:v>
                </c:pt>
                <c:pt idx="4">
                  <c:v>22.669394114052459</c:v>
                </c:pt>
                <c:pt idx="5">
                  <c:v>23.36796544759224</c:v>
                </c:pt>
                <c:pt idx="6">
                  <c:v>24.023037659736897</c:v>
                </c:pt>
                <c:pt idx="7">
                  <c:v>24.61230781857201</c:v>
                </c:pt>
                <c:pt idx="8">
                  <c:v>25.130323964455304</c:v>
                </c:pt>
                <c:pt idx="9">
                  <c:v>25.580214126553336</c:v>
                </c:pt>
                <c:pt idx="10">
                  <c:v>25.968762934785879</c:v>
                </c:pt>
                <c:pt idx="11">
                  <c:v>26.303798677393992</c:v>
                </c:pt>
                <c:pt idx="12">
                  <c:v>26.592934605515229</c:v>
                </c:pt>
                <c:pt idx="13">
                  <c:v>26.843039366241243</c:v>
                </c:pt>
                <c:pt idx="14">
                  <c:v>27.060076100286732</c:v>
                </c:pt>
                <c:pt idx="15">
                  <c:v>27.249115326776415</c:v>
                </c:pt>
                <c:pt idx="16">
                  <c:v>27.414420779353442</c:v>
                </c:pt>
                <c:pt idx="17">
                  <c:v>27.559558185544443</c:v>
                </c:pt>
              </c:numCache>
            </c:numRef>
          </c:val>
          <c:smooth val="0"/>
          <c:extLst>
            <c:ext xmlns:c16="http://schemas.microsoft.com/office/drawing/2014/chart" uri="{C3380CC4-5D6E-409C-BE32-E72D297353CC}">
              <c16:uniqueId val="{00000000-FB96-3A4F-9E48-412F82A7C7F7}"/>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CO!$J$263:$J$280</c:f>
              <c:numCache>
                <c:formatCode>0.00E+00</c:formatCode>
                <c:ptCount val="18"/>
                <c:pt idx="0">
                  <c:v>197.80282388267653</c:v>
                </c:pt>
                <c:pt idx="1">
                  <c:v>206.19892254729979</c:v>
                </c:pt>
                <c:pt idx="2">
                  <c:v>212.7736707120209</c:v>
                </c:pt>
                <c:pt idx="3">
                  <c:v>218.2381100833274</c:v>
                </c:pt>
                <c:pt idx="4">
                  <c:v>222.95904207855216</c:v>
                </c:pt>
                <c:pt idx="5">
                  <c:v>227.14222577551971</c:v>
                </c:pt>
                <c:pt idx="6">
                  <c:v>230.91226750408924</c:v>
                </c:pt>
                <c:pt idx="7">
                  <c:v>234.35047509443191</c:v>
                </c:pt>
                <c:pt idx="8">
                  <c:v>237.51358099541895</c:v>
                </c:pt>
                <c:pt idx="9">
                  <c:v>240.44341343120061</c:v>
                </c:pt>
                <c:pt idx="10">
                  <c:v>243.1721562478217</c:v>
                </c:pt>
                <c:pt idx="11">
                  <c:v>245.72537933294583</c:v>
                </c:pt>
                <c:pt idx="12">
                  <c:v>248.12389097781119</c:v>
                </c:pt>
                <c:pt idx="13">
                  <c:v>250.38493560137911</c:v>
                </c:pt>
                <c:pt idx="14">
                  <c:v>252.52300794774058</c:v>
                </c:pt>
                <c:pt idx="15">
                  <c:v>254.55043056962134</c:v>
                </c:pt>
                <c:pt idx="16">
                  <c:v>256.4777779341801</c:v>
                </c:pt>
                <c:pt idx="17">
                  <c:v>258.31419675329744</c:v>
                </c:pt>
              </c:numCache>
            </c:numRef>
          </c:val>
          <c:smooth val="0"/>
          <c:extLst>
            <c:ext xmlns:c16="http://schemas.microsoft.com/office/drawing/2014/chart" uri="{C3380CC4-5D6E-409C-BE32-E72D297353CC}">
              <c16:uniqueId val="{00000000-93FC-FC4C-8F33-BAB79829E7E5}"/>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3" name="Straight Arrow Connector 2">
          <a:extLst>
            <a:ext uri="{FF2B5EF4-FFF2-40B4-BE49-F238E27FC236}">
              <a16:creationId xmlns:a16="http://schemas.microsoft.com/office/drawing/2014/main" id="{766F5F82-436A-8994-0E1F-F8E2292BCD21}"/>
            </a:ext>
          </a:extLst>
        </xdr:cNvPr>
        <xdr:cNvCxnSpPr/>
      </xdr:nvCxnSpPr>
      <xdr:spPr>
        <a:xfrm>
          <a:off x="4884615" y="6852418"/>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4" name="Straight Arrow Connector 3">
          <a:extLst>
            <a:ext uri="{FF2B5EF4-FFF2-40B4-BE49-F238E27FC236}">
              <a16:creationId xmlns:a16="http://schemas.microsoft.com/office/drawing/2014/main" id="{FC066E15-6264-AB42-85A1-CD3F24F9109C}"/>
            </a:ext>
          </a:extLst>
        </xdr:cNvPr>
        <xdr:cNvCxnSpPr/>
      </xdr:nvCxnSpPr>
      <xdr:spPr>
        <a:xfrm>
          <a:off x="4841631" y="7856137"/>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8" name="Straight Arrow Connector 7">
          <a:extLst>
            <a:ext uri="{FF2B5EF4-FFF2-40B4-BE49-F238E27FC236}">
              <a16:creationId xmlns:a16="http://schemas.microsoft.com/office/drawing/2014/main" id="{7C23EF24-EB71-B31E-610D-8C9F4E0E7443}"/>
            </a:ext>
          </a:extLst>
        </xdr:cNvPr>
        <xdr:cNvCxnSpPr/>
      </xdr:nvCxnSpPr>
      <xdr:spPr>
        <a:xfrm>
          <a:off x="6174827" y="14641495"/>
          <a:ext cx="2233449"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a:t>
              </a:r>
              <a:r>
                <a:rPr lang="en-US" sz="1600" b="0" i="0">
                  <a:latin typeface="Cambria Math" panose="02040503050406030204" pitchFamily="18" charset="0"/>
                </a:rPr>
                <a:t>^</a:t>
              </a:r>
              <a:r>
                <a:rPr lang="it-IT" sz="1600" b="0" i="0">
                  <a:latin typeface="Cambria Math" panose="02040503050406030204" pitchFamily="18" charset="0"/>
                </a:rPr>
                <a:t>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11" name="Left Brace 10">
          <a:extLst>
            <a:ext uri="{FF2B5EF4-FFF2-40B4-BE49-F238E27FC236}">
              <a16:creationId xmlns:a16="http://schemas.microsoft.com/office/drawing/2014/main" id="{DE281D51-0CC5-F420-F131-39C062F376A2}"/>
            </a:ext>
          </a:extLst>
        </xdr:cNvPr>
        <xdr:cNvSpPr/>
      </xdr:nvSpPr>
      <xdr:spPr>
        <a:xfrm>
          <a:off x="8536420" y="14287500"/>
          <a:ext cx="209262" cy="1212273"/>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29" name="Straight Arrow Connector 28">
          <a:extLst>
            <a:ext uri="{FF2B5EF4-FFF2-40B4-BE49-F238E27FC236}">
              <a16:creationId xmlns:a16="http://schemas.microsoft.com/office/drawing/2014/main" id="{876D4E3A-F607-F44A-90AF-945FCA971896}"/>
            </a:ext>
          </a:extLst>
        </xdr:cNvPr>
        <xdr:cNvCxnSpPr/>
      </xdr:nvCxnSpPr>
      <xdr:spPr>
        <a:xfrm flipV="1">
          <a:off x="6479352" y="9936574"/>
          <a:ext cx="82315" cy="42333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33" name="Straight Arrow Connector 32">
          <a:extLst>
            <a:ext uri="{FF2B5EF4-FFF2-40B4-BE49-F238E27FC236}">
              <a16:creationId xmlns:a16="http://schemas.microsoft.com/office/drawing/2014/main" id="{69EECA0A-143D-F147-AEEA-D9E5473AF5E5}"/>
            </a:ext>
          </a:extLst>
        </xdr:cNvPr>
        <xdr:cNvCxnSpPr/>
      </xdr:nvCxnSpPr>
      <xdr:spPr>
        <a:xfrm flipH="1" flipV="1">
          <a:off x="6961481" y="9866019"/>
          <a:ext cx="646760" cy="482129"/>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40" name="Chart 39">
          <a:extLst>
            <a:ext uri="{FF2B5EF4-FFF2-40B4-BE49-F238E27FC236}">
              <a16:creationId xmlns:a16="http://schemas.microsoft.com/office/drawing/2014/main" id="{C537CA78-6FCB-FEFF-31EC-5F72D67BB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41" name="Straight Arrow Connector 40">
          <a:extLst>
            <a:ext uri="{FF2B5EF4-FFF2-40B4-BE49-F238E27FC236}">
              <a16:creationId xmlns:a16="http://schemas.microsoft.com/office/drawing/2014/main" id="{526BFF3D-25F3-5848-921B-3DD0C651E3D0}"/>
            </a:ext>
          </a:extLst>
        </xdr:cNvPr>
        <xdr:cNvCxnSpPr/>
      </xdr:nvCxnSpPr>
      <xdr:spPr>
        <a:xfrm>
          <a:off x="5786339" y="23871294"/>
          <a:ext cx="2481212"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𝑣𝑖𝑏=∏24_(𝑖=1)^(𝑁_𝑣𝑖𝑏)▒𝑒^((−(ℎ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43" name="Rectangle 42">
          <a:extLst>
            <a:ext uri="{FF2B5EF4-FFF2-40B4-BE49-F238E27FC236}">
              <a16:creationId xmlns:a16="http://schemas.microsoft.com/office/drawing/2014/main" id="{72FBFC5C-F123-354F-91DC-DD399F56DE9D}"/>
            </a:ext>
          </a:extLst>
        </xdr:cNvPr>
        <xdr:cNvSpPr/>
      </xdr:nvSpPr>
      <xdr:spPr>
        <a:xfrm>
          <a:off x="11102538" y="23185397"/>
          <a:ext cx="3026211" cy="12206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45" name="Chart 44">
          <a:extLst>
            <a:ext uri="{FF2B5EF4-FFF2-40B4-BE49-F238E27FC236}">
              <a16:creationId xmlns:a16="http://schemas.microsoft.com/office/drawing/2014/main" id="{65D586B4-954E-BF50-42F3-3F0636CE5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46" name="Straight Arrow Connector 45">
          <a:extLst>
            <a:ext uri="{FF2B5EF4-FFF2-40B4-BE49-F238E27FC236}">
              <a16:creationId xmlns:a16="http://schemas.microsoft.com/office/drawing/2014/main" id="{5B70BC7E-7D23-7F47-B2D8-ED5A0D760DD1}"/>
            </a:ext>
          </a:extLst>
        </xdr:cNvPr>
        <xdr:cNvCxnSpPr/>
      </xdr:nvCxnSpPr>
      <xdr:spPr>
        <a:xfrm>
          <a:off x="6006661" y="14795647"/>
          <a:ext cx="24804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49" name="Left Brace 48">
          <a:extLst>
            <a:ext uri="{FF2B5EF4-FFF2-40B4-BE49-F238E27FC236}">
              <a16:creationId xmlns:a16="http://schemas.microsoft.com/office/drawing/2014/main" id="{59284195-DCF7-7A4A-BB53-0B4841E19D3F}"/>
            </a:ext>
          </a:extLst>
        </xdr:cNvPr>
        <xdr:cNvSpPr/>
      </xdr:nvSpPr>
      <xdr:spPr>
        <a:xfrm>
          <a:off x="8624454" y="14499359"/>
          <a:ext cx="741315" cy="1179754"/>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56" name="Rounded Rectangle 55">
          <a:extLst>
            <a:ext uri="{FF2B5EF4-FFF2-40B4-BE49-F238E27FC236}">
              <a16:creationId xmlns:a16="http://schemas.microsoft.com/office/drawing/2014/main" id="{7DBD8B5F-7ECC-CBA0-8286-D1B03C567B95}"/>
            </a:ext>
          </a:extLst>
        </xdr:cNvPr>
        <xdr:cNvSpPr/>
      </xdr:nvSpPr>
      <xdr:spPr>
        <a:xfrm>
          <a:off x="9235132" y="32678775"/>
          <a:ext cx="2934537" cy="779026"/>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59" name="Curved Connector 58">
          <a:extLst>
            <a:ext uri="{FF2B5EF4-FFF2-40B4-BE49-F238E27FC236}">
              <a16:creationId xmlns:a16="http://schemas.microsoft.com/office/drawing/2014/main" id="{D6E45BA1-5C4E-B666-40DA-7708264B9084}"/>
            </a:ext>
          </a:extLst>
        </xdr:cNvPr>
        <xdr:cNvCxnSpPr>
          <a:endCxn id="57" idx="1"/>
        </xdr:cNvCxnSpPr>
      </xdr:nvCxnSpPr>
      <xdr:spPr>
        <a:xfrm rot="16200000" flipH="1">
          <a:off x="12505499" y="33378775"/>
          <a:ext cx="598708" cy="328602"/>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60" name="Chart 59">
          <a:extLst>
            <a:ext uri="{FF2B5EF4-FFF2-40B4-BE49-F238E27FC236}">
              <a16:creationId xmlns:a16="http://schemas.microsoft.com/office/drawing/2014/main" id="{AB471078-D93C-7467-9E8B-7596AB315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61" name="TextBox 60">
          <a:extLst>
            <a:ext uri="{FF2B5EF4-FFF2-40B4-BE49-F238E27FC236}">
              <a16:creationId xmlns:a16="http://schemas.microsoft.com/office/drawing/2014/main" id="{17FE8F14-366B-A462-67A4-6268203FA495}"/>
            </a:ext>
          </a:extLst>
        </xdr:cNvPr>
        <xdr:cNvSpPr txBox="1"/>
      </xdr:nvSpPr>
      <xdr:spPr>
        <a:xfrm>
          <a:off x="11797186" y="4001012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62" name="Straight Arrow Connector 61">
          <a:extLst>
            <a:ext uri="{FF2B5EF4-FFF2-40B4-BE49-F238E27FC236}">
              <a16:creationId xmlns:a16="http://schemas.microsoft.com/office/drawing/2014/main" id="{F048CF4A-DCB3-DE40-8164-C1F069403CE4}"/>
            </a:ext>
          </a:extLst>
        </xdr:cNvPr>
        <xdr:cNvCxnSpPr/>
      </xdr:nvCxnSpPr>
      <xdr:spPr>
        <a:xfrm>
          <a:off x="6007033" y="14673578"/>
          <a:ext cx="2616840"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𝑡𝑟𝑎𝑛𝑠𝑙=∑24_(𝑖=0)^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66" name="Rectangle 65">
          <a:extLst>
            <a:ext uri="{FF2B5EF4-FFF2-40B4-BE49-F238E27FC236}">
              <a16:creationId xmlns:a16="http://schemas.microsoft.com/office/drawing/2014/main" id="{6AF128DD-B119-2E44-AD70-45A999CC7302}"/>
            </a:ext>
          </a:extLst>
        </xdr:cNvPr>
        <xdr:cNvSpPr/>
      </xdr:nvSpPr>
      <xdr:spPr>
        <a:xfrm>
          <a:off x="12732014" y="41384202"/>
          <a:ext cx="4391820" cy="12272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67" name="Curved Connector 66">
          <a:extLst>
            <a:ext uri="{FF2B5EF4-FFF2-40B4-BE49-F238E27FC236}">
              <a16:creationId xmlns:a16="http://schemas.microsoft.com/office/drawing/2014/main" id="{DB615C68-D341-A24B-ADC5-B502AB570D65}"/>
            </a:ext>
          </a:extLst>
        </xdr:cNvPr>
        <xdr:cNvCxnSpPr/>
      </xdr:nvCxnSpPr>
      <xdr:spPr>
        <a:xfrm flipV="1">
          <a:off x="11747500" y="41441913"/>
          <a:ext cx="898527" cy="468087"/>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71" name="Curved Connector 70">
          <a:extLst>
            <a:ext uri="{FF2B5EF4-FFF2-40B4-BE49-F238E27FC236}">
              <a16:creationId xmlns:a16="http://schemas.microsoft.com/office/drawing/2014/main" id="{F4C4ADF8-DF70-4B47-96E4-90254604535E}"/>
            </a:ext>
          </a:extLst>
        </xdr:cNvPr>
        <xdr:cNvCxnSpPr/>
      </xdr:nvCxnSpPr>
      <xdr:spPr>
        <a:xfrm>
          <a:off x="11868346" y="14689097"/>
          <a:ext cx="934179" cy="169746"/>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73" name="Curved Connector 72">
          <a:extLst>
            <a:ext uri="{FF2B5EF4-FFF2-40B4-BE49-F238E27FC236}">
              <a16:creationId xmlns:a16="http://schemas.microsoft.com/office/drawing/2014/main" id="{4A9014D7-6962-9F79-D444-5FF21216EEEB}"/>
            </a:ext>
          </a:extLst>
        </xdr:cNvPr>
        <xdr:cNvCxnSpPr>
          <a:endCxn id="69" idx="1"/>
        </xdr:cNvCxnSpPr>
      </xdr:nvCxnSpPr>
      <xdr:spPr>
        <a:xfrm rot="16200000" flipH="1">
          <a:off x="13040148" y="42662051"/>
          <a:ext cx="496570"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77" name="Chart 76">
          <a:extLst>
            <a:ext uri="{FF2B5EF4-FFF2-40B4-BE49-F238E27FC236}">
              <a16:creationId xmlns:a16="http://schemas.microsoft.com/office/drawing/2014/main" id="{0729CD33-7580-0DD6-2141-B46987690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78" name="Straight Arrow Connector 77">
          <a:extLst>
            <a:ext uri="{FF2B5EF4-FFF2-40B4-BE49-F238E27FC236}">
              <a16:creationId xmlns:a16="http://schemas.microsoft.com/office/drawing/2014/main" id="{6006B184-4892-F743-80B3-19AC4EC239ED}"/>
            </a:ext>
          </a:extLst>
        </xdr:cNvPr>
        <xdr:cNvCxnSpPr/>
      </xdr:nvCxnSpPr>
      <xdr:spPr>
        <a:xfrm>
          <a:off x="6006661" y="41245513"/>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82" name="TextBox 81">
          <a:extLst>
            <a:ext uri="{FF2B5EF4-FFF2-40B4-BE49-F238E27FC236}">
              <a16:creationId xmlns:a16="http://schemas.microsoft.com/office/drawing/2014/main" id="{FFAC3BD0-1CF0-FB4C-A23E-264667CAECBD}"/>
            </a:ext>
          </a:extLst>
        </xdr:cNvPr>
        <xdr:cNvSpPr txBox="1"/>
      </xdr:nvSpPr>
      <xdr:spPr>
        <a:xfrm>
          <a:off x="13144209" y="50927732"/>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84" name="Straight Arrow Connector 83">
          <a:extLst>
            <a:ext uri="{FF2B5EF4-FFF2-40B4-BE49-F238E27FC236}">
              <a16:creationId xmlns:a16="http://schemas.microsoft.com/office/drawing/2014/main" id="{A8248C63-95AD-8C51-B428-1D1F8CDE8C2C}"/>
            </a:ext>
          </a:extLst>
        </xdr:cNvPr>
        <xdr:cNvCxnSpPr/>
      </xdr:nvCxnSpPr>
      <xdr:spPr>
        <a:xfrm flipH="1">
          <a:off x="9042644" y="50641250"/>
          <a:ext cx="696058" cy="40908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85" name="Straight Arrow Connector 84">
          <a:extLst>
            <a:ext uri="{FF2B5EF4-FFF2-40B4-BE49-F238E27FC236}">
              <a16:creationId xmlns:a16="http://schemas.microsoft.com/office/drawing/2014/main" id="{3D240A77-968A-2E45-BC81-7238C6146753}"/>
            </a:ext>
          </a:extLst>
        </xdr:cNvPr>
        <xdr:cNvCxnSpPr/>
      </xdr:nvCxnSpPr>
      <xdr:spPr>
        <a:xfrm flipH="1">
          <a:off x="10401300" y="50296396"/>
          <a:ext cx="212725" cy="7195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87" name="Straight Arrow Connector 86">
          <a:extLst>
            <a:ext uri="{FF2B5EF4-FFF2-40B4-BE49-F238E27FC236}">
              <a16:creationId xmlns:a16="http://schemas.microsoft.com/office/drawing/2014/main" id="{929BFFCC-8E08-C849-80EA-26EA8CFB7D97}"/>
            </a:ext>
          </a:extLst>
        </xdr:cNvPr>
        <xdr:cNvCxnSpPr/>
      </xdr:nvCxnSpPr>
      <xdr:spPr>
        <a:xfrm>
          <a:off x="11472740" y="50629038"/>
          <a:ext cx="427404" cy="7998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90" name="Straight Arrow Connector 89">
          <a:extLst>
            <a:ext uri="{FF2B5EF4-FFF2-40B4-BE49-F238E27FC236}">
              <a16:creationId xmlns:a16="http://schemas.microsoft.com/office/drawing/2014/main" id="{1F662DD2-8E14-2A48-9254-B80A2354CA81}"/>
            </a:ext>
          </a:extLst>
        </xdr:cNvPr>
        <xdr:cNvCxnSpPr/>
      </xdr:nvCxnSpPr>
      <xdr:spPr>
        <a:xfrm>
          <a:off x="12474087" y="50622933"/>
          <a:ext cx="567836" cy="35413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93" name="Rectangle 92">
          <a:extLst>
            <a:ext uri="{FF2B5EF4-FFF2-40B4-BE49-F238E27FC236}">
              <a16:creationId xmlns:a16="http://schemas.microsoft.com/office/drawing/2014/main" id="{09EB672E-6720-1A4B-BC2A-0023DC67095C}"/>
            </a:ext>
          </a:extLst>
        </xdr:cNvPr>
        <xdr:cNvSpPr/>
      </xdr:nvSpPr>
      <xdr:spPr>
        <a:xfrm>
          <a:off x="13716001" y="50444401"/>
          <a:ext cx="298704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95" name="Chart 94">
          <a:extLst>
            <a:ext uri="{FF2B5EF4-FFF2-40B4-BE49-F238E27FC236}">
              <a16:creationId xmlns:a16="http://schemas.microsoft.com/office/drawing/2014/main" id="{CC261C4D-CCD8-9AD7-E6F6-03C6D4035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106" name="Straight Arrow Connector 105">
          <a:extLst>
            <a:ext uri="{FF2B5EF4-FFF2-40B4-BE49-F238E27FC236}">
              <a16:creationId xmlns:a16="http://schemas.microsoft.com/office/drawing/2014/main" id="{ED0DD984-E0C8-6741-804C-1B040B480A93}"/>
            </a:ext>
          </a:extLst>
        </xdr:cNvPr>
        <xdr:cNvCxnSpPr/>
      </xdr:nvCxnSpPr>
      <xdr:spPr>
        <a:xfrm>
          <a:off x="6006661" y="49847647"/>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111" name="Straight Arrow Connector 110">
          <a:extLst>
            <a:ext uri="{FF2B5EF4-FFF2-40B4-BE49-F238E27FC236}">
              <a16:creationId xmlns:a16="http://schemas.microsoft.com/office/drawing/2014/main" id="{671C3A9E-A52B-F947-B122-D1FC02E704F4}"/>
            </a:ext>
          </a:extLst>
        </xdr:cNvPr>
        <xdr:cNvCxnSpPr/>
      </xdr:nvCxnSpPr>
      <xdr:spPr>
        <a:xfrm flipH="1">
          <a:off x="9052169" y="50132925"/>
          <a:ext cx="707456"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112" name="Straight Arrow Connector 111">
          <a:extLst>
            <a:ext uri="{FF2B5EF4-FFF2-40B4-BE49-F238E27FC236}">
              <a16:creationId xmlns:a16="http://schemas.microsoft.com/office/drawing/2014/main" id="{92B7CCCD-B87F-A043-A21D-BC2FE06E9189}"/>
            </a:ext>
          </a:extLst>
        </xdr:cNvPr>
        <xdr:cNvCxnSpPr/>
      </xdr:nvCxnSpPr>
      <xdr:spPr>
        <a:xfrm flipH="1">
          <a:off x="10325325" y="60453916"/>
          <a:ext cx="285318" cy="101709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113" name="Straight Arrow Connector 112">
          <a:extLst>
            <a:ext uri="{FF2B5EF4-FFF2-40B4-BE49-F238E27FC236}">
              <a16:creationId xmlns:a16="http://schemas.microsoft.com/office/drawing/2014/main" id="{942D57B3-FA86-CF44-B9CC-10E7A58EE3EC}"/>
            </a:ext>
          </a:extLst>
        </xdr:cNvPr>
        <xdr:cNvCxnSpPr/>
      </xdr:nvCxnSpPr>
      <xdr:spPr>
        <a:xfrm>
          <a:off x="11474149" y="60460266"/>
          <a:ext cx="865141" cy="7176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114" name="Straight Arrow Connector 113">
          <a:extLst>
            <a:ext uri="{FF2B5EF4-FFF2-40B4-BE49-F238E27FC236}">
              <a16:creationId xmlns:a16="http://schemas.microsoft.com/office/drawing/2014/main" id="{E95B03C0-9571-3048-B1F8-4E34E10F302C}"/>
            </a:ext>
          </a:extLst>
        </xdr:cNvPr>
        <xdr:cNvCxnSpPr/>
      </xdr:nvCxnSpPr>
      <xdr:spPr>
        <a:xfrm>
          <a:off x="12667124" y="60454161"/>
          <a:ext cx="1137551" cy="3480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123" name="Curved Connector 122">
          <a:extLst>
            <a:ext uri="{FF2B5EF4-FFF2-40B4-BE49-F238E27FC236}">
              <a16:creationId xmlns:a16="http://schemas.microsoft.com/office/drawing/2014/main" id="{EB701971-6F19-78AB-A7BE-787397812EC6}"/>
            </a:ext>
          </a:extLst>
        </xdr:cNvPr>
        <xdr:cNvCxnSpPr>
          <a:endCxn id="107" idx="0"/>
        </xdr:cNvCxnSpPr>
      </xdr:nvCxnSpPr>
      <xdr:spPr>
        <a:xfrm>
          <a:off x="8305800" y="61002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126" name="Chart 125">
          <a:extLst>
            <a:ext uri="{FF2B5EF4-FFF2-40B4-BE49-F238E27FC236}">
              <a16:creationId xmlns:a16="http://schemas.microsoft.com/office/drawing/2014/main" id="{D8D7C8EE-19B6-8CF0-6191-79A87A166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073017E-EA66-7896-FBF2-833273D82C30}"/>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2" name="TextBox 1">
              <a:extLst>
                <a:ext uri="{FF2B5EF4-FFF2-40B4-BE49-F238E27FC236}">
                  <a16:creationId xmlns:a16="http://schemas.microsoft.com/office/drawing/2014/main" id="{E073017E-EA66-7896-FBF2-833273D82C30}"/>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90C8C32F-1DBD-A845-8D0D-F90AA2AA8D09}"/>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874D22CD-C4F3-DD46-83E0-3F1B9B5EAD97}"/>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38B0BAD-F1B0-0740-80F0-83CB73B84D7A}"/>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438B0BAD-F1B0-0740-80F0-83CB73B84D7A}"/>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A4B3F97-AD32-9840-ACD8-96F4B03216E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BA4B3F97-AD32-9840-ACD8-96F4B03216E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64</xdr:row>
      <xdr:rowOff>131380</xdr:rowOff>
    </xdr:from>
    <xdr:to>
      <xdr:col>6</xdr:col>
      <xdr:colOff>613104</xdr:colOff>
      <xdr:row>64</xdr:row>
      <xdr:rowOff>145977</xdr:rowOff>
    </xdr:to>
    <xdr:cxnSp macro="">
      <xdr:nvCxnSpPr>
        <xdr:cNvPr id="6" name="Straight Arrow Connector 5">
          <a:extLst>
            <a:ext uri="{FF2B5EF4-FFF2-40B4-BE49-F238E27FC236}">
              <a16:creationId xmlns:a16="http://schemas.microsoft.com/office/drawing/2014/main" id="{59342D2A-B0FC-7B46-9098-B70318B8B02B}"/>
            </a:ext>
          </a:extLst>
        </xdr:cNvPr>
        <xdr:cNvCxnSpPr/>
      </xdr:nvCxnSpPr>
      <xdr:spPr>
        <a:xfrm>
          <a:off x="6002428" y="1718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62</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CDF5F3F0-9C46-E842-9F64-F4981514B3BA}"/>
                </a:ext>
              </a:extLst>
            </xdr:cNvPr>
            <xdr:cNvSpPr txBox="1"/>
          </xdr:nvSpPr>
          <xdr:spPr>
            <a:xfrm>
              <a:off x="9421430" y="16740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CDF5F3F0-9C46-E842-9F64-F4981514B3BA}"/>
                </a:ext>
              </a:extLst>
            </xdr:cNvPr>
            <xdr:cNvSpPr txBox="1"/>
          </xdr:nvSpPr>
          <xdr:spPr>
            <a:xfrm>
              <a:off x="9421430" y="16740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65</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C9204A17-B09D-8145-8477-1E99348E2814}"/>
                </a:ext>
              </a:extLst>
            </xdr:cNvPr>
            <xdr:cNvSpPr txBox="1"/>
          </xdr:nvSpPr>
          <xdr:spPr>
            <a:xfrm>
              <a:off x="9401190" y="17460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C9204A17-B09D-8145-8477-1E99348E2814}"/>
                </a:ext>
              </a:extLst>
            </xdr:cNvPr>
            <xdr:cNvSpPr txBox="1"/>
          </xdr:nvSpPr>
          <xdr:spPr>
            <a:xfrm>
              <a:off x="9401190" y="17460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63</xdr:row>
      <xdr:rowOff>72159</xdr:rowOff>
    </xdr:from>
    <xdr:to>
      <xdr:col>7</xdr:col>
      <xdr:colOff>137102</xdr:colOff>
      <xdr:row>67</xdr:row>
      <xdr:rowOff>202046</xdr:rowOff>
    </xdr:to>
    <xdr:sp macro="" textlink="">
      <xdr:nvSpPr>
        <xdr:cNvPr id="9" name="Left Brace 8">
          <a:extLst>
            <a:ext uri="{FF2B5EF4-FFF2-40B4-BE49-F238E27FC236}">
              <a16:creationId xmlns:a16="http://schemas.microsoft.com/office/drawing/2014/main" id="{73D02782-2440-6C43-87CC-E5DFBFCA0EED}"/>
            </a:ext>
          </a:extLst>
        </xdr:cNvPr>
        <xdr:cNvSpPr/>
      </xdr:nvSpPr>
      <xdr:spPr>
        <a:xfrm>
          <a:off x="8764154" y="16886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63</xdr:row>
      <xdr:rowOff>185401</xdr:rowOff>
    </xdr:from>
    <xdr:to>
      <xdr:col>14</xdr:col>
      <xdr:colOff>1079500</xdr:colOff>
      <xdr:row>68</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98DF72D3-C02E-1848-802D-0841FD1D9F6B}"/>
                </a:ext>
              </a:extLst>
            </xdr:cNvPr>
            <xdr:cNvSpPr/>
          </xdr:nvSpPr>
          <xdr:spPr>
            <a:xfrm>
              <a:off x="12863247" y="17000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98DF72D3-C02E-1848-802D-0841FD1D9F6B}"/>
                </a:ext>
              </a:extLst>
            </xdr:cNvPr>
            <xdr:cNvSpPr/>
          </xdr:nvSpPr>
          <xdr:spPr>
            <a:xfrm>
              <a:off x="12863247" y="17000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DF0B1593-31A6-434B-9FB8-06C4F651B7E6}"/>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86E541D0-DE04-1C47-A692-570E7402C9A8}"/>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86E541D0-DE04-1C47-A692-570E7402C9A8}"/>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2E902EDC-032C-1E40-A865-51B997336417}"/>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79</xdr:row>
      <xdr:rowOff>222790</xdr:rowOff>
    </xdr:from>
    <xdr:to>
      <xdr:col>14</xdr:col>
      <xdr:colOff>351463</xdr:colOff>
      <xdr:row>94</xdr:row>
      <xdr:rowOff>135466</xdr:rowOff>
    </xdr:to>
    <xdr:graphicFrame macro="">
      <xdr:nvGraphicFramePr>
        <xdr:cNvPr id="14" name="Chart 13">
          <a:extLst>
            <a:ext uri="{FF2B5EF4-FFF2-40B4-BE49-F238E27FC236}">
              <a16:creationId xmlns:a16="http://schemas.microsoft.com/office/drawing/2014/main" id="{A3E460C3-2BB6-1E4C-A08C-45093C68FD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101</xdr:row>
      <xdr:rowOff>168476</xdr:rowOff>
    </xdr:from>
    <xdr:to>
      <xdr:col>6</xdr:col>
      <xdr:colOff>520551</xdr:colOff>
      <xdr:row>101</xdr:row>
      <xdr:rowOff>183073</xdr:rowOff>
    </xdr:to>
    <xdr:cxnSp macro="">
      <xdr:nvCxnSpPr>
        <xdr:cNvPr id="15" name="Straight Arrow Connector 14">
          <a:extLst>
            <a:ext uri="{FF2B5EF4-FFF2-40B4-BE49-F238E27FC236}">
              <a16:creationId xmlns:a16="http://schemas.microsoft.com/office/drawing/2014/main" id="{B4DE0C7B-9CB4-5E42-85A0-AB6B9058F141}"/>
            </a:ext>
          </a:extLst>
        </xdr:cNvPr>
        <xdr:cNvCxnSpPr/>
      </xdr:nvCxnSpPr>
      <xdr:spPr>
        <a:xfrm>
          <a:off x="5909875" y="26190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99</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237931DF-E0DE-F64A-8D6A-BD50366B98CD}"/>
                </a:ext>
              </a:extLst>
            </xdr:cNvPr>
            <xdr:cNvSpPr txBox="1"/>
          </xdr:nvSpPr>
          <xdr:spPr>
            <a:xfrm>
              <a:off x="8900938" y="25734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237931DF-E0DE-F64A-8D6A-BD50366B98CD}"/>
                </a:ext>
              </a:extLst>
            </xdr:cNvPr>
            <xdr:cNvSpPr txBox="1"/>
          </xdr:nvSpPr>
          <xdr:spPr>
            <a:xfrm>
              <a:off x="8900938" y="25734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99</xdr:row>
      <xdr:rowOff>63114</xdr:rowOff>
    </xdr:from>
    <xdr:to>
      <xdr:col>12</xdr:col>
      <xdr:colOff>766140</xdr:colOff>
      <xdr:row>103</xdr:row>
      <xdr:rowOff>220870</xdr:rowOff>
    </xdr:to>
    <xdr:sp macro="" textlink="">
      <xdr:nvSpPr>
        <xdr:cNvPr id="17" name="Rectangle 16">
          <a:extLst>
            <a:ext uri="{FF2B5EF4-FFF2-40B4-BE49-F238E27FC236}">
              <a16:creationId xmlns:a16="http://schemas.microsoft.com/office/drawing/2014/main" id="{D9D85F3A-E06F-7E4A-9425-5E5A3BC05CBE}"/>
            </a:ext>
          </a:extLst>
        </xdr:cNvPr>
        <xdr:cNvSpPr/>
      </xdr:nvSpPr>
      <xdr:spPr>
        <a:xfrm>
          <a:off x="11431081" y="25602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23</xdr:col>
      <xdr:colOff>558800</xdr:colOff>
      <xdr:row>116</xdr:row>
      <xdr:rowOff>84667</xdr:rowOff>
    </xdr:from>
    <xdr:to>
      <xdr:col>27</xdr:col>
      <xdr:colOff>846667</xdr:colOff>
      <xdr:row>133</xdr:row>
      <xdr:rowOff>50800</xdr:rowOff>
    </xdr:to>
    <xdr:graphicFrame macro="">
      <xdr:nvGraphicFramePr>
        <xdr:cNvPr id="18" name="Chart 17">
          <a:extLst>
            <a:ext uri="{FF2B5EF4-FFF2-40B4-BE49-F238E27FC236}">
              <a16:creationId xmlns:a16="http://schemas.microsoft.com/office/drawing/2014/main" id="{7A87D039-AB14-6F4B-B78A-8AC1A7B044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136</xdr:row>
      <xdr:rowOff>131380</xdr:rowOff>
    </xdr:from>
    <xdr:to>
      <xdr:col>6</xdr:col>
      <xdr:colOff>613104</xdr:colOff>
      <xdr:row>136</xdr:row>
      <xdr:rowOff>145977</xdr:rowOff>
    </xdr:to>
    <xdr:cxnSp macro="">
      <xdr:nvCxnSpPr>
        <xdr:cNvPr id="19" name="Straight Arrow Connector 18">
          <a:extLst>
            <a:ext uri="{FF2B5EF4-FFF2-40B4-BE49-F238E27FC236}">
              <a16:creationId xmlns:a16="http://schemas.microsoft.com/office/drawing/2014/main" id="{D947B601-1FA8-3243-8569-837026291D01}"/>
            </a:ext>
          </a:extLst>
        </xdr:cNvPr>
        <xdr:cNvCxnSpPr/>
      </xdr:nvCxnSpPr>
      <xdr:spPr>
        <a:xfrm>
          <a:off x="6002428" y="35183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134</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C89B59C1-9A1B-2946-BC29-62A1F721A3E4}"/>
                </a:ext>
              </a:extLst>
            </xdr:cNvPr>
            <xdr:cNvSpPr txBox="1"/>
          </xdr:nvSpPr>
          <xdr:spPr>
            <a:xfrm>
              <a:off x="9421430" y="34787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C89B59C1-9A1B-2946-BC29-62A1F721A3E4}"/>
                </a:ext>
              </a:extLst>
            </xdr:cNvPr>
            <xdr:cNvSpPr txBox="1"/>
          </xdr:nvSpPr>
          <xdr:spPr>
            <a:xfrm>
              <a:off x="9421430" y="34787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135</xdr:row>
      <xdr:rowOff>72159</xdr:rowOff>
    </xdr:from>
    <xdr:to>
      <xdr:col>7</xdr:col>
      <xdr:colOff>137102</xdr:colOff>
      <xdr:row>139</xdr:row>
      <xdr:rowOff>202046</xdr:rowOff>
    </xdr:to>
    <xdr:sp macro="" textlink="">
      <xdr:nvSpPr>
        <xdr:cNvPr id="21" name="Left Brace 20">
          <a:extLst>
            <a:ext uri="{FF2B5EF4-FFF2-40B4-BE49-F238E27FC236}">
              <a16:creationId xmlns:a16="http://schemas.microsoft.com/office/drawing/2014/main" id="{AC0F62E1-666F-954D-AA84-4D40907883C4}"/>
            </a:ext>
          </a:extLst>
        </xdr:cNvPr>
        <xdr:cNvSpPr/>
      </xdr:nvSpPr>
      <xdr:spPr>
        <a:xfrm>
          <a:off x="8764154" y="348828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134</xdr:row>
      <xdr:rowOff>183035</xdr:rowOff>
    </xdr:from>
    <xdr:to>
      <xdr:col>14</xdr:col>
      <xdr:colOff>737933</xdr:colOff>
      <xdr:row>139</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10D1D50C-40F4-BB49-9EA9-F456F0D08442}"/>
                </a:ext>
              </a:extLst>
            </xdr:cNvPr>
            <xdr:cNvSpPr/>
          </xdr:nvSpPr>
          <xdr:spPr>
            <a:xfrm>
              <a:off x="12521680" y="34790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=2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=6</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10D1D50C-40F4-BB49-9EA9-F456F0D08442}"/>
                </a:ext>
              </a:extLst>
            </xdr:cNvPr>
            <xdr:cNvSpPr/>
          </xdr:nvSpPr>
          <xdr:spPr>
            <a:xfrm>
              <a:off x="12521680" y="34790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=2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=6</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137</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AA6EF5F5-22C6-6544-9E5B-CC3086E83C8A}"/>
                </a:ext>
              </a:extLst>
            </xdr:cNvPr>
            <xdr:cNvSpPr txBox="1"/>
          </xdr:nvSpPr>
          <xdr:spPr>
            <a:xfrm>
              <a:off x="9358575" y="35490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AA6EF5F5-22C6-6544-9E5B-CC3086E83C8A}"/>
                </a:ext>
              </a:extLst>
            </xdr:cNvPr>
            <xdr:cNvSpPr txBox="1"/>
          </xdr:nvSpPr>
          <xdr:spPr>
            <a:xfrm>
              <a:off x="9358575" y="35490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137</xdr:row>
      <xdr:rowOff>63500</xdr:rowOff>
    </xdr:from>
    <xdr:to>
      <xdr:col>10</xdr:col>
      <xdr:colOff>362856</xdr:colOff>
      <xdr:row>140</xdr:row>
      <xdr:rowOff>88900</xdr:rowOff>
    </xdr:to>
    <xdr:sp macro="" textlink="">
      <xdr:nvSpPr>
        <xdr:cNvPr id="24" name="Rounded Rectangle 23">
          <a:extLst>
            <a:ext uri="{FF2B5EF4-FFF2-40B4-BE49-F238E27FC236}">
              <a16:creationId xmlns:a16="http://schemas.microsoft.com/office/drawing/2014/main" id="{8FFF21BD-F686-BB4C-8F3A-A8971F291DCA}"/>
            </a:ext>
          </a:extLst>
        </xdr:cNvPr>
        <xdr:cNvSpPr/>
      </xdr:nvSpPr>
      <xdr:spPr>
        <a:xfrm>
          <a:off x="9334499" y="354584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140</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BFC21E09-B79C-E34E-B407-01B556DD8ED2}"/>
                </a:ext>
              </a:extLst>
            </xdr:cNvPr>
            <xdr:cNvSpPr txBox="1"/>
          </xdr:nvSpPr>
          <xdr:spPr>
            <a:xfrm>
              <a:off x="13408630" y="36234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BFC21E09-B79C-E34E-B407-01B556DD8ED2}"/>
                </a:ext>
              </a:extLst>
            </xdr:cNvPr>
            <xdr:cNvSpPr txBox="1"/>
          </xdr:nvSpPr>
          <xdr:spPr>
            <a:xfrm>
              <a:off x="13408630" y="36234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139</xdr:row>
      <xdr:rowOff>126030</xdr:rowOff>
    </xdr:from>
    <xdr:to>
      <xdr:col>11</xdr:col>
      <xdr:colOff>213330</xdr:colOff>
      <xdr:row>141</xdr:row>
      <xdr:rowOff>194408</xdr:rowOff>
    </xdr:to>
    <xdr:cxnSp macro="">
      <xdr:nvCxnSpPr>
        <xdr:cNvPr id="26" name="Curved Connector 25">
          <a:extLst>
            <a:ext uri="{FF2B5EF4-FFF2-40B4-BE49-F238E27FC236}">
              <a16:creationId xmlns:a16="http://schemas.microsoft.com/office/drawing/2014/main" id="{4C1CB9B5-B925-6948-871B-5A4E1D9270D3}"/>
            </a:ext>
          </a:extLst>
        </xdr:cNvPr>
        <xdr:cNvCxnSpPr>
          <a:endCxn id="25" idx="1"/>
        </xdr:cNvCxnSpPr>
      </xdr:nvCxnSpPr>
      <xdr:spPr>
        <a:xfrm rot="16200000" flipH="1">
          <a:off x="12871846" y="360939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151</xdr:row>
      <xdr:rowOff>222807</xdr:rowOff>
    </xdr:from>
    <xdr:to>
      <xdr:col>15</xdr:col>
      <xdr:colOff>824046</xdr:colOff>
      <xdr:row>164</xdr:row>
      <xdr:rowOff>171380</xdr:rowOff>
    </xdr:to>
    <xdr:graphicFrame macro="">
      <xdr:nvGraphicFramePr>
        <xdr:cNvPr id="27" name="Chart 26">
          <a:extLst>
            <a:ext uri="{FF2B5EF4-FFF2-40B4-BE49-F238E27FC236}">
              <a16:creationId xmlns:a16="http://schemas.microsoft.com/office/drawing/2014/main" id="{3B4523CA-2C40-2D43-AF55-8789DF67D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165</xdr:row>
      <xdr:rowOff>38545</xdr:rowOff>
    </xdr:from>
    <xdr:ext cx="65" cy="172227"/>
    <xdr:sp macro="" textlink="">
      <xdr:nvSpPr>
        <xdr:cNvPr id="28" name="TextBox 27">
          <a:extLst>
            <a:ext uri="{FF2B5EF4-FFF2-40B4-BE49-F238E27FC236}">
              <a16:creationId xmlns:a16="http://schemas.microsoft.com/office/drawing/2014/main" id="{37DCF093-5DDF-744E-9F8E-9885BE74D192}"/>
            </a:ext>
          </a:extLst>
        </xdr:cNvPr>
        <xdr:cNvSpPr txBox="1"/>
      </xdr:nvSpPr>
      <xdr:spPr>
        <a:xfrm>
          <a:off x="11731458" y="423549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172</xdr:row>
      <xdr:rowOff>131380</xdr:rowOff>
    </xdr:from>
    <xdr:to>
      <xdr:col>6</xdr:col>
      <xdr:colOff>613104</xdr:colOff>
      <xdr:row>172</xdr:row>
      <xdr:rowOff>145977</xdr:rowOff>
    </xdr:to>
    <xdr:cxnSp macro="">
      <xdr:nvCxnSpPr>
        <xdr:cNvPr id="29" name="Straight Arrow Connector 28">
          <a:extLst>
            <a:ext uri="{FF2B5EF4-FFF2-40B4-BE49-F238E27FC236}">
              <a16:creationId xmlns:a16="http://schemas.microsoft.com/office/drawing/2014/main" id="{FE944EB9-E069-8C43-940F-ABF5B4469980}"/>
            </a:ext>
          </a:extLst>
        </xdr:cNvPr>
        <xdr:cNvCxnSpPr/>
      </xdr:nvCxnSpPr>
      <xdr:spPr>
        <a:xfrm>
          <a:off x="6002428" y="43946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170</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C4325EB2-9EEC-9E41-8069-6009F182AC02}"/>
                </a:ext>
              </a:extLst>
            </xdr:cNvPr>
            <xdr:cNvSpPr txBox="1"/>
          </xdr:nvSpPr>
          <xdr:spPr>
            <a:xfrm>
              <a:off x="9506096" y="43571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C4325EB2-9EEC-9E41-8069-6009F182AC02}"/>
                </a:ext>
              </a:extLst>
            </xdr:cNvPr>
            <xdr:cNvSpPr txBox="1"/>
          </xdr:nvSpPr>
          <xdr:spPr>
            <a:xfrm>
              <a:off x="9506096" y="43571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171</xdr:row>
      <xdr:rowOff>75335</xdr:rowOff>
    </xdr:from>
    <xdr:to>
      <xdr:col>14</xdr:col>
      <xdr:colOff>1062567</xdr:colOff>
      <xdr:row>175</xdr:row>
      <xdr:rowOff>218898</xdr:rowOff>
    </xdr:to>
    <xdr:sp macro="" textlink="">
      <xdr:nvSpPr>
        <xdr:cNvPr id="31" name="Rectangle 30">
          <a:extLst>
            <a:ext uri="{FF2B5EF4-FFF2-40B4-BE49-F238E27FC236}">
              <a16:creationId xmlns:a16="http://schemas.microsoft.com/office/drawing/2014/main" id="{F448A9AE-4C2C-8243-AC48-BD76BC4BCE77}"/>
            </a:ext>
          </a:extLst>
        </xdr:cNvPr>
        <xdr:cNvSpPr/>
      </xdr:nvSpPr>
      <xdr:spPr>
        <a:xfrm>
          <a:off x="12846314" y="43649035"/>
          <a:ext cx="4726253" cy="12103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172</xdr:row>
      <xdr:rowOff>155965</xdr:rowOff>
    </xdr:from>
    <xdr:to>
      <xdr:col>10</xdr:col>
      <xdr:colOff>679561</xdr:colOff>
      <xdr:row>174</xdr:row>
      <xdr:rowOff>43793</xdr:rowOff>
    </xdr:to>
    <xdr:cxnSp macro="">
      <xdr:nvCxnSpPr>
        <xdr:cNvPr id="32" name="Curved Connector 31">
          <a:extLst>
            <a:ext uri="{FF2B5EF4-FFF2-40B4-BE49-F238E27FC236}">
              <a16:creationId xmlns:a16="http://schemas.microsoft.com/office/drawing/2014/main" id="{FF497BEE-4CBA-944F-854C-DF0E4E3F7799}"/>
            </a:ext>
          </a:extLst>
        </xdr:cNvPr>
        <xdr:cNvCxnSpPr/>
      </xdr:nvCxnSpPr>
      <xdr:spPr>
        <a:xfrm flipV="1">
          <a:off x="11697138" y="439709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176</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499083A7-8B84-464E-838C-2DFE2D06CBC4}"/>
                </a:ext>
              </a:extLst>
            </xdr:cNvPr>
            <xdr:cNvSpPr txBox="1"/>
          </xdr:nvSpPr>
          <xdr:spPr>
            <a:xfrm>
              <a:off x="13635567" y="45017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499083A7-8B84-464E-838C-2DFE2D06CBC4}"/>
                </a:ext>
              </a:extLst>
            </xdr:cNvPr>
            <xdr:cNvSpPr txBox="1"/>
          </xdr:nvSpPr>
          <xdr:spPr>
            <a:xfrm>
              <a:off x="13635567" y="45017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63</xdr:row>
      <xdr:rowOff>177230</xdr:rowOff>
    </xdr:from>
    <xdr:to>
      <xdr:col>10</xdr:col>
      <xdr:colOff>813725</xdr:colOff>
      <xdr:row>64</xdr:row>
      <xdr:rowOff>101443</xdr:rowOff>
    </xdr:to>
    <xdr:cxnSp macro="">
      <xdr:nvCxnSpPr>
        <xdr:cNvPr id="34" name="Curved Connector 33">
          <a:extLst>
            <a:ext uri="{FF2B5EF4-FFF2-40B4-BE49-F238E27FC236}">
              <a16:creationId xmlns:a16="http://schemas.microsoft.com/office/drawing/2014/main" id="{878E27BA-7C8A-7B44-98F5-5C7356305CE8}"/>
            </a:ext>
          </a:extLst>
        </xdr:cNvPr>
        <xdr:cNvCxnSpPr/>
      </xdr:nvCxnSpPr>
      <xdr:spPr>
        <a:xfrm>
          <a:off x="11796379" y="16992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175</xdr:row>
      <xdr:rowOff>118533</xdr:rowOff>
    </xdr:from>
    <xdr:to>
      <xdr:col>11</xdr:col>
      <xdr:colOff>440266</xdr:colOff>
      <xdr:row>177</xdr:row>
      <xdr:rowOff>124036</xdr:rowOff>
    </xdr:to>
    <xdr:cxnSp macro="">
      <xdr:nvCxnSpPr>
        <xdr:cNvPr id="35" name="Curved Connector 34">
          <a:extLst>
            <a:ext uri="{FF2B5EF4-FFF2-40B4-BE49-F238E27FC236}">
              <a16:creationId xmlns:a16="http://schemas.microsoft.com/office/drawing/2014/main" id="{DA92CABD-72AE-AF48-9593-1AFAEB57DE76}"/>
            </a:ext>
          </a:extLst>
        </xdr:cNvPr>
        <xdr:cNvCxnSpPr>
          <a:endCxn id="33" idx="1"/>
        </xdr:cNvCxnSpPr>
      </xdr:nvCxnSpPr>
      <xdr:spPr>
        <a:xfrm rot="16200000" flipH="1">
          <a:off x="13294148" y="44905718"/>
          <a:ext cx="4881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173</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70542FEC-A89C-EF48-9645-BC6F22C150E4}"/>
                </a:ext>
              </a:extLst>
            </xdr:cNvPr>
            <xdr:cNvSpPr txBox="1"/>
          </xdr:nvSpPr>
          <xdr:spPr>
            <a:xfrm>
              <a:off x="10195473" y="44302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70542FEC-A89C-EF48-9645-BC6F22C150E4}"/>
                </a:ext>
              </a:extLst>
            </xdr:cNvPr>
            <xdr:cNvSpPr txBox="1"/>
          </xdr:nvSpPr>
          <xdr:spPr>
            <a:xfrm>
              <a:off x="10195473" y="44302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190</xdr:row>
      <xdr:rowOff>25400</xdr:rowOff>
    </xdr:from>
    <xdr:to>
      <xdr:col>12</xdr:col>
      <xdr:colOff>762000</xdr:colOff>
      <xdr:row>202</xdr:row>
      <xdr:rowOff>67734</xdr:rowOff>
    </xdr:to>
    <xdr:graphicFrame macro="">
      <xdr:nvGraphicFramePr>
        <xdr:cNvPr id="37" name="Chart 36">
          <a:extLst>
            <a:ext uri="{FF2B5EF4-FFF2-40B4-BE49-F238E27FC236}">
              <a16:creationId xmlns:a16="http://schemas.microsoft.com/office/drawing/2014/main" id="{859B7CA6-16BE-194E-9AC1-0A8303178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211</xdr:row>
      <xdr:rowOff>131380</xdr:rowOff>
    </xdr:from>
    <xdr:to>
      <xdr:col>6</xdr:col>
      <xdr:colOff>613104</xdr:colOff>
      <xdr:row>211</xdr:row>
      <xdr:rowOff>145977</xdr:rowOff>
    </xdr:to>
    <xdr:cxnSp macro="">
      <xdr:nvCxnSpPr>
        <xdr:cNvPr id="38" name="Straight Arrow Connector 37">
          <a:extLst>
            <a:ext uri="{FF2B5EF4-FFF2-40B4-BE49-F238E27FC236}">
              <a16:creationId xmlns:a16="http://schemas.microsoft.com/office/drawing/2014/main" id="{1C37AE03-7CDE-D846-BDE8-8E3EB360CF12}"/>
            </a:ext>
          </a:extLst>
        </xdr:cNvPr>
        <xdr:cNvCxnSpPr/>
      </xdr:nvCxnSpPr>
      <xdr:spPr>
        <a:xfrm>
          <a:off x="6002428" y="53496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213</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540D66EC-7661-AF48-AFD6-3CF00E0DF6F3}"/>
                </a:ext>
              </a:extLst>
            </xdr:cNvPr>
            <xdr:cNvSpPr txBox="1"/>
          </xdr:nvSpPr>
          <xdr:spPr>
            <a:xfrm>
              <a:off x="8659887" y="541134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540D66EC-7661-AF48-AFD6-3CF00E0DF6F3}"/>
                </a:ext>
              </a:extLst>
            </xdr:cNvPr>
            <xdr:cNvSpPr txBox="1"/>
          </xdr:nvSpPr>
          <xdr:spPr>
            <a:xfrm>
              <a:off x="8659887" y="541134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216</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13D8E8F1-EBA1-D448-98FE-19654A7BDCBE}"/>
                </a:ext>
              </a:extLst>
            </xdr:cNvPr>
            <xdr:cNvSpPr txBox="1"/>
          </xdr:nvSpPr>
          <xdr:spPr>
            <a:xfrm>
              <a:off x="9186937" y="546235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13D8E8F1-EBA1-D448-98FE-19654A7BDCBE}"/>
                </a:ext>
              </a:extLst>
            </xdr:cNvPr>
            <xdr:cNvSpPr txBox="1"/>
          </xdr:nvSpPr>
          <xdr:spPr>
            <a:xfrm>
              <a:off x="9186937" y="546235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9</xdr:col>
      <xdr:colOff>1035243</xdr:colOff>
      <xdr:row>216</xdr:row>
      <xdr:rowOff>34446</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CF62EF14-1470-A942-A6F5-D1E6B1E4CB62}"/>
                </a:ext>
              </a:extLst>
            </xdr:cNvPr>
            <xdr:cNvSpPr txBox="1"/>
          </xdr:nvSpPr>
          <xdr:spPr>
            <a:xfrm>
              <a:off x="12020743" y="54631746"/>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CF62EF14-1470-A942-A6F5-D1E6B1E4CB62}"/>
                </a:ext>
              </a:extLst>
            </xdr:cNvPr>
            <xdr:cNvSpPr txBox="1"/>
          </xdr:nvSpPr>
          <xdr:spPr>
            <a:xfrm>
              <a:off x="12020743" y="54631746"/>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213</xdr:row>
      <xdr:rowOff>146049</xdr:rowOff>
    </xdr:from>
    <xdr:ext cx="282578" cy="411278"/>
    <xdr:sp macro="" textlink="">
      <xdr:nvSpPr>
        <xdr:cNvPr id="42" name="TextBox 41">
          <a:extLst>
            <a:ext uri="{FF2B5EF4-FFF2-40B4-BE49-F238E27FC236}">
              <a16:creationId xmlns:a16="http://schemas.microsoft.com/office/drawing/2014/main" id="{716844C3-BE79-3144-9189-FAC85DFF21FA}"/>
            </a:ext>
          </a:extLst>
        </xdr:cNvPr>
        <xdr:cNvSpPr txBox="1"/>
      </xdr:nvSpPr>
      <xdr:spPr>
        <a:xfrm>
          <a:off x="13413596" y="540702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212</xdr:row>
      <xdr:rowOff>61058</xdr:rowOff>
    </xdr:from>
    <xdr:to>
      <xdr:col>7</xdr:col>
      <xdr:colOff>378558</xdr:colOff>
      <xdr:row>214</xdr:row>
      <xdr:rowOff>67164</xdr:rowOff>
    </xdr:to>
    <xdr:cxnSp macro="">
      <xdr:nvCxnSpPr>
        <xdr:cNvPr id="43" name="Straight Arrow Connector 42">
          <a:extLst>
            <a:ext uri="{FF2B5EF4-FFF2-40B4-BE49-F238E27FC236}">
              <a16:creationId xmlns:a16="http://schemas.microsoft.com/office/drawing/2014/main" id="{59B85DDF-656A-A44C-8D24-CC09C645A8BA}"/>
            </a:ext>
          </a:extLst>
        </xdr:cNvPr>
        <xdr:cNvCxnSpPr/>
      </xdr:nvCxnSpPr>
      <xdr:spPr>
        <a:xfrm flipH="1">
          <a:off x="9039469" y="537820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212</xdr:row>
      <xdr:rowOff>42496</xdr:rowOff>
    </xdr:from>
    <xdr:to>
      <xdr:col>8</xdr:col>
      <xdr:colOff>390525</xdr:colOff>
      <xdr:row>215</xdr:row>
      <xdr:rowOff>152400</xdr:rowOff>
    </xdr:to>
    <xdr:cxnSp macro="">
      <xdr:nvCxnSpPr>
        <xdr:cNvPr id="44" name="Straight Arrow Connector 43">
          <a:extLst>
            <a:ext uri="{FF2B5EF4-FFF2-40B4-BE49-F238E27FC236}">
              <a16:creationId xmlns:a16="http://schemas.microsoft.com/office/drawing/2014/main" id="{18A40071-E299-BB46-8F47-ECC616C578BC}"/>
            </a:ext>
          </a:extLst>
        </xdr:cNvPr>
        <xdr:cNvCxnSpPr/>
      </xdr:nvCxnSpPr>
      <xdr:spPr>
        <a:xfrm flipH="1">
          <a:off x="10337800" y="537634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212</xdr:row>
      <xdr:rowOff>48846</xdr:rowOff>
    </xdr:from>
    <xdr:to>
      <xdr:col>9</xdr:col>
      <xdr:colOff>854807</xdr:colOff>
      <xdr:row>216</xdr:row>
      <xdr:rowOff>42740</xdr:rowOff>
    </xdr:to>
    <xdr:cxnSp macro="">
      <xdr:nvCxnSpPr>
        <xdr:cNvPr id="45" name="Straight Arrow Connector 44">
          <a:extLst>
            <a:ext uri="{FF2B5EF4-FFF2-40B4-BE49-F238E27FC236}">
              <a16:creationId xmlns:a16="http://schemas.microsoft.com/office/drawing/2014/main" id="{B0AFEAAE-1190-3C4F-9C26-B6ABFE0E37CD}"/>
            </a:ext>
          </a:extLst>
        </xdr:cNvPr>
        <xdr:cNvCxnSpPr/>
      </xdr:nvCxnSpPr>
      <xdr:spPr>
        <a:xfrm>
          <a:off x="11412903" y="537698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212</xdr:row>
      <xdr:rowOff>42741</xdr:rowOff>
    </xdr:from>
    <xdr:to>
      <xdr:col>11</xdr:col>
      <xdr:colOff>116010</xdr:colOff>
      <xdr:row>213</xdr:row>
      <xdr:rowOff>195384</xdr:rowOff>
    </xdr:to>
    <xdr:cxnSp macro="">
      <xdr:nvCxnSpPr>
        <xdr:cNvPr id="46" name="Straight Arrow Connector 45">
          <a:extLst>
            <a:ext uri="{FF2B5EF4-FFF2-40B4-BE49-F238E27FC236}">
              <a16:creationId xmlns:a16="http://schemas.microsoft.com/office/drawing/2014/main" id="{AB8AACE7-2DFF-DA47-A82D-AC8170CF5DDE}"/>
            </a:ext>
          </a:extLst>
        </xdr:cNvPr>
        <xdr:cNvCxnSpPr/>
      </xdr:nvCxnSpPr>
      <xdr:spPr>
        <a:xfrm>
          <a:off x="12603774" y="537637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211</xdr:row>
      <xdr:rowOff>233681</xdr:rowOff>
    </xdr:from>
    <xdr:to>
      <xdr:col>14</xdr:col>
      <xdr:colOff>650241</xdr:colOff>
      <xdr:row>214</xdr:row>
      <xdr:rowOff>162561</xdr:rowOff>
    </xdr:to>
    <xdr:sp macro="" textlink="">
      <xdr:nvSpPr>
        <xdr:cNvPr id="47" name="Rectangle 46">
          <a:extLst>
            <a:ext uri="{FF2B5EF4-FFF2-40B4-BE49-F238E27FC236}">
              <a16:creationId xmlns:a16="http://schemas.microsoft.com/office/drawing/2014/main" id="{CC540649-84CE-AA49-AEE3-114FB6570999}"/>
            </a:ext>
          </a:extLst>
        </xdr:cNvPr>
        <xdr:cNvSpPr/>
      </xdr:nvSpPr>
      <xdr:spPr>
        <a:xfrm>
          <a:off x="13967461" y="535990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232</xdr:row>
      <xdr:rowOff>88900</xdr:rowOff>
    </xdr:from>
    <xdr:to>
      <xdr:col>14</xdr:col>
      <xdr:colOff>863600</xdr:colOff>
      <xdr:row>245</xdr:row>
      <xdr:rowOff>25400</xdr:rowOff>
    </xdr:to>
    <xdr:graphicFrame macro="">
      <xdr:nvGraphicFramePr>
        <xdr:cNvPr id="48" name="Chart 47">
          <a:extLst>
            <a:ext uri="{FF2B5EF4-FFF2-40B4-BE49-F238E27FC236}">
              <a16:creationId xmlns:a16="http://schemas.microsoft.com/office/drawing/2014/main" id="{0F1F4851-B00F-4740-8A27-4FD3BF8CF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252</xdr:row>
      <xdr:rowOff>131380</xdr:rowOff>
    </xdr:from>
    <xdr:to>
      <xdr:col>6</xdr:col>
      <xdr:colOff>613104</xdr:colOff>
      <xdr:row>252</xdr:row>
      <xdr:rowOff>145977</xdr:rowOff>
    </xdr:to>
    <xdr:cxnSp macro="">
      <xdr:nvCxnSpPr>
        <xdr:cNvPr id="49" name="Straight Arrow Connector 48">
          <a:extLst>
            <a:ext uri="{FF2B5EF4-FFF2-40B4-BE49-F238E27FC236}">
              <a16:creationId xmlns:a16="http://schemas.microsoft.com/office/drawing/2014/main" id="{17ED5127-1684-3240-A160-42996B484A76}"/>
            </a:ext>
          </a:extLst>
        </xdr:cNvPr>
        <xdr:cNvCxnSpPr/>
      </xdr:nvCxnSpPr>
      <xdr:spPr>
        <a:xfrm>
          <a:off x="6002428" y="63618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255</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81BF1A5A-99CC-FA49-A2C3-E981D071E7AC}"/>
                </a:ext>
              </a:extLst>
            </xdr:cNvPr>
            <xdr:cNvSpPr txBox="1"/>
          </xdr:nvSpPr>
          <xdr:spPr>
            <a:xfrm>
              <a:off x="7988516" y="64354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81BF1A5A-99CC-FA49-A2C3-E981D071E7AC}"/>
                </a:ext>
              </a:extLst>
            </xdr:cNvPr>
            <xdr:cNvSpPr txBox="1"/>
          </xdr:nvSpPr>
          <xdr:spPr>
            <a:xfrm>
              <a:off x="7988516" y="64354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257</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86EE1B82-52F8-9A4E-BB79-EAF4F2329B4A}"/>
                </a:ext>
              </a:extLst>
            </xdr:cNvPr>
            <xdr:cNvSpPr txBox="1"/>
          </xdr:nvSpPr>
          <xdr:spPr>
            <a:xfrm>
              <a:off x="8984037" y="64920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86EE1B82-52F8-9A4E-BB79-EAF4F2329B4A}"/>
                </a:ext>
              </a:extLst>
            </xdr:cNvPr>
            <xdr:cNvSpPr txBox="1"/>
          </xdr:nvSpPr>
          <xdr:spPr>
            <a:xfrm>
              <a:off x="8984037" y="64920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256</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3FC559C7-67CF-7E43-8160-051E1B324660}"/>
                </a:ext>
              </a:extLst>
            </xdr:cNvPr>
            <xdr:cNvSpPr txBox="1"/>
          </xdr:nvSpPr>
          <xdr:spPr>
            <a:xfrm>
              <a:off x="12168995" y="64647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3FC559C7-67CF-7E43-8160-051E1B324660}"/>
                </a:ext>
              </a:extLst>
            </xdr:cNvPr>
            <xdr:cNvSpPr txBox="1"/>
          </xdr:nvSpPr>
          <xdr:spPr>
            <a:xfrm>
              <a:off x="12168995" y="64647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254</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7F86CBB6-24F3-8443-9A82-1345B96DDE7D}"/>
                </a:ext>
              </a:extLst>
            </xdr:cNvPr>
            <xdr:cNvSpPr txBox="1"/>
          </xdr:nvSpPr>
          <xdr:spPr>
            <a:xfrm>
              <a:off x="13413596" y="64192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7F86CBB6-24F3-8443-9A82-1345B96DDE7D}"/>
                </a:ext>
              </a:extLst>
            </xdr:cNvPr>
            <xdr:cNvSpPr txBox="1"/>
          </xdr:nvSpPr>
          <xdr:spPr>
            <a:xfrm>
              <a:off x="13413596" y="64192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253</xdr:row>
      <xdr:rowOff>61058</xdr:rowOff>
    </xdr:from>
    <xdr:to>
      <xdr:col>7</xdr:col>
      <xdr:colOff>378558</xdr:colOff>
      <xdr:row>255</xdr:row>
      <xdr:rowOff>67164</xdr:rowOff>
    </xdr:to>
    <xdr:cxnSp macro="">
      <xdr:nvCxnSpPr>
        <xdr:cNvPr id="54" name="Straight Arrow Connector 53">
          <a:extLst>
            <a:ext uri="{FF2B5EF4-FFF2-40B4-BE49-F238E27FC236}">
              <a16:creationId xmlns:a16="http://schemas.microsoft.com/office/drawing/2014/main" id="{255856D6-1B33-8C44-82E2-A5EFDC8B8D3C}"/>
            </a:ext>
          </a:extLst>
        </xdr:cNvPr>
        <xdr:cNvCxnSpPr/>
      </xdr:nvCxnSpPr>
      <xdr:spPr>
        <a:xfrm flipH="1">
          <a:off x="9039469" y="639039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253</xdr:row>
      <xdr:rowOff>42496</xdr:rowOff>
    </xdr:from>
    <xdr:to>
      <xdr:col>8</xdr:col>
      <xdr:colOff>390525</xdr:colOff>
      <xdr:row>257</xdr:row>
      <xdr:rowOff>195385</xdr:rowOff>
    </xdr:to>
    <xdr:cxnSp macro="">
      <xdr:nvCxnSpPr>
        <xdr:cNvPr id="55" name="Straight Arrow Connector 54">
          <a:extLst>
            <a:ext uri="{FF2B5EF4-FFF2-40B4-BE49-F238E27FC236}">
              <a16:creationId xmlns:a16="http://schemas.microsoft.com/office/drawing/2014/main" id="{D535854E-DD8E-4C40-A886-DE8570050728}"/>
            </a:ext>
          </a:extLst>
        </xdr:cNvPr>
        <xdr:cNvCxnSpPr/>
      </xdr:nvCxnSpPr>
      <xdr:spPr>
        <a:xfrm flipH="1">
          <a:off x="10265207" y="638853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253</xdr:row>
      <xdr:rowOff>48846</xdr:rowOff>
    </xdr:from>
    <xdr:to>
      <xdr:col>10</xdr:col>
      <xdr:colOff>172840</xdr:colOff>
      <xdr:row>256</xdr:row>
      <xdr:rowOff>157811</xdr:rowOff>
    </xdr:to>
    <xdr:cxnSp macro="">
      <xdr:nvCxnSpPr>
        <xdr:cNvPr id="56" name="Straight Arrow Connector 55">
          <a:extLst>
            <a:ext uri="{FF2B5EF4-FFF2-40B4-BE49-F238E27FC236}">
              <a16:creationId xmlns:a16="http://schemas.microsoft.com/office/drawing/2014/main" id="{DE2154E0-F433-AB48-823E-234C1D320C01}"/>
            </a:ext>
          </a:extLst>
        </xdr:cNvPr>
        <xdr:cNvCxnSpPr/>
      </xdr:nvCxnSpPr>
      <xdr:spPr>
        <a:xfrm>
          <a:off x="11412903" y="638917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253</xdr:row>
      <xdr:rowOff>42741</xdr:rowOff>
    </xdr:from>
    <xdr:to>
      <xdr:col>11</xdr:col>
      <xdr:colOff>548580</xdr:colOff>
      <xdr:row>254</xdr:row>
      <xdr:rowOff>187869</xdr:rowOff>
    </xdr:to>
    <xdr:cxnSp macro="">
      <xdr:nvCxnSpPr>
        <xdr:cNvPr id="57" name="Straight Arrow Connector 56">
          <a:extLst>
            <a:ext uri="{FF2B5EF4-FFF2-40B4-BE49-F238E27FC236}">
              <a16:creationId xmlns:a16="http://schemas.microsoft.com/office/drawing/2014/main" id="{328B93FE-0D27-7E48-AB78-4A44AB734AE3}"/>
            </a:ext>
          </a:extLst>
        </xdr:cNvPr>
        <xdr:cNvCxnSpPr/>
      </xdr:nvCxnSpPr>
      <xdr:spPr>
        <a:xfrm>
          <a:off x="12603774" y="638856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253</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53E79D0E-BCBE-384C-8394-93BF5A35C9CA}"/>
                </a:ext>
              </a:extLst>
            </xdr:cNvPr>
            <xdr:cNvSpPr txBox="1"/>
          </xdr:nvSpPr>
          <xdr:spPr>
            <a:xfrm>
              <a:off x="7294032" y="63944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53E79D0E-BCBE-384C-8394-93BF5A35C9CA}"/>
                </a:ext>
              </a:extLst>
            </xdr:cNvPr>
            <xdr:cNvSpPr txBox="1"/>
          </xdr:nvSpPr>
          <xdr:spPr>
            <a:xfrm>
              <a:off x="7294032" y="63944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253</xdr:row>
      <xdr:rowOff>194733</xdr:rowOff>
    </xdr:from>
    <xdr:to>
      <xdr:col>6</xdr:col>
      <xdr:colOff>700036</xdr:colOff>
      <xdr:row>255</xdr:row>
      <xdr:rowOff>105207</xdr:rowOff>
    </xdr:to>
    <xdr:cxnSp macro="">
      <xdr:nvCxnSpPr>
        <xdr:cNvPr id="59" name="Curved Connector 58">
          <a:extLst>
            <a:ext uri="{FF2B5EF4-FFF2-40B4-BE49-F238E27FC236}">
              <a16:creationId xmlns:a16="http://schemas.microsoft.com/office/drawing/2014/main" id="{AD17860C-3927-4842-91F1-58DC58CFF1B0}"/>
            </a:ext>
          </a:extLst>
        </xdr:cNvPr>
        <xdr:cNvCxnSpPr>
          <a:endCxn id="50" idx="0"/>
        </xdr:cNvCxnSpPr>
      </xdr:nvCxnSpPr>
      <xdr:spPr>
        <a:xfrm>
          <a:off x="8301567" y="640376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280</xdr:row>
      <xdr:rowOff>177520</xdr:rowOff>
    </xdr:from>
    <xdr:to>
      <xdr:col>17</xdr:col>
      <xdr:colOff>1244599</xdr:colOff>
      <xdr:row>298</xdr:row>
      <xdr:rowOff>41868</xdr:rowOff>
    </xdr:to>
    <xdr:graphicFrame macro="">
      <xdr:nvGraphicFramePr>
        <xdr:cNvPr id="60" name="Chart 59">
          <a:extLst>
            <a:ext uri="{FF2B5EF4-FFF2-40B4-BE49-F238E27FC236}">
              <a16:creationId xmlns:a16="http://schemas.microsoft.com/office/drawing/2014/main" id="{374E664E-DEC2-E245-BFB7-0DB9E1704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627866</xdr:colOff>
      <xdr:row>257</xdr:row>
      <xdr:rowOff>57079</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ECB46928-7A4D-AD41-9084-DE0153A458B9}"/>
                </a:ext>
              </a:extLst>
            </xdr:cNvPr>
            <xdr:cNvSpPr txBox="1"/>
          </xdr:nvSpPr>
          <xdr:spPr>
            <a:xfrm>
              <a:off x="12757079" y="65026854"/>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ECB46928-7A4D-AD41-9084-DE0153A458B9}"/>
                </a:ext>
              </a:extLst>
            </xdr:cNvPr>
            <xdr:cNvSpPr txBox="1"/>
          </xdr:nvSpPr>
          <xdr:spPr>
            <a:xfrm>
              <a:off x="12757079" y="65026854"/>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F4AEFAD-D13C-744D-B136-EA2EADC1744C}"/>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08BB066F-D34D-BD42-97F4-8369A56F0349}"/>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BE725DC5-FE9A-1346-85B6-F358B8D1B402}"/>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BE725DC5-FE9A-1346-85B6-F358B8D1B402}"/>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5310375-4B1A-5546-887B-C74E60C0A7B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C5310375-4B1A-5546-887B-C74E60C0A7B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E43770C1-34A7-604A-870B-F104342312A1}"/>
            </a:ext>
          </a:extLst>
        </xdr:cNvPr>
        <xdr:cNvCxnSpPr/>
      </xdr:nvCxnSpPr>
      <xdr:spPr>
        <a:xfrm>
          <a:off x="6002428" y="14952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968156A0-2720-C948-A85D-6D7D39FDA1FA}"/>
                </a:ext>
              </a:extLst>
            </xdr:cNvPr>
            <xdr:cNvSpPr txBox="1"/>
          </xdr:nvSpPr>
          <xdr:spPr>
            <a:xfrm>
              <a:off x="9421430" y="145054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968156A0-2720-C948-A85D-6D7D39FDA1FA}"/>
                </a:ext>
              </a:extLst>
            </xdr:cNvPr>
            <xdr:cNvSpPr txBox="1"/>
          </xdr:nvSpPr>
          <xdr:spPr>
            <a:xfrm>
              <a:off x="9421430" y="145054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39F50FFC-DF21-844E-B97B-E0C9A3BD0727}"/>
                </a:ext>
              </a:extLst>
            </xdr:cNvPr>
            <xdr:cNvSpPr txBox="1"/>
          </xdr:nvSpPr>
          <xdr:spPr>
            <a:xfrm>
              <a:off x="9401190" y="152252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39F50FFC-DF21-844E-B97B-E0C9A3BD0727}"/>
                </a:ext>
              </a:extLst>
            </xdr:cNvPr>
            <xdr:cNvSpPr txBox="1"/>
          </xdr:nvSpPr>
          <xdr:spPr>
            <a:xfrm>
              <a:off x="9401190" y="152252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FB5EA56F-DD82-8944-B88B-40EA4ABB108C}"/>
            </a:ext>
          </a:extLst>
        </xdr:cNvPr>
        <xdr:cNvSpPr/>
      </xdr:nvSpPr>
      <xdr:spPr>
        <a:xfrm>
          <a:off x="8764154" y="146517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7032C007-2927-1742-905A-2F3F1F1276DA}"/>
                </a:ext>
              </a:extLst>
            </xdr:cNvPr>
            <xdr:cNvSpPr/>
          </xdr:nvSpPr>
          <xdr:spPr>
            <a:xfrm>
              <a:off x="12863247" y="147650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7032C007-2927-1742-905A-2F3F1F1276DA}"/>
                </a:ext>
              </a:extLst>
            </xdr:cNvPr>
            <xdr:cNvSpPr/>
          </xdr:nvSpPr>
          <xdr:spPr>
            <a:xfrm>
              <a:off x="12863247" y="147650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8F444DF8-207F-9F48-B28B-34789EF142A2}"/>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4BF300BE-3F84-6C4B-939C-4EC138CA5191}"/>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4BF300BE-3F84-6C4B-939C-4EC138CA5191}"/>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37A8FF8D-EFF1-EB43-8609-29C2F4734119}"/>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DF63F67-25C3-4A42-832A-EBC5DC1A2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BFBCAFD1-FAFB-224F-961C-5A41EBFD097A}"/>
            </a:ext>
          </a:extLst>
        </xdr:cNvPr>
        <xdr:cNvCxnSpPr/>
      </xdr:nvCxnSpPr>
      <xdr:spPr>
        <a:xfrm>
          <a:off x="5909875" y="239555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96FCEDD-B555-D146-A9F1-F568C6ED8EA5}"/>
                </a:ext>
              </a:extLst>
            </xdr:cNvPr>
            <xdr:cNvSpPr txBox="1"/>
          </xdr:nvSpPr>
          <xdr:spPr>
            <a:xfrm>
              <a:off x="8900938" y="23498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B96FCEDD-B555-D146-A9F1-F568C6ED8EA5}"/>
                </a:ext>
              </a:extLst>
            </xdr:cNvPr>
            <xdr:cNvSpPr txBox="1"/>
          </xdr:nvSpPr>
          <xdr:spPr>
            <a:xfrm>
              <a:off x="8900938" y="23498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92A6B09A-69E4-3E4D-9ED5-446BA893C568}"/>
            </a:ext>
          </a:extLst>
        </xdr:cNvPr>
        <xdr:cNvSpPr/>
      </xdr:nvSpPr>
      <xdr:spPr>
        <a:xfrm>
          <a:off x="11431081" y="233676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8</xdr:col>
      <xdr:colOff>558800</xdr:colOff>
      <xdr:row>107</xdr:row>
      <xdr:rowOff>228599</xdr:rowOff>
    </xdr:from>
    <xdr:to>
      <xdr:col>12</xdr:col>
      <xdr:colOff>372533</xdr:colOff>
      <xdr:row>124</xdr:row>
      <xdr:rowOff>50800</xdr:rowOff>
    </xdr:to>
    <xdr:graphicFrame macro="">
      <xdr:nvGraphicFramePr>
        <xdr:cNvPr id="18" name="Chart 17">
          <a:extLst>
            <a:ext uri="{FF2B5EF4-FFF2-40B4-BE49-F238E27FC236}">
              <a16:creationId xmlns:a16="http://schemas.microsoft.com/office/drawing/2014/main" id="{4491B280-3E9F-A244-A87B-DD6A7CD9B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89CFBB0C-A1A2-EC44-B2A0-408ED12B1C96}"/>
            </a:ext>
          </a:extLst>
        </xdr:cNvPr>
        <xdr:cNvCxnSpPr/>
      </xdr:nvCxnSpPr>
      <xdr:spPr>
        <a:xfrm>
          <a:off x="6002428" y="32757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B79C92E3-953C-7C4F-8E19-8680F1445F04}"/>
                </a:ext>
              </a:extLst>
            </xdr:cNvPr>
            <xdr:cNvSpPr txBox="1"/>
          </xdr:nvSpPr>
          <xdr:spPr>
            <a:xfrm>
              <a:off x="9421430" y="323616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B79C92E3-953C-7C4F-8E19-8680F1445F04}"/>
                </a:ext>
              </a:extLst>
            </xdr:cNvPr>
            <xdr:cNvSpPr txBox="1"/>
          </xdr:nvSpPr>
          <xdr:spPr>
            <a:xfrm>
              <a:off x="9421430" y="323616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84E9A23B-E84E-834B-840C-13F6A58BA9EF}"/>
            </a:ext>
          </a:extLst>
        </xdr:cNvPr>
        <xdr:cNvSpPr/>
      </xdr:nvSpPr>
      <xdr:spPr>
        <a:xfrm>
          <a:off x="8764154" y="324571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96B894F-6519-4C46-8DE6-EA40B813CB2C}"/>
                </a:ext>
              </a:extLst>
            </xdr:cNvPr>
            <xdr:cNvSpPr/>
          </xdr:nvSpPr>
          <xdr:spPr>
            <a:xfrm>
              <a:off x="12521680" y="323648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96B894F-6519-4C46-8DE6-EA40B813CB2C}"/>
                </a:ext>
              </a:extLst>
            </xdr:cNvPr>
            <xdr:cNvSpPr/>
          </xdr:nvSpPr>
          <xdr:spPr>
            <a:xfrm>
              <a:off x="12521680" y="323648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C817915C-E1FD-0B4C-A9B6-F547894173B8}"/>
                </a:ext>
              </a:extLst>
            </xdr:cNvPr>
            <xdr:cNvSpPr txBox="1"/>
          </xdr:nvSpPr>
          <xdr:spPr>
            <a:xfrm>
              <a:off x="9358575" y="330646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C817915C-E1FD-0B4C-A9B6-F547894173B8}"/>
                </a:ext>
              </a:extLst>
            </xdr:cNvPr>
            <xdr:cNvSpPr txBox="1"/>
          </xdr:nvSpPr>
          <xdr:spPr>
            <a:xfrm>
              <a:off x="9358575" y="330646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81A56A1F-5BF9-3E4B-8074-E0121B6EF83E}"/>
            </a:ext>
          </a:extLst>
        </xdr:cNvPr>
        <xdr:cNvSpPr/>
      </xdr:nvSpPr>
      <xdr:spPr>
        <a:xfrm>
          <a:off x="9334499" y="330327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D5181044-51AB-FD48-96F9-AACE2F805DCB}"/>
                </a:ext>
              </a:extLst>
            </xdr:cNvPr>
            <xdr:cNvSpPr txBox="1"/>
          </xdr:nvSpPr>
          <xdr:spPr>
            <a:xfrm>
              <a:off x="13408630" y="338083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D5181044-51AB-FD48-96F9-AACE2F805DCB}"/>
                </a:ext>
              </a:extLst>
            </xdr:cNvPr>
            <xdr:cNvSpPr txBox="1"/>
          </xdr:nvSpPr>
          <xdr:spPr>
            <a:xfrm>
              <a:off x="13408630" y="338083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3BA70EED-884C-924B-BD29-431E8672A9ED}"/>
            </a:ext>
          </a:extLst>
        </xdr:cNvPr>
        <xdr:cNvCxnSpPr>
          <a:endCxn id="25" idx="1"/>
        </xdr:cNvCxnSpPr>
      </xdr:nvCxnSpPr>
      <xdr:spPr>
        <a:xfrm rot="16200000" flipH="1">
          <a:off x="12871846" y="336682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B44B3E11-8558-E948-B8D8-D5296952F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21B5E65-CC07-8448-A6A0-78BA4213D007}"/>
            </a:ext>
          </a:extLst>
        </xdr:cNvPr>
        <xdr:cNvSpPr txBox="1"/>
      </xdr:nvSpPr>
      <xdr:spPr>
        <a:xfrm>
          <a:off x="11731458" y="39929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FB4A21AC-4526-C04F-90A8-A4E2EE567F39}"/>
            </a:ext>
          </a:extLst>
        </xdr:cNvPr>
        <xdr:cNvCxnSpPr/>
      </xdr:nvCxnSpPr>
      <xdr:spPr>
        <a:xfrm>
          <a:off x="6002428" y="41520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D1240484-BC47-8B4B-B496-11F81FFA99DA}"/>
                </a:ext>
              </a:extLst>
            </xdr:cNvPr>
            <xdr:cNvSpPr txBox="1"/>
          </xdr:nvSpPr>
          <xdr:spPr>
            <a:xfrm>
              <a:off x="9506096" y="41145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D1240484-BC47-8B4B-B496-11F81FFA99DA}"/>
                </a:ext>
              </a:extLst>
            </xdr:cNvPr>
            <xdr:cNvSpPr txBox="1"/>
          </xdr:nvSpPr>
          <xdr:spPr>
            <a:xfrm>
              <a:off x="9506096" y="41145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A5B79F46-7670-1445-A5B2-2ABCCFE8466D}"/>
            </a:ext>
          </a:extLst>
        </xdr:cNvPr>
        <xdr:cNvSpPr/>
      </xdr:nvSpPr>
      <xdr:spPr>
        <a:xfrm>
          <a:off x="12846314" y="41223335"/>
          <a:ext cx="4726253" cy="12103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A9504F73-ADAD-D54B-822F-813A397DDB77}"/>
            </a:ext>
          </a:extLst>
        </xdr:cNvPr>
        <xdr:cNvCxnSpPr/>
      </xdr:nvCxnSpPr>
      <xdr:spPr>
        <a:xfrm flipV="1">
          <a:off x="11697138" y="41545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6BFB4738-71A8-9B4C-A003-C8AB98CB5933}"/>
                </a:ext>
              </a:extLst>
            </xdr:cNvPr>
            <xdr:cNvSpPr txBox="1"/>
          </xdr:nvSpPr>
          <xdr:spPr>
            <a:xfrm>
              <a:off x="13635567" y="42591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6BFB4738-71A8-9B4C-A003-C8AB98CB5933}"/>
                </a:ext>
              </a:extLst>
            </xdr:cNvPr>
            <xdr:cNvSpPr txBox="1"/>
          </xdr:nvSpPr>
          <xdr:spPr>
            <a:xfrm>
              <a:off x="13635567" y="42591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BB55AA58-B1F2-2F42-ADB6-E8FAD075A175}"/>
            </a:ext>
          </a:extLst>
        </xdr:cNvPr>
        <xdr:cNvCxnSpPr/>
      </xdr:nvCxnSpPr>
      <xdr:spPr>
        <a:xfrm>
          <a:off x="11796379" y="147568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69E2DFEB-DF71-EE43-A098-8D444E32C6A0}"/>
            </a:ext>
          </a:extLst>
        </xdr:cNvPr>
        <xdr:cNvCxnSpPr>
          <a:endCxn id="33" idx="1"/>
        </xdr:cNvCxnSpPr>
      </xdr:nvCxnSpPr>
      <xdr:spPr>
        <a:xfrm rot="16200000" flipH="1">
          <a:off x="13287798" y="42486368"/>
          <a:ext cx="5008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8FD9AAA7-4B3B-3140-B2CA-62718DD86944}"/>
                </a:ext>
              </a:extLst>
            </xdr:cNvPr>
            <xdr:cNvSpPr txBox="1"/>
          </xdr:nvSpPr>
          <xdr:spPr>
            <a:xfrm>
              <a:off x="10195473" y="41877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8FD9AAA7-4B3B-3140-B2CA-62718DD86944}"/>
                </a:ext>
              </a:extLst>
            </xdr:cNvPr>
            <xdr:cNvSpPr txBox="1"/>
          </xdr:nvSpPr>
          <xdr:spPr>
            <a:xfrm>
              <a:off x="10195473" y="41877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180</xdr:row>
      <xdr:rowOff>25400</xdr:rowOff>
    </xdr:from>
    <xdr:to>
      <xdr:col>12</xdr:col>
      <xdr:colOff>762000</xdr:colOff>
      <xdr:row>192</xdr:row>
      <xdr:rowOff>67734</xdr:rowOff>
    </xdr:to>
    <xdr:graphicFrame macro="">
      <xdr:nvGraphicFramePr>
        <xdr:cNvPr id="37" name="Chart 36">
          <a:extLst>
            <a:ext uri="{FF2B5EF4-FFF2-40B4-BE49-F238E27FC236}">
              <a16:creationId xmlns:a16="http://schemas.microsoft.com/office/drawing/2014/main" id="{E48A14F3-B9EC-8E49-AD5A-6FF5F0EB2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133AECF6-BA84-C74A-A6F5-8415C7F8E1FA}"/>
            </a:ext>
          </a:extLst>
        </xdr:cNvPr>
        <xdr:cNvCxnSpPr/>
      </xdr:nvCxnSpPr>
      <xdr:spPr>
        <a:xfrm>
          <a:off x="6002428" y="50423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3480CC66-B2CB-9B4F-BF72-F137E132CCE9}"/>
                </a:ext>
              </a:extLst>
            </xdr:cNvPr>
            <xdr:cNvSpPr txBox="1"/>
          </xdr:nvSpPr>
          <xdr:spPr>
            <a:xfrm>
              <a:off x="8659887" y="510400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3480CC66-B2CB-9B4F-BF72-F137E132CCE9}"/>
                </a:ext>
              </a:extLst>
            </xdr:cNvPr>
            <xdr:cNvSpPr txBox="1"/>
          </xdr:nvSpPr>
          <xdr:spPr>
            <a:xfrm>
              <a:off x="8659887" y="510400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78211B74-4E9A-0F48-84AA-8A97483A7637}"/>
                </a:ext>
              </a:extLst>
            </xdr:cNvPr>
            <xdr:cNvSpPr txBox="1"/>
          </xdr:nvSpPr>
          <xdr:spPr>
            <a:xfrm>
              <a:off x="9186937" y="515501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78211B74-4E9A-0F48-84AA-8A97483A7637}"/>
                </a:ext>
              </a:extLst>
            </xdr:cNvPr>
            <xdr:cNvSpPr txBox="1"/>
          </xdr:nvSpPr>
          <xdr:spPr>
            <a:xfrm>
              <a:off x="9186937" y="515501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16489411-1F2B-7C4D-92B0-2CAC12DD1D00}"/>
                </a:ext>
              </a:extLst>
            </xdr:cNvPr>
            <xdr:cNvSpPr txBox="1"/>
          </xdr:nvSpPr>
          <xdr:spPr>
            <a:xfrm>
              <a:off x="12168996" y="514650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16489411-1F2B-7C4D-92B0-2CAC12DD1D00}"/>
                </a:ext>
              </a:extLst>
            </xdr:cNvPr>
            <xdr:cNvSpPr txBox="1"/>
          </xdr:nvSpPr>
          <xdr:spPr>
            <a:xfrm>
              <a:off x="12168996" y="514650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C9089A1C-7EC2-EF4D-9120-1C888DC11DCF}"/>
            </a:ext>
          </a:extLst>
        </xdr:cNvPr>
        <xdr:cNvSpPr txBox="1"/>
      </xdr:nvSpPr>
      <xdr:spPr>
        <a:xfrm>
          <a:off x="13413596" y="509968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D7933426-357C-FA4C-BB12-F4E8E2843393}"/>
            </a:ext>
          </a:extLst>
        </xdr:cNvPr>
        <xdr:cNvCxnSpPr/>
      </xdr:nvCxnSpPr>
      <xdr:spPr>
        <a:xfrm flipH="1">
          <a:off x="9039469" y="507086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2A655515-5D91-3A48-8E5B-8919579DFEB0}"/>
            </a:ext>
          </a:extLst>
        </xdr:cNvPr>
        <xdr:cNvCxnSpPr/>
      </xdr:nvCxnSpPr>
      <xdr:spPr>
        <a:xfrm flipH="1">
          <a:off x="10337800" y="506900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31A5B18F-94DB-AF46-848A-5B7AD3DCA9E1}"/>
            </a:ext>
          </a:extLst>
        </xdr:cNvPr>
        <xdr:cNvCxnSpPr/>
      </xdr:nvCxnSpPr>
      <xdr:spPr>
        <a:xfrm>
          <a:off x="11412903" y="506964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53FD2562-6CF1-6A42-A6D5-39E3E5A02339}"/>
            </a:ext>
          </a:extLst>
        </xdr:cNvPr>
        <xdr:cNvCxnSpPr/>
      </xdr:nvCxnSpPr>
      <xdr:spPr>
        <a:xfrm>
          <a:off x="12603774" y="506903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0D726435-C0CF-E74D-A2C6-51A38AFE2FAC}"/>
            </a:ext>
          </a:extLst>
        </xdr:cNvPr>
        <xdr:cNvSpPr/>
      </xdr:nvSpPr>
      <xdr:spPr>
        <a:xfrm>
          <a:off x="13967461" y="505256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40635AB6-315C-DA41-BF1A-636F8D3E9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BA3D2D3A-CE91-E943-999C-1025A11BC58B}"/>
            </a:ext>
          </a:extLst>
        </xdr:cNvPr>
        <xdr:cNvCxnSpPr/>
      </xdr:nvCxnSpPr>
      <xdr:spPr>
        <a:xfrm>
          <a:off x="6002428" y="60545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AFAEB8B6-A684-8F40-80F8-11D63CF93EE6}"/>
                </a:ext>
              </a:extLst>
            </xdr:cNvPr>
            <xdr:cNvSpPr txBox="1"/>
          </xdr:nvSpPr>
          <xdr:spPr>
            <a:xfrm>
              <a:off x="7988516" y="612811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AFAEB8B6-A684-8F40-80F8-11D63CF93EE6}"/>
                </a:ext>
              </a:extLst>
            </xdr:cNvPr>
            <xdr:cNvSpPr txBox="1"/>
          </xdr:nvSpPr>
          <xdr:spPr>
            <a:xfrm>
              <a:off x="7988516" y="612811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9F70FE6E-FB35-B94A-80A2-B9D6C176C3FE}"/>
                </a:ext>
              </a:extLst>
            </xdr:cNvPr>
            <xdr:cNvSpPr txBox="1"/>
          </xdr:nvSpPr>
          <xdr:spPr>
            <a:xfrm>
              <a:off x="8984037" y="618472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9F70FE6E-FB35-B94A-80A2-B9D6C176C3FE}"/>
                </a:ext>
              </a:extLst>
            </xdr:cNvPr>
            <xdr:cNvSpPr txBox="1"/>
          </xdr:nvSpPr>
          <xdr:spPr>
            <a:xfrm>
              <a:off x="8984037" y="618472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E24CFFDC-6F2A-7942-BB83-F883916F5FFF}"/>
                </a:ext>
              </a:extLst>
            </xdr:cNvPr>
            <xdr:cNvSpPr txBox="1"/>
          </xdr:nvSpPr>
          <xdr:spPr>
            <a:xfrm>
              <a:off x="12168995" y="615742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E24CFFDC-6F2A-7942-BB83-F883916F5FFF}"/>
                </a:ext>
              </a:extLst>
            </xdr:cNvPr>
            <xdr:cNvSpPr txBox="1"/>
          </xdr:nvSpPr>
          <xdr:spPr>
            <a:xfrm>
              <a:off x="12168995" y="615742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C40DA3E9-7B34-7546-949C-CD5899F5AFBE}"/>
                </a:ext>
              </a:extLst>
            </xdr:cNvPr>
            <xdr:cNvSpPr txBox="1"/>
          </xdr:nvSpPr>
          <xdr:spPr>
            <a:xfrm>
              <a:off x="13413596" y="611187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C40DA3E9-7B34-7546-949C-CD5899F5AFBE}"/>
                </a:ext>
              </a:extLst>
            </xdr:cNvPr>
            <xdr:cNvSpPr txBox="1"/>
          </xdr:nvSpPr>
          <xdr:spPr>
            <a:xfrm>
              <a:off x="13413596" y="611187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CF5E16A6-6D7A-F84D-A57A-ECF3B5A10114}"/>
            </a:ext>
          </a:extLst>
        </xdr:cNvPr>
        <xdr:cNvCxnSpPr/>
      </xdr:nvCxnSpPr>
      <xdr:spPr>
        <a:xfrm flipH="1">
          <a:off x="9039469" y="608305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BC2D5F3F-FF3E-F343-94C1-195397FDB3C0}"/>
            </a:ext>
          </a:extLst>
        </xdr:cNvPr>
        <xdr:cNvCxnSpPr/>
      </xdr:nvCxnSpPr>
      <xdr:spPr>
        <a:xfrm flipH="1">
          <a:off x="10265207" y="608119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9C784CEF-81A2-8146-95FC-6BAE8FC4032E}"/>
            </a:ext>
          </a:extLst>
        </xdr:cNvPr>
        <xdr:cNvCxnSpPr/>
      </xdr:nvCxnSpPr>
      <xdr:spPr>
        <a:xfrm>
          <a:off x="11412903" y="608183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B711E56E-5328-514B-BC3D-50E8E5528A5E}"/>
            </a:ext>
          </a:extLst>
        </xdr:cNvPr>
        <xdr:cNvCxnSpPr/>
      </xdr:nvCxnSpPr>
      <xdr:spPr>
        <a:xfrm>
          <a:off x="12603774" y="608122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D75A387F-C6E9-9248-A527-6CDD5F492579}"/>
                </a:ext>
              </a:extLst>
            </xdr:cNvPr>
            <xdr:cNvSpPr txBox="1"/>
          </xdr:nvSpPr>
          <xdr:spPr>
            <a:xfrm>
              <a:off x="7294032" y="608711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D75A387F-C6E9-9248-A527-6CDD5F492579}"/>
                </a:ext>
              </a:extLst>
            </xdr:cNvPr>
            <xdr:cNvSpPr txBox="1"/>
          </xdr:nvSpPr>
          <xdr:spPr>
            <a:xfrm>
              <a:off x="7294032" y="608711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A459055E-84B1-6545-B132-F8806C25DFE1}"/>
            </a:ext>
          </a:extLst>
        </xdr:cNvPr>
        <xdr:cNvCxnSpPr>
          <a:endCxn id="50" idx="0"/>
        </xdr:cNvCxnSpPr>
      </xdr:nvCxnSpPr>
      <xdr:spPr>
        <a:xfrm>
          <a:off x="8301567" y="609642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DF388EBE-1ED2-C94D-908B-B3EEA4596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582706</xdr:colOff>
      <xdr:row>244</xdr:row>
      <xdr:rowOff>74706</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F9A57C96-29F1-354D-8109-FB81EE1A0E1A}"/>
                </a:ext>
              </a:extLst>
            </xdr:cNvPr>
            <xdr:cNvSpPr txBox="1"/>
          </xdr:nvSpPr>
          <xdr:spPr>
            <a:xfrm>
              <a:off x="12700000" y="61841530"/>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F9A57C96-29F1-354D-8109-FB81EE1A0E1A}"/>
                </a:ext>
              </a:extLst>
            </xdr:cNvPr>
            <xdr:cNvSpPr txBox="1"/>
          </xdr:nvSpPr>
          <xdr:spPr>
            <a:xfrm>
              <a:off x="12700000" y="61841530"/>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96D36DEB-C92C-014B-977F-7560B518BC50}"/>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A8D8C58F-7833-CD41-BAF1-E4E57002D878}"/>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92F89F7-0887-CA46-8D85-1FD46D1EBFA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892F89F7-0887-CA46-8D85-1FD46D1EBFA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1CFD3664-C044-A54D-BE28-C71F66E43D9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1CFD3664-C044-A54D-BE28-C71F66E43D9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4361E223-B0A1-E947-8020-5C7B42B7D81C}"/>
            </a:ext>
          </a:extLst>
        </xdr:cNvPr>
        <xdr:cNvCxnSpPr/>
      </xdr:nvCxnSpPr>
      <xdr:spPr>
        <a:xfrm>
          <a:off x="6002428" y="15015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288DA0AF-1AA1-D140-8CE7-B8560F333FE4}"/>
                </a:ext>
              </a:extLst>
            </xdr:cNvPr>
            <xdr:cNvSpPr txBox="1"/>
          </xdr:nvSpPr>
          <xdr:spPr>
            <a:xfrm>
              <a:off x="9548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288DA0AF-1AA1-D140-8CE7-B8560F333FE4}"/>
                </a:ext>
              </a:extLst>
            </xdr:cNvPr>
            <xdr:cNvSpPr txBox="1"/>
          </xdr:nvSpPr>
          <xdr:spPr>
            <a:xfrm>
              <a:off x="9548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F2A5FA5D-D568-5D44-9DE9-3FDA44425FE5}"/>
                </a:ext>
              </a:extLst>
            </xdr:cNvPr>
            <xdr:cNvSpPr txBox="1"/>
          </xdr:nvSpPr>
          <xdr:spPr>
            <a:xfrm>
              <a:off x="9528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F2A5FA5D-D568-5D44-9DE9-3FDA44425FE5}"/>
                </a:ext>
              </a:extLst>
            </xdr:cNvPr>
            <xdr:cNvSpPr txBox="1"/>
          </xdr:nvSpPr>
          <xdr:spPr>
            <a:xfrm>
              <a:off x="9528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85216467-7F5F-5642-A20A-AB7DDC3ED6FD}"/>
            </a:ext>
          </a:extLst>
        </xdr:cNvPr>
        <xdr:cNvSpPr/>
      </xdr:nvSpPr>
      <xdr:spPr>
        <a:xfrm>
          <a:off x="8764154" y="14715259"/>
          <a:ext cx="796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F08FC3ED-EE32-7E4D-9444-A8408B96A3AC}"/>
                </a:ext>
              </a:extLst>
            </xdr:cNvPr>
            <xdr:cNvSpPr/>
          </xdr:nvSpPr>
          <xdr:spPr>
            <a:xfrm>
              <a:off x="129902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F08FC3ED-EE32-7E4D-9444-A8408B96A3AC}"/>
                </a:ext>
              </a:extLst>
            </xdr:cNvPr>
            <xdr:cNvSpPr/>
          </xdr:nvSpPr>
          <xdr:spPr>
            <a:xfrm>
              <a:off x="129902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0A42EB5A-172D-D945-A1D9-EAA1B5C5FAEE}"/>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1B9093EE-BA42-2D40-868C-AFD1361A98F4}"/>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1B9093EE-BA42-2D40-868C-AFD1361A98F4}"/>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C63DDC7B-19CD-1143-9B11-9C1678110AF4}"/>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6DE9CC93-63D1-4A45-B8A5-31863B029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F01776B7-1E13-EF44-917A-FEDD9EF08023}"/>
            </a:ext>
          </a:extLst>
        </xdr:cNvPr>
        <xdr:cNvCxnSpPr/>
      </xdr:nvCxnSpPr>
      <xdr:spPr>
        <a:xfrm>
          <a:off x="5909875" y="240190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4B9FA97-D1D3-B540-9A0F-3EFDD184647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B4B9FA97-D1D3-B540-9A0F-3EFDD184647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A3FBC4B4-1D0D-234D-B350-5B10FE2E127C}"/>
            </a:ext>
          </a:extLst>
        </xdr:cNvPr>
        <xdr:cNvSpPr/>
      </xdr:nvSpPr>
      <xdr:spPr>
        <a:xfrm>
          <a:off x="11558081" y="234311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9</xdr:col>
      <xdr:colOff>4646</xdr:colOff>
      <xdr:row>107</xdr:row>
      <xdr:rowOff>101599</xdr:rowOff>
    </xdr:from>
    <xdr:to>
      <xdr:col>14</xdr:col>
      <xdr:colOff>0</xdr:colOff>
      <xdr:row>123</xdr:row>
      <xdr:rowOff>127000</xdr:rowOff>
    </xdr:to>
    <xdr:graphicFrame macro="">
      <xdr:nvGraphicFramePr>
        <xdr:cNvPr id="18" name="Chart 17">
          <a:extLst>
            <a:ext uri="{FF2B5EF4-FFF2-40B4-BE49-F238E27FC236}">
              <a16:creationId xmlns:a16="http://schemas.microsoft.com/office/drawing/2014/main" id="{BB4102B3-610B-A143-9F56-DB15C037A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1E5DEC5B-BF5B-9B41-8AFD-26074F6CFB49}"/>
            </a:ext>
          </a:extLst>
        </xdr:cNvPr>
        <xdr:cNvCxnSpPr/>
      </xdr:nvCxnSpPr>
      <xdr:spPr>
        <a:xfrm>
          <a:off x="6002428" y="3282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471755B7-7D79-A144-AB34-B219CF90AD93}"/>
                </a:ext>
              </a:extLst>
            </xdr:cNvPr>
            <xdr:cNvSpPr txBox="1"/>
          </xdr:nvSpPr>
          <xdr:spPr>
            <a:xfrm>
              <a:off x="9548430" y="324251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471755B7-7D79-A144-AB34-B219CF90AD93}"/>
                </a:ext>
              </a:extLst>
            </xdr:cNvPr>
            <xdr:cNvSpPr txBox="1"/>
          </xdr:nvSpPr>
          <xdr:spPr>
            <a:xfrm>
              <a:off x="9548430" y="324251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BB2EE253-D916-F045-8974-5E2EECAC65F0}"/>
            </a:ext>
          </a:extLst>
        </xdr:cNvPr>
        <xdr:cNvSpPr/>
      </xdr:nvSpPr>
      <xdr:spPr>
        <a:xfrm>
          <a:off x="8764154" y="32520659"/>
          <a:ext cx="796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931CBB7E-127B-5B40-B1F6-0F4CCC1B9A32}"/>
                </a:ext>
              </a:extLst>
            </xdr:cNvPr>
            <xdr:cNvSpPr/>
          </xdr:nvSpPr>
          <xdr:spPr>
            <a:xfrm>
              <a:off x="12648680" y="324283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931CBB7E-127B-5B40-B1F6-0F4CCC1B9A32}"/>
                </a:ext>
              </a:extLst>
            </xdr:cNvPr>
            <xdr:cNvSpPr/>
          </xdr:nvSpPr>
          <xdr:spPr>
            <a:xfrm>
              <a:off x="12648680" y="324283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AA7B8A64-37D3-E648-BCE4-6BF5E90DDA45}"/>
                </a:ext>
              </a:extLst>
            </xdr:cNvPr>
            <xdr:cNvSpPr txBox="1"/>
          </xdr:nvSpPr>
          <xdr:spPr>
            <a:xfrm>
              <a:off x="9485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AA7B8A64-37D3-E648-BCE4-6BF5E90DDA45}"/>
                </a:ext>
              </a:extLst>
            </xdr:cNvPr>
            <xdr:cNvSpPr txBox="1"/>
          </xdr:nvSpPr>
          <xdr:spPr>
            <a:xfrm>
              <a:off x="9485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A1F7E960-9DE1-964E-A82F-2434E41F3BD1}"/>
            </a:ext>
          </a:extLst>
        </xdr:cNvPr>
        <xdr:cNvSpPr/>
      </xdr:nvSpPr>
      <xdr:spPr>
        <a:xfrm>
          <a:off x="9461499" y="330962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835D4A7A-5991-574A-9D34-EBDBC4E747FF}"/>
                </a:ext>
              </a:extLst>
            </xdr:cNvPr>
            <xdr:cNvSpPr txBox="1"/>
          </xdr:nvSpPr>
          <xdr:spPr>
            <a:xfrm>
              <a:off x="13535630" y="338718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835D4A7A-5991-574A-9D34-EBDBC4E747FF}"/>
                </a:ext>
              </a:extLst>
            </xdr:cNvPr>
            <xdr:cNvSpPr txBox="1"/>
          </xdr:nvSpPr>
          <xdr:spPr>
            <a:xfrm>
              <a:off x="13535630" y="338718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B3C3ABBF-2906-A542-9C27-ACBE2DAD92BB}"/>
            </a:ext>
          </a:extLst>
        </xdr:cNvPr>
        <xdr:cNvCxnSpPr>
          <a:endCxn id="25" idx="1"/>
        </xdr:cNvCxnSpPr>
      </xdr:nvCxnSpPr>
      <xdr:spPr>
        <a:xfrm rot="16200000" flipH="1">
          <a:off x="12998846" y="337317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54D276C5-8BB1-F04F-991A-3014D04CC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34F1A5B-4646-9D4A-B449-26A251F17557}"/>
            </a:ext>
          </a:extLst>
        </xdr:cNvPr>
        <xdr:cNvSpPr txBox="1"/>
      </xdr:nvSpPr>
      <xdr:spPr>
        <a:xfrm>
          <a:off x="11858458" y="401578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6F406EA8-A02A-8046-AE87-2F1D7CE77BA3}"/>
            </a:ext>
          </a:extLst>
        </xdr:cNvPr>
        <xdr:cNvCxnSpPr/>
      </xdr:nvCxnSpPr>
      <xdr:spPr>
        <a:xfrm>
          <a:off x="6002428" y="41749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7927B365-5F9F-DF47-AD14-3952E804FBA4}"/>
                </a:ext>
              </a:extLst>
            </xdr:cNvPr>
            <xdr:cNvSpPr txBox="1"/>
          </xdr:nvSpPr>
          <xdr:spPr>
            <a:xfrm>
              <a:off x="9633096" y="413744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7927B365-5F9F-DF47-AD14-3952E804FBA4}"/>
                </a:ext>
              </a:extLst>
            </xdr:cNvPr>
            <xdr:cNvSpPr txBox="1"/>
          </xdr:nvSpPr>
          <xdr:spPr>
            <a:xfrm>
              <a:off x="9633096" y="413744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60101A70-731D-3F4F-9F37-0C79B4527D2E}"/>
            </a:ext>
          </a:extLst>
        </xdr:cNvPr>
        <xdr:cNvSpPr/>
      </xdr:nvSpPr>
      <xdr:spPr>
        <a:xfrm>
          <a:off x="12973314" y="414519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E2135912-6DBE-3C46-81A8-58DAC4C9F080}"/>
            </a:ext>
          </a:extLst>
        </xdr:cNvPr>
        <xdr:cNvCxnSpPr/>
      </xdr:nvCxnSpPr>
      <xdr:spPr>
        <a:xfrm flipV="1">
          <a:off x="11824138" y="417738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B7763700-C70F-C445-A0DA-4D80EA54D25B}"/>
                </a:ext>
              </a:extLst>
            </xdr:cNvPr>
            <xdr:cNvSpPr txBox="1"/>
          </xdr:nvSpPr>
          <xdr:spPr>
            <a:xfrm>
              <a:off x="13762567" y="42845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B7763700-C70F-C445-A0DA-4D80EA54D25B}"/>
                </a:ext>
              </a:extLst>
            </xdr:cNvPr>
            <xdr:cNvSpPr txBox="1"/>
          </xdr:nvSpPr>
          <xdr:spPr>
            <a:xfrm>
              <a:off x="13762567" y="42845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EEFA3710-4DAF-8042-A164-762B82C3AAF9}"/>
            </a:ext>
          </a:extLst>
        </xdr:cNvPr>
        <xdr:cNvCxnSpPr/>
      </xdr:nvCxnSpPr>
      <xdr:spPr>
        <a:xfrm>
          <a:off x="11923379" y="148203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4B185DC6-8D64-264F-A154-CF65AE80ED76}"/>
            </a:ext>
          </a:extLst>
        </xdr:cNvPr>
        <xdr:cNvCxnSpPr>
          <a:endCxn id="33" idx="1"/>
        </xdr:cNvCxnSpPr>
      </xdr:nvCxnSpPr>
      <xdr:spPr>
        <a:xfrm rot="16200000" flipH="1">
          <a:off x="13408448" y="427340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B77257A0-8C70-ED4D-8D67-E5C755D1A518}"/>
                </a:ext>
              </a:extLst>
            </xdr:cNvPr>
            <xdr:cNvSpPr txBox="1"/>
          </xdr:nvSpPr>
          <xdr:spPr>
            <a:xfrm>
              <a:off x="10322473" y="421057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B77257A0-8C70-ED4D-8D67-E5C755D1A518}"/>
                </a:ext>
              </a:extLst>
            </xdr:cNvPr>
            <xdr:cNvSpPr txBox="1"/>
          </xdr:nvSpPr>
          <xdr:spPr>
            <a:xfrm>
              <a:off x="10322473" y="421057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7A4EB002-184B-0541-A248-FAFE92526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6A9F71F8-37E9-8B4B-AB26-CF8BE53F8583}"/>
            </a:ext>
          </a:extLst>
        </xdr:cNvPr>
        <xdr:cNvCxnSpPr/>
      </xdr:nvCxnSpPr>
      <xdr:spPr>
        <a:xfrm>
          <a:off x="6002428" y="50397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F88DA2EF-DAAB-A24B-A8F1-8C5A83538FAC}"/>
                </a:ext>
              </a:extLst>
            </xdr:cNvPr>
            <xdr:cNvSpPr txBox="1"/>
          </xdr:nvSpPr>
          <xdr:spPr>
            <a:xfrm>
              <a:off x="8659887" y="51014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F88DA2EF-DAAB-A24B-A8F1-8C5A83538FAC}"/>
                </a:ext>
              </a:extLst>
            </xdr:cNvPr>
            <xdr:cNvSpPr txBox="1"/>
          </xdr:nvSpPr>
          <xdr:spPr>
            <a:xfrm>
              <a:off x="8659887" y="51014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C669F48B-B5E0-DE40-BC11-A7CFF34EAB7B}"/>
                </a:ext>
              </a:extLst>
            </xdr:cNvPr>
            <xdr:cNvSpPr txBox="1"/>
          </xdr:nvSpPr>
          <xdr:spPr>
            <a:xfrm>
              <a:off x="9186937" y="51524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C669F48B-B5E0-DE40-BC11-A7CFF34EAB7B}"/>
                </a:ext>
              </a:extLst>
            </xdr:cNvPr>
            <xdr:cNvSpPr txBox="1"/>
          </xdr:nvSpPr>
          <xdr:spPr>
            <a:xfrm>
              <a:off x="9186937" y="51524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92D03B9B-2897-5841-B6FA-C31F71715746}"/>
                </a:ext>
              </a:extLst>
            </xdr:cNvPr>
            <xdr:cNvSpPr txBox="1"/>
          </xdr:nvSpPr>
          <xdr:spPr>
            <a:xfrm>
              <a:off x="12295996" y="51439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92D03B9B-2897-5841-B6FA-C31F71715746}"/>
                </a:ext>
              </a:extLst>
            </xdr:cNvPr>
            <xdr:cNvSpPr txBox="1"/>
          </xdr:nvSpPr>
          <xdr:spPr>
            <a:xfrm>
              <a:off x="12295996" y="51439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332DEDA2-BE84-B74D-9886-364F2C53884F}"/>
            </a:ext>
          </a:extLst>
        </xdr:cNvPr>
        <xdr:cNvSpPr txBox="1"/>
      </xdr:nvSpPr>
      <xdr:spPr>
        <a:xfrm>
          <a:off x="13540596" y="509714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F8B85D63-81B2-4946-8A75-7B5F60EF1CB9}"/>
            </a:ext>
          </a:extLst>
        </xdr:cNvPr>
        <xdr:cNvCxnSpPr/>
      </xdr:nvCxnSpPr>
      <xdr:spPr>
        <a:xfrm flipH="1">
          <a:off x="9039469" y="50683258"/>
          <a:ext cx="762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EC053D4-3EEC-F344-B363-56DFCE35E875}"/>
            </a:ext>
          </a:extLst>
        </xdr:cNvPr>
        <xdr:cNvCxnSpPr/>
      </xdr:nvCxnSpPr>
      <xdr:spPr>
        <a:xfrm flipH="1">
          <a:off x="10464800" y="506646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13E3F5BD-EF0C-2848-B168-698AFC8F8B9E}"/>
            </a:ext>
          </a:extLst>
        </xdr:cNvPr>
        <xdr:cNvCxnSpPr/>
      </xdr:nvCxnSpPr>
      <xdr:spPr>
        <a:xfrm>
          <a:off x="11539903" y="506710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E2F99948-880D-DB44-BFE1-EE10B9D63EC1}"/>
            </a:ext>
          </a:extLst>
        </xdr:cNvPr>
        <xdr:cNvCxnSpPr/>
      </xdr:nvCxnSpPr>
      <xdr:spPr>
        <a:xfrm>
          <a:off x="12730774" y="506649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9183958A-58AE-9547-916A-F1DAED8EF779}"/>
            </a:ext>
          </a:extLst>
        </xdr:cNvPr>
        <xdr:cNvSpPr/>
      </xdr:nvSpPr>
      <xdr:spPr>
        <a:xfrm>
          <a:off x="14094461" y="505002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DAFF7840-BDAB-C24F-BD48-AF51771AF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F4DBDBEA-8899-6544-8E8F-C1B0E991EA31}"/>
            </a:ext>
          </a:extLst>
        </xdr:cNvPr>
        <xdr:cNvCxnSpPr/>
      </xdr:nvCxnSpPr>
      <xdr:spPr>
        <a:xfrm>
          <a:off x="6002428" y="60519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66122DF0-F0FF-574F-9863-51D0536CABAB}"/>
                </a:ext>
              </a:extLst>
            </xdr:cNvPr>
            <xdr:cNvSpPr txBox="1"/>
          </xdr:nvSpPr>
          <xdr:spPr>
            <a:xfrm>
              <a:off x="7988516" y="61255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66122DF0-F0FF-574F-9863-51D0536CABAB}"/>
                </a:ext>
              </a:extLst>
            </xdr:cNvPr>
            <xdr:cNvSpPr txBox="1"/>
          </xdr:nvSpPr>
          <xdr:spPr>
            <a:xfrm>
              <a:off x="7988516" y="61255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23A9ED0B-0CF9-724E-B15C-ACF622E94A07}"/>
                </a:ext>
              </a:extLst>
            </xdr:cNvPr>
            <xdr:cNvSpPr txBox="1"/>
          </xdr:nvSpPr>
          <xdr:spPr>
            <a:xfrm>
              <a:off x="8984037" y="61821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23A9ED0B-0CF9-724E-B15C-ACF622E94A07}"/>
                </a:ext>
              </a:extLst>
            </xdr:cNvPr>
            <xdr:cNvSpPr txBox="1"/>
          </xdr:nvSpPr>
          <xdr:spPr>
            <a:xfrm>
              <a:off x="8984037" y="61821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2232AE1F-4515-F740-B5CD-E29B10E10D7C}"/>
                </a:ext>
              </a:extLst>
            </xdr:cNvPr>
            <xdr:cNvSpPr txBox="1"/>
          </xdr:nvSpPr>
          <xdr:spPr>
            <a:xfrm>
              <a:off x="12295995" y="61548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2232AE1F-4515-F740-B5CD-E29B10E10D7C}"/>
                </a:ext>
              </a:extLst>
            </xdr:cNvPr>
            <xdr:cNvSpPr txBox="1"/>
          </xdr:nvSpPr>
          <xdr:spPr>
            <a:xfrm>
              <a:off x="12295995" y="61548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A108DD5E-F12F-5940-B4EE-6CA9D2764F04}"/>
                </a:ext>
              </a:extLst>
            </xdr:cNvPr>
            <xdr:cNvSpPr txBox="1"/>
          </xdr:nvSpPr>
          <xdr:spPr>
            <a:xfrm>
              <a:off x="13540596" y="61093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A108DD5E-F12F-5940-B4EE-6CA9D2764F04}"/>
                </a:ext>
              </a:extLst>
            </xdr:cNvPr>
            <xdr:cNvSpPr txBox="1"/>
          </xdr:nvSpPr>
          <xdr:spPr>
            <a:xfrm>
              <a:off x="13540596" y="61093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35E7EB7E-D6AD-C645-95F3-B693A5AE3D5A}"/>
            </a:ext>
          </a:extLst>
        </xdr:cNvPr>
        <xdr:cNvCxnSpPr/>
      </xdr:nvCxnSpPr>
      <xdr:spPr>
        <a:xfrm flipH="1">
          <a:off x="9039469" y="60805158"/>
          <a:ext cx="762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E53019D6-E26F-E048-A664-E98C8112E5BF}"/>
            </a:ext>
          </a:extLst>
        </xdr:cNvPr>
        <xdr:cNvCxnSpPr/>
      </xdr:nvCxnSpPr>
      <xdr:spPr>
        <a:xfrm flipH="1">
          <a:off x="10392207" y="60786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BC1E003A-B5A3-D146-A3E2-1CA9E8262C32}"/>
            </a:ext>
          </a:extLst>
        </xdr:cNvPr>
        <xdr:cNvCxnSpPr/>
      </xdr:nvCxnSpPr>
      <xdr:spPr>
        <a:xfrm>
          <a:off x="11539903" y="60792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691CBC74-EE0E-8D40-A7DF-F138969BBB5C}"/>
            </a:ext>
          </a:extLst>
        </xdr:cNvPr>
        <xdr:cNvCxnSpPr/>
      </xdr:nvCxnSpPr>
      <xdr:spPr>
        <a:xfrm>
          <a:off x="12730774" y="60786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A1AE48D4-C380-B946-A6F5-EA39E3B62AE4}"/>
                </a:ext>
              </a:extLst>
            </xdr:cNvPr>
            <xdr:cNvSpPr txBox="1"/>
          </xdr:nvSpPr>
          <xdr:spPr>
            <a:xfrm>
              <a:off x="7294032" y="60845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A1AE48D4-C380-B946-A6F5-EA39E3B62AE4}"/>
                </a:ext>
              </a:extLst>
            </xdr:cNvPr>
            <xdr:cNvSpPr txBox="1"/>
          </xdr:nvSpPr>
          <xdr:spPr>
            <a:xfrm>
              <a:off x="7294032" y="60845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EA6C7904-B548-A340-A3B4-B6D2617DB2BB}"/>
            </a:ext>
          </a:extLst>
        </xdr:cNvPr>
        <xdr:cNvCxnSpPr>
          <a:endCxn id="50" idx="0"/>
        </xdr:cNvCxnSpPr>
      </xdr:nvCxnSpPr>
      <xdr:spPr>
        <a:xfrm>
          <a:off x="8301567" y="60938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F241CC15-1622-A745-BCFC-B679FC8A3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627347</xdr:colOff>
      <xdr:row>244</xdr:row>
      <xdr:rowOff>45903</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B79C561-44AA-DF46-B813-0DCB5E5F07FF}"/>
                </a:ext>
              </a:extLst>
            </xdr:cNvPr>
            <xdr:cNvSpPr txBox="1"/>
          </xdr:nvSpPr>
          <xdr:spPr>
            <a:xfrm>
              <a:off x="12853010" y="62153493"/>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7B79C561-44AA-DF46-B813-0DCB5E5F07FF}"/>
                </a:ext>
              </a:extLst>
            </xdr:cNvPr>
            <xdr:cNvSpPr txBox="1"/>
          </xdr:nvSpPr>
          <xdr:spPr>
            <a:xfrm>
              <a:off x="12853010" y="62153493"/>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A2942DA0-5500-314F-B793-891DF4638603}"/>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B004A98F-15FE-0941-BC4B-F0E0E8E87C9D}"/>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DCC63AF6-2E74-1F42-A161-BFD87DEC703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DCC63AF6-2E74-1F42-A161-BFD87DEC703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40186A4-0542-0E45-9EE1-017858DCDD38}"/>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040186A4-0542-0E45-9EE1-017858DCDD38}"/>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596B3E2B-924D-F44F-9616-1DC8CE01AFA9}"/>
            </a:ext>
          </a:extLst>
        </xdr:cNvPr>
        <xdr:cNvCxnSpPr/>
      </xdr:nvCxnSpPr>
      <xdr:spPr>
        <a:xfrm>
          <a:off x="6002428" y="15015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AA3A726A-FCBC-CB41-A043-5C527E19E9E2}"/>
                </a:ext>
              </a:extLst>
            </xdr:cNvPr>
            <xdr:cNvSpPr txBox="1"/>
          </xdr:nvSpPr>
          <xdr:spPr>
            <a:xfrm>
              <a:off x="9421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AA3A726A-FCBC-CB41-A043-5C527E19E9E2}"/>
                </a:ext>
              </a:extLst>
            </xdr:cNvPr>
            <xdr:cNvSpPr txBox="1"/>
          </xdr:nvSpPr>
          <xdr:spPr>
            <a:xfrm>
              <a:off x="9421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D12915C5-3BB4-E549-A7DF-117341D40EF0}"/>
                </a:ext>
              </a:extLst>
            </xdr:cNvPr>
            <xdr:cNvSpPr txBox="1"/>
          </xdr:nvSpPr>
          <xdr:spPr>
            <a:xfrm>
              <a:off x="9401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D12915C5-3BB4-E549-A7DF-117341D40EF0}"/>
                </a:ext>
              </a:extLst>
            </xdr:cNvPr>
            <xdr:cNvSpPr txBox="1"/>
          </xdr:nvSpPr>
          <xdr:spPr>
            <a:xfrm>
              <a:off x="9401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12522238-E90E-484D-B79E-6DD5B2F689AB}"/>
            </a:ext>
          </a:extLst>
        </xdr:cNvPr>
        <xdr:cNvSpPr/>
      </xdr:nvSpPr>
      <xdr:spPr>
        <a:xfrm>
          <a:off x="8764154" y="147152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19D904AF-D0D1-4140-A4BA-324F87CA18EA}"/>
                </a:ext>
              </a:extLst>
            </xdr:cNvPr>
            <xdr:cNvSpPr/>
          </xdr:nvSpPr>
          <xdr:spPr>
            <a:xfrm>
              <a:off x="130791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19D904AF-D0D1-4140-A4BA-324F87CA18EA}"/>
                </a:ext>
              </a:extLst>
            </xdr:cNvPr>
            <xdr:cNvSpPr/>
          </xdr:nvSpPr>
          <xdr:spPr>
            <a:xfrm>
              <a:off x="130791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DE08213E-387E-0A4C-86FB-88CB30436E13}"/>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B19B8263-8DF7-1B42-99C1-886219C189C3}"/>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B19B8263-8DF7-1B42-99C1-886219C189C3}"/>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E4C3E58D-13E6-BA42-802C-AF0D11905C5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763B399-28DB-A14F-A133-2D180757F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7AC27453-EA21-4F45-BA82-88F15A512BFD}"/>
            </a:ext>
          </a:extLst>
        </xdr:cNvPr>
        <xdr:cNvCxnSpPr/>
      </xdr:nvCxnSpPr>
      <xdr:spPr>
        <a:xfrm>
          <a:off x="5909875" y="240190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FCBAAA79-0DE3-C644-9EB2-462DDC57FC8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FCBAAA79-0DE3-C644-9EB2-462DDC57FC8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1A5CB19A-749D-4146-B234-C9FFC4F1B07B}"/>
            </a:ext>
          </a:extLst>
        </xdr:cNvPr>
        <xdr:cNvSpPr/>
      </xdr:nvSpPr>
      <xdr:spPr>
        <a:xfrm>
          <a:off x="11646981" y="234311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6</xdr:col>
      <xdr:colOff>186081</xdr:colOff>
      <xdr:row>107</xdr:row>
      <xdr:rowOff>21534</xdr:rowOff>
    </xdr:from>
    <xdr:to>
      <xdr:col>11</xdr:col>
      <xdr:colOff>607389</xdr:colOff>
      <xdr:row>123</xdr:row>
      <xdr:rowOff>50800</xdr:rowOff>
    </xdr:to>
    <xdr:graphicFrame macro="">
      <xdr:nvGraphicFramePr>
        <xdr:cNvPr id="18" name="Chart 17">
          <a:extLst>
            <a:ext uri="{FF2B5EF4-FFF2-40B4-BE49-F238E27FC236}">
              <a16:creationId xmlns:a16="http://schemas.microsoft.com/office/drawing/2014/main" id="{50F6B974-54AA-2840-9D31-A8EBBDD54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991A4A09-2829-8940-A698-B145986673F2}"/>
            </a:ext>
          </a:extLst>
        </xdr:cNvPr>
        <xdr:cNvCxnSpPr/>
      </xdr:nvCxnSpPr>
      <xdr:spPr>
        <a:xfrm>
          <a:off x="6002428" y="3282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731564"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02C893A9-A775-7045-BC8A-DFB26D8DBB91}"/>
                </a:ext>
              </a:extLst>
            </xdr:cNvPr>
            <xdr:cNvSpPr txBox="1"/>
          </xdr:nvSpPr>
          <xdr:spPr>
            <a:xfrm>
              <a:off x="9421430" y="3242516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02C893A9-A775-7045-BC8A-DFB26D8DBB91}"/>
                </a:ext>
              </a:extLst>
            </xdr:cNvPr>
            <xdr:cNvSpPr txBox="1"/>
          </xdr:nvSpPr>
          <xdr:spPr>
            <a:xfrm>
              <a:off x="9421430" y="3242516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32E6382D-094A-D246-9773-96DF9E78B39B}"/>
            </a:ext>
          </a:extLst>
        </xdr:cNvPr>
        <xdr:cNvSpPr/>
      </xdr:nvSpPr>
      <xdr:spPr>
        <a:xfrm>
          <a:off x="8764154" y="32520659"/>
          <a:ext cx="669348" cy="12347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692672FD-E95E-734D-A874-3201EEA5BE88}"/>
                </a:ext>
              </a:extLst>
            </xdr:cNvPr>
            <xdr:cNvSpPr/>
          </xdr:nvSpPr>
          <xdr:spPr>
            <a:xfrm>
              <a:off x="12737580" y="32428335"/>
              <a:ext cx="4726253" cy="13639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692672FD-E95E-734D-A874-3201EEA5BE88}"/>
                </a:ext>
              </a:extLst>
            </xdr:cNvPr>
            <xdr:cNvSpPr/>
          </xdr:nvSpPr>
          <xdr:spPr>
            <a:xfrm>
              <a:off x="12737580" y="32428335"/>
              <a:ext cx="4726253" cy="13639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064B54A6-E01F-C84D-BACD-54D0EEE58E3F}"/>
                </a:ext>
              </a:extLst>
            </xdr:cNvPr>
            <xdr:cNvSpPr txBox="1"/>
          </xdr:nvSpPr>
          <xdr:spPr>
            <a:xfrm>
              <a:off x="9358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064B54A6-E01F-C84D-BACD-54D0EEE58E3F}"/>
                </a:ext>
              </a:extLst>
            </xdr:cNvPr>
            <xdr:cNvSpPr txBox="1"/>
          </xdr:nvSpPr>
          <xdr:spPr>
            <a:xfrm>
              <a:off x="9358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6</xdr:col>
      <xdr:colOff>1145539</xdr:colOff>
      <xdr:row>125</xdr:row>
      <xdr:rowOff>2540</xdr:rowOff>
    </xdr:from>
    <xdr:to>
      <xdr:col>10</xdr:col>
      <xdr:colOff>190136</xdr:colOff>
      <xdr:row>127</xdr:row>
      <xdr:rowOff>342900</xdr:rowOff>
    </xdr:to>
    <xdr:sp macro="" textlink="">
      <xdr:nvSpPr>
        <xdr:cNvPr id="24" name="Rounded Rectangle 23">
          <a:extLst>
            <a:ext uri="{FF2B5EF4-FFF2-40B4-BE49-F238E27FC236}">
              <a16:creationId xmlns:a16="http://schemas.microsoft.com/office/drawing/2014/main" id="{28080C4D-671A-234E-B278-3E5FF0CA0570}"/>
            </a:ext>
          </a:extLst>
        </xdr:cNvPr>
        <xdr:cNvSpPr/>
      </xdr:nvSpPr>
      <xdr:spPr>
        <a:xfrm>
          <a:off x="9159239" y="32247840"/>
          <a:ext cx="3349897" cy="78486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C04A7109-6DAD-CA42-9EF7-116FCFB48510}"/>
                </a:ext>
              </a:extLst>
            </xdr:cNvPr>
            <xdr:cNvSpPr txBox="1"/>
          </xdr:nvSpPr>
          <xdr:spPr>
            <a:xfrm>
              <a:off x="136245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C04A7109-6DAD-CA42-9EF7-116FCFB48510}"/>
                </a:ext>
              </a:extLst>
            </xdr:cNvPr>
            <xdr:cNvSpPr txBox="1"/>
          </xdr:nvSpPr>
          <xdr:spPr>
            <a:xfrm>
              <a:off x="136245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473AD17A-8D49-CD4B-A258-7BABAD74ACC7}"/>
            </a:ext>
          </a:extLst>
        </xdr:cNvPr>
        <xdr:cNvCxnSpPr>
          <a:endCxn id="25" idx="1"/>
        </xdr:cNvCxnSpPr>
      </xdr:nvCxnSpPr>
      <xdr:spPr>
        <a:xfrm rot="16200000" flipH="1">
          <a:off x="130877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EDFA6593-FE89-5941-B67C-13DD6D82A4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56E600E0-6B85-E342-AAEF-F83AED3CB4D8}"/>
            </a:ext>
          </a:extLst>
        </xdr:cNvPr>
        <xdr:cNvSpPr txBox="1"/>
      </xdr:nvSpPr>
      <xdr:spPr>
        <a:xfrm>
          <a:off x="11947358" y="402467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7D15633D-72CB-E94F-8F18-959E66626D59}"/>
            </a:ext>
          </a:extLst>
        </xdr:cNvPr>
        <xdr:cNvCxnSpPr/>
      </xdr:nvCxnSpPr>
      <xdr:spPr>
        <a:xfrm>
          <a:off x="6002428" y="41838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833E14ED-9343-DA4F-B52C-0BFE740FDB21}"/>
                </a:ext>
              </a:extLst>
            </xdr:cNvPr>
            <xdr:cNvSpPr txBox="1"/>
          </xdr:nvSpPr>
          <xdr:spPr>
            <a:xfrm>
              <a:off x="9506096" y="41463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833E14ED-9343-DA4F-B52C-0BFE740FDB21}"/>
                </a:ext>
              </a:extLst>
            </xdr:cNvPr>
            <xdr:cNvSpPr txBox="1"/>
          </xdr:nvSpPr>
          <xdr:spPr>
            <a:xfrm>
              <a:off x="9506096" y="41463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DF5C5884-E05B-324D-9415-30210ECDE511}"/>
            </a:ext>
          </a:extLst>
        </xdr:cNvPr>
        <xdr:cNvSpPr/>
      </xdr:nvSpPr>
      <xdr:spPr>
        <a:xfrm>
          <a:off x="13062214" y="415408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C4994CC1-830F-E542-88D8-E6BB81718018}"/>
            </a:ext>
          </a:extLst>
        </xdr:cNvPr>
        <xdr:cNvCxnSpPr/>
      </xdr:nvCxnSpPr>
      <xdr:spPr>
        <a:xfrm flipV="1">
          <a:off x="11913038" y="418627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16DFF740-F272-BC4D-BF7C-51008FBBF72D}"/>
                </a:ext>
              </a:extLst>
            </xdr:cNvPr>
            <xdr:cNvSpPr txBox="1"/>
          </xdr:nvSpPr>
          <xdr:spPr>
            <a:xfrm>
              <a:off x="13851467" y="42934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16DFF740-F272-BC4D-BF7C-51008FBBF72D}"/>
                </a:ext>
              </a:extLst>
            </xdr:cNvPr>
            <xdr:cNvSpPr txBox="1"/>
          </xdr:nvSpPr>
          <xdr:spPr>
            <a:xfrm>
              <a:off x="13851467" y="42934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F626F506-659B-B441-8E6C-5F236E3D99F7}"/>
            </a:ext>
          </a:extLst>
        </xdr:cNvPr>
        <xdr:cNvCxnSpPr/>
      </xdr:nvCxnSpPr>
      <xdr:spPr>
        <a:xfrm>
          <a:off x="12012279" y="148203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85E1A3F2-CEF0-CF41-B373-13353C0312DE}"/>
            </a:ext>
          </a:extLst>
        </xdr:cNvPr>
        <xdr:cNvCxnSpPr>
          <a:endCxn id="33" idx="1"/>
        </xdr:cNvCxnSpPr>
      </xdr:nvCxnSpPr>
      <xdr:spPr>
        <a:xfrm rot="16200000" flipH="1">
          <a:off x="13497348" y="428229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3F3584B1-0AC0-1648-802B-7F35C59A68B2}"/>
                </a:ext>
              </a:extLst>
            </xdr:cNvPr>
            <xdr:cNvSpPr txBox="1"/>
          </xdr:nvSpPr>
          <xdr:spPr>
            <a:xfrm>
              <a:off x="10411373" y="42194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3F3584B1-0AC0-1648-802B-7F35C59A68B2}"/>
                </a:ext>
              </a:extLst>
            </xdr:cNvPr>
            <xdr:cNvSpPr txBox="1"/>
          </xdr:nvSpPr>
          <xdr:spPr>
            <a:xfrm>
              <a:off x="10411373" y="42194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0D58F763-7210-C146-9EDF-DA45D526B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57176F03-3065-6B40-8A47-A964054B7234}"/>
            </a:ext>
          </a:extLst>
        </xdr:cNvPr>
        <xdr:cNvCxnSpPr/>
      </xdr:nvCxnSpPr>
      <xdr:spPr>
        <a:xfrm>
          <a:off x="6002428" y="5048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5EAA9EFD-8152-654A-94FD-B7613214C377}"/>
                </a:ext>
              </a:extLst>
            </xdr:cNvPr>
            <xdr:cNvSpPr txBox="1"/>
          </xdr:nvSpPr>
          <xdr:spPr>
            <a:xfrm>
              <a:off x="8659887" y="51103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5EAA9EFD-8152-654A-94FD-B7613214C377}"/>
                </a:ext>
              </a:extLst>
            </xdr:cNvPr>
            <xdr:cNvSpPr txBox="1"/>
          </xdr:nvSpPr>
          <xdr:spPr>
            <a:xfrm>
              <a:off x="8659887" y="51103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322EF623-970C-6A4A-8BFB-8757ED7D0A14}"/>
                </a:ext>
              </a:extLst>
            </xdr:cNvPr>
            <xdr:cNvSpPr txBox="1"/>
          </xdr:nvSpPr>
          <xdr:spPr>
            <a:xfrm>
              <a:off x="9186937" y="51613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322EF623-970C-6A4A-8BFB-8757ED7D0A14}"/>
                </a:ext>
              </a:extLst>
            </xdr:cNvPr>
            <xdr:cNvSpPr txBox="1"/>
          </xdr:nvSpPr>
          <xdr:spPr>
            <a:xfrm>
              <a:off x="9186937" y="51613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9</xdr:col>
      <xdr:colOff>850474</xdr:colOff>
      <xdr:row>203</xdr:row>
      <xdr:rowOff>31451</xdr:rowOff>
    </xdr:from>
    <xdr:ext cx="282578" cy="27822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40EF04D9-0AA5-0841-8439-057CB7998B7E}"/>
                </a:ext>
              </a:extLst>
            </xdr:cNvPr>
            <xdr:cNvSpPr txBox="1"/>
          </xdr:nvSpPr>
          <xdr:spPr>
            <a:xfrm>
              <a:off x="12051874" y="51618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40EF04D9-0AA5-0841-8439-057CB7998B7E}"/>
                </a:ext>
              </a:extLst>
            </xdr:cNvPr>
            <xdr:cNvSpPr txBox="1"/>
          </xdr:nvSpPr>
          <xdr:spPr>
            <a:xfrm>
              <a:off x="12051874" y="51618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5A1CEA5F-A14D-6243-92CD-04C3161B3110}"/>
            </a:ext>
          </a:extLst>
        </xdr:cNvPr>
        <xdr:cNvSpPr txBox="1"/>
      </xdr:nvSpPr>
      <xdr:spPr>
        <a:xfrm>
          <a:off x="13629496" y="510603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D2B1CE5D-32ED-A548-8005-11553CEAE061}"/>
            </a:ext>
          </a:extLst>
        </xdr:cNvPr>
        <xdr:cNvCxnSpPr/>
      </xdr:nvCxnSpPr>
      <xdr:spPr>
        <a:xfrm flipH="1">
          <a:off x="9039469" y="50772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D5C9032-09F3-A248-ACA9-56BB0EF1D102}"/>
            </a:ext>
          </a:extLst>
        </xdr:cNvPr>
        <xdr:cNvCxnSpPr/>
      </xdr:nvCxnSpPr>
      <xdr:spPr>
        <a:xfrm flipH="1">
          <a:off x="10553700" y="507535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9E778D63-4AAD-954C-A610-0557A1413E03}"/>
            </a:ext>
          </a:extLst>
        </xdr:cNvPr>
        <xdr:cNvCxnSpPr/>
      </xdr:nvCxnSpPr>
      <xdr:spPr>
        <a:xfrm>
          <a:off x="11628803" y="507599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2DE36F3D-D881-1941-8D19-C55744DD45D4}"/>
            </a:ext>
          </a:extLst>
        </xdr:cNvPr>
        <xdr:cNvCxnSpPr/>
      </xdr:nvCxnSpPr>
      <xdr:spPr>
        <a:xfrm>
          <a:off x="12819674" y="507538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CFF07F70-443A-F14A-BCCB-FBCBBFF3542A}"/>
            </a:ext>
          </a:extLst>
        </xdr:cNvPr>
        <xdr:cNvSpPr/>
      </xdr:nvSpPr>
      <xdr:spPr>
        <a:xfrm>
          <a:off x="14183361" y="505891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76BA67FB-A96B-9642-83DA-381D5A60B7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1A0D4F84-A945-084C-8A89-8C7B793E4770}"/>
            </a:ext>
          </a:extLst>
        </xdr:cNvPr>
        <xdr:cNvCxnSpPr/>
      </xdr:nvCxnSpPr>
      <xdr:spPr>
        <a:xfrm>
          <a:off x="6002428" y="60608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394B1B04-6853-884E-8095-40CACE4683BC}"/>
                </a:ext>
              </a:extLst>
            </xdr:cNvPr>
            <xdr:cNvSpPr txBox="1"/>
          </xdr:nvSpPr>
          <xdr:spPr>
            <a:xfrm>
              <a:off x="7988516" y="613446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394B1B04-6853-884E-8095-40CACE4683BC}"/>
                </a:ext>
              </a:extLst>
            </xdr:cNvPr>
            <xdr:cNvSpPr txBox="1"/>
          </xdr:nvSpPr>
          <xdr:spPr>
            <a:xfrm>
              <a:off x="7988516" y="613446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3E3E9DA6-1739-9A4D-A89C-F4975ED0969A}"/>
                </a:ext>
              </a:extLst>
            </xdr:cNvPr>
            <xdr:cNvSpPr txBox="1"/>
          </xdr:nvSpPr>
          <xdr:spPr>
            <a:xfrm>
              <a:off x="8984037" y="619107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3E3E9DA6-1739-9A4D-A89C-F4975ED0969A}"/>
                </a:ext>
              </a:extLst>
            </xdr:cNvPr>
            <xdr:cNvSpPr txBox="1"/>
          </xdr:nvSpPr>
          <xdr:spPr>
            <a:xfrm>
              <a:off x="8984037" y="619107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6A982BBC-2802-1A4B-8C32-FE566D627D29}"/>
                </a:ext>
              </a:extLst>
            </xdr:cNvPr>
            <xdr:cNvSpPr txBox="1"/>
          </xdr:nvSpPr>
          <xdr:spPr>
            <a:xfrm>
              <a:off x="12384895" y="616377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6A982BBC-2802-1A4B-8C32-FE566D627D29}"/>
                </a:ext>
              </a:extLst>
            </xdr:cNvPr>
            <xdr:cNvSpPr txBox="1"/>
          </xdr:nvSpPr>
          <xdr:spPr>
            <a:xfrm>
              <a:off x="12384895" y="616377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ABDFB310-AA48-1441-BA1C-362D12692426}"/>
                </a:ext>
              </a:extLst>
            </xdr:cNvPr>
            <xdr:cNvSpPr txBox="1"/>
          </xdr:nvSpPr>
          <xdr:spPr>
            <a:xfrm>
              <a:off x="13629496" y="611822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ABDFB310-AA48-1441-BA1C-362D12692426}"/>
                </a:ext>
              </a:extLst>
            </xdr:cNvPr>
            <xdr:cNvSpPr txBox="1"/>
          </xdr:nvSpPr>
          <xdr:spPr>
            <a:xfrm>
              <a:off x="13629496" y="611822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09FDA5F6-E383-5244-BA09-07890A3F15D8}"/>
            </a:ext>
          </a:extLst>
        </xdr:cNvPr>
        <xdr:cNvCxnSpPr/>
      </xdr:nvCxnSpPr>
      <xdr:spPr>
        <a:xfrm flipH="1">
          <a:off x="9039469" y="608940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D78B2410-E6A1-AE42-96FC-C60B7B973480}"/>
            </a:ext>
          </a:extLst>
        </xdr:cNvPr>
        <xdr:cNvCxnSpPr/>
      </xdr:nvCxnSpPr>
      <xdr:spPr>
        <a:xfrm flipH="1">
          <a:off x="10481107" y="608754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C22A4BC7-65D4-704D-B9EC-0025563DA01C}"/>
            </a:ext>
          </a:extLst>
        </xdr:cNvPr>
        <xdr:cNvCxnSpPr/>
      </xdr:nvCxnSpPr>
      <xdr:spPr>
        <a:xfrm>
          <a:off x="11628803" y="608818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DF5FB29F-9629-464D-ABD4-CFD7FE5BAAD2}"/>
            </a:ext>
          </a:extLst>
        </xdr:cNvPr>
        <xdr:cNvCxnSpPr/>
      </xdr:nvCxnSpPr>
      <xdr:spPr>
        <a:xfrm>
          <a:off x="12819674" y="608757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D96A7891-6525-8F4E-9127-489CAAA97690}"/>
                </a:ext>
              </a:extLst>
            </xdr:cNvPr>
            <xdr:cNvSpPr txBox="1"/>
          </xdr:nvSpPr>
          <xdr:spPr>
            <a:xfrm>
              <a:off x="7294032" y="609346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D96A7891-6525-8F4E-9127-489CAAA97690}"/>
                </a:ext>
              </a:extLst>
            </xdr:cNvPr>
            <xdr:cNvSpPr txBox="1"/>
          </xdr:nvSpPr>
          <xdr:spPr>
            <a:xfrm>
              <a:off x="7294032" y="609346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797B8878-0DD6-2048-912C-FEA9822BAF6F}"/>
            </a:ext>
          </a:extLst>
        </xdr:cNvPr>
        <xdr:cNvCxnSpPr>
          <a:endCxn id="50" idx="0"/>
        </xdr:cNvCxnSpPr>
      </xdr:nvCxnSpPr>
      <xdr:spPr>
        <a:xfrm>
          <a:off x="8301567" y="610277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384AC29E-C176-0A48-8B0C-3490FD969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320040</xdr:colOff>
      <xdr:row>129</xdr:row>
      <xdr:rowOff>30480</xdr:rowOff>
    </xdr:from>
    <xdr:ext cx="1394549" cy="407163"/>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AB38C1D-1CC9-E249-9E3C-7D3FDFCBC1B6}"/>
                </a:ext>
              </a:extLst>
            </xdr:cNvPr>
            <xdr:cNvSpPr txBox="1"/>
          </xdr:nvSpPr>
          <xdr:spPr>
            <a:xfrm>
              <a:off x="5869940" y="333171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𝐼</m:t>
                    </m:r>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num>
                      <m:den>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r>
                          <a:rPr lang="it-IT" sz="1400" b="0" i="1">
                            <a:latin typeface="Cambria Math" panose="02040503050406030204" pitchFamily="18" charset="0"/>
                          </a:rPr>
                          <m:t>)</m:t>
                        </m:r>
                      </m:den>
                    </m:f>
                    <m:sSubSup>
                      <m:sSubSupPr>
                        <m:ctrlPr>
                          <a:rPr lang="it-IT" sz="1400" b="0" i="1">
                            <a:latin typeface="Cambria Math" panose="02040503050406030204" pitchFamily="18" charset="0"/>
                          </a:rPr>
                        </m:ctrlPr>
                      </m:sSubSupPr>
                      <m:e>
                        <m:r>
                          <a:rPr lang="it-IT" sz="1400" b="0" i="1">
                            <a:latin typeface="Cambria Math" panose="02040503050406030204" pitchFamily="18" charset="0"/>
                          </a:rPr>
                          <m:t>𝑟</m:t>
                        </m:r>
                      </m:e>
                      <m:sub>
                        <m:r>
                          <a:rPr lang="it-IT" sz="1400" b="0" i="1">
                            <a:latin typeface="Cambria Math" panose="02040503050406030204" pitchFamily="18" charset="0"/>
                          </a:rPr>
                          <m:t>𝑒</m:t>
                        </m:r>
                      </m:sub>
                      <m:sup>
                        <m:r>
                          <a:rPr lang="it-IT" sz="1400" b="0" i="1">
                            <a:latin typeface="Cambria Math" panose="02040503050406030204" pitchFamily="18" charset="0"/>
                          </a:rPr>
                          <m:t>2</m:t>
                        </m:r>
                      </m:sup>
                    </m:sSubSup>
                  </m:oMath>
                </m:oMathPara>
              </a14:m>
              <a:endParaRPr lang="en-US" sz="1400"/>
            </a:p>
          </xdr:txBody>
        </xdr:sp>
      </mc:Choice>
      <mc:Fallback xmlns="">
        <xdr:sp macro="" textlink="">
          <xdr:nvSpPr>
            <xdr:cNvPr id="61" name="TextBox 60">
              <a:extLst>
                <a:ext uri="{FF2B5EF4-FFF2-40B4-BE49-F238E27FC236}">
                  <a16:creationId xmlns:a16="http://schemas.microsoft.com/office/drawing/2014/main" id="{7AB38C1D-1CC9-E249-9E3C-7D3FDFCBC1B6}"/>
                </a:ext>
              </a:extLst>
            </xdr:cNvPr>
            <xdr:cNvSpPr txBox="1"/>
          </xdr:nvSpPr>
          <xdr:spPr>
            <a:xfrm>
              <a:off x="5869940" y="333171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𝐼=(𝑚_𝑎 𝑚_𝑏)/((𝑚_𝑎+𝑚_𝑏)) 𝑟_𝑒^2</a:t>
              </a:r>
              <a:endParaRPr lang="en-US" sz="1400"/>
            </a:p>
          </xdr:txBody>
        </xdr:sp>
      </mc:Fallback>
    </mc:AlternateContent>
    <xdr:clientData/>
  </xdr:oneCellAnchor>
  <xdr:twoCellAnchor>
    <xdr:from>
      <xdr:col>9</xdr:col>
      <xdr:colOff>745067</xdr:colOff>
      <xdr:row>202</xdr:row>
      <xdr:rowOff>95955</xdr:rowOff>
    </xdr:from>
    <xdr:to>
      <xdr:col>10</xdr:col>
      <xdr:colOff>118534</xdr:colOff>
      <xdr:row>204</xdr:row>
      <xdr:rowOff>141111</xdr:rowOff>
    </xdr:to>
    <xdr:sp macro="" textlink="">
      <xdr:nvSpPr>
        <xdr:cNvPr id="62" name="Oval 61">
          <a:extLst>
            <a:ext uri="{FF2B5EF4-FFF2-40B4-BE49-F238E27FC236}">
              <a16:creationId xmlns:a16="http://schemas.microsoft.com/office/drawing/2014/main" id="{D96F2509-E855-2240-96EC-F2939C61EAB4}"/>
            </a:ext>
          </a:extLst>
        </xdr:cNvPr>
        <xdr:cNvSpPr/>
      </xdr:nvSpPr>
      <xdr:spPr>
        <a:xfrm>
          <a:off x="11946467" y="51429355"/>
          <a:ext cx="491067" cy="553156"/>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304803</xdr:colOff>
      <xdr:row>204</xdr:row>
      <xdr:rowOff>33868</xdr:rowOff>
    </xdr:from>
    <xdr:to>
      <xdr:col>12</xdr:col>
      <xdr:colOff>536224</xdr:colOff>
      <xdr:row>206</xdr:row>
      <xdr:rowOff>16933</xdr:rowOff>
    </xdr:to>
    <xdr:sp macro="" textlink="">
      <xdr:nvSpPr>
        <xdr:cNvPr id="63" name="Rectangle 62">
          <a:extLst>
            <a:ext uri="{FF2B5EF4-FFF2-40B4-BE49-F238E27FC236}">
              <a16:creationId xmlns:a16="http://schemas.microsoft.com/office/drawing/2014/main" id="{29CA6E1E-BFF6-F543-B90B-C13D01134BBB}"/>
            </a:ext>
          </a:extLst>
        </xdr:cNvPr>
        <xdr:cNvSpPr/>
      </xdr:nvSpPr>
      <xdr:spPr>
        <a:xfrm>
          <a:off x="12623803" y="51875268"/>
          <a:ext cx="2403121" cy="4656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a:t>
          </a:r>
          <a:r>
            <a:rPr lang="en-US" sz="1100" b="1" baseline="0"/>
            <a:t> linear molecules, the rotational contribution to Cv ir just R</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4A28-E1E8-F84A-AD17-148A134F4736}">
  <dimension ref="A3:AA280"/>
  <sheetViews>
    <sheetView topLeftCell="A268" zoomScale="88" workbookViewId="0">
      <selection activeCell="I255" sqref="I255"/>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47" t="s">
        <v>0</v>
      </c>
      <c r="B5" s="148"/>
      <c r="D5" s="8" t="s">
        <v>13</v>
      </c>
      <c r="E5" s="9"/>
      <c r="F5" s="9"/>
      <c r="G5" s="9"/>
      <c r="H5" s="9"/>
      <c r="I5" s="9"/>
      <c r="J5" s="9"/>
      <c r="K5" s="9"/>
      <c r="L5" s="10"/>
      <c r="N5" s="21" t="s">
        <v>17</v>
      </c>
      <c r="O5" s="22"/>
      <c r="P5" s="22"/>
      <c r="Q5" s="23"/>
      <c r="S5" s="33" t="s">
        <v>34</v>
      </c>
      <c r="T5" s="34"/>
      <c r="U5" s="34"/>
      <c r="V5" s="35"/>
    </row>
    <row r="6" spans="1:22" ht="32" customHeight="1" x14ac:dyDescent="0.3">
      <c r="A6" s="139" t="s">
        <v>1</v>
      </c>
      <c r="B6" s="146">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2" t="s">
        <v>2</v>
      </c>
      <c r="B7" s="143">
        <v>8.3143999999999991</v>
      </c>
      <c r="D7" s="11" t="s">
        <v>7</v>
      </c>
      <c r="E7" s="312">
        <v>1</v>
      </c>
      <c r="F7" s="312">
        <v>27.210699999999999</v>
      </c>
      <c r="G7" s="312">
        <v>219474.63</v>
      </c>
      <c r="H7" s="312">
        <v>627.50300000000004</v>
      </c>
      <c r="I7" s="312">
        <v>2625.5</v>
      </c>
      <c r="J7" s="312">
        <v>315777</v>
      </c>
      <c r="K7" s="312">
        <v>4.3599999999999999E-18</v>
      </c>
      <c r="L7" s="313">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6" t="s">
        <v>3</v>
      </c>
      <c r="B8" s="137">
        <v>1.38065E-23</v>
      </c>
      <c r="D8" s="11" t="s">
        <v>8</v>
      </c>
      <c r="E8" s="312">
        <v>3.6750199999999997E-2</v>
      </c>
      <c r="F8" s="312">
        <v>1</v>
      </c>
      <c r="G8" s="312">
        <v>8065.73</v>
      </c>
      <c r="H8" s="312">
        <v>23.0609</v>
      </c>
      <c r="I8" s="312">
        <v>96.486900000000006</v>
      </c>
      <c r="J8" s="312">
        <v>11604.9</v>
      </c>
      <c r="K8" s="7">
        <v>1.6021E-19</v>
      </c>
      <c r="L8" s="313">
        <v>241804000000000</v>
      </c>
      <c r="N8" s="25" t="s">
        <v>19</v>
      </c>
      <c r="O8" s="20">
        <v>1.8897299999999999</v>
      </c>
      <c r="P8" s="19">
        <v>1</v>
      </c>
      <c r="Q8" s="26">
        <v>1E-10</v>
      </c>
      <c r="S8" s="39" t="s">
        <v>35</v>
      </c>
      <c r="T8" s="41">
        <v>1.098E+30</v>
      </c>
      <c r="U8" s="40">
        <v>1</v>
      </c>
      <c r="V8" s="42">
        <f>1/U9</f>
        <v>6.0240963855421691E+26</v>
      </c>
    </row>
    <row r="9" spans="1:22" ht="22" thickBot="1" x14ac:dyDescent="0.3">
      <c r="A9" s="142" t="s">
        <v>4</v>
      </c>
      <c r="B9" s="144">
        <v>1.6021760000000001E-16</v>
      </c>
      <c r="D9" s="11" t="s">
        <v>14</v>
      </c>
      <c r="E9" s="312">
        <v>4.5563300000000003E-6</v>
      </c>
      <c r="F9" s="312">
        <v>1.23981E-4</v>
      </c>
      <c r="G9" s="312">
        <v>1</v>
      </c>
      <c r="H9" s="312">
        <v>2.8591100000000002E-3</v>
      </c>
      <c r="I9" s="312">
        <v>1.19627E-2</v>
      </c>
      <c r="J9" s="312">
        <v>1.42879</v>
      </c>
      <c r="K9" s="312">
        <v>1.9863000000000001E-23</v>
      </c>
      <c r="L9" s="314">
        <v>29979300000</v>
      </c>
      <c r="N9" s="27" t="s">
        <v>20</v>
      </c>
      <c r="O9" s="28">
        <v>18900000000</v>
      </c>
      <c r="P9" s="28">
        <v>10000000000</v>
      </c>
      <c r="Q9" s="29">
        <v>1</v>
      </c>
      <c r="S9" s="43" t="s">
        <v>78</v>
      </c>
      <c r="T9" s="44">
        <f>U9*T8</f>
        <v>1822.6799999999998</v>
      </c>
      <c r="U9" s="44">
        <v>1.6599999999999999E-27</v>
      </c>
      <c r="V9" s="45">
        <v>1</v>
      </c>
    </row>
    <row r="10" spans="1:22" ht="21" x14ac:dyDescent="0.3">
      <c r="A10" s="135" t="s">
        <v>5</v>
      </c>
      <c r="B10" s="138">
        <v>9.1092999999999998E-31</v>
      </c>
      <c r="D10" s="11" t="s">
        <v>9</v>
      </c>
      <c r="E10" s="312">
        <v>1.59362E-3</v>
      </c>
      <c r="F10" s="312">
        <v>4.3363400000000003E-2</v>
      </c>
      <c r="G10" s="312">
        <v>349.75700000000001</v>
      </c>
      <c r="H10" s="312">
        <v>1</v>
      </c>
      <c r="I10" s="312">
        <v>4.1840000000000002</v>
      </c>
      <c r="J10" s="312">
        <v>503.22800000000001</v>
      </c>
      <c r="K10" s="312">
        <v>6.9500000000000005E-21</v>
      </c>
      <c r="L10" s="313">
        <v>10485400000000</v>
      </c>
    </row>
    <row r="11" spans="1:22" ht="22" x14ac:dyDescent="0.3">
      <c r="A11" s="142" t="s">
        <v>16</v>
      </c>
      <c r="B11" s="149">
        <v>8.8541799999999997E-12</v>
      </c>
      <c r="D11" s="11" t="s">
        <v>10</v>
      </c>
      <c r="E11" s="312">
        <v>3.8088E-4</v>
      </c>
      <c r="F11" s="312">
        <v>1.0364099999999999E-2</v>
      </c>
      <c r="G11" s="312">
        <v>83.593000000000004</v>
      </c>
      <c r="H11" s="312">
        <v>0.23900099999999999</v>
      </c>
      <c r="I11" s="312">
        <v>1</v>
      </c>
      <c r="J11" s="312">
        <v>120.274</v>
      </c>
      <c r="K11" s="312">
        <v>1.6599999999999999E-21</v>
      </c>
      <c r="L11" s="313">
        <v>2506070000000</v>
      </c>
    </row>
    <row r="12" spans="1:22" ht="22" x14ac:dyDescent="0.3">
      <c r="A12" s="135" t="s">
        <v>6</v>
      </c>
      <c r="B12" s="138">
        <v>5.2917700000000002E-12</v>
      </c>
      <c r="D12" s="13" t="s">
        <v>15</v>
      </c>
      <c r="E12" s="312">
        <v>3.1667800000000002E-6</v>
      </c>
      <c r="F12" s="312">
        <v>8.6170500000000004E-5</v>
      </c>
      <c r="G12" s="312">
        <v>0.69502799999999998</v>
      </c>
      <c r="H12" s="312">
        <v>1.9871699999999999E-3</v>
      </c>
      <c r="I12" s="312">
        <v>8.3143499999999999E-3</v>
      </c>
      <c r="J12" s="312">
        <v>1</v>
      </c>
      <c r="K12" s="312">
        <v>1.38054E-23</v>
      </c>
      <c r="L12" s="314">
        <v>20836400000</v>
      </c>
    </row>
    <row r="13" spans="1:22" ht="19" x14ac:dyDescent="0.25">
      <c r="A13" s="142" t="s">
        <v>71</v>
      </c>
      <c r="B13" s="145">
        <f>298.15</f>
        <v>298.14999999999998</v>
      </c>
      <c r="D13" s="11" t="s">
        <v>11</v>
      </c>
      <c r="E13" s="312">
        <v>2.294E+17</v>
      </c>
      <c r="F13" s="312">
        <v>6.24181E+18</v>
      </c>
      <c r="G13" s="312">
        <v>5.0344500000000003E+22</v>
      </c>
      <c r="H13" s="312">
        <v>1.44E+20</v>
      </c>
      <c r="I13" s="312">
        <v>6.02E+20</v>
      </c>
      <c r="J13" s="312">
        <v>7.2435399999999999E+22</v>
      </c>
      <c r="K13" s="312">
        <v>1</v>
      </c>
      <c r="L13" s="313">
        <v>1.5093E+33</v>
      </c>
    </row>
    <row r="14" spans="1:22" ht="20" thickBot="1" x14ac:dyDescent="0.3">
      <c r="A14" s="142" t="s">
        <v>76</v>
      </c>
      <c r="B14" s="158">
        <v>6.626068E-34</v>
      </c>
      <c r="D14" s="14" t="s">
        <v>12</v>
      </c>
      <c r="E14" s="315">
        <v>1.5198300000000001E-16</v>
      </c>
      <c r="F14" s="315">
        <v>4.13558E-15</v>
      </c>
      <c r="G14" s="315">
        <v>3.3356499999999997E-11</v>
      </c>
      <c r="H14" s="315">
        <v>9.5370200000000003E-14</v>
      </c>
      <c r="I14" s="315"/>
      <c r="J14" s="315">
        <v>4.7993E-11</v>
      </c>
      <c r="K14" s="315">
        <v>6.62561E-34</v>
      </c>
      <c r="L14" s="316">
        <v>1</v>
      </c>
    </row>
    <row r="15" spans="1:22" ht="19" x14ac:dyDescent="0.25">
      <c r="A15" s="135" t="s">
        <v>72</v>
      </c>
      <c r="B15" s="140">
        <v>1</v>
      </c>
    </row>
    <row r="16" spans="1:22" ht="19" x14ac:dyDescent="0.25">
      <c r="A16" s="142" t="s">
        <v>74</v>
      </c>
      <c r="B16" s="145">
        <v>101325</v>
      </c>
    </row>
    <row r="17" spans="1:27" ht="21" x14ac:dyDescent="0.25">
      <c r="A17" s="139" t="s">
        <v>73</v>
      </c>
      <c r="B17" s="141">
        <v>299792459</v>
      </c>
    </row>
    <row r="18" spans="1:27" ht="34" thickBot="1" x14ac:dyDescent="0.5">
      <c r="A18" s="349" t="s">
        <v>126</v>
      </c>
      <c r="B18" s="349"/>
      <c r="C18" s="349"/>
      <c r="D18" s="349"/>
      <c r="E18" s="349"/>
      <c r="F18" s="349"/>
      <c r="G18" s="349"/>
      <c r="H18" s="349"/>
      <c r="I18" s="349"/>
      <c r="J18" s="349"/>
      <c r="K18" s="349"/>
      <c r="L18" s="349"/>
      <c r="M18" s="349"/>
      <c r="N18" s="349"/>
      <c r="O18" s="349"/>
      <c r="P18" s="349"/>
      <c r="Q18" s="349"/>
      <c r="R18" s="349"/>
      <c r="S18" s="349"/>
      <c r="T18" s="349"/>
      <c r="U18" s="349"/>
      <c r="V18" s="349"/>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4"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11.460050000000001</v>
      </c>
      <c r="E23" s="55">
        <v>11.46124</v>
      </c>
      <c r="F23" s="56">
        <v>11.46124</v>
      </c>
      <c r="G23" s="1"/>
      <c r="H23" s="118">
        <v>4.4782000000000002E-2</v>
      </c>
      <c r="I23" s="119">
        <f>H23*$H$7</f>
        <v>28.100839346000004</v>
      </c>
      <c r="J23" s="119">
        <f>H23*$I$7</f>
        <v>117.575141</v>
      </c>
      <c r="K23" s="195">
        <f>H23*$F$7</f>
        <v>1.2185495674</v>
      </c>
      <c r="L23" s="246">
        <f>H23*$K$7</f>
        <v>1.9524952E-19</v>
      </c>
      <c r="M23" s="1"/>
      <c r="N23" s="1"/>
      <c r="O23" s="65" t="s">
        <v>45</v>
      </c>
      <c r="P23" s="84">
        <v>29.901</v>
      </c>
      <c r="Q23" s="76">
        <v>6.4610000000000003</v>
      </c>
      <c r="R23" s="77">
        <v>47.235999999999997</v>
      </c>
      <c r="S23" s="1"/>
      <c r="T23" s="1"/>
      <c r="U23" s="1"/>
      <c r="V23" s="1"/>
      <c r="W23" s="1"/>
      <c r="X23" s="1"/>
      <c r="Y23" s="1"/>
      <c r="Z23" s="1"/>
      <c r="AA23" s="1"/>
    </row>
    <row r="24" spans="1:27" ht="22" thickBot="1" x14ac:dyDescent="0.3">
      <c r="A24" s="31" t="s">
        <v>24</v>
      </c>
      <c r="B24" s="1"/>
      <c r="C24" s="47" t="s">
        <v>29</v>
      </c>
      <c r="D24" s="208">
        <f>D23*$U$9</f>
        <v>1.9023682999999999E-26</v>
      </c>
      <c r="E24" s="58">
        <f t="shared" ref="E24:F24" si="0">E23*$U$9</f>
        <v>1.9025658399999998E-26</v>
      </c>
      <c r="F24" s="338">
        <f t="shared" si="0"/>
        <v>1.9025658399999998E-26</v>
      </c>
      <c r="G24" s="1"/>
      <c r="M24" s="1"/>
      <c r="N24" s="1"/>
      <c r="O24" s="66" t="s">
        <v>46</v>
      </c>
      <c r="P24" s="84">
        <v>0</v>
      </c>
      <c r="Q24" s="76">
        <v>0</v>
      </c>
      <c r="R24" s="77">
        <v>0</v>
      </c>
      <c r="S24" s="1"/>
      <c r="T24" s="1"/>
      <c r="U24" s="1"/>
      <c r="V24" s="1"/>
      <c r="W24" s="1"/>
      <c r="X24" s="1"/>
      <c r="Y24" s="1"/>
      <c r="Z24" s="1"/>
      <c r="AA24" s="1"/>
    </row>
    <row r="25" spans="1:27" ht="22" thickBot="1" x14ac:dyDescent="0.3">
      <c r="A25" s="30">
        <v>1</v>
      </c>
      <c r="B25" s="1"/>
      <c r="C25" s="48" t="s">
        <v>30</v>
      </c>
      <c r="D25" s="59">
        <f>D24*($Q$8)^2</f>
        <v>1.9023682999999999E-46</v>
      </c>
      <c r="E25" s="60">
        <f>E24*($Q$8)^2</f>
        <v>1.9025658400000001E-46</v>
      </c>
      <c r="F25" s="61">
        <f t="shared" ref="F25" si="1">F24*($Q$8)^2</f>
        <v>1.9025658400000001E-46</v>
      </c>
      <c r="G25" s="1"/>
      <c r="M25" s="1"/>
      <c r="N25" s="1"/>
      <c r="O25" s="66" t="s">
        <v>47</v>
      </c>
      <c r="P25" s="84">
        <v>0.88900000000000001</v>
      </c>
      <c r="Q25" s="76">
        <v>2.9809999999999999</v>
      </c>
      <c r="R25" s="77">
        <v>34.261000000000003</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0.88900000000000001</v>
      </c>
      <c r="Q26" s="76">
        <v>2.9809999999999999</v>
      </c>
      <c r="R26" s="77">
        <v>12.89</v>
      </c>
      <c r="S26" s="1"/>
      <c r="T26" s="1"/>
      <c r="U26" s="1"/>
      <c r="V26" s="1"/>
      <c r="W26" s="1"/>
      <c r="X26" s="1"/>
      <c r="Y26" s="1"/>
      <c r="Z26" s="1"/>
      <c r="AA26" s="1"/>
    </row>
    <row r="27" spans="1:27" ht="20" thickBot="1" x14ac:dyDescent="0.3">
      <c r="A27" s="31" t="s">
        <v>25</v>
      </c>
      <c r="B27" s="1"/>
      <c r="C27" s="31" t="s">
        <v>27</v>
      </c>
      <c r="D27" s="1"/>
      <c r="E27" s="1"/>
      <c r="F27" s="1"/>
      <c r="G27" s="1"/>
      <c r="H27" s="115" t="s">
        <v>65</v>
      </c>
      <c r="I27" s="116" t="s">
        <v>9</v>
      </c>
      <c r="J27" s="116" t="s">
        <v>10</v>
      </c>
      <c r="K27" s="194" t="s">
        <v>8</v>
      </c>
      <c r="L27" s="117" t="s">
        <v>11</v>
      </c>
      <c r="M27" s="1"/>
      <c r="N27" s="1"/>
      <c r="O27" s="67" t="s">
        <v>49</v>
      </c>
      <c r="P27" s="96">
        <v>28.123000000000001</v>
      </c>
      <c r="Q27" s="78">
        <v>0.499</v>
      </c>
      <c r="R27" s="79">
        <v>8.5000000000000006E-2</v>
      </c>
      <c r="S27" s="1"/>
      <c r="T27" s="1"/>
      <c r="U27" s="1"/>
      <c r="V27" s="1"/>
      <c r="W27" s="1"/>
      <c r="X27" s="1"/>
      <c r="Y27" s="1"/>
      <c r="Z27" s="1"/>
      <c r="AA27" s="1"/>
    </row>
    <row r="28" spans="1:27" ht="20" thickBot="1" x14ac:dyDescent="0.3">
      <c r="A28" s="30">
        <v>16.031300000000002</v>
      </c>
      <c r="B28" s="1"/>
      <c r="C28" s="108" t="s">
        <v>36</v>
      </c>
      <c r="D28" s="109" t="s">
        <v>37</v>
      </c>
      <c r="E28" s="110" t="s">
        <v>38</v>
      </c>
      <c r="F28" s="1"/>
      <c r="G28" s="1"/>
      <c r="H28" s="111">
        <v>4.7649999999999998E-2</v>
      </c>
      <c r="I28" s="119">
        <f>H28*$H$7</f>
        <v>29.900517950000001</v>
      </c>
      <c r="J28" s="119">
        <f>H28*$I$7</f>
        <v>125.105075</v>
      </c>
      <c r="K28" s="120">
        <f>H28*$F$7</f>
        <v>1.2965898549999999</v>
      </c>
      <c r="L28" s="246">
        <f>H28*$K$7</f>
        <v>2.0775399999999998E-19</v>
      </c>
      <c r="M28" s="1"/>
      <c r="N28" s="1"/>
      <c r="O28" s="1"/>
      <c r="P28" s="1"/>
      <c r="Q28" s="1"/>
      <c r="R28" s="1"/>
      <c r="S28" s="1"/>
      <c r="T28" s="1"/>
      <c r="U28" s="1"/>
      <c r="V28" s="1"/>
      <c r="W28" s="1"/>
      <c r="X28" s="1"/>
      <c r="Y28" s="1"/>
      <c r="Z28" s="1"/>
      <c r="AA28" s="1"/>
    </row>
    <row r="29" spans="1:27" ht="20" thickBot="1" x14ac:dyDescent="0.3">
      <c r="A29" s="1"/>
      <c r="B29" s="1"/>
      <c r="C29" s="111">
        <v>7.5578900000000004</v>
      </c>
      <c r="D29" s="112">
        <v>7.5571000000000002</v>
      </c>
      <c r="E29" s="113">
        <v>7.5571000000000002</v>
      </c>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3</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4" t="s">
        <v>8</v>
      </c>
      <c r="L32" s="117" t="s">
        <v>11</v>
      </c>
      <c r="M32" s="1"/>
      <c r="N32" s="1"/>
      <c r="O32" s="65" t="s">
        <v>46</v>
      </c>
      <c r="P32" s="85">
        <v>1</v>
      </c>
      <c r="Q32" s="86">
        <v>0</v>
      </c>
      <c r="R32" s="86">
        <v>0</v>
      </c>
      <c r="S32" s="1"/>
      <c r="T32" s="1"/>
      <c r="U32" s="1"/>
      <c r="V32" s="1"/>
      <c r="W32" s="1"/>
      <c r="X32" s="1"/>
      <c r="Y32" s="1"/>
      <c r="Z32" s="1"/>
      <c r="AA32" s="1"/>
    </row>
    <row r="33" spans="1:27" ht="20" thickBot="1" x14ac:dyDescent="0.3">
      <c r="A33" s="1"/>
      <c r="B33" s="1"/>
      <c r="C33" s="49">
        <v>157.48105000000001</v>
      </c>
      <c r="D33" s="50">
        <v>157.46467000000001</v>
      </c>
      <c r="E33" s="51">
        <v>157.46467000000001</v>
      </c>
      <c r="F33" s="1"/>
      <c r="G33" s="1"/>
      <c r="H33" s="111">
        <v>4.8593999999999998E-2</v>
      </c>
      <c r="I33" s="119">
        <f>H33*$H$7</f>
        <v>30.492880782</v>
      </c>
      <c r="J33" s="119">
        <f>H33*$I$7</f>
        <v>127.583547</v>
      </c>
      <c r="K33" s="120">
        <f>H33*$F$7</f>
        <v>1.3222767557999999</v>
      </c>
      <c r="L33" s="246">
        <f>H33*$K$7</f>
        <v>2.1186983999999999E-19</v>
      </c>
      <c r="M33" s="1"/>
      <c r="N33" s="1"/>
      <c r="O33" s="66" t="s">
        <v>47</v>
      </c>
      <c r="P33" s="84">
        <v>2522950</v>
      </c>
      <c r="Q33" s="76">
        <v>6.4019079999999997</v>
      </c>
      <c r="R33" s="76">
        <v>14.740938999999999</v>
      </c>
      <c r="S33" s="1"/>
      <c r="T33" s="1"/>
      <c r="U33" s="1"/>
      <c r="V33" s="1"/>
      <c r="W33" s="1"/>
      <c r="X33" s="1"/>
      <c r="Y33" s="1"/>
      <c r="Z33" s="1"/>
      <c r="AA33" s="1"/>
    </row>
    <row r="34" spans="1:27" ht="19" x14ac:dyDescent="0.25">
      <c r="A34" s="1"/>
      <c r="B34" s="1"/>
      <c r="E34" s="1"/>
      <c r="F34" s="1"/>
      <c r="G34" s="1"/>
      <c r="M34" s="1"/>
      <c r="N34" s="1"/>
      <c r="O34" s="66" t="s">
        <v>48</v>
      </c>
      <c r="P34" s="84">
        <v>146.40299999999999</v>
      </c>
      <c r="Q34" s="76">
        <v>2.1655500000000001</v>
      </c>
      <c r="R34" s="76">
        <v>4.986364</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9.3664799999999991E-13</v>
      </c>
      <c r="Q35" s="76">
        <v>-12.028423999999999</v>
      </c>
      <c r="R35" s="76">
        <v>-27.696469</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371427000</v>
      </c>
      <c r="Q36" s="76">
        <v>8.5698729999999994</v>
      </c>
      <c r="R36" s="76">
        <v>19.732862999999998</v>
      </c>
      <c r="S36" s="1"/>
      <c r="T36" s="1"/>
      <c r="U36" s="1"/>
      <c r="V36" s="1"/>
      <c r="W36" s="1"/>
      <c r="X36" s="1"/>
      <c r="Y36" s="1"/>
      <c r="Z36" s="1"/>
      <c r="AA36" s="1"/>
    </row>
    <row r="37" spans="1:27" ht="20" thickBot="1" x14ac:dyDescent="0.3">
      <c r="A37" s="1"/>
      <c r="B37" s="1"/>
      <c r="C37" s="102" t="s">
        <v>63</v>
      </c>
      <c r="D37" s="53">
        <v>117575.4</v>
      </c>
      <c r="E37" s="1"/>
      <c r="F37" s="1"/>
      <c r="H37" s="115" t="s">
        <v>65</v>
      </c>
      <c r="I37" s="116" t="s">
        <v>9</v>
      </c>
      <c r="J37" s="116" t="s">
        <v>10</v>
      </c>
      <c r="K37" s="117" t="s">
        <v>8</v>
      </c>
      <c r="L37" s="117" t="s">
        <v>11</v>
      </c>
      <c r="M37" s="1"/>
      <c r="N37" s="1"/>
      <c r="O37" s="66" t="s">
        <v>55</v>
      </c>
      <c r="P37" s="84">
        <v>2.5358200000000001E-21</v>
      </c>
      <c r="Q37" s="76">
        <v>-20.595882</v>
      </c>
      <c r="R37" s="76">
        <v>-47.423771000000002</v>
      </c>
      <c r="S37" s="1"/>
      <c r="T37" s="1"/>
      <c r="U37" s="1"/>
      <c r="V37" s="1"/>
      <c r="W37" s="1"/>
      <c r="X37" s="1"/>
      <c r="Y37" s="1"/>
      <c r="Z37" s="1"/>
      <c r="AA37" s="1"/>
    </row>
    <row r="38" spans="1:27" ht="20" thickBot="1" x14ac:dyDescent="0.3">
      <c r="A38" s="1"/>
      <c r="B38" s="1"/>
      <c r="C38" s="103" t="s">
        <v>64</v>
      </c>
      <c r="D38" s="114">
        <v>28.101199999999999</v>
      </c>
      <c r="E38" s="1"/>
      <c r="F38" s="1"/>
      <c r="H38" s="111">
        <v>2.6151000000000001E-2</v>
      </c>
      <c r="I38" s="119">
        <f>H38*$H$7</f>
        <v>16.409830953</v>
      </c>
      <c r="J38" s="119">
        <f>H38*$I$7</f>
        <v>68.659450500000005</v>
      </c>
      <c r="K38" s="120">
        <f>H38*$F$7</f>
        <v>0.71158701570000005</v>
      </c>
      <c r="L38" s="246">
        <f>H38*$K$7</f>
        <v>1.1401835999999999E-19</v>
      </c>
      <c r="M38" s="1"/>
      <c r="N38" s="1"/>
      <c r="O38" s="67" t="s">
        <v>56</v>
      </c>
      <c r="P38" s="84">
        <v>1.0055799999999999</v>
      </c>
      <c r="Q38" s="76">
        <v>2.415E-3</v>
      </c>
      <c r="R38" s="76">
        <v>5.5599999999999998E-3</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99" t="s">
        <v>60</v>
      </c>
      <c r="E41" s="100" t="s">
        <v>61</v>
      </c>
      <c r="F41" s="130" t="s">
        <v>69</v>
      </c>
      <c r="G41" s="134" t="s">
        <v>70</v>
      </c>
      <c r="I41" s="1"/>
      <c r="J41" s="1"/>
      <c r="K41" s="1"/>
      <c r="L41" s="1"/>
      <c r="M41" s="1"/>
      <c r="N41" s="1"/>
      <c r="O41" s="1"/>
      <c r="P41" s="1"/>
      <c r="Q41" s="1"/>
      <c r="R41" s="1"/>
      <c r="S41" s="1"/>
      <c r="T41" s="1"/>
      <c r="U41" s="1"/>
      <c r="V41" s="1"/>
      <c r="W41" s="1"/>
      <c r="X41" s="1"/>
      <c r="Y41" s="1"/>
      <c r="Z41" s="1"/>
      <c r="AA41" s="1"/>
    </row>
    <row r="42" spans="1:27" ht="19" x14ac:dyDescent="0.25">
      <c r="A42" s="1"/>
      <c r="B42" s="1"/>
      <c r="C42" s="91">
        <v>1</v>
      </c>
      <c r="D42" s="98">
        <v>1938.56</v>
      </c>
      <c r="E42" s="127">
        <v>1347.3658</v>
      </c>
      <c r="F42" s="131">
        <f>E42*$L$9</f>
        <v>40393083527940</v>
      </c>
      <c r="G42" s="243">
        <v>1.1793</v>
      </c>
      <c r="H42" s="97"/>
      <c r="K42" s="1"/>
      <c r="L42" s="1"/>
      <c r="M42" s="1"/>
      <c r="N42" s="1"/>
      <c r="O42" s="1"/>
      <c r="P42" s="1"/>
      <c r="Q42" s="1"/>
      <c r="R42" s="1"/>
      <c r="S42" s="1"/>
      <c r="T42" s="1"/>
      <c r="U42" s="1"/>
      <c r="V42" s="1"/>
      <c r="W42" s="1"/>
      <c r="X42" s="1"/>
      <c r="Y42" s="1"/>
      <c r="Z42" s="1"/>
      <c r="AA42" s="1"/>
    </row>
    <row r="43" spans="1:27" ht="19" x14ac:dyDescent="0.25">
      <c r="A43" s="1"/>
      <c r="B43" s="1"/>
      <c r="C43" s="92">
        <f>C42+1</f>
        <v>2</v>
      </c>
      <c r="D43" s="94">
        <v>1938.56</v>
      </c>
      <c r="E43" s="128">
        <v>1347.367</v>
      </c>
      <c r="F43" s="132">
        <f t="shared" ref="F43:F50" si="2">E43*$L$9</f>
        <v>40393119503100</v>
      </c>
      <c r="G43" s="244">
        <v>1.1793</v>
      </c>
      <c r="H43" s="97"/>
      <c r="K43" s="1"/>
      <c r="L43" s="1"/>
      <c r="M43" s="1"/>
      <c r="N43" s="1"/>
      <c r="O43" s="1"/>
      <c r="P43" s="1"/>
      <c r="Q43" s="1"/>
      <c r="R43" s="1"/>
      <c r="S43" s="1"/>
      <c r="T43" s="1"/>
      <c r="U43" s="1"/>
      <c r="V43" s="1"/>
      <c r="W43" s="1"/>
      <c r="X43" s="1"/>
      <c r="Y43" s="1"/>
      <c r="Z43" s="1"/>
      <c r="AA43" s="1"/>
    </row>
    <row r="44" spans="1:27" ht="20" thickBot="1" x14ac:dyDescent="0.3">
      <c r="A44" s="1"/>
      <c r="B44" s="1"/>
      <c r="C44" s="92">
        <f t="shared" ref="C44:C50" si="3">C43+1</f>
        <v>3</v>
      </c>
      <c r="D44" s="94">
        <v>1939.03</v>
      </c>
      <c r="E44" s="128">
        <v>1347.6918000000001</v>
      </c>
      <c r="F44" s="132">
        <f t="shared" si="2"/>
        <v>40402856779740</v>
      </c>
      <c r="G44" s="244">
        <v>1.1793</v>
      </c>
      <c r="H44" s="97"/>
      <c r="J44" s="191" t="s">
        <v>98</v>
      </c>
      <c r="M44" s="1"/>
      <c r="N44" s="1"/>
      <c r="O44" s="1"/>
      <c r="P44" s="1"/>
      <c r="Q44" s="1"/>
      <c r="R44" s="1"/>
      <c r="S44" s="1"/>
      <c r="T44" s="1"/>
      <c r="U44" s="1"/>
      <c r="V44" s="1"/>
      <c r="W44" s="1"/>
      <c r="X44" s="1"/>
      <c r="Y44" s="1"/>
      <c r="Z44" s="1"/>
      <c r="AA44" s="1"/>
    </row>
    <row r="45" spans="1:27" ht="20" thickBot="1" x14ac:dyDescent="0.3">
      <c r="A45" s="1"/>
      <c r="B45" s="1"/>
      <c r="C45" s="92">
        <f t="shared" si="3"/>
        <v>4</v>
      </c>
      <c r="D45" s="94">
        <v>2249.91</v>
      </c>
      <c r="E45" s="128">
        <v>1563.7654</v>
      </c>
      <c r="F45" s="132">
        <f t="shared" si="2"/>
        <v>46880592056220</v>
      </c>
      <c r="G45" s="244">
        <v>1.0078</v>
      </c>
      <c r="H45" s="97"/>
      <c r="J45" s="167">
        <v>1</v>
      </c>
      <c r="K45" s="168">
        <f>J45+1</f>
        <v>2</v>
      </c>
      <c r="L45" s="169">
        <f>K45+1</f>
        <v>3</v>
      </c>
      <c r="M45" s="1"/>
      <c r="N45" s="1"/>
      <c r="O45" s="1"/>
      <c r="P45" s="1"/>
      <c r="Q45" s="1"/>
      <c r="R45" s="1"/>
      <c r="S45" s="1"/>
      <c r="T45" s="1"/>
      <c r="U45" s="1"/>
      <c r="V45" s="1"/>
      <c r="W45" s="1"/>
      <c r="X45" s="1"/>
      <c r="Y45" s="1"/>
      <c r="Z45" s="1"/>
      <c r="AA45" s="1"/>
    </row>
    <row r="46" spans="1:27" ht="20" thickBot="1" x14ac:dyDescent="0.3">
      <c r="A46" s="1"/>
      <c r="B46" s="1"/>
      <c r="C46" s="92">
        <f t="shared" si="3"/>
        <v>5</v>
      </c>
      <c r="D46" s="94">
        <v>2249.91</v>
      </c>
      <c r="E46" s="128">
        <v>1563.7666999999999</v>
      </c>
      <c r="F46" s="132">
        <f t="shared" si="2"/>
        <v>46880631029310</v>
      </c>
      <c r="G46" s="244">
        <v>1.0078</v>
      </c>
      <c r="H46" s="97"/>
      <c r="J46" s="240">
        <v>-40.5261</v>
      </c>
      <c r="K46" s="241">
        <v>-40.5261</v>
      </c>
      <c r="L46" s="242">
        <v>-40.5261</v>
      </c>
      <c r="M46" s="1"/>
      <c r="N46" s="1"/>
      <c r="O46" s="1"/>
      <c r="P46" s="1"/>
      <c r="Q46" s="1"/>
      <c r="R46" s="1"/>
      <c r="S46" s="1"/>
      <c r="T46" s="1"/>
      <c r="U46" s="1"/>
      <c r="V46" s="1"/>
      <c r="W46" s="1"/>
      <c r="X46" s="1"/>
      <c r="Y46" s="1"/>
      <c r="Z46" s="1"/>
      <c r="AA46" s="1"/>
    </row>
    <row r="47" spans="1:27" ht="19" x14ac:dyDescent="0.25">
      <c r="A47" s="1"/>
      <c r="B47" s="1"/>
      <c r="C47" s="92">
        <f t="shared" si="3"/>
        <v>6</v>
      </c>
      <c r="D47" s="94">
        <v>4369.79</v>
      </c>
      <c r="E47" s="128">
        <v>3037.1588999999999</v>
      </c>
      <c r="F47" s="132">
        <f t="shared" si="2"/>
        <v>91051897810770</v>
      </c>
      <c r="G47" s="244">
        <v>1.0078</v>
      </c>
      <c r="H47" s="97"/>
      <c r="K47" s="1"/>
      <c r="L47" s="1"/>
      <c r="M47" s="1"/>
      <c r="N47" s="1"/>
      <c r="O47" s="1"/>
      <c r="P47" s="1"/>
      <c r="Q47" s="1"/>
      <c r="R47" s="1"/>
      <c r="S47" s="1"/>
      <c r="T47" s="1"/>
      <c r="U47" s="1"/>
      <c r="V47" s="1"/>
      <c r="W47" s="1"/>
      <c r="X47" s="1"/>
      <c r="Y47" s="1"/>
      <c r="Z47" s="1"/>
      <c r="AA47" s="1"/>
    </row>
    <row r="48" spans="1:27" ht="19" x14ac:dyDescent="0.25">
      <c r="A48" s="1"/>
      <c r="B48" s="1"/>
      <c r="C48" s="92">
        <f t="shared" si="3"/>
        <v>7</v>
      </c>
      <c r="D48" s="94">
        <v>4531.91</v>
      </c>
      <c r="E48" s="128">
        <v>3149.8386</v>
      </c>
      <c r="F48" s="132">
        <f t="shared" si="2"/>
        <v>94429956340980</v>
      </c>
      <c r="G48" s="244">
        <v>1.1013999999999999</v>
      </c>
      <c r="H48" s="97"/>
      <c r="K48" s="1"/>
      <c r="L48" s="1"/>
      <c r="M48" s="1"/>
      <c r="N48" s="1"/>
      <c r="O48" s="1"/>
      <c r="P48" s="1"/>
      <c r="Q48" s="1"/>
      <c r="R48" s="1"/>
      <c r="S48" s="1"/>
      <c r="T48" s="1"/>
      <c r="U48" s="1"/>
      <c r="V48" s="1"/>
      <c r="W48" s="1"/>
      <c r="X48" s="1"/>
      <c r="Y48" s="1"/>
      <c r="Z48" s="1"/>
      <c r="AA48" s="1"/>
    </row>
    <row r="49" spans="1:27" ht="19" x14ac:dyDescent="0.25">
      <c r="A49" s="1"/>
      <c r="B49" s="1"/>
      <c r="C49" s="92">
        <f t="shared" si="3"/>
        <v>8</v>
      </c>
      <c r="D49" s="94">
        <v>4531.91</v>
      </c>
      <c r="E49" s="128">
        <v>3149.8388</v>
      </c>
      <c r="F49" s="132">
        <f t="shared" si="2"/>
        <v>94429962336840</v>
      </c>
      <c r="G49" s="244">
        <v>1.1013999999999999</v>
      </c>
      <c r="H49" s="97"/>
      <c r="K49" s="1"/>
      <c r="L49" s="1"/>
      <c r="M49" s="1"/>
      <c r="N49" s="1"/>
      <c r="O49" s="1"/>
      <c r="P49" s="1"/>
      <c r="Q49" s="1"/>
      <c r="R49" s="1"/>
      <c r="S49" s="1"/>
      <c r="T49" s="1"/>
      <c r="U49" s="1"/>
      <c r="V49" s="1"/>
      <c r="W49" s="1"/>
      <c r="X49" s="1"/>
      <c r="Y49" s="1"/>
      <c r="Z49" s="1"/>
      <c r="AA49" s="1"/>
    </row>
    <row r="50" spans="1:27" ht="20" thickBot="1" x14ac:dyDescent="0.3">
      <c r="A50" s="1"/>
      <c r="B50" s="1"/>
      <c r="C50" s="93">
        <f t="shared" si="3"/>
        <v>9</v>
      </c>
      <c r="D50" s="95">
        <v>4532.55</v>
      </c>
      <c r="E50" s="129">
        <v>3150.2815000000001</v>
      </c>
      <c r="F50" s="133">
        <f t="shared" si="2"/>
        <v>94443234172950</v>
      </c>
      <c r="G50" s="245">
        <v>1.1013999999999999</v>
      </c>
      <c r="H50" s="97"/>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349" t="s">
        <v>125</v>
      </c>
      <c r="B53" s="349"/>
      <c r="C53" s="349"/>
      <c r="D53" s="349"/>
      <c r="E53" s="349"/>
      <c r="F53" s="349"/>
      <c r="G53" s="349"/>
      <c r="H53" s="349"/>
      <c r="I53" s="349"/>
      <c r="J53" s="349"/>
      <c r="K53" s="349"/>
      <c r="L53" s="349"/>
      <c r="M53" s="349"/>
      <c r="N53" s="349"/>
      <c r="O53" s="349"/>
      <c r="P53" s="349"/>
      <c r="Q53" s="349"/>
      <c r="R53" s="349"/>
      <c r="S53" s="349"/>
      <c r="T53" s="349"/>
      <c r="U53" s="349"/>
      <c r="V53" s="349"/>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25" t="s">
        <v>75</v>
      </c>
      <c r="D56" s="126"/>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57" t="s">
        <v>68</v>
      </c>
      <c r="D64" s="153" t="s">
        <v>67</v>
      </c>
      <c r="E64" s="157" t="s">
        <v>77</v>
      </c>
      <c r="F64" s="1"/>
      <c r="G64" s="1"/>
      <c r="H64" s="162" t="s">
        <v>83</v>
      </c>
      <c r="I64" s="163"/>
      <c r="J64" s="163"/>
      <c r="K64" s="163"/>
      <c r="L64" s="163"/>
      <c r="M64" s="163"/>
      <c r="N64" s="163"/>
      <c r="O64" s="1"/>
      <c r="Q64" s="1"/>
      <c r="R64" s="1"/>
      <c r="S64" s="1"/>
      <c r="T64" s="1"/>
      <c r="U64" s="1"/>
      <c r="V64" s="1"/>
      <c r="W64" s="1"/>
      <c r="X64" s="1"/>
      <c r="Y64" s="1"/>
      <c r="Z64" s="1"/>
      <c r="AA64" s="1"/>
    </row>
    <row r="65" spans="2:27" ht="20" thickBot="1" x14ac:dyDescent="0.3">
      <c r="B65" s="1"/>
      <c r="C65" s="150">
        <v>298.14999999999998</v>
      </c>
      <c r="D65" s="159">
        <f t="shared" ref="D65:D83" si="4">C65*$B$8/$B$16</f>
        <v>4.0625788058228471E-26</v>
      </c>
      <c r="E65" s="154">
        <f xml:space="preserve"> (2*PI()*$A$28*$U$9*$B$8*C65/($B$14^2))^(3/2)*D65</f>
        <v>2521719.6110947789</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0">
        <v>300</v>
      </c>
      <c r="D66" s="159">
        <f t="shared" si="4"/>
        <v>4.0877868245743891E-26</v>
      </c>
      <c r="E66" s="154">
        <f xml:space="preserve"> (2*PI()*$A$28*$U$9*$B$8*C66/($B$14^2))^(3/2)*D66</f>
        <v>2561019.5780483168</v>
      </c>
      <c r="F66" s="1"/>
      <c r="G66" s="1"/>
      <c r="L66" s="157" t="s">
        <v>82</v>
      </c>
      <c r="M66" s="1"/>
      <c r="N66" s="1"/>
      <c r="O66" s="1"/>
      <c r="Q66" s="1"/>
      <c r="R66" s="1"/>
      <c r="S66" s="1"/>
      <c r="T66" s="1"/>
      <c r="U66" s="1"/>
      <c r="V66" s="1"/>
      <c r="W66" s="1"/>
      <c r="X66" s="1"/>
      <c r="Y66" s="1"/>
      <c r="Z66" s="1"/>
      <c r="AA66" s="1"/>
    </row>
    <row r="67" spans="2:27" ht="19" x14ac:dyDescent="0.25">
      <c r="B67" s="1"/>
      <c r="C67" s="151">
        <f>C66+100</f>
        <v>400</v>
      </c>
      <c r="D67" s="160">
        <f t="shared" si="4"/>
        <v>5.4503824327658529E-26</v>
      </c>
      <c r="E67" s="155">
        <f t="shared" ref="E67:E83" si="5" xml:space="preserve"> (2*PI()*$A$28*$U$9*$B$8*C67/($B$14^2))^(3/2)*D67</f>
        <v>5257263.4410172841</v>
      </c>
      <c r="F67" s="1"/>
      <c r="G67" s="1"/>
      <c r="K67" s="71" t="s">
        <v>79</v>
      </c>
      <c r="L67" s="131">
        <f>$E$65</f>
        <v>2521719.6110947789</v>
      </c>
      <c r="M67" s="1"/>
      <c r="N67" s="1"/>
      <c r="O67" s="1"/>
      <c r="Q67" s="1"/>
      <c r="R67" s="1"/>
      <c r="S67" s="1"/>
      <c r="T67" s="1"/>
      <c r="U67" s="1"/>
      <c r="V67" s="1"/>
      <c r="W67" s="1"/>
      <c r="X67" s="1"/>
      <c r="Y67" s="1"/>
      <c r="Z67" s="1"/>
      <c r="AA67" s="1"/>
    </row>
    <row r="68" spans="2:27" ht="20" thickBot="1" x14ac:dyDescent="0.3">
      <c r="B68" s="1"/>
      <c r="C68" s="151">
        <f t="shared" ref="C68:C83" si="6">C67+100</f>
        <v>500</v>
      </c>
      <c r="D68" s="160">
        <f t="shared" si="4"/>
        <v>6.812978040957315E-26</v>
      </c>
      <c r="E68" s="155">
        <f t="shared" si="5"/>
        <v>9184061.2732337248</v>
      </c>
      <c r="F68" s="1"/>
      <c r="G68" s="1"/>
      <c r="K68" s="72" t="s">
        <v>80</v>
      </c>
      <c r="L68" s="133">
        <f>P33</f>
        <v>2522950</v>
      </c>
      <c r="M68" s="1"/>
      <c r="N68" s="1"/>
      <c r="O68" s="1"/>
      <c r="Q68" s="1"/>
      <c r="R68" s="1"/>
      <c r="S68" s="1"/>
      <c r="T68" s="1"/>
      <c r="U68" s="1"/>
      <c r="V68" s="1"/>
      <c r="W68" s="1"/>
      <c r="X68" s="1"/>
      <c r="Y68" s="1"/>
      <c r="Z68" s="1"/>
      <c r="AA68" s="1"/>
    </row>
    <row r="69" spans="2:27" ht="22" x14ac:dyDescent="0.3">
      <c r="B69" s="1"/>
      <c r="C69" s="151">
        <f t="shared" si="6"/>
        <v>600</v>
      </c>
      <c r="D69" s="160">
        <f t="shared" si="4"/>
        <v>8.1755736491487783E-26</v>
      </c>
      <c r="E69" s="155">
        <f t="shared" si="5"/>
        <v>14487314.483115843</v>
      </c>
      <c r="F69" s="1"/>
      <c r="G69" s="1"/>
      <c r="H69" s="1"/>
      <c r="I69" s="1"/>
      <c r="K69" s="17" t="s">
        <v>81</v>
      </c>
      <c r="L69" s="164">
        <f>ABS(L67-L68)/L67</f>
        <v>4.8791661840904269E-4</v>
      </c>
      <c r="M69" s="1"/>
      <c r="N69" s="1"/>
      <c r="O69" s="1"/>
      <c r="Q69" s="1"/>
      <c r="R69" s="1"/>
      <c r="S69" s="1"/>
      <c r="T69" s="1"/>
      <c r="U69" s="1"/>
      <c r="V69" s="1"/>
      <c r="W69" s="1"/>
      <c r="X69" s="1"/>
      <c r="Y69" s="1"/>
      <c r="Z69" s="1"/>
      <c r="AA69" s="1"/>
    </row>
    <row r="70" spans="2:27" ht="19" x14ac:dyDescent="0.25">
      <c r="B70" s="1"/>
      <c r="C70" s="151">
        <f t="shared" si="6"/>
        <v>700</v>
      </c>
      <c r="D70" s="160">
        <f t="shared" si="4"/>
        <v>9.5381692573402415E-26</v>
      </c>
      <c r="E70" s="155">
        <f t="shared" si="5"/>
        <v>21298786.576327905</v>
      </c>
      <c r="F70" s="1"/>
      <c r="G70" s="1"/>
      <c r="Q70" s="1"/>
      <c r="R70" s="1"/>
      <c r="S70" s="1"/>
      <c r="T70" s="1"/>
      <c r="U70" s="1"/>
      <c r="V70" s="1"/>
      <c r="W70" s="1"/>
      <c r="X70" s="1"/>
      <c r="Y70" s="1"/>
      <c r="Z70" s="1"/>
      <c r="AA70" s="1"/>
    </row>
    <row r="71" spans="2:27" ht="19" x14ac:dyDescent="0.25">
      <c r="B71" s="1"/>
      <c r="C71" s="151">
        <f t="shared" si="6"/>
        <v>800</v>
      </c>
      <c r="D71" s="160">
        <f t="shared" si="4"/>
        <v>1.0900764865531706E-25</v>
      </c>
      <c r="E71" s="155">
        <f t="shared" si="5"/>
        <v>29739573.03701964</v>
      </c>
      <c r="F71" s="1"/>
      <c r="G71" s="1"/>
      <c r="Q71" s="1"/>
      <c r="R71" s="1"/>
      <c r="S71" s="1"/>
      <c r="T71" s="1"/>
      <c r="U71" s="1"/>
      <c r="V71" s="1"/>
      <c r="W71" s="1"/>
      <c r="X71" s="1"/>
      <c r="Y71" s="1"/>
      <c r="Z71" s="1"/>
      <c r="AA71" s="1"/>
    </row>
    <row r="72" spans="2:27" ht="19" x14ac:dyDescent="0.25">
      <c r="B72" s="1"/>
      <c r="C72" s="151">
        <f t="shared" si="6"/>
        <v>900</v>
      </c>
      <c r="D72" s="160">
        <f t="shared" si="4"/>
        <v>1.2263360473723168E-25</v>
      </c>
      <c r="E72" s="155">
        <f t="shared" si="5"/>
        <v>39922344.255225062</v>
      </c>
      <c r="F72" s="1"/>
      <c r="G72" s="1"/>
      <c r="Q72" s="1"/>
      <c r="R72" s="1"/>
      <c r="S72" s="1"/>
      <c r="T72" s="1"/>
      <c r="U72" s="1"/>
      <c r="V72" s="1"/>
      <c r="W72" s="1"/>
      <c r="X72" s="1"/>
      <c r="Y72" s="1"/>
      <c r="Z72" s="1"/>
      <c r="AA72" s="1"/>
    </row>
    <row r="73" spans="2:27" ht="19" x14ac:dyDescent="0.25">
      <c r="C73" s="151">
        <f t="shared" si="6"/>
        <v>1000</v>
      </c>
      <c r="D73" s="160">
        <f t="shared" si="4"/>
        <v>1.362595608191463E-25</v>
      </c>
      <c r="E73" s="155">
        <f t="shared" si="5"/>
        <v>51952896.041090004</v>
      </c>
    </row>
    <row r="74" spans="2:27" ht="19" x14ac:dyDescent="0.25">
      <c r="C74" s="151">
        <f t="shared" si="6"/>
        <v>1100</v>
      </c>
      <c r="D74" s="160">
        <f t="shared" si="4"/>
        <v>1.4988551690106094E-25</v>
      </c>
      <c r="E74" s="155">
        <f t="shared" si="5"/>
        <v>65931275.037711106</v>
      </c>
    </row>
    <row r="75" spans="2:27" ht="19" x14ac:dyDescent="0.25">
      <c r="C75" s="151">
        <f t="shared" si="6"/>
        <v>1200</v>
      </c>
      <c r="D75" s="160">
        <f t="shared" si="4"/>
        <v>1.6351147298297557E-25</v>
      </c>
      <c r="E75" s="155">
        <f t="shared" si="5"/>
        <v>81952626.497546583</v>
      </c>
    </row>
    <row r="76" spans="2:27" ht="19" x14ac:dyDescent="0.25">
      <c r="C76" s="151">
        <f t="shared" si="6"/>
        <v>1300</v>
      </c>
      <c r="D76" s="160">
        <f t="shared" si="4"/>
        <v>1.7713742906489019E-25</v>
      </c>
      <c r="E76" s="155">
        <f t="shared" si="5"/>
        <v>100107851.90564039</v>
      </c>
    </row>
    <row r="77" spans="2:27" ht="19" x14ac:dyDescent="0.25">
      <c r="C77" s="151">
        <f t="shared" si="6"/>
        <v>1400</v>
      </c>
      <c r="D77" s="160">
        <f t="shared" si="4"/>
        <v>1.9076338514680483E-25</v>
      </c>
      <c r="E77" s="155">
        <f t="shared" si="5"/>
        <v>120484131.35333039</v>
      </c>
    </row>
    <row r="78" spans="2:27" ht="19" x14ac:dyDescent="0.25">
      <c r="C78" s="151">
        <f t="shared" si="6"/>
        <v>1500</v>
      </c>
      <c r="D78" s="160">
        <f t="shared" si="4"/>
        <v>2.043893412287195E-25</v>
      </c>
      <c r="E78" s="155">
        <f t="shared" si="5"/>
        <v>143165346.70559824</v>
      </c>
    </row>
    <row r="79" spans="2:27" ht="19" x14ac:dyDescent="0.25">
      <c r="C79" s="151">
        <f t="shared" si="6"/>
        <v>1600</v>
      </c>
      <c r="D79" s="160">
        <f t="shared" si="4"/>
        <v>2.1801529731063412E-25</v>
      </c>
      <c r="E79" s="155">
        <f t="shared" si="5"/>
        <v>168232430.11255404</v>
      </c>
    </row>
    <row r="80" spans="2:27" ht="19" x14ac:dyDescent="0.25">
      <c r="C80" s="151">
        <f t="shared" si="6"/>
        <v>1700</v>
      </c>
      <c r="D80" s="160">
        <f t="shared" si="4"/>
        <v>2.3164125339254876E-25</v>
      </c>
      <c r="E80" s="155">
        <f t="shared" si="5"/>
        <v>195763655.11076817</v>
      </c>
    </row>
    <row r="81" spans="3:7" ht="19" x14ac:dyDescent="0.25">
      <c r="C81" s="151">
        <f t="shared" si="6"/>
        <v>1800</v>
      </c>
      <c r="D81" s="160">
        <f t="shared" si="4"/>
        <v>2.4526720947446336E-25</v>
      </c>
      <c r="E81" s="155">
        <f t="shared" si="5"/>
        <v>225834882.74986503</v>
      </c>
    </row>
    <row r="82" spans="3:7" ht="19" x14ac:dyDescent="0.25">
      <c r="C82" s="151">
        <f t="shared" si="6"/>
        <v>1900</v>
      </c>
      <c r="D82" s="160">
        <f t="shared" si="4"/>
        <v>2.58893165556378E-25</v>
      </c>
      <c r="E82" s="155">
        <f t="shared" si="5"/>
        <v>258519771.9152036</v>
      </c>
    </row>
    <row r="83" spans="3:7" ht="20" thickBot="1" x14ac:dyDescent="0.3">
      <c r="C83" s="152">
        <f t="shared" si="6"/>
        <v>2000</v>
      </c>
      <c r="D83" s="161">
        <f t="shared" si="4"/>
        <v>2.725191216382926E-25</v>
      </c>
      <c r="E83" s="156">
        <f t="shared" si="5"/>
        <v>293889960.74347669</v>
      </c>
    </row>
    <row r="92" spans="3:7" ht="22" customHeight="1" x14ac:dyDescent="0.25">
      <c r="F92" s="1" t="s">
        <v>66</v>
      </c>
    </row>
    <row r="93" spans="3:7" ht="27" x14ac:dyDescent="0.35">
      <c r="C93" s="125" t="s">
        <v>84</v>
      </c>
      <c r="D93" s="165"/>
      <c r="E93" s="1"/>
      <c r="F93" s="1"/>
      <c r="G93" s="1"/>
    </row>
    <row r="94" spans="3:7" ht="19" x14ac:dyDescent="0.25">
      <c r="E94" s="1"/>
      <c r="G94" s="1"/>
    </row>
    <row r="95" spans="3:7" ht="20" thickBot="1" x14ac:dyDescent="0.3">
      <c r="E95" s="1"/>
      <c r="F95" s="1"/>
      <c r="G95" s="1"/>
    </row>
    <row r="96" spans="3:7" ht="20" thickBot="1" x14ac:dyDescent="0.3">
      <c r="C96" s="174" t="s">
        <v>86</v>
      </c>
      <c r="E96" s="1"/>
      <c r="F96" s="1"/>
      <c r="G96" s="1"/>
    </row>
    <row r="97" spans="3:22" ht="22" thickBot="1" x14ac:dyDescent="0.3">
      <c r="C97" s="175" t="s">
        <v>87</v>
      </c>
      <c r="D97" s="177" cm="1">
        <f t="array" ref="D97">INDEX($E:$E,(COLUMN(D97)-4)*1+42)</f>
        <v>1347.3658</v>
      </c>
      <c r="E97" s="177" cm="1">
        <f t="array" ref="E97">INDEX($E:$E,(COLUMN(E97)-4)*1+42)</f>
        <v>1347.367</v>
      </c>
      <c r="F97" s="177" cm="1">
        <f t="array" ref="F97">INDEX($E:$E,(COLUMN(F97)-4)*1+42)</f>
        <v>1347.6918000000001</v>
      </c>
      <c r="G97" s="177" cm="1">
        <f t="array" ref="G97">INDEX($E:$E,(COLUMN(G97)-4)*1+42)</f>
        <v>1563.7654</v>
      </c>
      <c r="H97" s="177" cm="1">
        <f t="array" ref="H97">INDEX($E:$E,(COLUMN(H97)-4)*1+42)</f>
        <v>1563.7666999999999</v>
      </c>
      <c r="I97" s="177" cm="1">
        <f t="array" ref="I97">INDEX($E:$E,(COLUMN(I97)-4)*1+42)</f>
        <v>3037.1588999999999</v>
      </c>
      <c r="J97" s="177" cm="1">
        <f t="array" ref="J97">INDEX($E:$E,(COLUMN(J97)-4)*1+42)</f>
        <v>3149.8386</v>
      </c>
      <c r="K97" s="177" cm="1">
        <f t="array" ref="K97">INDEX($E:$E,(COLUMN(K97)-4)*1+42)</f>
        <v>3149.8388</v>
      </c>
      <c r="L97" s="114" cm="1">
        <f t="array" ref="L97">INDEX($E:$E,(COLUMN(L97)-4)*1+42)</f>
        <v>3150.2815000000001</v>
      </c>
    </row>
    <row r="98" spans="3:22" ht="20" thickBot="1" x14ac:dyDescent="0.3">
      <c r="C98" s="176" t="s">
        <v>88</v>
      </c>
      <c r="D98" s="239">
        <f>D97*$L$9</f>
        <v>40393083527940</v>
      </c>
      <c r="E98" s="239">
        <f t="shared" ref="E98:L98" si="7">E97*$L$9</f>
        <v>40393119503100</v>
      </c>
      <c r="F98" s="239">
        <f t="shared" si="7"/>
        <v>40402856779740</v>
      </c>
      <c r="G98" s="239">
        <f t="shared" si="7"/>
        <v>46880592056220</v>
      </c>
      <c r="H98" s="239">
        <f t="shared" si="7"/>
        <v>46880631029310</v>
      </c>
      <c r="I98" s="239">
        <f t="shared" si="7"/>
        <v>91051897810770</v>
      </c>
      <c r="J98" s="239">
        <f t="shared" si="7"/>
        <v>94429956340980</v>
      </c>
      <c r="K98" s="239">
        <f t="shared" si="7"/>
        <v>94429962336840</v>
      </c>
      <c r="L98" s="239">
        <f t="shared" si="7"/>
        <v>94443234172950</v>
      </c>
    </row>
    <row r="99" spans="3:22" ht="17" thickBot="1" x14ac:dyDescent="0.25"/>
    <row r="100" spans="3:22" ht="30" customHeight="1" thickBot="1" x14ac:dyDescent="0.5">
      <c r="C100" s="350" t="s">
        <v>89</v>
      </c>
      <c r="D100" s="351"/>
      <c r="E100" s="351"/>
      <c r="F100" s="351"/>
      <c r="G100" s="351"/>
      <c r="H100" s="351"/>
      <c r="I100" s="351"/>
      <c r="J100" s="351"/>
      <c r="K100" s="351"/>
      <c r="L100" s="352"/>
      <c r="M100" s="187" t="s">
        <v>90</v>
      </c>
    </row>
    <row r="101" spans="3:22" ht="38" customHeight="1" thickBot="1" x14ac:dyDescent="0.35">
      <c r="C101" s="166" t="s">
        <v>85</v>
      </c>
      <c r="D101" s="170">
        <v>1</v>
      </c>
      <c r="E101" s="171">
        <f t="shared" ref="E101:L101" si="8">D101+1</f>
        <v>2</v>
      </c>
      <c r="F101" s="171">
        <f t="shared" si="8"/>
        <v>3</v>
      </c>
      <c r="G101" s="171">
        <f t="shared" si="8"/>
        <v>4</v>
      </c>
      <c r="H101" s="171">
        <f t="shared" si="8"/>
        <v>5</v>
      </c>
      <c r="I101" s="171">
        <f t="shared" si="8"/>
        <v>6</v>
      </c>
      <c r="J101" s="171">
        <f t="shared" si="8"/>
        <v>7</v>
      </c>
      <c r="K101" s="171">
        <f t="shared" si="8"/>
        <v>8</v>
      </c>
      <c r="L101" s="172">
        <f t="shared" si="8"/>
        <v>9</v>
      </c>
      <c r="M101" s="81"/>
      <c r="P101" s="162" t="s">
        <v>83</v>
      </c>
      <c r="Q101" s="163"/>
      <c r="R101" s="163"/>
      <c r="S101" s="163"/>
      <c r="T101" s="163"/>
      <c r="U101" s="1"/>
      <c r="V101" s="1"/>
    </row>
    <row r="102" spans="3:22" ht="20" thickBot="1" x14ac:dyDescent="0.3">
      <c r="C102" s="173">
        <v>298.14999999999998</v>
      </c>
      <c r="D102" s="180">
        <f>EXP(-($B$14*D$98)/(2*$B$8*$C102))/(1-EXP(-($B$14*D$98)/($B$8*$C102)))</f>
        <v>3.8794382723519837E-2</v>
      </c>
      <c r="E102" s="181">
        <f t="shared" ref="E102:K102" si="9">EXP(-($B$14*E$98)/(2*$B$8*$C102))/(1-EXP(-($B$14*E$98)/($B$8*$C102)))</f>
        <v>3.8794270060409024E-2</v>
      </c>
      <c r="F102" s="181">
        <f t="shared" si="9"/>
        <v>3.8763788009673852E-2</v>
      </c>
      <c r="G102" s="181">
        <f t="shared" si="9"/>
        <v>2.2992404629754829E-2</v>
      </c>
      <c r="H102" s="181">
        <f t="shared" si="9"/>
        <v>2.2992332433490199E-2</v>
      </c>
      <c r="I102" s="181">
        <f t="shared" si="9"/>
        <v>6.567641556235118E-4</v>
      </c>
      <c r="J102" s="181">
        <f t="shared" si="9"/>
        <v>5.0041934397828845E-4</v>
      </c>
      <c r="K102" s="181">
        <f t="shared" si="9"/>
        <v>5.0041910249161577E-4</v>
      </c>
      <c r="L102" s="182">
        <f>EXP(-($B$14*L$98)/(2*$B$8*$C102))/(1-EXP(-($B$14*L$98)/($B$8*$C102)))</f>
        <v>4.9988485725294541E-4</v>
      </c>
      <c r="M102" s="184">
        <f xml:space="preserve"> PRODUCT(D102:L102)</f>
        <v>2.5355808117016426E-21</v>
      </c>
    </row>
    <row r="103" spans="3:22" ht="20" thickBot="1" x14ac:dyDescent="0.3">
      <c r="C103" s="122">
        <v>300</v>
      </c>
      <c r="D103" s="179">
        <f t="shared" ref="D103:L120" si="10">EXP(-($B$14*D$98)/(2*$B$8*$C103))/(1-EXP(-($B$14*D$98)/($B$8*$C103)))</f>
        <v>3.9582403333086547E-2</v>
      </c>
      <c r="E103" s="178">
        <f t="shared" si="10"/>
        <v>3.9582289076318847E-2</v>
      </c>
      <c r="F103" s="178">
        <f t="shared" si="10"/>
        <v>3.9551375775728002E-2</v>
      </c>
      <c r="G103" s="178">
        <f t="shared" si="10"/>
        <v>2.3534246728414001E-2</v>
      </c>
      <c r="H103" s="178">
        <f t="shared" si="10"/>
        <v>2.3534173282768932E-2</v>
      </c>
      <c r="I103" s="178">
        <f t="shared" si="10"/>
        <v>6.8712450347073245E-4</v>
      </c>
      <c r="J103" s="178">
        <f t="shared" si="10"/>
        <v>5.2443082053961346E-4</v>
      </c>
      <c r="K103" s="178">
        <f t="shared" si="10"/>
        <v>5.2443056902636519E-4</v>
      </c>
      <c r="L103" s="183">
        <f t="shared" si="10"/>
        <v>5.2387413998367658E-4</v>
      </c>
      <c r="M103" s="185">
        <f t="shared" ref="M103:M120" si="11" xml:space="preserve"> PRODUCT(D103:L103)</f>
        <v>3.3978367772632512E-21</v>
      </c>
      <c r="R103" s="157" t="s">
        <v>82</v>
      </c>
    </row>
    <row r="104" spans="3:22" ht="19" x14ac:dyDescent="0.25">
      <c r="C104" s="123">
        <f>C103+100</f>
        <v>400</v>
      </c>
      <c r="D104" s="179">
        <f t="shared" si="10"/>
        <v>8.9339402048870684E-2</v>
      </c>
      <c r="E104" s="178">
        <f t="shared" si="10"/>
        <v>8.9339206186101403E-2</v>
      </c>
      <c r="F104" s="178">
        <f t="shared" si="10"/>
        <v>8.9286208935124636E-2</v>
      </c>
      <c r="G104" s="178">
        <f t="shared" si="10"/>
        <v>6.0278781274939429E-2</v>
      </c>
      <c r="H104" s="178">
        <f t="shared" si="10"/>
        <v>6.0278639321990457E-2</v>
      </c>
      <c r="I104" s="178">
        <f t="shared" si="10"/>
        <v>4.2440866850480567E-3</v>
      </c>
      <c r="J104" s="178">
        <f t="shared" si="10"/>
        <v>3.465542916930043E-3</v>
      </c>
      <c r="K104" s="178">
        <f t="shared" si="10"/>
        <v>3.4655416703636265E-3</v>
      </c>
      <c r="L104" s="183">
        <f t="shared" si="10"/>
        <v>3.4627834943265433E-3</v>
      </c>
      <c r="M104" s="185">
        <f t="shared" si="11"/>
        <v>4.5703494617055732E-16</v>
      </c>
      <c r="Q104" s="71" t="s">
        <v>79</v>
      </c>
      <c r="R104" s="131">
        <f>M102</f>
        <v>2.5355808117016426E-21</v>
      </c>
    </row>
    <row r="105" spans="3:22" ht="20" thickBot="1" x14ac:dyDescent="0.3">
      <c r="C105" s="123">
        <f t="shared" ref="C105:C120" si="12">C104+100</f>
        <v>500</v>
      </c>
      <c r="D105" s="179">
        <f t="shared" si="10"/>
        <v>0.14695448193616842</v>
      </c>
      <c r="E105" s="178">
        <f t="shared" si="10"/>
        <v>0.14695421748297482</v>
      </c>
      <c r="F105" s="178">
        <f t="shared" si="10"/>
        <v>0.14688265770253056</v>
      </c>
      <c r="G105" s="178">
        <f t="shared" si="10"/>
        <v>0.1065929344972231</v>
      </c>
      <c r="H105" s="178">
        <f t="shared" si="10"/>
        <v>0.10659273064456461</v>
      </c>
      <c r="I105" s="178">
        <f t="shared" si="10"/>
        <v>1.2655831469191825E-2</v>
      </c>
      <c r="J105" s="178">
        <f t="shared" si="10"/>
        <v>1.0761260316626662E-2</v>
      </c>
      <c r="K105" s="178">
        <f t="shared" si="10"/>
        <v>1.0761257219297136E-2</v>
      </c>
      <c r="L105" s="183">
        <f t="shared" si="10"/>
        <v>1.0754403465856505E-2</v>
      </c>
      <c r="M105" s="185">
        <f t="shared" si="11"/>
        <v>5.6806048065785407E-13</v>
      </c>
      <c r="Q105" s="72" t="s">
        <v>80</v>
      </c>
      <c r="R105" s="133">
        <f>P37</f>
        <v>2.5358200000000001E-21</v>
      </c>
    </row>
    <row r="106" spans="3:22" ht="22" x14ac:dyDescent="0.3">
      <c r="C106" s="123">
        <f t="shared" si="12"/>
        <v>600</v>
      </c>
      <c r="D106" s="179">
        <f t="shared" si="10"/>
        <v>0.20697771787248395</v>
      </c>
      <c r="E106" s="178">
        <f t="shared" si="10"/>
        <v>0.20697739557121578</v>
      </c>
      <c r="F106" s="178">
        <f t="shared" si="10"/>
        <v>0.20689018050808727</v>
      </c>
      <c r="G106" s="178">
        <f t="shared" si="10"/>
        <v>0.15706057186864392</v>
      </c>
      <c r="H106" s="178">
        <f t="shared" si="10"/>
        <v>0.1570603152686037</v>
      </c>
      <c r="I106" s="178">
        <f t="shared" si="10"/>
        <v>2.6231077607963546E-2</v>
      </c>
      <c r="J106" s="178">
        <f t="shared" si="10"/>
        <v>2.2912467444092255E-2</v>
      </c>
      <c r="K106" s="178">
        <f t="shared" si="10"/>
        <v>2.2912461944001546E-2</v>
      </c>
      <c r="L106" s="183">
        <f t="shared" si="10"/>
        <v>2.2900290735294912E-2</v>
      </c>
      <c r="M106" s="185">
        <f t="shared" si="11"/>
        <v>6.8947857557642675E-11</v>
      </c>
      <c r="Q106" s="17" t="s">
        <v>81</v>
      </c>
      <c r="R106" s="164">
        <f>ABS(R104-R105)/R104</f>
        <v>9.4332745086922056E-5</v>
      </c>
    </row>
    <row r="107" spans="3:22" ht="19" x14ac:dyDescent="0.25">
      <c r="C107" s="123">
        <f t="shared" si="12"/>
        <v>700</v>
      </c>
      <c r="D107" s="179">
        <f t="shared" si="10"/>
        <v>0.26715332756379268</v>
      </c>
      <c r="E107" s="178">
        <f t="shared" si="10"/>
        <v>0.26715295402090045</v>
      </c>
      <c r="F107" s="178">
        <f t="shared" si="10"/>
        <v>0.26705187187352658</v>
      </c>
      <c r="G107" s="178">
        <f t="shared" si="10"/>
        <v>0.20886641046613452</v>
      </c>
      <c r="H107" s="178">
        <f t="shared" si="10"/>
        <v>0.20886610805068118</v>
      </c>
      <c r="I107" s="178">
        <f t="shared" si="10"/>
        <v>4.4186452213235645E-2</v>
      </c>
      <c r="J107" s="178">
        <f t="shared" si="10"/>
        <v>3.9338932965164629E-2</v>
      </c>
      <c r="K107" s="178">
        <f t="shared" si="10"/>
        <v>3.93389248544651E-2</v>
      </c>
      <c r="L107" s="183">
        <f t="shared" si="10"/>
        <v>3.9320975944057361E-2</v>
      </c>
      <c r="M107" s="185">
        <f t="shared" si="11"/>
        <v>2.2356883107766513E-9</v>
      </c>
    </row>
    <row r="108" spans="3:22" ht="19" x14ac:dyDescent="0.25">
      <c r="C108" s="123">
        <f t="shared" si="12"/>
        <v>800</v>
      </c>
      <c r="D108" s="179">
        <f t="shared" si="10"/>
        <v>0.32667626947425593</v>
      </c>
      <c r="E108" s="178">
        <f t="shared" si="10"/>
        <v>0.32667584839446356</v>
      </c>
      <c r="F108" s="178">
        <f t="shared" si="10"/>
        <v>0.32656190204975155</v>
      </c>
      <c r="G108" s="178">
        <f t="shared" si="10"/>
        <v>0.26073418209357613</v>
      </c>
      <c r="H108" s="178">
        <f t="shared" si="10"/>
        <v>0.26073383834077135</v>
      </c>
      <c r="I108" s="178">
        <f t="shared" si="10"/>
        <v>6.5423727478342172E-2</v>
      </c>
      <c r="J108" s="178">
        <f t="shared" si="10"/>
        <v>5.9073226876514638E-2</v>
      </c>
      <c r="K108" s="178">
        <f t="shared" si="10"/>
        <v>5.907321617846633E-2</v>
      </c>
      <c r="L108" s="183">
        <f t="shared" si="10"/>
        <v>5.9049540861535375E-2</v>
      </c>
      <c r="M108" s="185">
        <f t="shared" si="11"/>
        <v>3.1939537355046428E-8</v>
      </c>
    </row>
    <row r="109" spans="3:22" ht="19" x14ac:dyDescent="0.25">
      <c r="C109" s="123">
        <f t="shared" si="12"/>
        <v>900</v>
      </c>
      <c r="D109" s="179">
        <f t="shared" si="10"/>
        <v>0.38533113461137952</v>
      </c>
      <c r="E109" s="178">
        <f t="shared" si="10"/>
        <v>0.3853306679847</v>
      </c>
      <c r="F109" s="178">
        <f t="shared" si="10"/>
        <v>0.38520439620672259</v>
      </c>
      <c r="G109" s="178">
        <f t="shared" si="10"/>
        <v>0.3121437800099261</v>
      </c>
      <c r="H109" s="178">
        <f t="shared" si="10"/>
        <v>0.31214339763891252</v>
      </c>
      <c r="I109" s="178">
        <f t="shared" si="10"/>
        <v>8.8935139924169446E-2</v>
      </c>
      <c r="J109" s="178">
        <f t="shared" si="10"/>
        <v>8.1170124483287781E-2</v>
      </c>
      <c r="K109" s="178">
        <f t="shared" si="10"/>
        <v>8.1170111337212678E-2</v>
      </c>
      <c r="L109" s="183">
        <f t="shared" si="10"/>
        <v>8.1141017851343186E-2</v>
      </c>
      <c r="M109" s="185">
        <f t="shared" si="11"/>
        <v>2.6495611538135276E-7</v>
      </c>
    </row>
    <row r="110" spans="3:22" ht="19" x14ac:dyDescent="0.25">
      <c r="C110" s="123">
        <f t="shared" si="12"/>
        <v>1000</v>
      </c>
      <c r="D110" s="179">
        <f t="shared" si="10"/>
        <v>0.44312686208724406</v>
      </c>
      <c r="E110" s="178">
        <f t="shared" si="10"/>
        <v>0.44312635093995056</v>
      </c>
      <c r="F110" s="178">
        <f t="shared" si="10"/>
        <v>0.44298803161212502</v>
      </c>
      <c r="G110" s="178">
        <f t="shared" si="10"/>
        <v>0.36292197210868776</v>
      </c>
      <c r="H110" s="178">
        <f t="shared" si="10"/>
        <v>0.36292155271859539</v>
      </c>
      <c r="I110" s="178">
        <f t="shared" si="10"/>
        <v>0.11393079097076976</v>
      </c>
      <c r="J110" s="178">
        <f t="shared" si="10"/>
        <v>0.1048587711391768</v>
      </c>
      <c r="K110" s="178">
        <f t="shared" si="10"/>
        <v>0.10485875572412814</v>
      </c>
      <c r="L110" s="183">
        <f t="shared" si="10"/>
        <v>0.10482464030119766</v>
      </c>
      <c r="M110" s="185">
        <f t="shared" si="11"/>
        <v>1.5044841838196512E-6</v>
      </c>
    </row>
    <row r="111" spans="3:22" ht="19" x14ac:dyDescent="0.25">
      <c r="C111" s="123">
        <f t="shared" si="12"/>
        <v>1100</v>
      </c>
      <c r="D111" s="179">
        <f t="shared" si="10"/>
        <v>0.50014841656999964</v>
      </c>
      <c r="E111" s="178">
        <f t="shared" si="10"/>
        <v>0.50014786139444445</v>
      </c>
      <c r="F111" s="178">
        <f t="shared" si="10"/>
        <v>0.49999762785846713</v>
      </c>
      <c r="G111" s="178">
        <f t="shared" si="10"/>
        <v>0.41304755068046217</v>
      </c>
      <c r="H111" s="178">
        <f t="shared" si="10"/>
        <v>0.41304709518603322</v>
      </c>
      <c r="I111" s="178">
        <f t="shared" si="10"/>
        <v>0.13983857560097954</v>
      </c>
      <c r="J111" s="178">
        <f t="shared" si="10"/>
        <v>0.12956355132533776</v>
      </c>
      <c r="K111" s="178">
        <f t="shared" si="10"/>
        <v>0.12956353381897184</v>
      </c>
      <c r="L111" s="183">
        <f t="shared" si="10"/>
        <v>0.12952478963952987</v>
      </c>
      <c r="M111" s="185">
        <f t="shared" si="11"/>
        <v>6.4879933666317555E-6</v>
      </c>
    </row>
    <row r="112" spans="3:22" ht="19" x14ac:dyDescent="0.25">
      <c r="C112" s="123">
        <f t="shared" si="12"/>
        <v>1200</v>
      </c>
      <c r="D112" s="179">
        <f t="shared" si="10"/>
        <v>0.55649813914129209</v>
      </c>
      <c r="E112" s="178">
        <f t="shared" si="10"/>
        <v>0.55649754013556341</v>
      </c>
      <c r="F112" s="178">
        <f t="shared" si="10"/>
        <v>0.55633544606449237</v>
      </c>
      <c r="G112" s="178">
        <f t="shared" si="10"/>
        <v>0.46256146182304575</v>
      </c>
      <c r="H112" s="178">
        <f t="shared" si="10"/>
        <v>0.46256097072668129</v>
      </c>
      <c r="I112" s="178">
        <f t="shared" si="10"/>
        <v>0.16626271161851638</v>
      </c>
      <c r="J112" s="178">
        <f t="shared" si="10"/>
        <v>0.15487567395873483</v>
      </c>
      <c r="K112" s="178">
        <f t="shared" si="10"/>
        <v>0.15487565451900295</v>
      </c>
      <c r="L112" s="183">
        <f t="shared" si="10"/>
        <v>0.15483263117554458</v>
      </c>
      <c r="M112" s="185">
        <f t="shared" si="11"/>
        <v>2.2762808596289294E-5</v>
      </c>
    </row>
    <row r="113" spans="2:15" ht="19" x14ac:dyDescent="0.25">
      <c r="C113" s="123">
        <f t="shared" si="12"/>
        <v>1300</v>
      </c>
      <c r="D113" s="179">
        <f t="shared" si="10"/>
        <v>0.6122737512002433</v>
      </c>
      <c r="E113" s="178">
        <f t="shared" si="10"/>
        <v>0.61227310840157945</v>
      </c>
      <c r="F113" s="178">
        <f t="shared" si="10"/>
        <v>0.61209916391628805</v>
      </c>
      <c r="G113" s="178">
        <f t="shared" si="10"/>
        <v>0.51152607066698008</v>
      </c>
      <c r="H113" s="178">
        <f t="shared" si="10"/>
        <v>0.51152554422381691</v>
      </c>
      <c r="I113" s="178">
        <f t="shared" si="10"/>
        <v>0.19293766550137928</v>
      </c>
      <c r="J113" s="178">
        <f t="shared" si="10"/>
        <v>0.18051406097845316</v>
      </c>
      <c r="K113" s="178">
        <f t="shared" si="10"/>
        <v>0.18051403973787988</v>
      </c>
      <c r="L113" s="183">
        <f t="shared" si="10"/>
        <v>0.18046703056001651</v>
      </c>
      <c r="M113" s="185">
        <f t="shared" si="11"/>
        <v>6.8121566395477971E-5</v>
      </c>
    </row>
    <row r="114" spans="2:15" ht="19" x14ac:dyDescent="0.25">
      <c r="C114" s="123">
        <f t="shared" si="12"/>
        <v>1400</v>
      </c>
      <c r="D114" s="179">
        <f t="shared" si="10"/>
        <v>0.66756125130264554</v>
      </c>
      <c r="E114" s="178">
        <f t="shared" si="10"/>
        <v>0.66756056466217095</v>
      </c>
      <c r="F114" s="178">
        <f t="shared" si="10"/>
        <v>0.66737475656417944</v>
      </c>
      <c r="G114" s="178">
        <f t="shared" si="10"/>
        <v>0.56000717894152185</v>
      </c>
      <c r="H114" s="178">
        <f t="shared" si="10"/>
        <v>0.56000661725895906</v>
      </c>
      <c r="I114" s="178">
        <f t="shared" si="10"/>
        <v>0.21968965560549375</v>
      </c>
      <c r="J114" s="178">
        <f t="shared" si="10"/>
        <v>0.20629010270465351</v>
      </c>
      <c r="K114" s="178">
        <f t="shared" si="10"/>
        <v>0.20629007977073233</v>
      </c>
      <c r="L114" s="183">
        <f t="shared" si="10"/>
        <v>0.20623932269309</v>
      </c>
      <c r="M114" s="185">
        <f t="shared" si="11"/>
        <v>1.798357952614356E-4</v>
      </c>
    </row>
    <row r="115" spans="2:15" ht="19" x14ac:dyDescent="0.25">
      <c r="C115" s="123">
        <f t="shared" si="12"/>
        <v>1500</v>
      </c>
      <c r="D115" s="179">
        <f t="shared" si="10"/>
        <v>0.72243372542392514</v>
      </c>
      <c r="E115" s="178">
        <f t="shared" si="10"/>
        <v>0.72243299484880008</v>
      </c>
      <c r="F115" s="178">
        <f t="shared" si="10"/>
        <v>0.72223529803227005</v>
      </c>
      <c r="G115" s="178">
        <f t="shared" si="10"/>
        <v>0.60806655286939115</v>
      </c>
      <c r="H115" s="178">
        <f t="shared" si="10"/>
        <v>0.60806595596724555</v>
      </c>
      <c r="I115" s="178">
        <f t="shared" si="10"/>
        <v>0.24640781413064877</v>
      </c>
      <c r="J115" s="178">
        <f t="shared" si="10"/>
        <v>0.23208007440812467</v>
      </c>
      <c r="K115" s="178">
        <f t="shared" si="10"/>
        <v>0.23208004986623829</v>
      </c>
      <c r="L115" s="183">
        <f t="shared" si="10"/>
        <v>0.23202573388803971</v>
      </c>
      <c r="M115" s="185">
        <f t="shared" si="11"/>
        <v>4.2918288474663252E-4</v>
      </c>
    </row>
    <row r="116" spans="2:15" ht="19" x14ac:dyDescent="0.25">
      <c r="C116" s="123">
        <f t="shared" si="12"/>
        <v>1600</v>
      </c>
      <c r="D116" s="179">
        <f t="shared" si="10"/>
        <v>0.77695234508490996</v>
      </c>
      <c r="E116" s="178">
        <f t="shared" si="10"/>
        <v>0.77695157046218144</v>
      </c>
      <c r="F116" s="178">
        <f t="shared" si="10"/>
        <v>0.77674195437139826</v>
      </c>
      <c r="G116" s="178">
        <f t="shared" si="10"/>
        <v>0.65575927257358135</v>
      </c>
      <c r="H116" s="178">
        <f t="shared" si="10"/>
        <v>0.65575864042064158</v>
      </c>
      <c r="I116" s="178">
        <f t="shared" si="10"/>
        <v>0.27302369946854049</v>
      </c>
      <c r="J116" s="178">
        <f t="shared" si="10"/>
        <v>0.25780492561257173</v>
      </c>
      <c r="K116" s="178">
        <f t="shared" si="10"/>
        <v>0.25780489952962182</v>
      </c>
      <c r="L116" s="183">
        <f t="shared" si="10"/>
        <v>0.25774717274499404</v>
      </c>
      <c r="M116" s="185">
        <f t="shared" si="11"/>
        <v>9.4304016652811847E-4</v>
      </c>
    </row>
    <row r="117" spans="2:15" ht="19" x14ac:dyDescent="0.25">
      <c r="C117" s="123">
        <f t="shared" si="12"/>
        <v>1700</v>
      </c>
      <c r="D117" s="179">
        <f t="shared" si="10"/>
        <v>0.8311680184343152</v>
      </c>
      <c r="E117" s="178">
        <f t="shared" si="10"/>
        <v>0.83116719964435803</v>
      </c>
      <c r="F117" s="178">
        <f t="shared" si="10"/>
        <v>0.83094563191361048</v>
      </c>
      <c r="G117" s="178">
        <f t="shared" si="10"/>
        <v>0.70313324297934088</v>
      </c>
      <c r="H117" s="178">
        <f t="shared" si="10"/>
        <v>0.70313257551569242</v>
      </c>
      <c r="I117" s="178">
        <f t="shared" si="10"/>
        <v>0.2994971444919744</v>
      </c>
      <c r="J117" s="178">
        <f t="shared" si="10"/>
        <v>0.28341597755417253</v>
      </c>
      <c r="K117" s="178">
        <f t="shared" si="10"/>
        <v>0.28341594998208636</v>
      </c>
      <c r="L117" s="183">
        <f t="shared" si="10"/>
        <v>0.28335492734111556</v>
      </c>
      <c r="M117" s="185">
        <f t="shared" si="11"/>
        <v>1.9346248076668661E-3</v>
      </c>
    </row>
    <row r="118" spans="2:15" ht="19" x14ac:dyDescent="0.25">
      <c r="C118" s="123">
        <f t="shared" si="12"/>
        <v>1800</v>
      </c>
      <c r="D118" s="179">
        <f t="shared" si="10"/>
        <v>0.88512308366168013</v>
      </c>
      <c r="E118" s="178">
        <f t="shared" si="10"/>
        <v>0.88512222058565537</v>
      </c>
      <c r="F118" s="178">
        <f t="shared" si="10"/>
        <v>0.88488866905917463</v>
      </c>
      <c r="G118" s="178">
        <f t="shared" si="10"/>
        <v>0.75022961843549951</v>
      </c>
      <c r="H118" s="178">
        <f t="shared" si="10"/>
        <v>0.75022891558619653</v>
      </c>
      <c r="I118" s="178">
        <f t="shared" si="10"/>
        <v>0.32580663129019666</v>
      </c>
      <c r="J118" s="178">
        <f t="shared" si="10"/>
        <v>0.30888499501568811</v>
      </c>
      <c r="K118" s="178">
        <f t="shared" si="10"/>
        <v>0.30888496599448123</v>
      </c>
      <c r="L118" s="183">
        <f t="shared" si="10"/>
        <v>0.30882073608037708</v>
      </c>
      <c r="M118" s="185">
        <f t="shared" si="11"/>
        <v>3.7457906843177419E-3</v>
      </c>
    </row>
    <row r="119" spans="2:15" ht="19" x14ac:dyDescent="0.25">
      <c r="C119" s="123">
        <f t="shared" si="12"/>
        <v>1900</v>
      </c>
      <c r="D119" s="179">
        <f t="shared" si="10"/>
        <v>0.93885282495739641</v>
      </c>
      <c r="E119" s="178">
        <f t="shared" si="10"/>
        <v>0.93885191748124486</v>
      </c>
      <c r="F119" s="178">
        <f t="shared" si="10"/>
        <v>0.93860635129453174</v>
      </c>
      <c r="G119" s="178">
        <f t="shared" si="10"/>
        <v>0.79708355923905039</v>
      </c>
      <c r="H119" s="178">
        <f t="shared" si="10"/>
        <v>0.79708282092247351</v>
      </c>
      <c r="I119" s="178">
        <f t="shared" si="10"/>
        <v>0.35194280117444054</v>
      </c>
      <c r="J119" s="178">
        <f t="shared" si="10"/>
        <v>0.33419736958501628</v>
      </c>
      <c r="K119" s="178">
        <f t="shared" si="10"/>
        <v>0.33419733914533123</v>
      </c>
      <c r="L119" s="183">
        <f t="shared" si="10"/>
        <v>0.33412996979485032</v>
      </c>
      <c r="M119" s="185">
        <f t="shared" si="11"/>
        <v>6.9036527261848567E-3</v>
      </c>
    </row>
    <row r="120" spans="2:15" ht="20" thickBot="1" x14ac:dyDescent="0.3">
      <c r="C120" s="124">
        <f t="shared" si="12"/>
        <v>2000</v>
      </c>
      <c r="D120" s="179">
        <f t="shared" si="10"/>
        <v>0.99238675386255226</v>
      </c>
      <c r="E120" s="178">
        <f t="shared" si="10"/>
        <v>0.99238580187897041</v>
      </c>
      <c r="F120" s="178">
        <f t="shared" si="10"/>
        <v>0.99212819199459745</v>
      </c>
      <c r="G120" s="178">
        <f t="shared" si="10"/>
        <v>0.84372505510899032</v>
      </c>
      <c r="H120" s="178">
        <f t="shared" si="10"/>
        <v>0.84372428124191479</v>
      </c>
      <c r="I120" s="178">
        <f t="shared" si="10"/>
        <v>0.37790410129337559</v>
      </c>
      <c r="J120" s="178">
        <f t="shared" si="10"/>
        <v>0.3593474689551005</v>
      </c>
      <c r="K120" s="178">
        <f t="shared" si="10"/>
        <v>0.35934743712025369</v>
      </c>
      <c r="L120" s="183">
        <f t="shared" si="10"/>
        <v>0.35927697995199898</v>
      </c>
      <c r="M120" s="186">
        <f t="shared" si="11"/>
        <v>1.2194694474482135E-2</v>
      </c>
    </row>
    <row r="127" spans="2:15" ht="19" x14ac:dyDescent="0.25">
      <c r="B127" s="1"/>
      <c r="C127" s="1"/>
      <c r="D127" s="1"/>
      <c r="E127" s="1"/>
      <c r="F127" s="1" t="s">
        <v>66</v>
      </c>
      <c r="G127" s="1"/>
      <c r="H127" s="1"/>
      <c r="I127" s="1"/>
      <c r="J127" s="1"/>
      <c r="K127" s="1"/>
      <c r="L127" s="1"/>
      <c r="M127" s="1"/>
      <c r="N127" s="1"/>
      <c r="O127" s="1"/>
    </row>
    <row r="128" spans="2:15" ht="27" x14ac:dyDescent="0.35">
      <c r="B128" s="1"/>
      <c r="C128" s="125" t="s">
        <v>91</v>
      </c>
      <c r="D128" s="126"/>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82" t="s">
        <v>26</v>
      </c>
      <c r="D130" s="63"/>
      <c r="E130" s="63"/>
      <c r="F130" s="64"/>
      <c r="G130" s="1"/>
      <c r="H130" s="1"/>
      <c r="I130" s="1"/>
      <c r="J130" s="1"/>
      <c r="K130" s="1"/>
      <c r="L130" s="1"/>
      <c r="M130" s="1"/>
      <c r="N130" s="1"/>
      <c r="O130" s="1"/>
    </row>
    <row r="131" spans="2:15" ht="20" thickBot="1" x14ac:dyDescent="0.3">
      <c r="B131" s="1"/>
      <c r="C131" s="83"/>
      <c r="D131" s="105" t="s">
        <v>36</v>
      </c>
      <c r="E131" s="106" t="s">
        <v>37</v>
      </c>
      <c r="F131" s="107" t="s">
        <v>38</v>
      </c>
      <c r="G131" s="1"/>
      <c r="H131" s="1"/>
      <c r="I131" s="1"/>
      <c r="J131" s="1"/>
      <c r="K131" s="1"/>
      <c r="L131" s="1"/>
      <c r="M131" s="1"/>
      <c r="N131" s="1"/>
      <c r="O131" s="1"/>
    </row>
    <row r="132" spans="2:15" ht="22" thickBot="1" x14ac:dyDescent="0.3">
      <c r="B132" s="1"/>
      <c r="C132" s="188" t="s">
        <v>92</v>
      </c>
      <c r="D132" s="59">
        <f>D24*($Q$8)^2</f>
        <v>1.9023682999999999E-46</v>
      </c>
      <c r="E132" s="59">
        <f t="shared" ref="E132:F132" si="13">E24*($Q$8)^2</f>
        <v>1.9025658400000001E-46</v>
      </c>
      <c r="F132" s="59">
        <f t="shared" si="13"/>
        <v>1.9025658400000001E-46</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89" t="s">
        <v>68</v>
      </c>
      <c r="D136" s="157" t="s">
        <v>95</v>
      </c>
      <c r="E136" s="157" t="s">
        <v>96</v>
      </c>
      <c r="F136" s="1"/>
      <c r="G136" s="1"/>
      <c r="H136" s="162" t="s">
        <v>83</v>
      </c>
      <c r="I136" s="163"/>
      <c r="J136" s="163"/>
      <c r="K136" s="163"/>
      <c r="L136" s="163"/>
      <c r="M136" s="163"/>
      <c r="N136" s="163"/>
      <c r="O136" s="1"/>
    </row>
    <row r="137" spans="2:15" ht="20" thickBot="1" x14ac:dyDescent="0.3">
      <c r="B137" s="1"/>
      <c r="C137" s="150">
        <v>298.14999999999998</v>
      </c>
      <c r="D137" s="154">
        <f t="shared" ref="D137:D155" si="14">(8*PI()^2*(2*PI()*$B$8*C137)^(3/2)*SQRT($D$132*$E$132*$F$132))/($H$139*$B$14^3)</f>
        <v>246.87393235744977</v>
      </c>
      <c r="E137" s="154">
        <f>(SQRT(PI())/$A$31)*((C137^1.5)/SQRT($C$29*$D$29*$E$29))</f>
        <v>146.40315964100756</v>
      </c>
      <c r="F137" s="4"/>
      <c r="G137" s="1"/>
      <c r="H137" s="1"/>
      <c r="I137" s="1"/>
      <c r="J137" s="1"/>
      <c r="K137" s="1"/>
      <c r="L137" s="1"/>
      <c r="M137" s="1"/>
      <c r="N137" s="1"/>
      <c r="O137" s="1"/>
    </row>
    <row r="138" spans="2:15" ht="20" thickBot="1" x14ac:dyDescent="0.3">
      <c r="B138" s="1"/>
      <c r="C138" s="150">
        <v>300</v>
      </c>
      <c r="D138" s="154">
        <f t="shared" si="14"/>
        <v>249.17524638314001</v>
      </c>
      <c r="E138" s="154">
        <f>(SQRT(PI())/$A$31)*((C138^1.5)/SQRT($C$29*$D$29*$E$29))</f>
        <v>147.76790334428063</v>
      </c>
      <c r="F138" s="1"/>
      <c r="G138" s="1"/>
      <c r="L138" s="157" t="s">
        <v>93</v>
      </c>
      <c r="M138" s="327" t="s">
        <v>94</v>
      </c>
      <c r="N138" s="1"/>
      <c r="O138" s="1"/>
    </row>
    <row r="139" spans="2:15" ht="20" thickBot="1" x14ac:dyDescent="0.3">
      <c r="B139" s="1"/>
      <c r="C139" s="151">
        <f>C138+100</f>
        <v>400</v>
      </c>
      <c r="D139" s="155">
        <f t="shared" si="14"/>
        <v>383.63038819919609</v>
      </c>
      <c r="E139" s="155">
        <f t="shared" ref="E139:E155" si="15">(SQRT(PI())/$A$31)*((C139^1.5)/SQRT($C$29*$D$29*$E$29))</f>
        <v>227.50357006241873</v>
      </c>
      <c r="F139" s="1"/>
      <c r="G139" s="108" t="s">
        <v>124</v>
      </c>
      <c r="H139" s="113">
        <v>12</v>
      </c>
      <c r="K139" s="71" t="s">
        <v>79</v>
      </c>
      <c r="L139" s="131">
        <f>D137</f>
        <v>246.87393235744977</v>
      </c>
      <c r="M139" s="332">
        <f>E137</f>
        <v>146.40315964100756</v>
      </c>
      <c r="N139" s="1"/>
      <c r="O139" s="1"/>
    </row>
    <row r="140" spans="2:15" ht="20" thickBot="1" x14ac:dyDescent="0.3">
      <c r="B140" s="1"/>
      <c r="C140" s="151">
        <f t="shared" ref="C140:C155" si="16">C139+100</f>
        <v>500</v>
      </c>
      <c r="D140" s="155">
        <f t="shared" si="14"/>
        <v>536.13976640501767</v>
      </c>
      <c r="E140" s="155">
        <f t="shared" si="15"/>
        <v>317.9459048646591</v>
      </c>
      <c r="F140" s="1"/>
      <c r="G140" s="1"/>
      <c r="K140" s="72" t="s">
        <v>80</v>
      </c>
      <c r="L140" s="133">
        <f>P34</f>
        <v>146.40299999999999</v>
      </c>
      <c r="M140" s="133">
        <f>L140</f>
        <v>146.40299999999999</v>
      </c>
      <c r="N140" s="1"/>
      <c r="O140" s="1"/>
    </row>
    <row r="141" spans="2:15" ht="22" x14ac:dyDescent="0.3">
      <c r="B141" s="1"/>
      <c r="C141" s="151">
        <f t="shared" si="16"/>
        <v>600</v>
      </c>
      <c r="D141" s="155">
        <f t="shared" si="14"/>
        <v>704.77402568539014</v>
      </c>
      <c r="E141" s="155">
        <f t="shared" si="15"/>
        <v>417.95074598583614</v>
      </c>
      <c r="F141" s="1"/>
      <c r="G141" s="1"/>
      <c r="H141" s="1"/>
      <c r="I141" s="1"/>
      <c r="K141" s="17" t="s">
        <v>81</v>
      </c>
      <c r="L141" s="164">
        <f>ABS(L139-L140)/L139</f>
        <v>0.40697262525059757</v>
      </c>
      <c r="M141" s="164">
        <f>ABS(M139-M140)/M139</f>
        <v>1.0904205070577142E-6</v>
      </c>
      <c r="N141" s="1"/>
      <c r="O141" s="1"/>
    </row>
    <row r="142" spans="2:15" ht="19" x14ac:dyDescent="0.25">
      <c r="B142" s="1"/>
      <c r="C142" s="151">
        <f t="shared" si="16"/>
        <v>700</v>
      </c>
      <c r="D142" s="155">
        <f t="shared" si="14"/>
        <v>888.11677722445518</v>
      </c>
      <c r="E142" s="155">
        <f t="shared" si="15"/>
        <v>526.67813516895399</v>
      </c>
      <c r="F142" s="1"/>
      <c r="G142" s="1"/>
    </row>
    <row r="143" spans="2:15" ht="19" x14ac:dyDescent="0.25">
      <c r="B143" s="1"/>
      <c r="C143" s="151">
        <f t="shared" si="16"/>
        <v>800</v>
      </c>
      <c r="D143" s="155">
        <f t="shared" si="14"/>
        <v>1085.0705958595045</v>
      </c>
      <c r="E143" s="155">
        <f t="shared" si="15"/>
        <v>643.47726854113989</v>
      </c>
      <c r="F143" s="1"/>
      <c r="G143" s="1"/>
    </row>
    <row r="144" spans="2:15" ht="19" x14ac:dyDescent="0.25">
      <c r="B144" s="1"/>
      <c r="C144" s="151">
        <f t="shared" si="16"/>
        <v>900</v>
      </c>
      <c r="D144" s="155">
        <f t="shared" si="14"/>
        <v>1294.7525601722703</v>
      </c>
      <c r="E144" s="155">
        <f t="shared" si="15"/>
        <v>767.82454896066304</v>
      </c>
      <c r="F144" s="1"/>
      <c r="G144" s="1"/>
    </row>
    <row r="145" spans="3:5" ht="19" x14ac:dyDescent="0.25">
      <c r="C145" s="151">
        <f t="shared" si="16"/>
        <v>1000</v>
      </c>
      <c r="D145" s="155">
        <f t="shared" si="14"/>
        <v>1516.4322579550208</v>
      </c>
      <c r="E145" s="155">
        <f t="shared" si="15"/>
        <v>899.28682152117278</v>
      </c>
    </row>
    <row r="146" spans="3:5" ht="19" x14ac:dyDescent="0.25">
      <c r="C146" s="151">
        <f t="shared" si="16"/>
        <v>1100</v>
      </c>
      <c r="D146" s="155">
        <f t="shared" si="14"/>
        <v>1749.4923267732656</v>
      </c>
      <c r="E146" s="155">
        <f t="shared" si="15"/>
        <v>1037.4979729996389</v>
      </c>
    </row>
    <row r="147" spans="3:5" ht="19" x14ac:dyDescent="0.25">
      <c r="C147" s="151">
        <f t="shared" si="16"/>
        <v>1200</v>
      </c>
      <c r="D147" s="155">
        <f t="shared" si="14"/>
        <v>1993.4019710651312</v>
      </c>
      <c r="E147" s="155">
        <f t="shared" si="15"/>
        <v>1182.143226754245</v>
      </c>
    </row>
    <row r="148" spans="3:5" ht="19" x14ac:dyDescent="0.25">
      <c r="C148" s="151">
        <f t="shared" si="16"/>
        <v>1300</v>
      </c>
      <c r="D148" s="155">
        <f t="shared" si="14"/>
        <v>2247.6984326522916</v>
      </c>
      <c r="E148" s="155">
        <f t="shared" si="15"/>
        <v>1332.9481542181418</v>
      </c>
    </row>
    <row r="149" spans="3:5" ht="19" x14ac:dyDescent="0.25">
      <c r="C149" s="151">
        <f t="shared" si="16"/>
        <v>1400</v>
      </c>
      <c r="D149" s="155">
        <f t="shared" si="14"/>
        <v>2511.9735826438255</v>
      </c>
      <c r="E149" s="155">
        <f t="shared" si="15"/>
        <v>1489.6707235226113</v>
      </c>
    </row>
    <row r="150" spans="3:5" ht="19" x14ac:dyDescent="0.25">
      <c r="C150" s="151">
        <f t="shared" si="16"/>
        <v>1500</v>
      </c>
      <c r="D150" s="155">
        <f t="shared" si="14"/>
        <v>2785.86394611479</v>
      </c>
      <c r="E150" s="155">
        <f t="shared" si="15"/>
        <v>1652.0953838521509</v>
      </c>
    </row>
    <row r="151" spans="3:5" ht="19" x14ac:dyDescent="0.25">
      <c r="C151" s="151">
        <f t="shared" si="16"/>
        <v>1600</v>
      </c>
      <c r="D151" s="155">
        <f t="shared" si="14"/>
        <v>3069.0431055935424</v>
      </c>
      <c r="E151" s="155">
        <f t="shared" si="15"/>
        <v>1820.0285604993505</v>
      </c>
    </row>
    <row r="152" spans="3:5" ht="19" x14ac:dyDescent="0.25">
      <c r="C152" s="151">
        <f t="shared" si="16"/>
        <v>1700</v>
      </c>
      <c r="D152" s="155">
        <f t="shared" si="14"/>
        <v>3361.2157999517285</v>
      </c>
      <c r="E152" s="155">
        <f t="shared" si="15"/>
        <v>1993.2951553414787</v>
      </c>
    </row>
    <row r="153" spans="3:5" ht="19" x14ac:dyDescent="0.25">
      <c r="C153" s="151">
        <f t="shared" si="16"/>
        <v>1800</v>
      </c>
      <c r="D153" s="155">
        <f t="shared" si="14"/>
        <v>3662.1132610258333</v>
      </c>
      <c r="E153" s="155">
        <f t="shared" si="15"/>
        <v>2171.7357813263507</v>
      </c>
    </row>
    <row r="154" spans="3:5" ht="19" x14ac:dyDescent="0.25">
      <c r="C154" s="151">
        <f t="shared" si="16"/>
        <v>1900</v>
      </c>
      <c r="D154" s="155">
        <f t="shared" si="14"/>
        <v>3971.4894728499617</v>
      </c>
      <c r="E154" s="155">
        <f t="shared" si="15"/>
        <v>2355.2045440924217</v>
      </c>
    </row>
    <row r="155" spans="3:5" ht="20" thickBot="1" x14ac:dyDescent="0.3">
      <c r="C155" s="152">
        <f t="shared" si="16"/>
        <v>2000</v>
      </c>
      <c r="D155" s="156">
        <f t="shared" si="14"/>
        <v>4289.118131240105</v>
      </c>
      <c r="E155" s="156">
        <f t="shared" si="15"/>
        <v>2543.5672389172692</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25" t="s">
        <v>97</v>
      </c>
      <c r="D164" s="126"/>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191" t="s">
        <v>100</v>
      </c>
      <c r="F166" s="1"/>
      <c r="G166" s="1"/>
      <c r="H166" s="1"/>
      <c r="I166" s="1"/>
      <c r="J166" s="1"/>
      <c r="K166" s="1"/>
      <c r="L166" s="1"/>
      <c r="M166" s="1"/>
      <c r="N166" s="1"/>
      <c r="O166" s="1"/>
    </row>
    <row r="167" spans="2:16" ht="20" thickBot="1" x14ac:dyDescent="0.3">
      <c r="B167" s="1"/>
      <c r="C167" s="81"/>
      <c r="D167" s="167">
        <v>1</v>
      </c>
      <c r="E167" s="168">
        <f>D167+1</f>
        <v>2</v>
      </c>
      <c r="F167" s="169" t="s">
        <v>102</v>
      </c>
      <c r="G167" s="1"/>
      <c r="H167" s="1"/>
      <c r="I167" s="1"/>
      <c r="J167" s="1"/>
      <c r="K167" s="1"/>
      <c r="L167" s="1"/>
      <c r="M167" s="1"/>
      <c r="N167" s="1"/>
      <c r="O167" s="1"/>
    </row>
    <row r="168" spans="2:16" ht="20" thickBot="1" x14ac:dyDescent="0.3">
      <c r="B168" s="1"/>
      <c r="C168" s="193" t="s">
        <v>101</v>
      </c>
      <c r="D168" s="197">
        <f>J$46</f>
        <v>-40.5261</v>
      </c>
      <c r="E168" s="197">
        <f t="shared" ref="E168:F168" si="17">K$46</f>
        <v>-40.5261</v>
      </c>
      <c r="F168" s="197">
        <f t="shared" si="17"/>
        <v>-40.5261</v>
      </c>
      <c r="G168" s="1"/>
      <c r="H168" s="1"/>
      <c r="I168" s="1"/>
      <c r="J168" s="1"/>
      <c r="K168" s="1"/>
      <c r="L168" s="1"/>
      <c r="M168" s="1"/>
      <c r="N168" s="1"/>
      <c r="O168" s="1"/>
    </row>
    <row r="169" spans="2:16" ht="20" thickBot="1" x14ac:dyDescent="0.3">
      <c r="B169" s="1"/>
      <c r="C169" s="192" t="s">
        <v>103</v>
      </c>
      <c r="D169" s="198">
        <f>D168*$K$7</f>
        <v>-1.7669379599999999E-16</v>
      </c>
      <c r="E169" s="198">
        <f t="shared" ref="E169:F169" si="18">E168*$K$7</f>
        <v>-1.7669379599999999E-16</v>
      </c>
      <c r="F169" s="198">
        <f t="shared" si="18"/>
        <v>-1.7669379599999999E-16</v>
      </c>
      <c r="G169" s="1"/>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21" t="s">
        <v>104</v>
      </c>
      <c r="D171" s="1"/>
      <c r="E171" s="1"/>
      <c r="F171" s="1"/>
      <c r="G171" s="1"/>
      <c r="H171" s="1"/>
      <c r="I171" s="1"/>
      <c r="J171" s="1"/>
      <c r="K171" s="1"/>
      <c r="L171" s="1"/>
      <c r="M171" s="1"/>
      <c r="N171" s="1"/>
      <c r="O171" s="1"/>
    </row>
    <row r="172" spans="2:16" ht="23" thickBot="1" x14ac:dyDescent="0.35">
      <c r="B172" s="1"/>
      <c r="C172" s="196">
        <f>F169+L23</f>
        <v>-1.7649854647999999E-16</v>
      </c>
      <c r="F172" s="1"/>
      <c r="G172" s="1"/>
      <c r="H172" s="162" t="s">
        <v>83</v>
      </c>
      <c r="I172" s="163"/>
      <c r="J172" s="163"/>
      <c r="K172" s="163"/>
      <c r="L172" s="163"/>
      <c r="M172" s="163"/>
      <c r="N172" s="1"/>
      <c r="O172" s="1"/>
    </row>
    <row r="173" spans="2:16" ht="20" thickBot="1" x14ac:dyDescent="0.3">
      <c r="B173" s="1"/>
      <c r="F173" s="4"/>
      <c r="G173" s="1"/>
      <c r="H173" s="1"/>
      <c r="I173" s="1"/>
      <c r="J173" s="1"/>
      <c r="K173" s="1"/>
      <c r="L173" s="1"/>
      <c r="M173" s="1"/>
      <c r="N173" s="1"/>
      <c r="O173" s="1"/>
    </row>
    <row r="174" spans="2:16" ht="22" thickBot="1" x14ac:dyDescent="0.3">
      <c r="B174" s="1"/>
      <c r="C174" s="189" t="s">
        <v>68</v>
      </c>
      <c r="D174" s="190" t="s">
        <v>99</v>
      </c>
      <c r="F174" s="1"/>
      <c r="G174" s="1"/>
      <c r="L174" s="157" t="s">
        <v>82</v>
      </c>
      <c r="M174" s="1"/>
      <c r="N174" s="1"/>
      <c r="O174" s="1"/>
    </row>
    <row r="175" spans="2:16" ht="20" thickBot="1" x14ac:dyDescent="0.3">
      <c r="B175" s="1"/>
      <c r="C175" s="150">
        <v>298.14999999999998</v>
      </c>
      <c r="D175" s="154">
        <f>1</f>
        <v>1</v>
      </c>
      <c r="F175" s="1"/>
      <c r="G175" s="1"/>
      <c r="K175" s="71" t="s">
        <v>79</v>
      </c>
      <c r="L175" s="131">
        <f>1</f>
        <v>1</v>
      </c>
      <c r="M175" s="1"/>
      <c r="N175" s="1"/>
      <c r="O175" s="1"/>
    </row>
    <row r="176" spans="2:16" ht="20" thickBot="1" x14ac:dyDescent="0.3">
      <c r="B176" s="1"/>
      <c r="C176" s="150">
        <v>300</v>
      </c>
      <c r="D176" s="154">
        <f>1</f>
        <v>1</v>
      </c>
      <c r="F176" s="1"/>
      <c r="G176" s="1"/>
      <c r="K176" s="72" t="s">
        <v>80</v>
      </c>
      <c r="L176" s="133">
        <f>P32</f>
        <v>1</v>
      </c>
      <c r="M176" s="1"/>
      <c r="N176" s="1"/>
      <c r="O176" s="1"/>
    </row>
    <row r="177" spans="2:15" ht="22" x14ac:dyDescent="0.3">
      <c r="B177" s="1"/>
      <c r="C177" s="151">
        <f>C176+100</f>
        <v>400</v>
      </c>
      <c r="D177" s="155">
        <f>1</f>
        <v>1</v>
      </c>
      <c r="F177" s="1"/>
      <c r="G177" s="1"/>
      <c r="H177" s="1"/>
      <c r="I177" s="1"/>
      <c r="K177" s="17" t="s">
        <v>81</v>
      </c>
      <c r="L177" s="164">
        <f>ABS(L175-L176)/L175</f>
        <v>0</v>
      </c>
      <c r="M177" s="1"/>
      <c r="N177" s="1"/>
      <c r="O177" s="1"/>
    </row>
    <row r="178" spans="2:15" ht="19" x14ac:dyDescent="0.25">
      <c r="B178" s="1"/>
      <c r="C178" s="151">
        <f t="shared" ref="C178:C193" si="19">C177+100</f>
        <v>500</v>
      </c>
      <c r="D178" s="155">
        <f>1</f>
        <v>1</v>
      </c>
      <c r="F178" s="1"/>
      <c r="G178" s="1"/>
    </row>
    <row r="179" spans="2:15" ht="19" x14ac:dyDescent="0.25">
      <c r="B179" s="1"/>
      <c r="C179" s="151">
        <f t="shared" si="19"/>
        <v>600</v>
      </c>
      <c r="D179" s="155">
        <f>1</f>
        <v>1</v>
      </c>
      <c r="F179" s="1"/>
      <c r="G179" s="1"/>
    </row>
    <row r="180" spans="2:15" ht="19" x14ac:dyDescent="0.25">
      <c r="B180" s="1"/>
      <c r="C180" s="151">
        <f t="shared" si="19"/>
        <v>700</v>
      </c>
      <c r="D180" s="155">
        <f>1</f>
        <v>1</v>
      </c>
      <c r="F180" s="1"/>
      <c r="G180" s="1"/>
    </row>
    <row r="181" spans="2:15" ht="19" x14ac:dyDescent="0.25">
      <c r="C181" s="151">
        <f t="shared" si="19"/>
        <v>800</v>
      </c>
      <c r="D181" s="155">
        <f>1</f>
        <v>1</v>
      </c>
    </row>
    <row r="182" spans="2:15" ht="19" x14ac:dyDescent="0.25">
      <c r="C182" s="151">
        <f t="shared" si="19"/>
        <v>900</v>
      </c>
      <c r="D182" s="155">
        <f>1</f>
        <v>1</v>
      </c>
    </row>
    <row r="183" spans="2:15" ht="19" x14ac:dyDescent="0.25">
      <c r="C183" s="151">
        <f t="shared" si="19"/>
        <v>1000</v>
      </c>
      <c r="D183" s="155">
        <f>1</f>
        <v>1</v>
      </c>
    </row>
    <row r="184" spans="2:15" ht="19" x14ac:dyDescent="0.25">
      <c r="C184" s="151">
        <f t="shared" si="19"/>
        <v>1100</v>
      </c>
      <c r="D184" s="155">
        <f>1</f>
        <v>1</v>
      </c>
    </row>
    <row r="185" spans="2:15" ht="19" x14ac:dyDescent="0.25">
      <c r="C185" s="151">
        <f t="shared" si="19"/>
        <v>1200</v>
      </c>
      <c r="D185" s="155">
        <f>1</f>
        <v>1</v>
      </c>
    </row>
    <row r="186" spans="2:15" ht="19" x14ac:dyDescent="0.25">
      <c r="C186" s="151">
        <f t="shared" si="19"/>
        <v>1300</v>
      </c>
      <c r="D186" s="155">
        <f>1</f>
        <v>1</v>
      </c>
    </row>
    <row r="187" spans="2:15" ht="19" x14ac:dyDescent="0.25">
      <c r="C187" s="151">
        <f t="shared" si="19"/>
        <v>1400</v>
      </c>
      <c r="D187" s="155">
        <f>1</f>
        <v>1</v>
      </c>
    </row>
    <row r="188" spans="2:15" ht="19" x14ac:dyDescent="0.25">
      <c r="C188" s="151">
        <f t="shared" si="19"/>
        <v>1500</v>
      </c>
      <c r="D188" s="155">
        <f>1</f>
        <v>1</v>
      </c>
    </row>
    <row r="189" spans="2:15" ht="19" x14ac:dyDescent="0.25">
      <c r="C189" s="151">
        <f t="shared" si="19"/>
        <v>1600</v>
      </c>
      <c r="D189" s="155">
        <f>1</f>
        <v>1</v>
      </c>
    </row>
    <row r="190" spans="2:15" ht="19" x14ac:dyDescent="0.25">
      <c r="C190" s="151">
        <f t="shared" si="19"/>
        <v>1700</v>
      </c>
      <c r="D190" s="155">
        <f>1</f>
        <v>1</v>
      </c>
    </row>
    <row r="191" spans="2:15" ht="19" x14ac:dyDescent="0.25">
      <c r="C191" s="151">
        <f t="shared" si="19"/>
        <v>1800</v>
      </c>
      <c r="D191" s="155">
        <f>1</f>
        <v>1</v>
      </c>
    </row>
    <row r="192" spans="2:15" ht="19" x14ac:dyDescent="0.25">
      <c r="C192" s="151">
        <f t="shared" si="19"/>
        <v>1900</v>
      </c>
      <c r="D192" s="155">
        <f>1</f>
        <v>1</v>
      </c>
    </row>
    <row r="193" spans="3:11" ht="20" thickBot="1" x14ac:dyDescent="0.3">
      <c r="C193" s="152">
        <f t="shared" si="19"/>
        <v>2000</v>
      </c>
      <c r="D193" s="155">
        <f>1</f>
        <v>1</v>
      </c>
    </row>
    <row r="197" spans="3:11" ht="17" thickBot="1" x14ac:dyDescent="0.25"/>
    <row r="198" spans="3:11" ht="20" thickBot="1" x14ac:dyDescent="0.3">
      <c r="E198" s="1"/>
      <c r="F198" s="1" t="s">
        <v>66</v>
      </c>
      <c r="G198" s="1"/>
      <c r="H198" s="345" t="s">
        <v>110</v>
      </c>
      <c r="I198" s="346"/>
      <c r="J198" s="346"/>
      <c r="K198" s="347"/>
    </row>
    <row r="199" spans="3:11" ht="28" thickBot="1" x14ac:dyDescent="0.4">
      <c r="C199" s="125" t="s">
        <v>105</v>
      </c>
      <c r="D199" s="126"/>
      <c r="E199" s="1"/>
      <c r="F199" s="1"/>
      <c r="G199" s="1"/>
      <c r="H199" s="199" t="s">
        <v>106</v>
      </c>
      <c r="I199" s="199" t="s">
        <v>107</v>
      </c>
      <c r="J199" s="199" t="s">
        <v>108</v>
      </c>
      <c r="K199" s="199" t="s">
        <v>109</v>
      </c>
    </row>
    <row r="202" spans="3:11" ht="17" thickBot="1" x14ac:dyDescent="0.25"/>
    <row r="203" spans="3:11" ht="20" thickBot="1" x14ac:dyDescent="0.25">
      <c r="D203" s="343" t="s">
        <v>119</v>
      </c>
      <c r="E203" s="344"/>
    </row>
    <row r="204" spans="3:11" ht="20" thickBot="1" x14ac:dyDescent="0.3">
      <c r="D204" s="176" t="s">
        <v>117</v>
      </c>
      <c r="E204" s="205" t="s">
        <v>115</v>
      </c>
    </row>
    <row r="205" spans="3:11" ht="19" x14ac:dyDescent="0.25">
      <c r="C205" s="65" t="s">
        <v>45</v>
      </c>
      <c r="D205" s="337">
        <f>$Q23</f>
        <v>6.4610000000000003</v>
      </c>
      <c r="E205" s="131">
        <f>D205*4.184</f>
        <v>27.032824000000002</v>
      </c>
    </row>
    <row r="206" spans="3:11" ht="19" x14ac:dyDescent="0.25">
      <c r="C206" s="66" t="s">
        <v>46</v>
      </c>
      <c r="D206" s="57">
        <f t="shared" ref="D206:D209" si="20">$Q24</f>
        <v>0</v>
      </c>
      <c r="E206" s="132">
        <f t="shared" ref="E206:E209" si="21">D206*4.184</f>
        <v>0</v>
      </c>
    </row>
    <row r="207" spans="3:11" ht="19" x14ac:dyDescent="0.25">
      <c r="C207" s="66" t="s">
        <v>47</v>
      </c>
      <c r="D207" s="57">
        <f t="shared" si="20"/>
        <v>2.9809999999999999</v>
      </c>
      <c r="E207" s="132">
        <f t="shared" si="21"/>
        <v>12.472504000000001</v>
      </c>
    </row>
    <row r="208" spans="3:11" ht="19" x14ac:dyDescent="0.25">
      <c r="C208" s="66" t="s">
        <v>48</v>
      </c>
      <c r="D208" s="57">
        <f t="shared" si="20"/>
        <v>2.9809999999999999</v>
      </c>
      <c r="E208" s="132">
        <f t="shared" si="21"/>
        <v>12.472504000000001</v>
      </c>
    </row>
    <row r="209" spans="3:16" ht="20" thickBot="1" x14ac:dyDescent="0.3">
      <c r="C209" s="67" t="s">
        <v>49</v>
      </c>
      <c r="D209" s="59">
        <f t="shared" si="20"/>
        <v>0.499</v>
      </c>
      <c r="E209" s="133">
        <f t="shared" si="21"/>
        <v>2.0878160000000001</v>
      </c>
      <c r="K209">
        <f>COLUMN(E205)</f>
        <v>5</v>
      </c>
    </row>
    <row r="210" spans="3:16" ht="24" customHeight="1" x14ac:dyDescent="0.2"/>
    <row r="211" spans="3:16" ht="17" thickBot="1" x14ac:dyDescent="0.25"/>
    <row r="212" spans="3:16" ht="23" thickBot="1" x14ac:dyDescent="0.35">
      <c r="D212" s="353" t="s">
        <v>115</v>
      </c>
      <c r="E212" s="354"/>
      <c r="F212" s="354"/>
      <c r="G212" s="354"/>
      <c r="H212" s="355"/>
      <c r="J212" s="162" t="s">
        <v>83</v>
      </c>
      <c r="K212" s="163"/>
      <c r="L212" s="163"/>
      <c r="M212" s="163"/>
      <c r="N212" s="163"/>
      <c r="O212" s="163"/>
      <c r="P212" s="1"/>
    </row>
    <row r="213" spans="3:16" ht="20" thickBot="1" x14ac:dyDescent="0.3">
      <c r="C213" s="189" t="s">
        <v>68</v>
      </c>
      <c r="D213" s="200" t="s">
        <v>114</v>
      </c>
      <c r="E213" s="201" t="s">
        <v>111</v>
      </c>
      <c r="F213" s="201" t="s">
        <v>112</v>
      </c>
      <c r="G213" s="202" t="s">
        <v>113</v>
      </c>
      <c r="H213" s="121" t="s">
        <v>116</v>
      </c>
      <c r="J213" s="1"/>
      <c r="K213" s="1"/>
      <c r="L213" s="1"/>
      <c r="M213" s="1"/>
      <c r="N213" s="1"/>
      <c r="O213" s="1"/>
      <c r="P213" s="1"/>
    </row>
    <row r="214" spans="3:16" ht="20" thickBot="1" x14ac:dyDescent="0.3">
      <c r="C214" s="173">
        <v>298.14999999999998</v>
      </c>
      <c r="D214" s="224">
        <f>3*$B$7/2</f>
        <v>12.471599999999999</v>
      </c>
      <c r="E214" s="225" cm="1">
        <f t="array" ref="E214">$B$7*SUM(($D$42:$D$50*$D$42:$D$50)*EXP($D$42:$D$50/$C214)/($C214^2*(EXP($D$42:$D$50/$C214)-1)^2))</f>
        <v>2.0892423578207864</v>
      </c>
      <c r="F214" s="226">
        <f>3*$B$7/2</f>
        <v>12.471599999999999</v>
      </c>
      <c r="G214" s="226">
        <v>0</v>
      </c>
      <c r="H214" s="227">
        <f t="shared" ref="H214:H232" si="22">SUM(D214:G214)</f>
        <v>27.032442357820784</v>
      </c>
      <c r="K214" s="200" t="s">
        <v>114</v>
      </c>
      <c r="L214" s="201" t="s">
        <v>111</v>
      </c>
      <c r="M214" s="201" t="s">
        <v>112</v>
      </c>
      <c r="N214" s="202" t="s">
        <v>113</v>
      </c>
      <c r="O214" s="121" t="s">
        <v>116</v>
      </c>
      <c r="P214" s="1"/>
    </row>
    <row r="215" spans="3:16" ht="19" x14ac:dyDescent="0.25">
      <c r="C215" s="150">
        <v>300</v>
      </c>
      <c r="D215" s="224">
        <f>3*$B$7/2</f>
        <v>12.471599999999999</v>
      </c>
      <c r="E215" s="225" cm="1">
        <f t="array" ref="E215">$B$7*SUM(($D$42:$D$50*$D$42:$D$50)*EXP($D$42:$D$50/$C215)/($C215^2*(EXP($D$42:$D$50/$C215)-1)^2))</f>
        <v>2.1516541465064041</v>
      </c>
      <c r="F215" s="226">
        <f>3*$B$7/2</f>
        <v>12.471599999999999</v>
      </c>
      <c r="G215" s="219">
        <v>0</v>
      </c>
      <c r="H215" s="227">
        <f t="shared" si="22"/>
        <v>27.0948541465064</v>
      </c>
      <c r="J215" s="71" t="s">
        <v>79</v>
      </c>
      <c r="K215" s="131">
        <f>D$214</f>
        <v>12.471599999999999</v>
      </c>
      <c r="L215" s="131">
        <f t="shared" ref="L215:O215" si="23">E$214</f>
        <v>2.0892423578207864</v>
      </c>
      <c r="M215" s="131">
        <f t="shared" si="23"/>
        <v>12.471599999999999</v>
      </c>
      <c r="N215" s="131">
        <f t="shared" si="23"/>
        <v>0</v>
      </c>
      <c r="O215" s="131">
        <f t="shared" si="23"/>
        <v>27.032442357820784</v>
      </c>
      <c r="P215" s="1"/>
    </row>
    <row r="216" spans="3:16" ht="20" thickBot="1" x14ac:dyDescent="0.3">
      <c r="C216" s="151">
        <f>C215+100</f>
        <v>400</v>
      </c>
      <c r="D216" s="220">
        <f t="shared" ref="D216:D232" si="24">3*$B$7/2</f>
        <v>12.471599999999999</v>
      </c>
      <c r="E216" s="217" cm="1">
        <f t="array" ref="E216">$B$7*SUM(($D$42:$D$50*$D$42:$D$50)*EXP($D$42:$D$50/$C216)/($C216^2*(EXP($D$42:$D$50/$C216)-1)^2))</f>
        <v>6.6428533135657748</v>
      </c>
      <c r="F216" s="247">
        <f t="shared" ref="F216:F232" si="25">3*$B$7/2</f>
        <v>12.471599999999999</v>
      </c>
      <c r="G216" s="221">
        <v>0</v>
      </c>
      <c r="H216" s="328">
        <f t="shared" si="22"/>
        <v>31.586053313565774</v>
      </c>
      <c r="J216" s="72" t="s">
        <v>80</v>
      </c>
      <c r="K216" s="133">
        <f>E207</f>
        <v>12.472504000000001</v>
      </c>
      <c r="L216" s="133">
        <f>E209</f>
        <v>2.0878160000000001</v>
      </c>
      <c r="M216" s="133">
        <f>E208</f>
        <v>12.472504000000001</v>
      </c>
      <c r="N216" s="133">
        <f>E206</f>
        <v>0</v>
      </c>
      <c r="O216" s="133">
        <f>E205</f>
        <v>27.032824000000002</v>
      </c>
      <c r="P216" s="1"/>
    </row>
    <row r="217" spans="3:16" ht="22" x14ac:dyDescent="0.3">
      <c r="C217" s="151">
        <f t="shared" ref="C217:C232" si="26">C216+100</f>
        <v>500</v>
      </c>
      <c r="D217" s="220">
        <f t="shared" si="24"/>
        <v>12.471599999999999</v>
      </c>
      <c r="E217" s="217" cm="1">
        <f t="array" ref="E217">$B$7*SUM(($D$42:$D$50*$D$42:$D$50)*EXP($D$42:$D$50/$C217)/($C217^2*(EXP($D$42:$D$50/$C217)-1)^2))</f>
        <v>12.260525057213679</v>
      </c>
      <c r="F217" s="247">
        <f t="shared" si="25"/>
        <v>12.471599999999999</v>
      </c>
      <c r="G217" s="221">
        <v>0</v>
      </c>
      <c r="H217" s="328">
        <f t="shared" si="22"/>
        <v>37.203725057213674</v>
      </c>
      <c r="J217" s="17" t="s">
        <v>81</v>
      </c>
      <c r="K217" s="164">
        <f>IFERROR(ABS(K215-K216)/K215,0)</f>
        <v>7.2484685204946797E-5</v>
      </c>
      <c r="L217" s="164">
        <f t="shared" ref="L217:O217" si="27">IFERROR(ABS(L215-L216)/L215,0)</f>
        <v>6.8271534676046114E-4</v>
      </c>
      <c r="M217" s="164">
        <f t="shared" si="27"/>
        <v>7.2484685204946797E-5</v>
      </c>
      <c r="N217" s="164">
        <f t="shared" si="27"/>
        <v>0</v>
      </c>
      <c r="O217" s="164">
        <f t="shared" si="27"/>
        <v>1.4117931860008563E-5</v>
      </c>
      <c r="P217" s="1"/>
    </row>
    <row r="218" spans="3:16" ht="19" x14ac:dyDescent="0.25">
      <c r="C218" s="151">
        <f t="shared" si="26"/>
        <v>600</v>
      </c>
      <c r="D218" s="220">
        <f t="shared" si="24"/>
        <v>12.471599999999999</v>
      </c>
      <c r="E218" s="217" cm="1">
        <f t="array" ref="E218">$B$7*SUM(($D$42:$D$50*$D$42:$D$50)*EXP($D$42:$D$50/$C218)/($C218^2*(EXP($D$42:$D$50/$C218)-1)^2))</f>
        <v>17.971598735219455</v>
      </c>
      <c r="F218" s="247">
        <f t="shared" si="25"/>
        <v>12.471599999999999</v>
      </c>
      <c r="G218" s="221">
        <v>0</v>
      </c>
      <c r="H218" s="328">
        <f t="shared" si="22"/>
        <v>42.914798735219449</v>
      </c>
    </row>
    <row r="219" spans="3:16" ht="19" x14ac:dyDescent="0.25">
      <c r="C219" s="151">
        <f t="shared" si="26"/>
        <v>700</v>
      </c>
      <c r="D219" s="220">
        <f t="shared" si="24"/>
        <v>12.471599999999999</v>
      </c>
      <c r="E219" s="217" cm="1">
        <f t="array" ref="E219">$B$7*SUM(($D$42:$D$50*$D$42:$D$50)*EXP($D$42:$D$50/$C219)/($C219^2*(EXP($D$42:$D$50/$C219)-1)^2))</f>
        <v>23.396560524406762</v>
      </c>
      <c r="F219" s="247">
        <f t="shared" si="25"/>
        <v>12.471599999999999</v>
      </c>
      <c r="G219" s="221">
        <v>0</v>
      </c>
      <c r="H219" s="328">
        <f t="shared" si="22"/>
        <v>48.339760524406756</v>
      </c>
    </row>
    <row r="220" spans="3:16" ht="19" x14ac:dyDescent="0.25">
      <c r="C220" s="151">
        <f t="shared" si="26"/>
        <v>800</v>
      </c>
      <c r="D220" s="220">
        <f t="shared" si="24"/>
        <v>12.471599999999999</v>
      </c>
      <c r="E220" s="217" cm="1">
        <f t="array" ref="E220">$B$7*SUM(($D$42:$D$50*$D$42:$D$50)*EXP($D$42:$D$50/$C220)/($C220^2*(EXP($D$42:$D$50/$C220)-1)^2))</f>
        <v>28.425215171871532</v>
      </c>
      <c r="F220" s="247">
        <f t="shared" si="25"/>
        <v>12.471599999999999</v>
      </c>
      <c r="G220" s="221">
        <v>0</v>
      </c>
      <c r="H220" s="328">
        <f t="shared" si="22"/>
        <v>53.368415171871533</v>
      </c>
    </row>
    <row r="221" spans="3:16" ht="19" x14ac:dyDescent="0.25">
      <c r="C221" s="151">
        <f t="shared" si="26"/>
        <v>900</v>
      </c>
      <c r="D221" s="220">
        <f t="shared" si="24"/>
        <v>12.471599999999999</v>
      </c>
      <c r="E221" s="217" cm="1">
        <f t="array" ref="E221">$B$7*SUM(($D$42:$D$50*$D$42:$D$50)*EXP($D$42:$D$50/$C221)/($C221^2*(EXP($D$42:$D$50/$C221)-1)^2))</f>
        <v>33.024021363696363</v>
      </c>
      <c r="F221" s="247">
        <f t="shared" si="25"/>
        <v>12.471599999999999</v>
      </c>
      <c r="G221" s="221">
        <v>0</v>
      </c>
      <c r="H221" s="328">
        <f t="shared" si="22"/>
        <v>57.967221363696353</v>
      </c>
    </row>
    <row r="222" spans="3:16" ht="19" x14ac:dyDescent="0.25">
      <c r="C222" s="151">
        <f t="shared" si="26"/>
        <v>1000</v>
      </c>
      <c r="D222" s="220">
        <f t="shared" si="24"/>
        <v>12.471599999999999</v>
      </c>
      <c r="E222" s="217" cm="1">
        <f t="array" ref="E222">$B$7*SUM(($D$42:$D$50*$D$42:$D$50)*EXP($D$42:$D$50/$C222)/($C222^2*(EXP($D$42:$D$50/$C222)-1)^2))</f>
        <v>37.185509445501083</v>
      </c>
      <c r="F222" s="247">
        <f t="shared" si="25"/>
        <v>12.471599999999999</v>
      </c>
      <c r="G222" s="221">
        <v>0</v>
      </c>
      <c r="H222" s="328">
        <f t="shared" si="22"/>
        <v>62.128709445501073</v>
      </c>
    </row>
    <row r="223" spans="3:16" ht="19" x14ac:dyDescent="0.25">
      <c r="C223" s="151">
        <f t="shared" si="26"/>
        <v>1100</v>
      </c>
      <c r="D223" s="220">
        <f t="shared" si="24"/>
        <v>12.471599999999999</v>
      </c>
      <c r="E223" s="217" cm="1">
        <f t="array" ref="E223">$B$7*SUM(($D$42:$D$50*$D$42:$D$50)*EXP($D$42:$D$50/$C223)/($C223^2*(EXP($D$42:$D$50/$C223)-1)^2))</f>
        <v>40.918906989071502</v>
      </c>
      <c r="F223" s="247">
        <f t="shared" si="25"/>
        <v>12.471599999999999</v>
      </c>
      <c r="G223" s="221">
        <v>0</v>
      </c>
      <c r="H223" s="328">
        <f t="shared" si="22"/>
        <v>65.862106989071492</v>
      </c>
    </row>
    <row r="224" spans="3:16" ht="19" x14ac:dyDescent="0.25">
      <c r="C224" s="151">
        <f t="shared" si="26"/>
        <v>1200</v>
      </c>
      <c r="D224" s="220">
        <f t="shared" si="24"/>
        <v>12.471599999999999</v>
      </c>
      <c r="E224" s="217" cm="1">
        <f t="array" ref="E224">$B$7*SUM(($D$42:$D$50*$D$42:$D$50)*EXP($D$42:$D$50/$C224)/($C224^2*(EXP($D$42:$D$50/$C224)-1)^2))</f>
        <v>44.246445768537747</v>
      </c>
      <c r="F224" s="247">
        <f t="shared" si="25"/>
        <v>12.471599999999999</v>
      </c>
      <c r="G224" s="221">
        <v>0</v>
      </c>
      <c r="H224" s="328">
        <f t="shared" si="22"/>
        <v>69.189645768537744</v>
      </c>
    </row>
    <row r="225" spans="3:11" ht="19" x14ac:dyDescent="0.25">
      <c r="C225" s="151">
        <f t="shared" si="26"/>
        <v>1300</v>
      </c>
      <c r="D225" s="220">
        <f t="shared" si="24"/>
        <v>12.471599999999999</v>
      </c>
      <c r="E225" s="217" cm="1">
        <f t="array" ref="E225">$B$7*SUM(($D$42:$D$50*$D$42:$D$50)*EXP($D$42:$D$50/$C225)/($C225^2*(EXP($D$42:$D$50/$C225)-1)^2))</f>
        <v>47.199095197128734</v>
      </c>
      <c r="F225" s="247">
        <f t="shared" si="25"/>
        <v>12.471599999999999</v>
      </c>
      <c r="G225" s="221">
        <v>0</v>
      </c>
      <c r="H225" s="328">
        <f t="shared" si="22"/>
        <v>72.142295197128732</v>
      </c>
    </row>
    <row r="226" spans="3:11" ht="19" x14ac:dyDescent="0.25">
      <c r="C226" s="151">
        <f t="shared" si="26"/>
        <v>1400</v>
      </c>
      <c r="D226" s="220">
        <f t="shared" si="24"/>
        <v>12.471599999999999</v>
      </c>
      <c r="E226" s="217" cm="1">
        <f t="array" ref="E226">$B$7*SUM(($D$42:$D$50*$D$42:$D$50)*EXP($D$42:$D$50/$C226)/($C226^2*(EXP($D$42:$D$50/$C226)-1)^2))</f>
        <v>49.812292331867766</v>
      </c>
      <c r="F226" s="247">
        <f t="shared" si="25"/>
        <v>12.471599999999999</v>
      </c>
      <c r="G226" s="221">
        <v>0</v>
      </c>
      <c r="H226" s="328">
        <f t="shared" si="22"/>
        <v>74.755492331867757</v>
      </c>
    </row>
    <row r="227" spans="3:11" ht="19" x14ac:dyDescent="0.25">
      <c r="C227" s="151">
        <f t="shared" si="26"/>
        <v>1500</v>
      </c>
      <c r="D227" s="220">
        <f t="shared" si="24"/>
        <v>12.471599999999999</v>
      </c>
      <c r="E227" s="217" cm="1">
        <f t="array" ref="E227">$B$7*SUM(($D$42:$D$50*$D$42:$D$50)*EXP($D$42:$D$50/$C227)/($C227^2*(EXP($D$42:$D$50/$C227)-1)^2))</f>
        <v>52.122541541593264</v>
      </c>
      <c r="F227" s="247">
        <f t="shared" si="25"/>
        <v>12.471599999999999</v>
      </c>
      <c r="G227" s="221">
        <v>0</v>
      </c>
      <c r="H227" s="328">
        <f t="shared" si="22"/>
        <v>77.065741541593255</v>
      </c>
    </row>
    <row r="228" spans="3:11" ht="19" x14ac:dyDescent="0.25">
      <c r="C228" s="151">
        <f t="shared" si="26"/>
        <v>1600</v>
      </c>
      <c r="D228" s="220">
        <f t="shared" si="24"/>
        <v>12.471599999999999</v>
      </c>
      <c r="E228" s="217" cm="1">
        <f t="array" ref="E228">$B$7*SUM(($D$42:$D$50*$D$42:$D$50)*EXP($D$42:$D$50/$C228)/($C228^2*(EXP($D$42:$D$50/$C228)-1)^2))</f>
        <v>54.165124207444343</v>
      </c>
      <c r="F228" s="247">
        <f t="shared" si="25"/>
        <v>12.471599999999999</v>
      </c>
      <c r="G228" s="221">
        <v>0</v>
      </c>
      <c r="H228" s="328">
        <f t="shared" si="22"/>
        <v>79.10832420744434</v>
      </c>
    </row>
    <row r="229" spans="3:11" ht="19" x14ac:dyDescent="0.25">
      <c r="C229" s="151">
        <f t="shared" si="26"/>
        <v>1700</v>
      </c>
      <c r="D229" s="220">
        <f t="shared" si="24"/>
        <v>12.471599999999999</v>
      </c>
      <c r="E229" s="217" cm="1">
        <f t="array" ref="E229">$B$7*SUM(($D$42:$D$50*$D$42:$D$50)*EXP($D$42:$D$50/$C229)/($C229^2*(EXP($D$42:$D$50/$C229)-1)^2))</f>
        <v>55.972772610273616</v>
      </c>
      <c r="F229" s="247">
        <f t="shared" si="25"/>
        <v>12.471599999999999</v>
      </c>
      <c r="G229" s="221">
        <v>0</v>
      </c>
      <c r="H229" s="328">
        <f t="shared" si="22"/>
        <v>80.915972610273613</v>
      </c>
    </row>
    <row r="230" spans="3:11" ht="19" x14ac:dyDescent="0.25">
      <c r="C230" s="151">
        <f t="shared" si="26"/>
        <v>1800</v>
      </c>
      <c r="D230" s="220">
        <f t="shared" si="24"/>
        <v>12.471599999999999</v>
      </c>
      <c r="E230" s="217" cm="1">
        <f t="array" ref="E230">$B$7*SUM(($D$42:$D$50*$D$42:$D$50)*EXP($D$42:$D$50/$C230)/($C230^2*(EXP($D$42:$D$50/$C230)-1)^2))</f>
        <v>57.575045721202748</v>
      </c>
      <c r="F230" s="247">
        <f t="shared" si="25"/>
        <v>12.471599999999999</v>
      </c>
      <c r="G230" s="221">
        <v>0</v>
      </c>
      <c r="H230" s="328">
        <f t="shared" si="22"/>
        <v>82.518245721202746</v>
      </c>
    </row>
    <row r="231" spans="3:11" ht="19" x14ac:dyDescent="0.25">
      <c r="C231" s="151">
        <f t="shared" si="26"/>
        <v>1900</v>
      </c>
      <c r="D231" s="220">
        <f t="shared" si="24"/>
        <v>12.471599999999999</v>
      </c>
      <c r="E231" s="217" cm="1">
        <f t="array" ref="E231">$B$7*SUM(($D$42:$D$50*$D$42:$D$50)*EXP($D$42:$D$50/$C231)/($C231^2*(EXP($D$42:$D$50/$C231)-1)^2))</f>
        <v>58.998161585728603</v>
      </c>
      <c r="F231" s="247">
        <f t="shared" si="25"/>
        <v>12.471599999999999</v>
      </c>
      <c r="G231" s="221">
        <v>0</v>
      </c>
      <c r="H231" s="328">
        <f t="shared" si="22"/>
        <v>83.9413615857286</v>
      </c>
    </row>
    <row r="232" spans="3:11" ht="20" thickBot="1" x14ac:dyDescent="0.3">
      <c r="C232" s="152">
        <f t="shared" si="26"/>
        <v>2000</v>
      </c>
      <c r="D232" s="222">
        <f t="shared" si="24"/>
        <v>12.471599999999999</v>
      </c>
      <c r="E232" s="228" cm="1">
        <f t="array" ref="E232">$B$7*SUM(($D$42:$D$50*$D$42:$D$50)*EXP($D$42:$D$50/$C232)/($C232^2*(EXP($D$42:$D$50/$C232)-1)^2))</f>
        <v>60.265099710683764</v>
      </c>
      <c r="F232" s="229">
        <f t="shared" si="25"/>
        <v>12.471599999999999</v>
      </c>
      <c r="G232" s="223">
        <v>0</v>
      </c>
      <c r="H232" s="329">
        <f t="shared" si="22"/>
        <v>85.208299710683761</v>
      </c>
    </row>
    <row r="238" spans="3:11" ht="17" thickBot="1" x14ac:dyDescent="0.25"/>
    <row r="239" spans="3:11" ht="20" thickBot="1" x14ac:dyDescent="0.3">
      <c r="E239" s="1"/>
      <c r="F239" s="1" t="s">
        <v>66</v>
      </c>
      <c r="G239" s="1"/>
      <c r="H239" s="345" t="s">
        <v>110</v>
      </c>
      <c r="I239" s="346"/>
      <c r="J239" s="346"/>
      <c r="K239" s="347"/>
    </row>
    <row r="240" spans="3:11" ht="28" thickBot="1" x14ac:dyDescent="0.4">
      <c r="C240" s="125" t="s">
        <v>123</v>
      </c>
      <c r="D240" s="126"/>
      <c r="E240" s="1"/>
      <c r="F240" s="1"/>
      <c r="G240" s="1"/>
      <c r="H240" s="199" t="s">
        <v>106</v>
      </c>
      <c r="I240" s="199" t="s">
        <v>107</v>
      </c>
      <c r="J240" s="199" t="s">
        <v>108</v>
      </c>
      <c r="K240" s="199" t="s">
        <v>109</v>
      </c>
    </row>
    <row r="244" spans="3:10" ht="20" thickBot="1" x14ac:dyDescent="0.25">
      <c r="D244" s="348"/>
      <c r="E244" s="348"/>
    </row>
    <row r="245" spans="3:10" ht="20" thickBot="1" x14ac:dyDescent="0.25">
      <c r="D245" s="343" t="s">
        <v>118</v>
      </c>
      <c r="E245" s="344"/>
    </row>
    <row r="246" spans="3:10" ht="20" thickBot="1" x14ac:dyDescent="0.3">
      <c r="D246" s="176" t="s">
        <v>117</v>
      </c>
      <c r="E246" s="205" t="s">
        <v>115</v>
      </c>
    </row>
    <row r="247" spans="3:10" ht="19" x14ac:dyDescent="0.25">
      <c r="C247" s="65" t="s">
        <v>45</v>
      </c>
      <c r="D247" s="334">
        <f>$R23</f>
        <v>47.235999999999997</v>
      </c>
      <c r="E247" s="131">
        <f>D247*4.184</f>
        <v>197.635424</v>
      </c>
    </row>
    <row r="248" spans="3:10" ht="19" x14ac:dyDescent="0.25">
      <c r="C248" s="66" t="s">
        <v>46</v>
      </c>
      <c r="D248" s="335">
        <f t="shared" ref="D248:D251" si="28">$R24</f>
        <v>0</v>
      </c>
      <c r="E248" s="132">
        <f t="shared" ref="E248:E251" si="29">D248*4.184</f>
        <v>0</v>
      </c>
    </row>
    <row r="249" spans="3:10" ht="19" x14ac:dyDescent="0.25">
      <c r="C249" s="66" t="s">
        <v>47</v>
      </c>
      <c r="D249" s="335">
        <f t="shared" si="28"/>
        <v>34.261000000000003</v>
      </c>
      <c r="E249" s="132">
        <f t="shared" si="29"/>
        <v>143.34802400000001</v>
      </c>
    </row>
    <row r="250" spans="3:10" ht="19" x14ac:dyDescent="0.25">
      <c r="C250" s="66" t="s">
        <v>48</v>
      </c>
      <c r="D250" s="335">
        <f t="shared" si="28"/>
        <v>12.89</v>
      </c>
      <c r="E250" s="132">
        <f t="shared" si="29"/>
        <v>53.931760000000004</v>
      </c>
    </row>
    <row r="251" spans="3:10" ht="20" thickBot="1" x14ac:dyDescent="0.3">
      <c r="C251" s="67" t="s">
        <v>49</v>
      </c>
      <c r="D251" s="336">
        <f t="shared" si="28"/>
        <v>8.5000000000000006E-2</v>
      </c>
      <c r="E251" s="133">
        <f t="shared" si="29"/>
        <v>0.35564000000000007</v>
      </c>
    </row>
    <row r="253" spans="3:10" ht="17" thickBot="1" x14ac:dyDescent="0.25"/>
    <row r="254" spans="3:10" ht="20" thickBot="1" x14ac:dyDescent="0.3">
      <c r="C254" s="82" t="s">
        <v>26</v>
      </c>
      <c r="D254" s="210"/>
      <c r="E254" s="210"/>
      <c r="F254" s="210"/>
      <c r="G254" s="211"/>
      <c r="I254" s="115" t="s">
        <v>121</v>
      </c>
      <c r="J254" s="212">
        <f>($B$14^2)/(8*PI()*PI()*$G$258*$B$8)</f>
        <v>1.222230608475283</v>
      </c>
    </row>
    <row r="255" spans="3:10" ht="20" thickBot="1" x14ac:dyDescent="0.3">
      <c r="C255" s="207"/>
      <c r="D255" s="105" t="s">
        <v>36</v>
      </c>
      <c r="E255" s="106" t="s">
        <v>37</v>
      </c>
      <c r="F255" s="107" t="s">
        <v>38</v>
      </c>
      <c r="G255" s="121" t="s">
        <v>116</v>
      </c>
      <c r="I255" s="104"/>
      <c r="J255" s="104"/>
    </row>
    <row r="256" spans="3:10" ht="22" thickBot="1" x14ac:dyDescent="0.3">
      <c r="C256" s="46" t="s">
        <v>31</v>
      </c>
      <c r="D256" s="339">
        <f>D$23</f>
        <v>11.460050000000001</v>
      </c>
      <c r="E256" s="55">
        <f t="shared" ref="E256:F256" si="30">E$23</f>
        <v>11.46124</v>
      </c>
      <c r="F256" s="340">
        <f t="shared" si="30"/>
        <v>11.46124</v>
      </c>
      <c r="G256" s="52">
        <f>SQRT(F256^2 + E256^2 + D256^2)</f>
        <v>19.850762974699489</v>
      </c>
      <c r="J256" s="104"/>
    </row>
    <row r="257" spans="1:18" ht="22" thickBot="1" x14ac:dyDescent="0.3">
      <c r="C257" s="47" t="s">
        <v>29</v>
      </c>
      <c r="D257" s="208">
        <f>D256*$U$9</f>
        <v>1.9023682999999999E-26</v>
      </c>
      <c r="E257" s="58">
        <f t="shared" ref="E257" si="31">E256*$U$9</f>
        <v>1.9025658399999998E-26</v>
      </c>
      <c r="F257" s="341">
        <f t="shared" ref="F257" si="32">F256*$U$9</f>
        <v>1.9025658399999998E-26</v>
      </c>
      <c r="G257" s="52">
        <f t="shared" ref="G257:G258" si="33">SQRT(F257^2 + E257^2 + D257^2)</f>
        <v>3.2952266538001144E-26</v>
      </c>
    </row>
    <row r="258" spans="1:18" ht="22" thickBot="1" x14ac:dyDescent="0.3">
      <c r="C258" s="48" t="s">
        <v>30</v>
      </c>
      <c r="D258" s="59">
        <f>D257*($Q$8)^2</f>
        <v>1.9023682999999999E-46</v>
      </c>
      <c r="E258" s="60">
        <f>E257*($Q$8)^2</f>
        <v>1.9025658400000001E-46</v>
      </c>
      <c r="F258" s="204">
        <f t="shared" ref="F258" si="34">F257*($Q$8)^2</f>
        <v>1.9025658400000001E-46</v>
      </c>
      <c r="G258" s="52">
        <f t="shared" si="33"/>
        <v>3.2952266538001147E-46</v>
      </c>
    </row>
    <row r="259" spans="1:18" ht="17" thickBot="1" x14ac:dyDescent="0.25"/>
    <row r="260" spans="1:18" ht="20" thickBot="1" x14ac:dyDescent="0.3">
      <c r="F260" s="302" t="s">
        <v>115</v>
      </c>
      <c r="G260" s="303"/>
      <c r="H260" s="303"/>
      <c r="I260" s="303"/>
      <c r="J260" s="304"/>
    </row>
    <row r="261" spans="1:18" ht="23" thickBot="1" x14ac:dyDescent="0.35">
      <c r="C261" s="189" t="s">
        <v>68</v>
      </c>
      <c r="D261" s="206" t="s">
        <v>122</v>
      </c>
      <c r="E261" s="173" t="s">
        <v>120</v>
      </c>
      <c r="F261" s="233" t="s">
        <v>114</v>
      </c>
      <c r="G261" s="209" t="s">
        <v>111</v>
      </c>
      <c r="H261" s="209" t="s">
        <v>112</v>
      </c>
      <c r="I261" s="234" t="s">
        <v>113</v>
      </c>
      <c r="J261" s="121" t="s">
        <v>116</v>
      </c>
      <c r="L261" s="162" t="s">
        <v>83</v>
      </c>
      <c r="M261" s="163"/>
      <c r="N261" s="163"/>
      <c r="O261" s="163"/>
      <c r="P261" s="163"/>
      <c r="Q261" s="163"/>
    </row>
    <row r="262" spans="1:18" ht="20" thickBot="1" x14ac:dyDescent="0.3">
      <c r="C262" s="173">
        <v>298.14999999999998</v>
      </c>
      <c r="D262" s="213">
        <f>$B$7*C262/$B$16</f>
        <v>2.4465219442388352E-2</v>
      </c>
      <c r="E262" s="230">
        <f>((2*PI()*$A$28*$U$9*$B$8*$C262)/($B$14*$B$14))^(3/2)</f>
        <v>6.2071894026533771E+31</v>
      </c>
      <c r="F262" s="305">
        <f t="shared" ref="F262:F280" si="35">$B$7*LN(($D262/$B$6)*EXP(5/2)*E262)</f>
        <v>143.34394329311561</v>
      </c>
      <c r="G262" s="261" cm="1">
        <f t="array" ref="G262">$B$7*SUM((($D$42:$D$50)/$C262)/(EXP($D$42:$D$50/$C262)-1)-LN(1-EXP(-$D$42:$D$50/$C262)))</f>
        <v>0.35628619407215534</v>
      </c>
      <c r="H262" s="306">
        <f>$B$7*(LN((SQRT(PI())/$A$31)*($C262^(3/2)/SQRT(C$29*D$29*E$29)))+3/2)</f>
        <v>53.930226367638582</v>
      </c>
      <c r="I262" s="263">
        <v>0</v>
      </c>
      <c r="J262" s="203">
        <f t="shared" ref="J262:J280" si="36">SUM(F262:I262)</f>
        <v>197.63045585482638</v>
      </c>
      <c r="L262" s="1"/>
      <c r="M262" s="1"/>
      <c r="N262" s="1"/>
      <c r="O262" s="1"/>
      <c r="P262" s="1"/>
      <c r="Q262" s="1"/>
    </row>
    <row r="263" spans="1:18" ht="20" thickBot="1" x14ac:dyDescent="0.3">
      <c r="C263" s="150">
        <v>300</v>
      </c>
      <c r="D263" s="213">
        <f>$B$7*C263/$B$16</f>
        <v>2.4617024426350848E-2</v>
      </c>
      <c r="E263" s="230">
        <f>((2*PI()*$A$28*$U$9*$B$8*$C263)/($B$14*$B$14))^(3/2)</f>
        <v>6.2650516965619017E+31</v>
      </c>
      <c r="F263" s="216">
        <f t="shared" si="35"/>
        <v>143.47252048149971</v>
      </c>
      <c r="G263" s="225" cm="1">
        <f t="array" ref="G263">$B$7*SUM((($D$42:$D$50)/$C263)/(EXP($D$42:$D$50/$C263)-1)-LN(1-EXP(-$D$42:$D$50/$C263)))</f>
        <v>0.36940209593207096</v>
      </c>
      <c r="H263" s="235">
        <f t="shared" ref="H263:H280" si="37">$B$7*(LN((SQRT(PI())/$A$31)*($C263^(3/2)/SQRT(C$29*D$29*E$29)))+3/2)</f>
        <v>54.007372680669086</v>
      </c>
      <c r="I263" s="219">
        <v>0</v>
      </c>
      <c r="J263" s="203">
        <f t="shared" si="36"/>
        <v>197.84929525810085</v>
      </c>
      <c r="N263" s="200" t="s">
        <v>114</v>
      </c>
      <c r="O263" s="201" t="s">
        <v>111</v>
      </c>
      <c r="P263" s="201" t="s">
        <v>112</v>
      </c>
      <c r="Q263" s="202" t="s">
        <v>113</v>
      </c>
      <c r="R263" s="121" t="s">
        <v>116</v>
      </c>
    </row>
    <row r="264" spans="1:18" ht="20" thickBot="1" x14ac:dyDescent="0.3">
      <c r="C264" s="151">
        <f>C263+100</f>
        <v>400</v>
      </c>
      <c r="D264" s="214">
        <f t="shared" ref="D264:D280" si="38">$B$7*C264/$B$16</f>
        <v>3.2822699235134464E-2</v>
      </c>
      <c r="E264" s="231">
        <f t="shared" ref="E264:E280" si="39">(2*PI()*$A$28*$U$9*$B$8*$C264/($B$14)^2)^(3/2)</f>
        <v>9.6456780893252501E+31</v>
      </c>
      <c r="F264" s="236">
        <f t="shared" si="35"/>
        <v>149.4522800394825</v>
      </c>
      <c r="G264" s="217" cm="1">
        <f t="array" ref="G264">$B$7*SUM((($D$42:$D$50)/$C264)/(EXP($D$42:$D$50/$C264)-1)-LN(1-EXP(-$D$42:$D$50/$C264)))</f>
        <v>1.5578337206433435</v>
      </c>
      <c r="H264" s="218">
        <f t="shared" si="37"/>
        <v>57.59522841545872</v>
      </c>
      <c r="I264" s="221">
        <v>0</v>
      </c>
      <c r="J264" s="330">
        <f t="shared" si="36"/>
        <v>208.60534217558455</v>
      </c>
      <c r="M264" s="71" t="s">
        <v>79</v>
      </c>
      <c r="N264" s="239">
        <f>F$262</f>
        <v>143.34394329311561</v>
      </c>
      <c r="O264" s="239">
        <f>G$262</f>
        <v>0.35628619407215534</v>
      </c>
      <c r="P264" s="239">
        <f>H$262</f>
        <v>53.930226367638582</v>
      </c>
      <c r="Q264" s="239">
        <f>I$262</f>
        <v>0</v>
      </c>
      <c r="R264" s="239">
        <f>J$262</f>
        <v>197.63045585482638</v>
      </c>
    </row>
    <row r="265" spans="1:18" ht="20" thickBot="1" x14ac:dyDescent="0.3">
      <c r="C265" s="151">
        <f t="shared" ref="C265:C280" si="40">C264+100</f>
        <v>500</v>
      </c>
      <c r="D265" s="214">
        <f t="shared" si="38"/>
        <v>4.1028374043918084E-2</v>
      </c>
      <c r="E265" s="231">
        <f t="shared" si="39"/>
        <v>1.3480244935507294E+32</v>
      </c>
      <c r="F265" s="236">
        <f t="shared" si="35"/>
        <v>154.09054189709971</v>
      </c>
      <c r="G265" s="217" cm="1">
        <f t="array" ref="G265">$B$7*SUM((($D$42:$D$50)/$C265)/(EXP($D$42:$D$50/$C265)-1)-LN(1-EXP(-$D$42:$D$50/$C265)))</f>
        <v>3.6351261768036633</v>
      </c>
      <c r="H265" s="218">
        <f t="shared" si="37"/>
        <v>60.378185530029022</v>
      </c>
      <c r="I265" s="221">
        <v>0</v>
      </c>
      <c r="J265" s="330">
        <f t="shared" si="36"/>
        <v>218.10385360393238</v>
      </c>
      <c r="M265" s="72" t="s">
        <v>80</v>
      </c>
      <c r="N265" s="239">
        <f>E249</f>
        <v>143.34802400000001</v>
      </c>
      <c r="O265" s="239">
        <f>E251</f>
        <v>0.35564000000000007</v>
      </c>
      <c r="P265" s="239">
        <f>E250</f>
        <v>53.931760000000004</v>
      </c>
      <c r="Q265" s="239">
        <f>E248</f>
        <v>0</v>
      </c>
      <c r="R265" s="239">
        <f>E247</f>
        <v>197.635424</v>
      </c>
    </row>
    <row r="266" spans="1:18" ht="22" x14ac:dyDescent="0.3">
      <c r="C266" s="151">
        <f t="shared" si="40"/>
        <v>600</v>
      </c>
      <c r="D266" s="214">
        <f t="shared" si="38"/>
        <v>4.9234048852701696E-2</v>
      </c>
      <c r="E266" s="231">
        <f t="shared" si="39"/>
        <v>1.7720242156492869E+32</v>
      </c>
      <c r="F266" s="236">
        <f t="shared" si="35"/>
        <v>157.88027777661875</v>
      </c>
      <c r="G266" s="217" cm="1">
        <f t="array" ref="G266">$B$7*SUM((($D$42:$D$50)/$C266)/(EXP($D$42:$D$50/$C266)-1)-LN(1-EXP(-$D$42:$D$50/$C266)))</f>
        <v>6.3779569117927872</v>
      </c>
      <c r="H266" s="218">
        <f t="shared" si="37"/>
        <v>62.65202705774049</v>
      </c>
      <c r="I266" s="221">
        <v>0</v>
      </c>
      <c r="J266" s="330">
        <f t="shared" si="36"/>
        <v>226.91026174615203</v>
      </c>
      <c r="L266" s="1"/>
      <c r="M266" s="17" t="s">
        <v>81</v>
      </c>
      <c r="N266" s="164">
        <f>IFERROR(ABS(N264-N265)/N264,0)</f>
        <v>2.8467940748987632E-5</v>
      </c>
      <c r="O266" s="164">
        <f t="shared" ref="O266:R266" si="41">IFERROR(ABS(O264-O265)/O264,0)</f>
        <v>1.813693830708475E-3</v>
      </c>
      <c r="P266" s="164">
        <f t="shared" si="41"/>
        <v>2.8437343299237368E-5</v>
      </c>
      <c r="Q266" s="164">
        <f t="shared" si="41"/>
        <v>0</v>
      </c>
      <c r="R266" s="164">
        <f t="shared" si="41"/>
        <v>2.5138560512505207E-5</v>
      </c>
    </row>
    <row r="267" spans="1:18" ht="19" x14ac:dyDescent="0.25">
      <c r="A267" s="16"/>
      <c r="C267" s="151">
        <f t="shared" si="40"/>
        <v>700</v>
      </c>
      <c r="D267" s="214">
        <f t="shared" si="38"/>
        <v>5.7439723661485309E-2</v>
      </c>
      <c r="E267" s="231">
        <f t="shared" si="39"/>
        <v>2.2330057269572045E+32</v>
      </c>
      <c r="F267" s="236">
        <f t="shared" si="35"/>
        <v>161.08445380750828</v>
      </c>
      <c r="G267" s="217" cm="1">
        <f t="array" ref="G267">$B$7*SUM((($D$42:$D$50)/$C267)/(EXP($D$42:$D$50/$C267)-1)-LN(1-EXP(-$D$42:$D$50/$C267)))</f>
        <v>9.5603628364572444</v>
      </c>
      <c r="H267" s="218">
        <f t="shared" si="37"/>
        <v>64.574532676274131</v>
      </c>
      <c r="I267" s="221">
        <v>0</v>
      </c>
      <c r="J267" s="330">
        <f t="shared" si="36"/>
        <v>235.21934932023964</v>
      </c>
    </row>
    <row r="268" spans="1:18" ht="19" x14ac:dyDescent="0.25">
      <c r="A268" s="16"/>
      <c r="C268" s="151">
        <f t="shared" si="40"/>
        <v>800</v>
      </c>
      <c r="D268" s="214">
        <f t="shared" si="38"/>
        <v>6.5645398470268929E-2</v>
      </c>
      <c r="E268" s="231">
        <f t="shared" si="39"/>
        <v>2.7282097544417618E+32</v>
      </c>
      <c r="F268" s="236">
        <f t="shared" si="35"/>
        <v>163.86003733460157</v>
      </c>
      <c r="G268" s="217" cm="1">
        <f t="array" ref="G268">$B$7*SUM((($D$42:$D$50)/$C268)/(EXP($D$42:$D$50/$C268)-1)-LN(1-EXP(-$D$42:$D$50/$C268)))</f>
        <v>13.017476642191708</v>
      </c>
      <c r="H268" s="218">
        <f t="shared" si="37"/>
        <v>66.239882792530125</v>
      </c>
      <c r="I268" s="221">
        <v>0</v>
      </c>
      <c r="J268" s="330">
        <f t="shared" si="36"/>
        <v>243.11739676932339</v>
      </c>
    </row>
    <row r="269" spans="1:18" ht="19" x14ac:dyDescent="0.25">
      <c r="C269" s="151">
        <f t="shared" si="40"/>
        <v>900</v>
      </c>
      <c r="D269" s="214">
        <f t="shared" si="38"/>
        <v>7.3851073279052548E-2</v>
      </c>
      <c r="E269" s="231">
        <f t="shared" si="39"/>
        <v>3.2554163551472771E+32</v>
      </c>
      <c r="F269" s="236">
        <f t="shared" si="35"/>
        <v>166.30827551375512</v>
      </c>
      <c r="G269" s="217" cm="1">
        <f t="array" ref="G269">$B$7*SUM((($D$42:$D$50)/$C269)/(EXP($D$42:$D$50/$C269)-1)-LN(1-EXP(-$D$42:$D$50/$C269)))</f>
        <v>16.635287332238967</v>
      </c>
      <c r="H269" s="218">
        <f t="shared" si="37"/>
        <v>67.708825700022288</v>
      </c>
      <c r="I269" s="221">
        <v>0</v>
      </c>
      <c r="J269" s="330">
        <f t="shared" si="36"/>
        <v>250.65238854601637</v>
      </c>
    </row>
    <row r="270" spans="1:18" ht="19" x14ac:dyDescent="0.25">
      <c r="C270" s="151">
        <f t="shared" si="40"/>
        <v>1000</v>
      </c>
      <c r="D270" s="214">
        <f t="shared" si="38"/>
        <v>8.2056748087836168E-2</v>
      </c>
      <c r="E270" s="231">
        <f t="shared" si="39"/>
        <v>3.812789042381085E+32</v>
      </c>
      <c r="F270" s="236">
        <f t="shared" si="35"/>
        <v>168.49829919221864</v>
      </c>
      <c r="G270" s="217" cm="1">
        <f t="array" ref="G270">$B$7*SUM((($D$42:$D$50)/$C270)/(EXP($D$42:$D$50/$C270)-1)-LN(1-EXP(-$D$42:$D$50/$C270)))</f>
        <v>20.333916449870596</v>
      </c>
      <c r="H270" s="218">
        <f t="shared" si="37"/>
        <v>69.022839907100433</v>
      </c>
      <c r="I270" s="221">
        <v>0</v>
      </c>
      <c r="J270" s="330">
        <f t="shared" si="36"/>
        <v>257.85505554918967</v>
      </c>
    </row>
    <row r="271" spans="1:18" ht="19" x14ac:dyDescent="0.25">
      <c r="C271" s="151">
        <f t="shared" si="40"/>
        <v>1100</v>
      </c>
      <c r="D271" s="214">
        <f t="shared" si="38"/>
        <v>9.0262422896619773E-2</v>
      </c>
      <c r="E271" s="231">
        <f t="shared" si="39"/>
        <v>4.3987755722410577E+32</v>
      </c>
      <c r="F271" s="236">
        <f t="shared" si="35"/>
        <v>170.4794165896314</v>
      </c>
      <c r="G271" s="217" cm="1">
        <f t="array" ref="G271">$B$7*SUM((($D$42:$D$50)/$C271)/(EXP($D$42:$D$50/$C271)-1)-LN(1-EXP(-$D$42:$D$50/$C271)))</f>
        <v>24.056490793759451</v>
      </c>
      <c r="H271" s="218">
        <f t="shared" si="37"/>
        <v>70.211510345548035</v>
      </c>
      <c r="I271" s="221">
        <v>0</v>
      </c>
      <c r="J271" s="330">
        <f t="shared" si="36"/>
        <v>264.7474177289389</v>
      </c>
    </row>
    <row r="272" spans="1:18" ht="19" x14ac:dyDescent="0.25">
      <c r="C272" s="151">
        <f t="shared" si="40"/>
        <v>1200</v>
      </c>
      <c r="D272" s="214">
        <f t="shared" si="38"/>
        <v>9.8468097705403393E-2</v>
      </c>
      <c r="E272" s="231">
        <f t="shared" si="39"/>
        <v>5.0120413572495495E+32</v>
      </c>
      <c r="F272" s="236">
        <f t="shared" si="35"/>
        <v>172.28803507173782</v>
      </c>
      <c r="G272" s="217" cm="1">
        <f t="array" ref="G272">$B$7*SUM((($D$42:$D$50)/$C272)/(EXP($D$42:$D$50/$C272)-1)-LN(1-EXP(-$D$42:$D$50/$C272)))</f>
        <v>27.762407786175839</v>
      </c>
      <c r="H272" s="218">
        <f t="shared" si="37"/>
        <v>71.296681434811916</v>
      </c>
      <c r="I272" s="221">
        <v>0</v>
      </c>
      <c r="J272" s="330">
        <f t="shared" si="36"/>
        <v>271.34712429272554</v>
      </c>
    </row>
    <row r="273" spans="3:10" ht="19" x14ac:dyDescent="0.25">
      <c r="C273" s="151">
        <f t="shared" si="40"/>
        <v>1300</v>
      </c>
      <c r="D273" s="214">
        <f t="shared" si="38"/>
        <v>0.10667377251418701</v>
      </c>
      <c r="E273" s="231">
        <f t="shared" si="39"/>
        <v>5.6514228773732626E+32</v>
      </c>
      <c r="F273" s="236">
        <f t="shared" si="35"/>
        <v>173.95180279343992</v>
      </c>
      <c r="G273" s="217" cm="1">
        <f t="array" ref="G273">$B$7*SUM((($D$42:$D$50)/$C273)/(EXP($D$42:$D$50/$C273)-1)-LN(1-EXP(-$D$42:$D$50/$C273)))</f>
        <v>31.422991200460419</v>
      </c>
      <c r="H273" s="218">
        <f t="shared" si="37"/>
        <v>72.294942067833176</v>
      </c>
      <c r="I273" s="221">
        <v>0</v>
      </c>
      <c r="J273" s="330">
        <f t="shared" si="36"/>
        <v>277.66973606173349</v>
      </c>
    </row>
    <row r="274" spans="3:10" ht="19" x14ac:dyDescent="0.25">
      <c r="C274" s="151">
        <f t="shared" si="40"/>
        <v>1400</v>
      </c>
      <c r="D274" s="214">
        <f t="shared" si="38"/>
        <v>0.11487944732297062</v>
      </c>
      <c r="E274" s="231">
        <f t="shared" si="39"/>
        <v>6.315893967839269E+32</v>
      </c>
      <c r="F274" s="236">
        <f t="shared" si="35"/>
        <v>175.49221110262718</v>
      </c>
      <c r="G274" s="217" cm="1">
        <f t="array" ref="G274">$B$7*SUM((($D$42:$D$50)/$C274)/(EXP($D$42:$D$50/$C274)-1)-LN(1-EXP(-$D$42:$D$50/$C274)))</f>
        <v>35.018437140596603</v>
      </c>
      <c r="H274" s="218">
        <f t="shared" si="37"/>
        <v>73.21918705334555</v>
      </c>
      <c r="I274" s="221">
        <v>0</v>
      </c>
      <c r="J274" s="330">
        <f t="shared" si="36"/>
        <v>283.72983529656932</v>
      </c>
    </row>
    <row r="275" spans="3:10" ht="19" x14ac:dyDescent="0.25">
      <c r="C275" s="151">
        <f t="shared" si="40"/>
        <v>1500</v>
      </c>
      <c r="D275" s="214">
        <f t="shared" si="38"/>
        <v>0.12308512213175424</v>
      </c>
      <c r="E275" s="231">
        <f t="shared" si="39"/>
        <v>7.0045407380314778E+32</v>
      </c>
      <c r="F275" s="236">
        <f t="shared" si="35"/>
        <v>176.926296929355</v>
      </c>
      <c r="G275" s="217" cm="1">
        <f t="array" ref="G275">$B$7*SUM((($D$42:$D$50)/$C275)/(EXP($D$42:$D$50/$C275)-1)-LN(1-EXP(-$D$42:$D$50/$C275)))</f>
        <v>38.535547408815987</v>
      </c>
      <c r="H275" s="218">
        <f t="shared" si="37"/>
        <v>74.07963854938221</v>
      </c>
      <c r="I275" s="221">
        <v>0</v>
      </c>
      <c r="J275" s="330">
        <f t="shared" si="36"/>
        <v>289.54148288755317</v>
      </c>
    </row>
    <row r="276" spans="3:10" ht="19" x14ac:dyDescent="0.25">
      <c r="C276" s="151">
        <f t="shared" si="40"/>
        <v>1600</v>
      </c>
      <c r="D276" s="214">
        <f t="shared" si="38"/>
        <v>0.13129079694053786</v>
      </c>
      <c r="E276" s="231">
        <f t="shared" si="39"/>
        <v>7.7165424714602433E+32</v>
      </c>
      <c r="F276" s="236">
        <f t="shared" si="35"/>
        <v>178.26779462972061</v>
      </c>
      <c r="G276" s="217" cm="1">
        <f t="array" ref="G276">$B$7*SUM((($D$42:$D$50)/$C276)/(EXP($D$42:$D$50/$C276)-1)-LN(1-EXP(-$D$42:$D$50/$C276)))</f>
        <v>41.96601146727334</v>
      </c>
      <c r="H276" s="218">
        <f t="shared" si="37"/>
        <v>74.884537169601543</v>
      </c>
      <c r="I276" s="221">
        <v>0</v>
      </c>
      <c r="J276" s="330">
        <f t="shared" si="36"/>
        <v>295.1183432665955</v>
      </c>
    </row>
    <row r="277" spans="3:10" ht="19" x14ac:dyDescent="0.25">
      <c r="C277" s="151">
        <f t="shared" si="40"/>
        <v>1700</v>
      </c>
      <c r="D277" s="214">
        <f t="shared" si="38"/>
        <v>0.13949647174932148</v>
      </c>
      <c r="E277" s="231">
        <f t="shared" si="39"/>
        <v>8.4511567885112007E+32</v>
      </c>
      <c r="F277" s="236">
        <f t="shared" si="35"/>
        <v>179.52793801879693</v>
      </c>
      <c r="G277" s="217" cm="1">
        <f t="array" ref="G277">$B$7*SUM((($D$42:$D$50)/$C277)/(EXP($D$42:$D$50/$C277)-1)-LN(1-EXP(-$D$42:$D$50/$C277)))</f>
        <v>45.305101192807541</v>
      </c>
      <c r="H277" s="218">
        <f t="shared" si="37"/>
        <v>75.640623203047397</v>
      </c>
      <c r="I277" s="221">
        <v>0</v>
      </c>
      <c r="J277" s="330">
        <f t="shared" si="36"/>
        <v>300.47366241465187</v>
      </c>
    </row>
    <row r="278" spans="3:10" ht="19" x14ac:dyDescent="0.25">
      <c r="C278" s="151">
        <f t="shared" si="40"/>
        <v>1800</v>
      </c>
      <c r="D278" s="214">
        <f t="shared" si="38"/>
        <v>0.1477021465581051</v>
      </c>
      <c r="E278" s="231">
        <f t="shared" si="39"/>
        <v>9.2077079212408295E+32</v>
      </c>
      <c r="F278" s="236">
        <f t="shared" si="35"/>
        <v>180.71603280887405</v>
      </c>
      <c r="G278" s="217" cm="1">
        <f t="array" ref="G278">$B$7*SUM((($D$42:$D$50)/$C278)/(EXP($D$42:$D$50/$C278)-1)-LN(1-EXP(-$D$42:$D$50/$C278)))</f>
        <v>48.550684496373563</v>
      </c>
      <c r="H278" s="218">
        <f t="shared" si="37"/>
        <v>76.353480077093707</v>
      </c>
      <c r="I278" s="221">
        <v>0</v>
      </c>
      <c r="J278" s="330">
        <f t="shared" si="36"/>
        <v>305.6201973823413</v>
      </c>
    </row>
    <row r="279" spans="3:10" ht="19" x14ac:dyDescent="0.25">
      <c r="C279" s="151">
        <f t="shared" si="40"/>
        <v>1900</v>
      </c>
      <c r="D279" s="214">
        <f t="shared" si="38"/>
        <v>0.15590782136688872</v>
      </c>
      <c r="E279" s="231">
        <f t="shared" si="39"/>
        <v>9.9855773079072226E+32</v>
      </c>
      <c r="F279" s="236">
        <f t="shared" si="35"/>
        <v>181.83987407019816</v>
      </c>
      <c r="G279" s="217" cm="1">
        <f t="array" ref="G279">$B$7*SUM((($D$42:$D$50)/$C279)/(EXP($D$42:$D$50/$C279)-1)-LN(1-EXP(-$D$42:$D$50/$C279)))</f>
        <v>51.702485404289554</v>
      </c>
      <c r="H279" s="218">
        <f t="shared" si="37"/>
        <v>77.027784833888077</v>
      </c>
      <c r="I279" s="221">
        <v>0</v>
      </c>
      <c r="J279" s="330">
        <f t="shared" si="36"/>
        <v>310.5701443083758</v>
      </c>
    </row>
    <row r="280" spans="3:10" ht="20" thickBot="1" x14ac:dyDescent="0.3">
      <c r="C280" s="152">
        <f t="shared" si="40"/>
        <v>2000</v>
      </c>
      <c r="D280" s="215">
        <f t="shared" si="38"/>
        <v>0.16411349617567234</v>
      </c>
      <c r="E280" s="232">
        <f t="shared" si="39"/>
        <v>1.0784195948405743E+33</v>
      </c>
      <c r="F280" s="237">
        <f t="shared" si="35"/>
        <v>182.90605648733768</v>
      </c>
      <c r="G280" s="228" cm="1">
        <f t="array" ref="G280">$B$7*SUM((($D$42:$D$50)/$C280)/(EXP($D$42:$D$50/$C280)-1)-LN(1-EXP(-$D$42:$D$50/$C280)))</f>
        <v>54.761533071282138</v>
      </c>
      <c r="H280" s="238">
        <f t="shared" si="37"/>
        <v>77.667494284171838</v>
      </c>
      <c r="I280" s="223">
        <v>0</v>
      </c>
      <c r="J280" s="331">
        <f t="shared" si="36"/>
        <v>315.33508384279168</v>
      </c>
    </row>
  </sheetData>
  <mergeCells count="9">
    <mergeCell ref="D245:E245"/>
    <mergeCell ref="H239:K239"/>
    <mergeCell ref="D244:E244"/>
    <mergeCell ref="A53:V53"/>
    <mergeCell ref="A18:V18"/>
    <mergeCell ref="C100:L100"/>
    <mergeCell ref="H198:K198"/>
    <mergeCell ref="D212:H212"/>
    <mergeCell ref="D203:E20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BBBA-D316-5C41-A599-053E6E9634D1}">
  <dimension ref="A3:AC293"/>
  <sheetViews>
    <sheetView topLeftCell="A254" zoomScale="69" zoomScaleNormal="125" workbookViewId="0">
      <selection activeCell="D260" sqref="D260:E26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2" max="22" width="14.83203125" customWidth="1"/>
    <col min="24" max="24" width="15.6640625" customWidth="1"/>
    <col min="25" max="25" width="17.33203125" customWidth="1"/>
    <col min="26" max="26" width="18.33203125" customWidth="1"/>
    <col min="27" max="27" width="16.83203125" customWidth="1"/>
    <col min="28" max="28" width="16.1640625" customWidth="1"/>
  </cols>
  <sheetData>
    <row r="3" spans="1:22" x14ac:dyDescent="0.2">
      <c r="A3" s="2"/>
      <c r="B3" s="2"/>
    </row>
    <row r="4" spans="1:22" ht="20" thickBot="1" x14ac:dyDescent="0.3">
      <c r="A4" s="3"/>
      <c r="B4" s="3"/>
    </row>
    <row r="5" spans="1:22" ht="23" customHeight="1" thickBot="1" x14ac:dyDescent="0.35">
      <c r="A5" s="147" t="s">
        <v>0</v>
      </c>
      <c r="B5" s="148"/>
      <c r="D5" s="8" t="s">
        <v>13</v>
      </c>
      <c r="E5" s="9"/>
      <c r="F5" s="9"/>
      <c r="G5" s="9"/>
      <c r="H5" s="9"/>
      <c r="I5" s="9"/>
      <c r="J5" s="9"/>
      <c r="K5" s="9"/>
      <c r="L5" s="10"/>
      <c r="N5" s="21" t="s">
        <v>17</v>
      </c>
      <c r="O5" s="22"/>
      <c r="P5" s="22"/>
      <c r="Q5" s="23"/>
      <c r="S5" s="33" t="s">
        <v>34</v>
      </c>
      <c r="T5" s="34"/>
      <c r="U5" s="34"/>
      <c r="V5" s="35"/>
    </row>
    <row r="6" spans="1:22" ht="32" customHeight="1" x14ac:dyDescent="0.3">
      <c r="A6" s="139" t="s">
        <v>1</v>
      </c>
      <c r="B6" s="146">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2" t="s">
        <v>2</v>
      </c>
      <c r="B7" s="143">
        <v>8.3143999999999991</v>
      </c>
      <c r="D7" s="11" t="s">
        <v>7</v>
      </c>
      <c r="E7" s="312">
        <v>1</v>
      </c>
      <c r="F7" s="312">
        <v>27.210699999999999</v>
      </c>
      <c r="G7" s="312">
        <v>219474.63</v>
      </c>
      <c r="H7" s="312">
        <v>627.50300000000004</v>
      </c>
      <c r="I7" s="312">
        <v>2625.5</v>
      </c>
      <c r="J7" s="312">
        <v>315777</v>
      </c>
      <c r="K7" s="312">
        <v>4.3599999999999999E-18</v>
      </c>
      <c r="L7" s="313">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6" t="s">
        <v>3</v>
      </c>
      <c r="B8" s="137">
        <v>1.38065E-23</v>
      </c>
      <c r="D8" s="11" t="s">
        <v>8</v>
      </c>
      <c r="E8" s="312">
        <v>3.6750199999999997E-2</v>
      </c>
      <c r="F8" s="312">
        <v>1</v>
      </c>
      <c r="G8" s="312">
        <v>8065.73</v>
      </c>
      <c r="H8" s="312">
        <v>23.0609</v>
      </c>
      <c r="I8" s="312">
        <v>96.486900000000006</v>
      </c>
      <c r="J8" s="312">
        <v>11604.9</v>
      </c>
      <c r="K8" s="7">
        <v>1.6021E-19</v>
      </c>
      <c r="L8" s="313">
        <v>241804000000000</v>
      </c>
      <c r="N8" s="25" t="s">
        <v>19</v>
      </c>
      <c r="O8" s="20">
        <v>1.8897299999999999</v>
      </c>
      <c r="P8" s="19">
        <v>1</v>
      </c>
      <c r="Q8" s="26">
        <v>1E-10</v>
      </c>
      <c r="S8" s="39" t="s">
        <v>35</v>
      </c>
      <c r="T8" s="41">
        <v>1.098E+30</v>
      </c>
      <c r="U8" s="40">
        <v>1</v>
      </c>
      <c r="V8" s="42">
        <f>1/U9</f>
        <v>6.0240963855421691E+26</v>
      </c>
    </row>
    <row r="9" spans="1:22" ht="22" thickBot="1" x14ac:dyDescent="0.3">
      <c r="A9" s="142" t="s">
        <v>4</v>
      </c>
      <c r="B9" s="144">
        <v>1.6021760000000001E-16</v>
      </c>
      <c r="D9" s="11" t="s">
        <v>14</v>
      </c>
      <c r="E9" s="312">
        <v>4.5563300000000003E-6</v>
      </c>
      <c r="F9" s="312">
        <v>1.23981E-4</v>
      </c>
      <c r="G9" s="312">
        <v>1</v>
      </c>
      <c r="H9" s="312">
        <v>2.8591100000000002E-3</v>
      </c>
      <c r="I9" s="312">
        <v>1.19627E-2</v>
      </c>
      <c r="J9" s="312">
        <v>1.42879</v>
      </c>
      <c r="K9" s="312">
        <v>1.9863000000000001E-23</v>
      </c>
      <c r="L9" s="314">
        <v>29979300000</v>
      </c>
      <c r="N9" s="27" t="s">
        <v>20</v>
      </c>
      <c r="O9" s="28">
        <v>18900000000</v>
      </c>
      <c r="P9" s="28">
        <v>10000000000</v>
      </c>
      <c r="Q9" s="29">
        <v>1</v>
      </c>
      <c r="S9" s="43" t="s">
        <v>78</v>
      </c>
      <c r="T9" s="44">
        <f>U9*T8</f>
        <v>1822.6799999999998</v>
      </c>
      <c r="U9" s="44">
        <v>1.6599999999999999E-27</v>
      </c>
      <c r="V9" s="45">
        <v>1</v>
      </c>
    </row>
    <row r="10" spans="1:22" ht="21" x14ac:dyDescent="0.3">
      <c r="A10" s="135" t="s">
        <v>5</v>
      </c>
      <c r="B10" s="138">
        <v>9.1092999999999998E-31</v>
      </c>
      <c r="D10" s="11" t="s">
        <v>9</v>
      </c>
      <c r="E10" s="312">
        <v>1.59362E-3</v>
      </c>
      <c r="F10" s="312">
        <v>4.3363400000000003E-2</v>
      </c>
      <c r="G10" s="312">
        <v>349.75700000000001</v>
      </c>
      <c r="H10" s="312">
        <v>1</v>
      </c>
      <c r="I10" s="312">
        <v>4.1840000000000002</v>
      </c>
      <c r="J10" s="312">
        <v>503.22800000000001</v>
      </c>
      <c r="K10" s="312">
        <v>6.9500000000000005E-21</v>
      </c>
      <c r="L10" s="313">
        <v>10485400000000</v>
      </c>
    </row>
    <row r="11" spans="1:22" ht="22" x14ac:dyDescent="0.3">
      <c r="A11" s="142" t="s">
        <v>16</v>
      </c>
      <c r="B11" s="149">
        <v>8.8541799999999997E-12</v>
      </c>
      <c r="D11" s="11" t="s">
        <v>10</v>
      </c>
      <c r="E11" s="312">
        <v>3.8088E-4</v>
      </c>
      <c r="F11" s="312">
        <v>1.0364099999999999E-2</v>
      </c>
      <c r="G11" s="312">
        <v>83.593000000000004</v>
      </c>
      <c r="H11" s="312">
        <v>0.23900099999999999</v>
      </c>
      <c r="I11" s="312">
        <v>1</v>
      </c>
      <c r="J11" s="312">
        <v>120.274</v>
      </c>
      <c r="K11" s="312">
        <v>1.6599999999999999E-21</v>
      </c>
      <c r="L11" s="313">
        <v>2506070000000</v>
      </c>
    </row>
    <row r="12" spans="1:22" ht="22" x14ac:dyDescent="0.3">
      <c r="A12" s="135" t="s">
        <v>6</v>
      </c>
      <c r="B12" s="138">
        <v>5.2917700000000002E-12</v>
      </c>
      <c r="D12" s="13" t="s">
        <v>15</v>
      </c>
      <c r="E12" s="312">
        <v>3.1667800000000002E-6</v>
      </c>
      <c r="F12" s="312">
        <v>8.6170500000000004E-5</v>
      </c>
      <c r="G12" s="312">
        <v>0.69502799999999998</v>
      </c>
      <c r="H12" s="312">
        <v>1.9871699999999999E-3</v>
      </c>
      <c r="I12" s="312">
        <v>8.3143499999999999E-3</v>
      </c>
      <c r="J12" s="312">
        <v>1</v>
      </c>
      <c r="K12" s="312">
        <v>1.38054E-23</v>
      </c>
      <c r="L12" s="314">
        <v>20836400000</v>
      </c>
    </row>
    <row r="13" spans="1:22" ht="19" x14ac:dyDescent="0.25">
      <c r="A13" s="142" t="s">
        <v>71</v>
      </c>
      <c r="B13" s="145">
        <f>298.15</f>
        <v>298.14999999999998</v>
      </c>
      <c r="D13" s="11" t="s">
        <v>11</v>
      </c>
      <c r="E13" s="312">
        <v>2.294E+17</v>
      </c>
      <c r="F13" s="312">
        <v>6.24181E+18</v>
      </c>
      <c r="G13" s="312">
        <v>5.0344500000000003E+22</v>
      </c>
      <c r="H13" s="312">
        <v>1.44E+20</v>
      </c>
      <c r="I13" s="312">
        <v>6.02E+20</v>
      </c>
      <c r="J13" s="312">
        <v>7.2435399999999999E+22</v>
      </c>
      <c r="K13" s="312">
        <v>1</v>
      </c>
      <c r="L13" s="313">
        <v>1.5093E+33</v>
      </c>
    </row>
    <row r="14" spans="1:22" ht="20" thickBot="1" x14ac:dyDescent="0.3">
      <c r="A14" s="142" t="s">
        <v>76</v>
      </c>
      <c r="B14" s="158">
        <v>6.626068E-34</v>
      </c>
      <c r="D14" s="14" t="s">
        <v>12</v>
      </c>
      <c r="E14" s="315">
        <v>1.5198300000000001E-16</v>
      </c>
      <c r="F14" s="315">
        <v>4.13558E-15</v>
      </c>
      <c r="G14" s="315">
        <v>3.3356499999999997E-11</v>
      </c>
      <c r="H14" s="315">
        <v>9.5370200000000003E-14</v>
      </c>
      <c r="I14" s="315"/>
      <c r="J14" s="315">
        <v>4.7993E-11</v>
      </c>
      <c r="K14" s="315">
        <v>6.62561E-34</v>
      </c>
      <c r="L14" s="316">
        <v>1</v>
      </c>
    </row>
    <row r="15" spans="1:22" ht="19" x14ac:dyDescent="0.25">
      <c r="A15" s="135" t="s">
        <v>72</v>
      </c>
      <c r="B15" s="140">
        <v>1</v>
      </c>
    </row>
    <row r="16" spans="1:22" ht="19" x14ac:dyDescent="0.25">
      <c r="A16" s="142" t="s">
        <v>74</v>
      </c>
      <c r="B16" s="145">
        <v>101325</v>
      </c>
    </row>
    <row r="17" spans="1:27" ht="21" x14ac:dyDescent="0.25">
      <c r="A17" s="139" t="s">
        <v>73</v>
      </c>
      <c r="B17" s="141">
        <v>299792459</v>
      </c>
    </row>
    <row r="18" spans="1:27" ht="34" thickBot="1" x14ac:dyDescent="0.5">
      <c r="A18" s="349" t="s">
        <v>127</v>
      </c>
      <c r="B18" s="349"/>
      <c r="C18" s="349"/>
      <c r="D18" s="349"/>
      <c r="E18" s="349"/>
      <c r="F18" s="349"/>
      <c r="G18" s="349"/>
      <c r="H18" s="349"/>
      <c r="I18" s="349"/>
      <c r="J18" s="349"/>
      <c r="K18" s="349"/>
      <c r="L18" s="349"/>
      <c r="M18" s="349"/>
      <c r="N18" s="349"/>
      <c r="O18" s="349"/>
      <c r="P18" s="349"/>
      <c r="Q18" s="349"/>
      <c r="R18" s="349"/>
      <c r="S18" s="349"/>
      <c r="T18" s="349"/>
      <c r="U18" s="349"/>
      <c r="V18" s="349"/>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4"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22.483920000000001</v>
      </c>
      <c r="E23" s="55">
        <v>90.874970000000005</v>
      </c>
      <c r="F23" s="56">
        <v>90.882649999999998</v>
      </c>
      <c r="G23" s="1"/>
      <c r="H23" s="118">
        <v>7.4619000000000005E-2</v>
      </c>
      <c r="I23" s="119">
        <f>H23*$H$7</f>
        <v>46.823646357000008</v>
      </c>
      <c r="J23" s="119">
        <f>H23*$I$7</f>
        <v>195.91218450000002</v>
      </c>
      <c r="K23" s="195">
        <f>H23*$F$7</f>
        <v>2.0304352233</v>
      </c>
      <c r="L23" s="246">
        <f>H23*$K$7</f>
        <v>3.2533884000000002E-19</v>
      </c>
      <c r="M23" s="1"/>
      <c r="N23" s="1"/>
      <c r="O23" s="65" t="s">
        <v>45</v>
      </c>
      <c r="P23" s="84">
        <v>49.015000000000001</v>
      </c>
      <c r="Q23" s="76">
        <v>10.109</v>
      </c>
      <c r="R23" s="77">
        <v>56.628999999999998</v>
      </c>
      <c r="S23" s="1"/>
      <c r="T23" s="1"/>
      <c r="U23" s="1"/>
      <c r="V23" s="1"/>
      <c r="W23" s="1"/>
      <c r="X23" s="1"/>
      <c r="Y23" s="1"/>
      <c r="Z23" s="1"/>
      <c r="AA23" s="1"/>
    </row>
    <row r="24" spans="1:27" ht="22" thickBot="1" x14ac:dyDescent="0.3">
      <c r="A24" s="31" t="s">
        <v>24</v>
      </c>
      <c r="B24" s="1"/>
      <c r="C24" s="47" t="s">
        <v>29</v>
      </c>
      <c r="D24" s="208">
        <f>D23*$U$9</f>
        <v>3.7323307200000001E-26</v>
      </c>
      <c r="E24" s="58">
        <f t="shared" ref="E24:F24" si="0">E23*$U$9</f>
        <v>1.5085245020000001E-25</v>
      </c>
      <c r="F24" s="338">
        <f t="shared" si="0"/>
        <v>1.5086519899999998E-25</v>
      </c>
      <c r="G24" s="1"/>
      <c r="M24" s="1"/>
      <c r="N24" s="1"/>
      <c r="O24" s="66" t="s">
        <v>46</v>
      </c>
      <c r="P24" s="84">
        <v>0</v>
      </c>
      <c r="Q24" s="76">
        <v>0</v>
      </c>
      <c r="R24" s="77">
        <v>0</v>
      </c>
      <c r="S24" s="1"/>
      <c r="T24" s="1"/>
      <c r="U24" s="1"/>
      <c r="V24" s="1"/>
      <c r="W24" s="1"/>
      <c r="X24" s="1"/>
      <c r="Y24" s="1"/>
      <c r="Z24" s="1"/>
      <c r="AA24" s="1"/>
    </row>
    <row r="25" spans="1:27" ht="22" thickBot="1" x14ac:dyDescent="0.3">
      <c r="A25" s="30">
        <v>1</v>
      </c>
      <c r="B25" s="1"/>
      <c r="C25" s="48" t="s">
        <v>30</v>
      </c>
      <c r="D25" s="59">
        <f>D24*($Q$8)^2</f>
        <v>3.7323307200000006E-46</v>
      </c>
      <c r="E25" s="60">
        <f>E24*($Q$8)^2</f>
        <v>1.5085245020000001E-45</v>
      </c>
      <c r="F25" s="61">
        <f t="shared" ref="F25" si="1">F24*($Q$8)^2</f>
        <v>1.5086519899999998E-45</v>
      </c>
      <c r="G25" s="1"/>
      <c r="M25" s="1"/>
      <c r="N25" s="1"/>
      <c r="O25" s="66" t="s">
        <v>47</v>
      </c>
      <c r="P25" s="84">
        <v>0.88900000000000001</v>
      </c>
      <c r="Q25" s="76">
        <v>2.9809999999999999</v>
      </c>
      <c r="R25" s="77">
        <v>36.134</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0.88900000000000001</v>
      </c>
      <c r="Q26" s="76">
        <v>2.9809999999999999</v>
      </c>
      <c r="R26" s="77">
        <v>18.48</v>
      </c>
      <c r="S26" s="1"/>
      <c r="T26" s="1"/>
      <c r="U26" s="1"/>
      <c r="V26" s="1"/>
      <c r="W26" s="1"/>
      <c r="X26" s="1"/>
      <c r="Y26" s="1"/>
      <c r="Z26" s="1"/>
      <c r="AA26" s="1"/>
    </row>
    <row r="27" spans="1:27" ht="20" thickBot="1" x14ac:dyDescent="0.3">
      <c r="A27" s="31" t="s">
        <v>25</v>
      </c>
      <c r="B27" s="1"/>
      <c r="C27" s="31" t="s">
        <v>27</v>
      </c>
      <c r="D27" s="1"/>
      <c r="E27" s="1"/>
      <c r="F27" s="1"/>
      <c r="G27" s="1"/>
      <c r="H27" s="115" t="s">
        <v>65</v>
      </c>
      <c r="I27" s="116" t="s">
        <v>9</v>
      </c>
      <c r="J27" s="116" t="s">
        <v>10</v>
      </c>
      <c r="K27" s="194" t="s">
        <v>8</v>
      </c>
      <c r="L27" s="117" t="s">
        <v>11</v>
      </c>
      <c r="M27" s="1"/>
      <c r="N27" s="1"/>
      <c r="O27" s="67" t="s">
        <v>49</v>
      </c>
      <c r="P27" s="96">
        <v>47.237000000000002</v>
      </c>
      <c r="Q27" s="78">
        <v>4.1470000000000002</v>
      </c>
      <c r="R27" s="79">
        <v>2.0150000000000001</v>
      </c>
      <c r="S27" s="1"/>
      <c r="T27" s="1"/>
      <c r="U27" s="1"/>
      <c r="V27" s="1"/>
      <c r="W27" s="1"/>
      <c r="X27" s="1"/>
      <c r="Y27" s="1"/>
      <c r="Z27" s="1"/>
      <c r="AA27" s="1"/>
    </row>
    <row r="28" spans="1:27" ht="20" thickBot="1" x14ac:dyDescent="0.3">
      <c r="A28" s="30">
        <v>30.046949999999999</v>
      </c>
      <c r="B28" s="1"/>
      <c r="C28" s="108" t="s">
        <v>36</v>
      </c>
      <c r="D28" s="109" t="s">
        <v>37</v>
      </c>
      <c r="E28" s="110" t="s">
        <v>38</v>
      </c>
      <c r="F28" s="1"/>
      <c r="G28" s="1"/>
      <c r="H28" s="111">
        <v>7.8109999999999999E-2</v>
      </c>
      <c r="I28" s="119">
        <f>H28*$H$7</f>
        <v>49.014259330000002</v>
      </c>
      <c r="J28" s="119">
        <f>H28*$I$7</f>
        <v>205.07780499999998</v>
      </c>
      <c r="K28" s="120">
        <f>H28*$F$7</f>
        <v>2.1254277770000001</v>
      </c>
      <c r="L28" s="246">
        <f>H28*$K$7</f>
        <v>3.405596E-19</v>
      </c>
      <c r="M28" s="1"/>
      <c r="N28" s="1"/>
      <c r="O28" s="1"/>
      <c r="P28" s="1"/>
      <c r="Q28" s="1"/>
      <c r="R28" s="1"/>
      <c r="S28" s="1"/>
      <c r="T28" s="1"/>
      <c r="U28" s="1"/>
      <c r="V28" s="1"/>
      <c r="W28" s="1"/>
      <c r="X28" s="1"/>
      <c r="Y28" s="1"/>
      <c r="Z28" s="1"/>
      <c r="AA28" s="1"/>
    </row>
    <row r="29" spans="1:27" ht="20" thickBot="1" x14ac:dyDescent="0.3">
      <c r="A29" s="1"/>
      <c r="B29" s="1"/>
      <c r="C29" s="111">
        <v>3.8522599999999998</v>
      </c>
      <c r="D29" s="112">
        <v>0.95311000000000001</v>
      </c>
      <c r="E29" s="113">
        <v>0.95303000000000004</v>
      </c>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2</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4" t="s">
        <v>8</v>
      </c>
      <c r="L32" s="117" t="s">
        <v>11</v>
      </c>
      <c r="M32" s="1"/>
      <c r="N32" s="1"/>
      <c r="O32" s="65" t="s">
        <v>46</v>
      </c>
      <c r="P32" s="85">
        <v>1</v>
      </c>
      <c r="Q32" s="86">
        <v>0</v>
      </c>
      <c r="R32" s="86">
        <v>0</v>
      </c>
      <c r="S32" s="1"/>
      <c r="T32" s="1"/>
      <c r="U32" s="1"/>
      <c r="V32" s="1"/>
      <c r="W32" s="1"/>
      <c r="X32" s="1"/>
      <c r="Y32" s="1"/>
      <c r="Z32" s="1"/>
      <c r="AA32" s="1"/>
    </row>
    <row r="33" spans="1:27" ht="20" thickBot="1" x14ac:dyDescent="0.3">
      <c r="A33" s="1"/>
      <c r="B33" s="1"/>
      <c r="C33" s="49">
        <v>80.268090000000001</v>
      </c>
      <c r="D33" s="50">
        <v>19.85961</v>
      </c>
      <c r="E33" s="51">
        <v>19.85793</v>
      </c>
      <c r="F33" s="1"/>
      <c r="G33" s="1"/>
      <c r="H33" s="111">
        <v>7.9053999999999999E-2</v>
      </c>
      <c r="I33" s="119">
        <f>H33*$H$7</f>
        <v>49.606622162000001</v>
      </c>
      <c r="J33" s="119">
        <f>H33*$I$7</f>
        <v>207.55627699999999</v>
      </c>
      <c r="K33" s="120">
        <f>H33*$F$7</f>
        <v>2.1511146777999999</v>
      </c>
      <c r="L33" s="246">
        <f>H33*$K$7</f>
        <v>3.4467544000000001E-19</v>
      </c>
      <c r="M33" s="1"/>
      <c r="N33" s="1"/>
      <c r="O33" s="66" t="s">
        <v>47</v>
      </c>
      <c r="P33" s="84">
        <v>6473750</v>
      </c>
      <c r="Q33" s="76">
        <v>6.8111560000000004</v>
      </c>
      <c r="R33" s="76">
        <v>15.683266</v>
      </c>
      <c r="S33" s="1"/>
      <c r="T33" s="1"/>
      <c r="U33" s="1"/>
      <c r="V33" s="1"/>
      <c r="W33" s="1"/>
      <c r="X33" s="1"/>
      <c r="Y33" s="1"/>
      <c r="Z33" s="1"/>
      <c r="AA33" s="1"/>
    </row>
    <row r="34" spans="1:27" ht="19" x14ac:dyDescent="0.25">
      <c r="A34" s="1"/>
      <c r="B34" s="1"/>
      <c r="E34" s="1"/>
      <c r="F34" s="1"/>
      <c r="G34" s="1"/>
      <c r="M34" s="1"/>
      <c r="N34" s="1"/>
      <c r="O34" s="66" t="s">
        <v>48</v>
      </c>
      <c r="P34" s="84">
        <v>2439.02</v>
      </c>
      <c r="Q34" s="76">
        <v>3.3872149999999999</v>
      </c>
      <c r="R34" s="76">
        <v>7.7993509999999997</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1.03238E-24</v>
      </c>
      <c r="Q35" s="76">
        <v>-23.986160000000002</v>
      </c>
      <c r="R35" s="76">
        <v>-55.230175000000003</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21674100000</v>
      </c>
      <c r="Q36" s="76">
        <v>10.335941</v>
      </c>
      <c r="R36" s="76">
        <v>23.799385000000001</v>
      </c>
      <c r="S36" s="1"/>
      <c r="T36" s="1"/>
      <c r="U36" s="1"/>
      <c r="V36" s="1"/>
      <c r="W36" s="1"/>
      <c r="X36" s="1"/>
      <c r="Y36" s="1"/>
      <c r="Z36" s="1"/>
      <c r="AA36" s="1"/>
    </row>
    <row r="37" spans="1:27" ht="20" thickBot="1" x14ac:dyDescent="0.3">
      <c r="A37" s="1"/>
      <c r="B37" s="1"/>
      <c r="C37" s="102" t="s">
        <v>63</v>
      </c>
      <c r="D37" s="53">
        <v>195911.1</v>
      </c>
      <c r="E37" s="1"/>
      <c r="F37" s="1"/>
      <c r="H37" s="115" t="s">
        <v>65</v>
      </c>
      <c r="I37" s="116" t="s">
        <v>9</v>
      </c>
      <c r="J37" s="116" t="s">
        <v>10</v>
      </c>
      <c r="K37" s="117" t="s">
        <v>8</v>
      </c>
      <c r="L37" s="117" t="s">
        <v>11</v>
      </c>
      <c r="M37" s="1"/>
      <c r="N37" s="1"/>
      <c r="O37" s="66" t="s">
        <v>55</v>
      </c>
      <c r="P37" s="84">
        <v>6.5383600000000003E-35</v>
      </c>
      <c r="Q37" s="76">
        <v>-34.184531</v>
      </c>
      <c r="R37" s="76">
        <v>-78.712791999999993</v>
      </c>
      <c r="S37" s="1"/>
      <c r="T37" s="1"/>
      <c r="U37" s="1"/>
      <c r="V37" s="1"/>
      <c r="W37" s="1"/>
      <c r="X37" s="1"/>
      <c r="Y37" s="1"/>
      <c r="Z37" s="1"/>
      <c r="AA37" s="1"/>
    </row>
    <row r="38" spans="1:27" ht="20" thickBot="1" x14ac:dyDescent="0.3">
      <c r="A38" s="1"/>
      <c r="B38" s="1"/>
      <c r="C38" s="103" t="s">
        <v>64</v>
      </c>
      <c r="D38" s="114">
        <v>46.823880000000003</v>
      </c>
      <c r="E38" s="1"/>
      <c r="F38" s="1"/>
      <c r="H38" s="111">
        <v>5.2148E-2</v>
      </c>
      <c r="I38" s="119">
        <f>H38*$H$7</f>
        <v>32.723026444000006</v>
      </c>
      <c r="J38" s="119">
        <f>H38*$I$7</f>
        <v>136.91457399999999</v>
      </c>
      <c r="K38" s="120">
        <f>H38*$F$7</f>
        <v>1.4189835836</v>
      </c>
      <c r="L38" s="246">
        <f>H38*$K$7</f>
        <v>2.2736528000000001E-19</v>
      </c>
      <c r="M38" s="1"/>
      <c r="N38" s="1"/>
      <c r="O38" s="67" t="s">
        <v>56</v>
      </c>
      <c r="P38" s="84">
        <v>1.3726799999999999</v>
      </c>
      <c r="Q38" s="76">
        <v>0.137571</v>
      </c>
      <c r="R38" s="76">
        <v>0.31676799999999999</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248" t="s">
        <v>60</v>
      </c>
      <c r="E41" s="130" t="s">
        <v>61</v>
      </c>
      <c r="F41" s="130" t="s">
        <v>69</v>
      </c>
      <c r="G41" s="249" t="s">
        <v>70</v>
      </c>
      <c r="I41" s="1"/>
      <c r="J41" s="1"/>
      <c r="K41" s="1"/>
      <c r="L41" s="1"/>
      <c r="M41" s="1"/>
      <c r="N41" s="1"/>
      <c r="O41" s="1"/>
      <c r="P41" s="1"/>
      <c r="Q41" s="1"/>
      <c r="R41" s="1"/>
      <c r="S41" s="1"/>
      <c r="T41" s="1"/>
      <c r="U41" s="1"/>
      <c r="V41" s="1"/>
      <c r="W41" s="1"/>
      <c r="X41" s="1"/>
      <c r="Y41" s="1"/>
      <c r="Z41" s="1"/>
      <c r="AA41" s="1"/>
    </row>
    <row r="42" spans="1:27" ht="19" x14ac:dyDescent="0.25">
      <c r="A42" s="1"/>
      <c r="B42" s="1"/>
      <c r="C42" s="250">
        <v>1</v>
      </c>
      <c r="D42" s="54">
        <v>439.44</v>
      </c>
      <c r="E42" s="55">
        <v>305.42860000000002</v>
      </c>
      <c r="F42" s="251">
        <f>E42*$L$9</f>
        <v>9156535627980</v>
      </c>
      <c r="G42" s="56">
        <v>1.0078</v>
      </c>
      <c r="H42" s="97"/>
      <c r="K42" s="1"/>
      <c r="L42" s="1"/>
      <c r="M42" s="1"/>
      <c r="N42" s="1"/>
      <c r="O42" s="1"/>
      <c r="P42" s="1"/>
      <c r="Q42" s="1"/>
      <c r="R42" s="1"/>
      <c r="S42" s="1"/>
      <c r="T42" s="1"/>
      <c r="U42" s="1"/>
      <c r="V42" s="1"/>
      <c r="W42" s="1"/>
      <c r="X42" s="1"/>
      <c r="Y42" s="1"/>
      <c r="Z42" s="1"/>
      <c r="AA42" s="1"/>
    </row>
    <row r="43" spans="1:27" ht="19" x14ac:dyDescent="0.25">
      <c r="A43" s="1"/>
      <c r="B43" s="1"/>
      <c r="C43" s="252">
        <f>C42+1</f>
        <v>2</v>
      </c>
      <c r="D43" s="253">
        <v>1182.8499999999999</v>
      </c>
      <c r="E43" s="76">
        <v>822.1259</v>
      </c>
      <c r="F43" s="58">
        <f t="shared" ref="F43:F59" si="2">E43*$L$9</f>
        <v>24646758993870</v>
      </c>
      <c r="G43" s="77">
        <v>1.0576000000000001</v>
      </c>
      <c r="H43" s="97"/>
      <c r="K43" s="1"/>
      <c r="L43" s="1"/>
      <c r="M43" s="1"/>
      <c r="N43" s="1"/>
      <c r="O43" s="1"/>
      <c r="P43" s="1"/>
      <c r="Q43" s="1"/>
      <c r="R43" s="1"/>
      <c r="S43" s="1"/>
      <c r="T43" s="1"/>
      <c r="U43" s="1"/>
      <c r="V43" s="1"/>
      <c r="W43" s="1"/>
      <c r="X43" s="1"/>
      <c r="Y43" s="1"/>
      <c r="Z43" s="1"/>
      <c r="AA43" s="1"/>
    </row>
    <row r="44" spans="1:27" ht="20" thickBot="1" x14ac:dyDescent="0.3">
      <c r="A44" s="1"/>
      <c r="B44" s="1"/>
      <c r="C44" s="252">
        <f t="shared" ref="C44:C59" si="3">C43+1</f>
        <v>3</v>
      </c>
      <c r="D44" s="253">
        <v>1185.9000000000001</v>
      </c>
      <c r="E44" s="76">
        <v>824.24069999999995</v>
      </c>
      <c r="F44" s="58">
        <f t="shared" si="2"/>
        <v>24710159217510</v>
      </c>
      <c r="G44" s="77">
        <v>1.0577000000000001</v>
      </c>
      <c r="H44" s="97"/>
      <c r="J44" s="191" t="s">
        <v>98</v>
      </c>
      <c r="M44" s="1"/>
      <c r="N44" s="1"/>
      <c r="O44" s="1"/>
      <c r="P44" s="1"/>
      <c r="Q44" s="1"/>
      <c r="R44" s="1"/>
      <c r="S44" s="1"/>
      <c r="T44" s="1"/>
      <c r="U44" s="1"/>
      <c r="V44" s="1"/>
      <c r="W44" s="1"/>
      <c r="X44" s="1"/>
      <c r="Y44" s="1"/>
      <c r="Z44" s="1"/>
      <c r="AA44" s="1"/>
    </row>
    <row r="45" spans="1:27" ht="20" thickBot="1" x14ac:dyDescent="0.3">
      <c r="A45" s="1"/>
      <c r="B45" s="1"/>
      <c r="C45" s="252">
        <f t="shared" si="3"/>
        <v>4</v>
      </c>
      <c r="D45" s="253">
        <v>1435.19</v>
      </c>
      <c r="E45" s="76">
        <v>997.51020000000005</v>
      </c>
      <c r="F45" s="58">
        <f t="shared" si="2"/>
        <v>29904657538860</v>
      </c>
      <c r="G45" s="77">
        <v>3.3182999999999998</v>
      </c>
      <c r="H45" s="97"/>
      <c r="J45" s="167">
        <v>1</v>
      </c>
      <c r="K45" s="168">
        <f>J45+1</f>
        <v>2</v>
      </c>
      <c r="L45" s="169">
        <f>K45+1</f>
        <v>3</v>
      </c>
      <c r="M45" s="169">
        <f t="shared" ref="M45:O45" si="4">L45+1</f>
        <v>4</v>
      </c>
      <c r="N45" s="169">
        <f t="shared" si="4"/>
        <v>5</v>
      </c>
      <c r="O45" s="169">
        <f t="shared" si="4"/>
        <v>6</v>
      </c>
      <c r="P45" s="1"/>
      <c r="Q45" s="1"/>
      <c r="R45" s="1"/>
      <c r="S45" s="1"/>
      <c r="T45" s="1"/>
      <c r="U45" s="1"/>
      <c r="V45" s="1"/>
      <c r="W45" s="1"/>
      <c r="X45" s="1"/>
      <c r="Y45" s="1"/>
      <c r="Z45" s="1"/>
      <c r="AA45" s="1"/>
    </row>
    <row r="46" spans="1:27" ht="19" x14ac:dyDescent="0.25">
      <c r="A46" s="1"/>
      <c r="B46" s="1"/>
      <c r="C46" s="252">
        <f t="shared" si="3"/>
        <v>5</v>
      </c>
      <c r="D46" s="253">
        <v>1752.48</v>
      </c>
      <c r="E46" s="76">
        <v>1218.0335</v>
      </c>
      <c r="F46" s="58">
        <f t="shared" si="2"/>
        <v>36515791706550</v>
      </c>
      <c r="G46" s="77">
        <v>1.4651000000000001</v>
      </c>
      <c r="H46" s="97"/>
      <c r="J46" s="76">
        <v>-79.820728836399994</v>
      </c>
      <c r="K46" s="76">
        <v>-79.832474544999997</v>
      </c>
      <c r="L46" s="76">
        <v>-79.840587526299998</v>
      </c>
      <c r="M46" s="76">
        <v>-79.841602807499996</v>
      </c>
      <c r="N46" s="76">
        <v>-79.841640703600007</v>
      </c>
      <c r="O46" s="76">
        <v>-79.841640703600007</v>
      </c>
      <c r="P46" s="1"/>
      <c r="Q46" s="1"/>
      <c r="R46" s="1"/>
      <c r="S46" s="1"/>
      <c r="T46" s="1"/>
      <c r="U46" s="1"/>
      <c r="V46" s="1"/>
      <c r="W46" s="1"/>
      <c r="X46" s="1"/>
      <c r="Y46" s="1"/>
      <c r="Z46" s="1"/>
      <c r="AA46" s="1"/>
    </row>
    <row r="47" spans="1:27" ht="19" x14ac:dyDescent="0.25">
      <c r="A47" s="1"/>
      <c r="B47" s="1"/>
      <c r="C47" s="252">
        <f t="shared" si="3"/>
        <v>6</v>
      </c>
      <c r="D47" s="253">
        <v>1753.93</v>
      </c>
      <c r="E47" s="76">
        <v>1219.0435</v>
      </c>
      <c r="F47" s="58">
        <f t="shared" si="2"/>
        <v>36546070799550</v>
      </c>
      <c r="G47" s="77">
        <v>1.4662999999999999</v>
      </c>
      <c r="H47" s="97"/>
      <c r="P47" s="1"/>
      <c r="Q47" s="1"/>
      <c r="R47" s="1"/>
      <c r="S47" s="1"/>
      <c r="T47" s="1"/>
      <c r="U47" s="1"/>
      <c r="V47" s="1"/>
      <c r="W47" s="1"/>
      <c r="X47" s="1"/>
      <c r="Y47" s="1"/>
      <c r="Z47" s="1"/>
      <c r="AA47" s="1"/>
    </row>
    <row r="48" spans="1:27" ht="19" x14ac:dyDescent="0.25">
      <c r="A48" s="1"/>
      <c r="B48" s="1"/>
      <c r="C48" s="252">
        <f t="shared" si="3"/>
        <v>7</v>
      </c>
      <c r="D48" s="253">
        <v>2025</v>
      </c>
      <c r="E48" s="76">
        <v>1407.4453000000001</v>
      </c>
      <c r="F48" s="58">
        <f t="shared" si="2"/>
        <v>42194224882290</v>
      </c>
      <c r="G48" s="77">
        <v>1.1983999999999999</v>
      </c>
      <c r="H48" s="97"/>
      <c r="K48" s="1"/>
      <c r="L48" s="1"/>
      <c r="M48" s="1"/>
      <c r="N48" s="1"/>
      <c r="O48" s="1"/>
      <c r="P48" s="1"/>
      <c r="Q48" s="1"/>
      <c r="R48" s="1"/>
      <c r="S48" s="1"/>
      <c r="T48" s="1"/>
      <c r="U48" s="1"/>
      <c r="V48" s="1"/>
      <c r="W48" s="1"/>
      <c r="X48" s="1"/>
      <c r="Y48" s="1"/>
      <c r="Z48" s="1"/>
      <c r="AA48" s="1"/>
    </row>
    <row r="49" spans="1:27" ht="19" x14ac:dyDescent="0.25">
      <c r="A49" s="1"/>
      <c r="B49" s="1"/>
      <c r="C49" s="252">
        <f t="shared" si="3"/>
        <v>8</v>
      </c>
      <c r="D49" s="253">
        <v>2055.81</v>
      </c>
      <c r="E49" s="76">
        <v>1428.8607</v>
      </c>
      <c r="F49" s="58">
        <f t="shared" si="2"/>
        <v>42836243583510</v>
      </c>
      <c r="G49" s="77">
        <v>1.2474000000000001</v>
      </c>
      <c r="H49" s="97"/>
      <c r="K49" s="1"/>
      <c r="L49" s="1"/>
      <c r="M49" s="1"/>
      <c r="N49" s="1"/>
      <c r="O49" s="1"/>
      <c r="P49" s="1"/>
      <c r="Q49" s="1"/>
      <c r="R49" s="1"/>
      <c r="S49" s="1"/>
      <c r="T49" s="1"/>
      <c r="U49" s="1"/>
      <c r="V49" s="1"/>
      <c r="W49" s="1"/>
      <c r="X49" s="1"/>
      <c r="Y49" s="1"/>
      <c r="Z49" s="1"/>
      <c r="AA49" s="1"/>
    </row>
    <row r="50" spans="1:27" ht="19" x14ac:dyDescent="0.25">
      <c r="A50" s="1"/>
      <c r="B50" s="1"/>
      <c r="C50" s="252">
        <f t="shared" si="3"/>
        <v>9</v>
      </c>
      <c r="D50" s="253">
        <v>2168.9499999999998</v>
      </c>
      <c r="E50" s="76">
        <v>1507.4948999999999</v>
      </c>
      <c r="F50" s="58">
        <f t="shared" si="2"/>
        <v>45193641855570</v>
      </c>
      <c r="G50" s="77">
        <v>1.0192000000000001</v>
      </c>
      <c r="H50" s="97"/>
      <c r="K50" s="1"/>
      <c r="L50" s="1"/>
      <c r="M50" s="1"/>
      <c r="N50" s="1"/>
      <c r="O50" s="1"/>
      <c r="P50" s="1"/>
      <c r="Q50" s="1"/>
      <c r="R50" s="1"/>
      <c r="S50" s="1"/>
      <c r="T50" s="1"/>
      <c r="U50" s="1"/>
      <c r="V50" s="1"/>
      <c r="W50" s="1"/>
      <c r="X50" s="1"/>
      <c r="Y50" s="1"/>
      <c r="Z50" s="1"/>
      <c r="AA50" s="1"/>
    </row>
    <row r="51" spans="1:27" ht="19" x14ac:dyDescent="0.25">
      <c r="A51" s="1"/>
      <c r="B51" s="1"/>
      <c r="C51" s="252">
        <f t="shared" si="3"/>
        <v>10</v>
      </c>
      <c r="D51" s="253">
        <v>2169.38</v>
      </c>
      <c r="E51" s="76">
        <v>1507.7928999999999</v>
      </c>
      <c r="F51" s="58">
        <f t="shared" si="2"/>
        <v>45202575686970</v>
      </c>
      <c r="G51" s="77">
        <v>1.0186999999999999</v>
      </c>
      <c r="H51" s="97"/>
      <c r="K51" s="1"/>
      <c r="L51" s="1"/>
      <c r="M51" s="1"/>
      <c r="N51" s="1"/>
      <c r="O51" s="1"/>
      <c r="P51" s="1"/>
      <c r="Q51" s="1"/>
      <c r="R51" s="1"/>
      <c r="S51" s="1"/>
      <c r="T51" s="1"/>
      <c r="U51" s="1"/>
      <c r="V51" s="1"/>
      <c r="W51" s="1"/>
      <c r="X51" s="1"/>
      <c r="Y51" s="1"/>
      <c r="Z51" s="1"/>
      <c r="AA51" s="1"/>
    </row>
    <row r="52" spans="1:27" ht="19" x14ac:dyDescent="0.25">
      <c r="A52" s="1"/>
      <c r="B52" s="1"/>
      <c r="C52" s="252">
        <f t="shared" si="3"/>
        <v>11</v>
      </c>
      <c r="D52" s="253">
        <v>2170.9699999999998</v>
      </c>
      <c r="E52" s="76">
        <v>1508.9046000000001</v>
      </c>
      <c r="F52" s="58">
        <f t="shared" si="2"/>
        <v>45235903674780</v>
      </c>
      <c r="G52" s="77">
        <v>1.0620000000000001</v>
      </c>
      <c r="H52" s="97"/>
      <c r="K52" s="1"/>
      <c r="L52" s="1"/>
      <c r="M52" s="1"/>
      <c r="N52" s="1"/>
      <c r="O52" s="1"/>
      <c r="P52" s="1"/>
      <c r="Q52" s="1"/>
      <c r="R52" s="1"/>
      <c r="S52" s="1"/>
      <c r="T52" s="1"/>
      <c r="U52" s="1"/>
      <c r="V52" s="1"/>
      <c r="W52" s="1"/>
      <c r="X52" s="1"/>
      <c r="Y52" s="1"/>
      <c r="Z52" s="1"/>
      <c r="AA52" s="1"/>
    </row>
    <row r="53" spans="1:27" ht="19" x14ac:dyDescent="0.25">
      <c r="A53" s="1"/>
      <c r="B53" s="1"/>
      <c r="C53" s="252">
        <f t="shared" si="3"/>
        <v>12</v>
      </c>
      <c r="D53" s="253">
        <v>2171.83</v>
      </c>
      <c r="E53" s="76">
        <v>1509.4971</v>
      </c>
      <c r="F53" s="58">
        <f t="shared" si="2"/>
        <v>45253666410030</v>
      </c>
      <c r="G53" s="77">
        <v>1.0622</v>
      </c>
      <c r="H53" s="97"/>
      <c r="K53" s="1"/>
      <c r="L53" s="1"/>
      <c r="M53" s="1"/>
      <c r="N53" s="1"/>
      <c r="O53" s="1"/>
      <c r="P53" s="1"/>
      <c r="Q53" s="1"/>
      <c r="R53" s="1"/>
      <c r="S53" s="1"/>
      <c r="T53" s="1"/>
      <c r="U53" s="1"/>
      <c r="V53" s="1"/>
      <c r="W53" s="1"/>
      <c r="X53" s="1"/>
      <c r="Y53" s="1"/>
      <c r="Z53" s="1"/>
      <c r="AA53" s="1"/>
    </row>
    <row r="54" spans="1:27" ht="19" x14ac:dyDescent="0.25">
      <c r="A54" s="1"/>
      <c r="B54" s="1"/>
      <c r="C54" s="252">
        <f t="shared" si="3"/>
        <v>13</v>
      </c>
      <c r="D54" s="253">
        <v>4372.25</v>
      </c>
      <c r="E54" s="76">
        <v>3038.8712</v>
      </c>
      <c r="F54" s="58">
        <f t="shared" si="2"/>
        <v>91103231366160</v>
      </c>
      <c r="G54" s="77">
        <v>1.034</v>
      </c>
      <c r="H54" s="97"/>
      <c r="K54" s="1"/>
      <c r="L54" s="1"/>
      <c r="M54" s="1"/>
      <c r="N54" s="1"/>
      <c r="O54" s="1"/>
      <c r="P54" s="1"/>
      <c r="Q54" s="1"/>
      <c r="R54" s="1"/>
      <c r="S54" s="1"/>
      <c r="T54" s="1"/>
      <c r="U54" s="1"/>
      <c r="V54" s="1"/>
      <c r="W54" s="1"/>
      <c r="X54" s="1"/>
      <c r="Y54" s="1"/>
      <c r="Z54" s="1"/>
      <c r="AA54" s="1"/>
    </row>
    <row r="55" spans="1:27" ht="19" x14ac:dyDescent="0.25">
      <c r="A55" s="1"/>
      <c r="B55" s="1"/>
      <c r="C55" s="252">
        <f t="shared" si="3"/>
        <v>14</v>
      </c>
      <c r="D55" s="253">
        <v>4373.6899999999996</v>
      </c>
      <c r="E55" s="76">
        <v>3039.8696</v>
      </c>
      <c r="F55" s="58">
        <f t="shared" si="2"/>
        <v>91133162699280</v>
      </c>
      <c r="G55" s="77">
        <v>1.0366</v>
      </c>
      <c r="H55" s="1"/>
      <c r="K55" s="1"/>
      <c r="L55" s="1"/>
      <c r="M55" s="1"/>
      <c r="N55" s="1"/>
      <c r="O55" s="1"/>
      <c r="P55" s="1"/>
      <c r="Q55" s="1"/>
      <c r="R55" s="1"/>
      <c r="S55" s="1"/>
      <c r="T55" s="1"/>
      <c r="U55" s="1"/>
      <c r="V55" s="1"/>
      <c r="W55" s="1"/>
      <c r="X55" s="1"/>
      <c r="Y55" s="1"/>
      <c r="Z55" s="1"/>
      <c r="AA55" s="1"/>
    </row>
    <row r="56" spans="1:27" ht="19" x14ac:dyDescent="0.25">
      <c r="A56" s="1"/>
      <c r="B56" s="1"/>
      <c r="C56" s="252">
        <f t="shared" si="3"/>
        <v>15</v>
      </c>
      <c r="D56" s="253">
        <v>4448.09</v>
      </c>
      <c r="E56" s="76">
        <v>3091.5839000000001</v>
      </c>
      <c r="F56" s="58">
        <f t="shared" si="2"/>
        <v>92683521213270</v>
      </c>
      <c r="G56" s="77">
        <v>1.1015999999999999</v>
      </c>
      <c r="H56" s="1"/>
      <c r="K56" s="1"/>
      <c r="L56" s="1"/>
      <c r="M56" s="1"/>
      <c r="N56" s="1"/>
      <c r="O56" s="1"/>
      <c r="P56" s="1"/>
      <c r="Q56" s="1"/>
      <c r="R56" s="1"/>
      <c r="S56" s="1"/>
      <c r="T56" s="1"/>
      <c r="U56" s="1"/>
      <c r="V56" s="1"/>
      <c r="W56" s="1"/>
      <c r="X56" s="1"/>
      <c r="Y56" s="1"/>
      <c r="Z56" s="1"/>
      <c r="AA56" s="1"/>
    </row>
    <row r="57" spans="1:27" ht="19" x14ac:dyDescent="0.25">
      <c r="A57" s="1"/>
      <c r="B57" s="1"/>
      <c r="C57" s="252">
        <f t="shared" si="3"/>
        <v>16</v>
      </c>
      <c r="D57" s="253">
        <v>4452.03</v>
      </c>
      <c r="E57" s="76">
        <v>3094.3207000000002</v>
      </c>
      <c r="F57" s="58">
        <f t="shared" si="2"/>
        <v>92765568561510</v>
      </c>
      <c r="G57" s="77">
        <v>1.1015999999999999</v>
      </c>
      <c r="H57" s="1"/>
      <c r="K57" s="1"/>
      <c r="L57" s="1"/>
      <c r="M57" s="1"/>
      <c r="N57" s="1"/>
      <c r="O57" s="1"/>
      <c r="P57" s="1"/>
      <c r="Q57" s="1"/>
      <c r="R57" s="1"/>
      <c r="S57" s="1"/>
      <c r="T57" s="1"/>
      <c r="U57" s="1"/>
      <c r="V57" s="1"/>
      <c r="W57" s="1"/>
      <c r="X57" s="1"/>
      <c r="Y57" s="1"/>
      <c r="Z57" s="1"/>
      <c r="AA57" s="1"/>
    </row>
    <row r="58" spans="1:27" ht="19" x14ac:dyDescent="0.25">
      <c r="A58" s="1"/>
      <c r="B58" s="1"/>
      <c r="C58" s="252">
        <f t="shared" si="3"/>
        <v>17</v>
      </c>
      <c r="D58" s="253">
        <v>4481.8</v>
      </c>
      <c r="E58" s="76">
        <v>3115.0074</v>
      </c>
      <c r="F58" s="58">
        <f t="shared" si="2"/>
        <v>93385741346820</v>
      </c>
      <c r="G58" s="77">
        <v>1.1028</v>
      </c>
      <c r="H58" s="1"/>
      <c r="K58" s="1"/>
      <c r="L58" s="1"/>
      <c r="M58" s="1"/>
      <c r="N58" s="1"/>
      <c r="O58" s="1"/>
      <c r="P58" s="1"/>
      <c r="Q58" s="1"/>
      <c r="R58" s="1"/>
      <c r="S58" s="1"/>
      <c r="T58" s="1"/>
      <c r="U58" s="1"/>
      <c r="V58" s="1"/>
      <c r="W58" s="1"/>
      <c r="X58" s="1"/>
      <c r="Y58" s="1"/>
      <c r="Z58" s="1"/>
      <c r="AA58" s="1"/>
    </row>
    <row r="59" spans="1:27" ht="20" thickBot="1" x14ac:dyDescent="0.3">
      <c r="A59" s="1"/>
      <c r="B59" s="1"/>
      <c r="C59" s="254">
        <f t="shared" si="3"/>
        <v>18</v>
      </c>
      <c r="D59" s="255">
        <v>4485.74</v>
      </c>
      <c r="E59" s="78">
        <v>3117.7501999999999</v>
      </c>
      <c r="F59" s="60">
        <f t="shared" si="2"/>
        <v>93467968570860</v>
      </c>
      <c r="G59" s="79">
        <v>1.1028</v>
      </c>
      <c r="H59" s="1"/>
      <c r="K59" s="1"/>
      <c r="L59" s="1"/>
      <c r="M59" s="1"/>
      <c r="N59" s="1"/>
      <c r="O59" s="1"/>
      <c r="P59" s="1"/>
      <c r="Q59" s="1"/>
      <c r="R59" s="1"/>
      <c r="S59" s="1"/>
      <c r="T59" s="1"/>
      <c r="U59" s="1"/>
      <c r="V59" s="1"/>
      <c r="W59" s="1"/>
      <c r="X59" s="1"/>
      <c r="Y59" s="1"/>
      <c r="Z59" s="1"/>
      <c r="AA59" s="1"/>
    </row>
    <row r="60" spans="1:27" ht="19" x14ac:dyDescent="0.25">
      <c r="A60" s="1"/>
      <c r="B60" s="1"/>
      <c r="C60" s="1"/>
      <c r="D60" s="1"/>
      <c r="E60" s="1"/>
      <c r="F60" s="1"/>
      <c r="G60" s="1"/>
      <c r="H60" s="1"/>
      <c r="K60" s="1"/>
      <c r="L60" s="1"/>
      <c r="M60" s="1"/>
      <c r="N60" s="1"/>
      <c r="O60" s="1"/>
      <c r="P60" s="1"/>
      <c r="Q60" s="1"/>
      <c r="R60" s="1"/>
      <c r="S60" s="1"/>
      <c r="T60" s="1"/>
      <c r="U60" s="1"/>
      <c r="V60" s="1"/>
      <c r="W60" s="1"/>
      <c r="X60" s="1"/>
      <c r="Y60" s="1"/>
      <c r="Z60" s="1"/>
      <c r="AA60" s="1"/>
    </row>
    <row r="61" spans="1:27" ht="19"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34" thickBot="1" x14ac:dyDescent="0.5">
      <c r="A62" s="349" t="s">
        <v>128</v>
      </c>
      <c r="B62" s="349"/>
      <c r="C62" s="349"/>
      <c r="D62" s="349"/>
      <c r="E62" s="349"/>
      <c r="F62" s="349"/>
      <c r="G62" s="349"/>
      <c r="H62" s="349"/>
      <c r="I62" s="349"/>
      <c r="J62" s="349"/>
      <c r="K62" s="349"/>
      <c r="L62" s="349"/>
      <c r="M62" s="349"/>
      <c r="N62" s="349"/>
      <c r="O62" s="349"/>
      <c r="P62" s="349"/>
      <c r="Q62" s="349"/>
      <c r="R62" s="349"/>
      <c r="S62" s="349"/>
      <c r="T62" s="349"/>
      <c r="U62" s="349"/>
      <c r="V62" s="349"/>
      <c r="W62" s="1"/>
      <c r="X62" s="1"/>
      <c r="Y62" s="1"/>
      <c r="Z62" s="1"/>
      <c r="AA62" s="1"/>
    </row>
    <row r="63" spans="1:27" ht="20" thickTop="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9" x14ac:dyDescent="0.25">
      <c r="A64" s="1"/>
      <c r="B64" s="1"/>
      <c r="C64" s="1"/>
      <c r="D64" s="1"/>
      <c r="E64" s="1"/>
      <c r="F64" s="1" t="s">
        <v>66</v>
      </c>
      <c r="G64" s="1"/>
      <c r="H64" s="1"/>
      <c r="I64" s="1"/>
      <c r="J64" s="1"/>
      <c r="K64" s="1"/>
      <c r="L64" s="1"/>
      <c r="M64" s="1"/>
      <c r="N64" s="1"/>
      <c r="O64" s="1"/>
      <c r="Q64" s="1"/>
      <c r="R64" s="1"/>
      <c r="S64" s="1"/>
      <c r="T64" s="1"/>
      <c r="U64" s="1"/>
      <c r="V64" s="1"/>
      <c r="W64" s="1"/>
      <c r="X64" s="1"/>
      <c r="Y64" s="1"/>
      <c r="Z64" s="1"/>
      <c r="AA64" s="1"/>
    </row>
    <row r="65" spans="2:27" ht="27" x14ac:dyDescent="0.35">
      <c r="B65" s="1"/>
      <c r="C65" s="125" t="s">
        <v>75</v>
      </c>
      <c r="D65" s="126"/>
      <c r="E65" s="1"/>
      <c r="F65" s="1"/>
      <c r="G65" s="1"/>
      <c r="H65" s="1"/>
      <c r="I65" s="1"/>
      <c r="J65" s="1"/>
      <c r="K65" s="1"/>
      <c r="L65" s="1"/>
      <c r="M65" s="1"/>
      <c r="N65" s="1"/>
      <c r="O65" s="1"/>
      <c r="Q65" s="1"/>
      <c r="R65" s="1"/>
      <c r="S65" s="1"/>
      <c r="T65" s="1"/>
      <c r="U65" s="1"/>
      <c r="V65" s="1"/>
      <c r="W65" s="1"/>
      <c r="X65" s="1"/>
      <c r="Y65" s="1"/>
      <c r="Z65" s="1"/>
      <c r="AA65" s="1"/>
    </row>
    <row r="66" spans="2:27" ht="19" x14ac:dyDescent="0.25">
      <c r="B66" s="1"/>
      <c r="C66" s="1"/>
      <c r="D66" s="1"/>
      <c r="E66" s="1"/>
      <c r="F66" s="1"/>
      <c r="G66" s="1"/>
      <c r="H66" s="1"/>
      <c r="I66" s="1"/>
      <c r="J66" s="1"/>
      <c r="K66" s="1"/>
      <c r="L66" s="1"/>
      <c r="M66" s="1"/>
      <c r="N66" s="1"/>
      <c r="O66" s="1"/>
      <c r="Q66" s="1"/>
      <c r="R66" s="1"/>
      <c r="S66" s="1"/>
      <c r="T66" s="1"/>
      <c r="U66" s="1"/>
      <c r="V66" s="1"/>
      <c r="W66" s="1"/>
      <c r="X66" s="1"/>
      <c r="Y66" s="1"/>
      <c r="Z66" s="1"/>
      <c r="AA66" s="1"/>
    </row>
    <row r="67" spans="2:27" ht="19" x14ac:dyDescent="0.25">
      <c r="B67" s="1"/>
      <c r="C67" s="1"/>
      <c r="D67" s="1"/>
      <c r="E67" s="1"/>
      <c r="F67" s="1"/>
      <c r="G67" s="1"/>
      <c r="H67" s="1"/>
      <c r="I67" s="1"/>
      <c r="J67" s="1"/>
      <c r="K67" s="1"/>
      <c r="L67" s="1"/>
      <c r="M67" s="1"/>
      <c r="N67" s="1"/>
      <c r="O67" s="1"/>
      <c r="Q67" s="1"/>
      <c r="R67" s="1"/>
      <c r="S67" s="1"/>
      <c r="T67" s="1"/>
      <c r="U67" s="1"/>
      <c r="V67" s="1"/>
      <c r="W67" s="1"/>
      <c r="X67" s="1"/>
      <c r="Y67" s="1"/>
      <c r="Z67" s="1"/>
      <c r="AA67" s="1"/>
    </row>
    <row r="68" spans="2:27" ht="19" x14ac:dyDescent="0.25">
      <c r="B68" s="1"/>
      <c r="D68" s="1"/>
      <c r="E68" s="1"/>
      <c r="F68" s="1"/>
      <c r="G68" s="1"/>
      <c r="H68" s="1"/>
      <c r="I68" s="1"/>
      <c r="J68" s="1"/>
      <c r="K68" s="1"/>
      <c r="L68" s="1"/>
      <c r="M68" s="1"/>
      <c r="N68" s="1"/>
      <c r="O68" s="1"/>
      <c r="Q68" s="1"/>
      <c r="R68" s="1"/>
      <c r="S68" s="1"/>
      <c r="T68" s="1"/>
      <c r="U68" s="1"/>
      <c r="V68" s="1"/>
      <c r="W68" s="1"/>
      <c r="X68" s="1"/>
      <c r="Y68" s="1"/>
      <c r="Z68" s="1"/>
      <c r="AA68" s="1"/>
    </row>
    <row r="69" spans="2:27" ht="19" x14ac:dyDescent="0.25">
      <c r="B69" s="1"/>
      <c r="C69" s="1"/>
      <c r="D69" s="1"/>
      <c r="E69" s="1"/>
      <c r="F69" s="1"/>
      <c r="G69" s="1"/>
      <c r="H69" s="1"/>
      <c r="I69" s="1"/>
      <c r="J69" s="1"/>
      <c r="K69" s="1"/>
      <c r="L69" s="1"/>
      <c r="M69" s="1"/>
      <c r="N69" s="1"/>
      <c r="O69" s="1"/>
      <c r="Q69" s="1"/>
      <c r="R69" s="1"/>
      <c r="S69" s="1"/>
      <c r="T69" s="1"/>
      <c r="U69" s="1"/>
      <c r="V69" s="1"/>
      <c r="W69" s="1"/>
      <c r="X69" s="1"/>
      <c r="Y69" s="1"/>
      <c r="Z69" s="1"/>
      <c r="AA69" s="1"/>
    </row>
    <row r="70" spans="2:27" ht="19" x14ac:dyDescent="0.25">
      <c r="B70" s="1"/>
      <c r="C70" s="1"/>
      <c r="D70" s="1"/>
      <c r="E70" s="1"/>
      <c r="F70" s="1"/>
      <c r="G70" s="1"/>
      <c r="H70" s="1"/>
      <c r="I70" s="1"/>
      <c r="J70" s="1"/>
      <c r="K70" s="1"/>
      <c r="L70" s="1"/>
      <c r="M70" s="1"/>
      <c r="N70" s="1"/>
      <c r="O70" s="1"/>
      <c r="Q70" s="1"/>
      <c r="R70" s="1"/>
      <c r="S70" s="1"/>
      <c r="T70" s="1"/>
      <c r="U70" s="1"/>
      <c r="V70" s="1"/>
      <c r="W70" s="1"/>
      <c r="X70" s="1"/>
      <c r="Y70" s="1"/>
      <c r="Z70" s="1"/>
      <c r="AA70" s="1"/>
    </row>
    <row r="71" spans="2:27" ht="19" x14ac:dyDescent="0.25">
      <c r="B71" s="1"/>
      <c r="C71" s="1"/>
      <c r="D71" s="1"/>
      <c r="E71" s="1"/>
      <c r="F71" s="1"/>
      <c r="G71" s="1"/>
      <c r="H71" s="1"/>
      <c r="I71" s="1"/>
      <c r="J71" s="1"/>
      <c r="K71" s="1"/>
      <c r="L71" s="1"/>
      <c r="M71" s="1"/>
      <c r="N71" s="1"/>
      <c r="O71" s="1"/>
      <c r="Q71" s="1"/>
      <c r="R71" s="1"/>
      <c r="S71" s="1"/>
      <c r="T71" s="1"/>
      <c r="U71" s="1"/>
      <c r="V71" s="1"/>
      <c r="W71" s="1"/>
      <c r="X71" s="1"/>
      <c r="Y71" s="1"/>
      <c r="Z71" s="1"/>
      <c r="AA71" s="1"/>
    </row>
    <row r="72" spans="2:27" ht="20" thickBot="1" x14ac:dyDescent="0.3">
      <c r="B72" s="1"/>
      <c r="C72" s="1"/>
      <c r="D72" s="1"/>
      <c r="E72" s="1"/>
      <c r="F72" s="1"/>
      <c r="G72" s="1"/>
      <c r="H72" s="1"/>
      <c r="I72" s="1"/>
      <c r="J72" s="1"/>
      <c r="K72" s="1"/>
      <c r="L72" s="1"/>
      <c r="M72" s="1"/>
      <c r="N72" s="1"/>
      <c r="O72" s="1"/>
      <c r="Q72" s="1"/>
      <c r="R72" s="1"/>
      <c r="S72" s="1"/>
      <c r="T72" s="1"/>
      <c r="U72" s="1"/>
      <c r="V72" s="1"/>
      <c r="W72" s="1"/>
      <c r="X72" s="1"/>
      <c r="Y72" s="1"/>
      <c r="Z72" s="1"/>
      <c r="AA72" s="1"/>
    </row>
    <row r="73" spans="2:27" ht="30" customHeight="1" thickBot="1" x14ac:dyDescent="0.35">
      <c r="B73" s="1"/>
      <c r="C73" s="157" t="s">
        <v>68</v>
      </c>
      <c r="D73" s="153" t="s">
        <v>67</v>
      </c>
      <c r="E73" s="157" t="s">
        <v>77</v>
      </c>
      <c r="F73" s="1"/>
      <c r="G73" s="1"/>
      <c r="H73" s="162" t="s">
        <v>83</v>
      </c>
      <c r="I73" s="163"/>
      <c r="J73" s="163"/>
      <c r="K73" s="163"/>
      <c r="L73" s="163"/>
      <c r="M73" s="163"/>
      <c r="N73" s="163"/>
      <c r="O73" s="1"/>
      <c r="Q73" s="1"/>
      <c r="R73" s="1"/>
      <c r="S73" s="1"/>
      <c r="T73" s="1"/>
      <c r="U73" s="1"/>
      <c r="V73" s="1"/>
      <c r="W73" s="1"/>
      <c r="X73" s="1"/>
      <c r="Y73" s="1"/>
      <c r="Z73" s="1"/>
      <c r="AA73" s="1"/>
    </row>
    <row r="74" spans="2:27" ht="20" thickBot="1" x14ac:dyDescent="0.3">
      <c r="B74" s="1"/>
      <c r="C74" s="150">
        <v>298.14999999999998</v>
      </c>
      <c r="D74" s="159">
        <f t="shared" ref="D74:D92" si="5">C74*$B$8/$B$16</f>
        <v>4.0625788058228471E-26</v>
      </c>
      <c r="E74" s="154">
        <f xml:space="preserve"> (2*PI()*$A$28*$U$9*$B$8*C74/($B$14^2))^(3/2)*D74</f>
        <v>6470595.8576521361</v>
      </c>
      <c r="F74" s="4"/>
      <c r="G74" s="1"/>
      <c r="H74" s="1"/>
      <c r="I74" s="1"/>
      <c r="J74" s="1"/>
      <c r="K74" s="1"/>
      <c r="L74" s="1"/>
      <c r="M74" s="1"/>
      <c r="N74" s="1"/>
      <c r="O74" s="1"/>
      <c r="Q74" s="1"/>
      <c r="R74" s="1"/>
      <c r="S74" s="1"/>
      <c r="T74" s="1"/>
      <c r="U74" s="1"/>
      <c r="V74" s="1"/>
      <c r="W74" s="1"/>
      <c r="X74" s="1"/>
      <c r="Y74" s="1"/>
      <c r="Z74" s="1"/>
      <c r="AA74" s="1"/>
    </row>
    <row r="75" spans="2:27" ht="20" thickBot="1" x14ac:dyDescent="0.3">
      <c r="B75" s="1"/>
      <c r="C75" s="150">
        <v>300</v>
      </c>
      <c r="D75" s="159">
        <f t="shared" si="5"/>
        <v>4.0877868245743891E-26</v>
      </c>
      <c r="E75" s="154">
        <f xml:space="preserve"> (2*PI()*$A$28*$U$9*$B$8*C75/($B$14^2))^(3/2)*D75</f>
        <v>6571437.4429959673</v>
      </c>
      <c r="F75" s="1"/>
      <c r="G75" s="1"/>
      <c r="L75" s="157" t="s">
        <v>82</v>
      </c>
      <c r="M75" s="1"/>
      <c r="N75" s="1"/>
      <c r="O75" s="1"/>
      <c r="Q75" s="1"/>
      <c r="R75" s="1"/>
      <c r="S75" s="1"/>
      <c r="T75" s="1"/>
      <c r="U75" s="1"/>
      <c r="V75" s="1"/>
      <c r="W75" s="1"/>
      <c r="X75" s="1"/>
      <c r="Y75" s="1"/>
      <c r="Z75" s="1"/>
      <c r="AA75" s="1"/>
    </row>
    <row r="76" spans="2:27" ht="19" x14ac:dyDescent="0.25">
      <c r="B76" s="1"/>
      <c r="C76" s="151">
        <f>C75+100</f>
        <v>400</v>
      </c>
      <c r="D76" s="160">
        <f t="shared" si="5"/>
        <v>5.4503824327658529E-26</v>
      </c>
      <c r="E76" s="155">
        <f t="shared" ref="E76:E92" si="6" xml:space="preserve"> (2*PI()*$A$28*$U$9*$B$8*C76/($B$14^2))^(3/2)*D76</f>
        <v>13489853.072627708</v>
      </c>
      <c r="F76" s="1"/>
      <c r="G76" s="1"/>
      <c r="K76" s="71" t="s">
        <v>79</v>
      </c>
      <c r="L76" s="131">
        <f>$E$74</f>
        <v>6470595.8576521361</v>
      </c>
      <c r="M76" s="1"/>
      <c r="N76" s="1"/>
      <c r="O76" s="1"/>
      <c r="Q76" s="1"/>
      <c r="R76" s="1"/>
      <c r="S76" s="1"/>
      <c r="T76" s="1"/>
      <c r="U76" s="1"/>
      <c r="V76" s="1"/>
      <c r="W76" s="1"/>
      <c r="X76" s="1"/>
      <c r="Y76" s="1"/>
      <c r="Z76" s="1"/>
      <c r="AA76" s="1"/>
    </row>
    <row r="77" spans="2:27" ht="20" thickBot="1" x14ac:dyDescent="0.3">
      <c r="B77" s="1"/>
      <c r="C77" s="151">
        <f t="shared" ref="C77:C92" si="7">C76+100</f>
        <v>500</v>
      </c>
      <c r="D77" s="160">
        <f t="shared" si="5"/>
        <v>6.812978040957315E-26</v>
      </c>
      <c r="E77" s="155">
        <f t="shared" si="6"/>
        <v>23565803.497562602</v>
      </c>
      <c r="F77" s="1"/>
      <c r="G77" s="1"/>
      <c r="K77" s="72" t="s">
        <v>80</v>
      </c>
      <c r="L77" s="133">
        <f>P33</f>
        <v>6473750</v>
      </c>
      <c r="M77" s="1"/>
      <c r="N77" s="1"/>
      <c r="O77" s="1"/>
      <c r="Q77" s="1"/>
      <c r="R77" s="1"/>
      <c r="S77" s="1"/>
      <c r="T77" s="1"/>
      <c r="U77" s="1"/>
      <c r="V77" s="1"/>
      <c r="W77" s="1"/>
      <c r="X77" s="1"/>
      <c r="Y77" s="1"/>
      <c r="Z77" s="1"/>
      <c r="AA77" s="1"/>
    </row>
    <row r="78" spans="2:27" ht="22" x14ac:dyDescent="0.3">
      <c r="B78" s="1"/>
      <c r="C78" s="151">
        <f t="shared" si="7"/>
        <v>600</v>
      </c>
      <c r="D78" s="160">
        <f t="shared" si="5"/>
        <v>8.1755736491487783E-26</v>
      </c>
      <c r="E78" s="155">
        <f t="shared" si="6"/>
        <v>37173663.824685179</v>
      </c>
      <c r="F78" s="1"/>
      <c r="G78" s="1"/>
      <c r="H78" s="1"/>
      <c r="I78" s="1"/>
      <c r="K78" s="17" t="s">
        <v>81</v>
      </c>
      <c r="L78" s="164">
        <f>ABS(L76-L77)/L76</f>
        <v>4.8745778862603232E-4</v>
      </c>
      <c r="M78" s="1"/>
      <c r="N78" s="1"/>
      <c r="O78" s="1"/>
      <c r="Q78" s="1"/>
      <c r="R78" s="1"/>
      <c r="S78" s="1"/>
      <c r="T78" s="1"/>
      <c r="U78" s="1"/>
      <c r="V78" s="1"/>
      <c r="W78" s="1"/>
      <c r="X78" s="1"/>
      <c r="Y78" s="1"/>
      <c r="Z78" s="1"/>
      <c r="AA78" s="1"/>
    </row>
    <row r="79" spans="2:27" ht="19" x14ac:dyDescent="0.25">
      <c r="B79" s="1"/>
      <c r="C79" s="151">
        <f t="shared" si="7"/>
        <v>700</v>
      </c>
      <c r="D79" s="160">
        <f t="shared" si="5"/>
        <v>9.5381692573402415E-26</v>
      </c>
      <c r="E79" s="155">
        <f t="shared" si="6"/>
        <v>54651532.068616025</v>
      </c>
      <c r="F79" s="1"/>
      <c r="G79" s="1"/>
      <c r="Q79" s="1"/>
      <c r="R79" s="1"/>
      <c r="S79" s="1"/>
      <c r="T79" s="1"/>
      <c r="U79" s="1"/>
      <c r="V79" s="1"/>
      <c r="W79" s="1"/>
      <c r="X79" s="1"/>
      <c r="Y79" s="1"/>
      <c r="Z79" s="1"/>
      <c r="AA79" s="1"/>
    </row>
    <row r="80" spans="2:27" ht="19" x14ac:dyDescent="0.25">
      <c r="B80" s="1"/>
      <c r="C80" s="151">
        <f t="shared" si="7"/>
        <v>800</v>
      </c>
      <c r="D80" s="160">
        <f t="shared" si="5"/>
        <v>1.0900764865531706E-25</v>
      </c>
      <c r="E80" s="155">
        <f t="shared" si="6"/>
        <v>76310132.678922117</v>
      </c>
      <c r="F80" s="1"/>
      <c r="G80" s="1"/>
      <c r="Q80" s="1"/>
      <c r="R80" s="1"/>
      <c r="S80" s="1"/>
      <c r="T80" s="1"/>
      <c r="U80" s="1"/>
      <c r="V80" s="1"/>
      <c r="W80" s="1"/>
      <c r="X80" s="1"/>
      <c r="Y80" s="1"/>
      <c r="Z80" s="1"/>
      <c r="AA80" s="1"/>
    </row>
    <row r="81" spans="2:27" ht="19" x14ac:dyDescent="0.25">
      <c r="B81" s="1"/>
      <c r="C81" s="151">
        <f t="shared" si="7"/>
        <v>900</v>
      </c>
      <c r="D81" s="160">
        <f t="shared" si="5"/>
        <v>1.2263360473723168E-25</v>
      </c>
      <c r="E81" s="155">
        <f t="shared" si="6"/>
        <v>102438571.7702668</v>
      </c>
      <c r="F81" s="1"/>
      <c r="G81" s="1"/>
      <c r="Q81" s="1"/>
      <c r="R81" s="1"/>
      <c r="S81" s="1"/>
      <c r="T81" s="1"/>
      <c r="U81" s="1"/>
      <c r="V81" s="1"/>
      <c r="W81" s="1"/>
      <c r="X81" s="1"/>
      <c r="Y81" s="1"/>
      <c r="Z81" s="1"/>
      <c r="AA81" s="1"/>
    </row>
    <row r="82" spans="2:27" ht="19" x14ac:dyDescent="0.25">
      <c r="C82" s="151">
        <f t="shared" si="7"/>
        <v>1000</v>
      </c>
      <c r="D82" s="160">
        <f t="shared" si="5"/>
        <v>1.362595608191463E-25</v>
      </c>
      <c r="E82" s="155">
        <f t="shared" si="6"/>
        <v>133308315.65788789</v>
      </c>
    </row>
    <row r="83" spans="2:27" ht="19" x14ac:dyDescent="0.25">
      <c r="C83" s="151">
        <f t="shared" si="7"/>
        <v>1100</v>
      </c>
      <c r="D83" s="160">
        <f t="shared" si="5"/>
        <v>1.4988551690106094E-25</v>
      </c>
      <c r="E83" s="155">
        <f t="shared" si="6"/>
        <v>169176078.60595047</v>
      </c>
    </row>
    <row r="84" spans="2:27" ht="19" x14ac:dyDescent="0.25">
      <c r="C84" s="151">
        <f t="shared" si="7"/>
        <v>1200</v>
      </c>
      <c r="D84" s="160">
        <f t="shared" si="5"/>
        <v>1.6351147298297557E-25</v>
      </c>
      <c r="E84" s="155">
        <f t="shared" si="6"/>
        <v>210285998.17587215</v>
      </c>
    </row>
    <row r="85" spans="2:27" ht="19" x14ac:dyDescent="0.25">
      <c r="C85" s="151">
        <f t="shared" si="7"/>
        <v>1300</v>
      </c>
      <c r="D85" s="160">
        <f t="shared" si="5"/>
        <v>1.7713742906489019E-25</v>
      </c>
      <c r="E85" s="155">
        <f t="shared" si="6"/>
        <v>256871322.65187597</v>
      </c>
    </row>
    <row r="86" spans="2:27" ht="19" x14ac:dyDescent="0.25">
      <c r="C86" s="151">
        <f t="shared" si="7"/>
        <v>1400</v>
      </c>
      <c r="D86" s="160">
        <f t="shared" si="5"/>
        <v>1.9076338514680483E-25</v>
      </c>
      <c r="E86" s="155">
        <f t="shared" si="6"/>
        <v>309155751.42362052</v>
      </c>
    </row>
    <row r="87" spans="2:27" ht="19" x14ac:dyDescent="0.25">
      <c r="C87" s="151">
        <f t="shared" si="7"/>
        <v>1500</v>
      </c>
      <c r="D87" s="160">
        <f t="shared" si="5"/>
        <v>2.043893412287195E-25</v>
      </c>
      <c r="E87" s="155">
        <f t="shared" si="6"/>
        <v>367354520.81066382</v>
      </c>
    </row>
    <row r="88" spans="2:27" ht="19" x14ac:dyDescent="0.25">
      <c r="C88" s="151">
        <f t="shared" si="7"/>
        <v>1600</v>
      </c>
      <c r="D88" s="160">
        <f t="shared" si="5"/>
        <v>2.1801529731063412E-25</v>
      </c>
      <c r="E88" s="155">
        <f t="shared" si="6"/>
        <v>431675298.32408905</v>
      </c>
    </row>
    <row r="89" spans="2:27" ht="19" x14ac:dyDescent="0.25">
      <c r="C89" s="151">
        <f t="shared" si="7"/>
        <v>1700</v>
      </c>
      <c r="D89" s="160">
        <f t="shared" si="5"/>
        <v>2.3164125339254876E-25</v>
      </c>
      <c r="E89" s="155">
        <f t="shared" si="6"/>
        <v>502318929.61670303</v>
      </c>
    </row>
    <row r="90" spans="2:27" ht="19" x14ac:dyDescent="0.25">
      <c r="C90" s="151">
        <f t="shared" si="7"/>
        <v>1800</v>
      </c>
      <c r="D90" s="160">
        <f t="shared" si="5"/>
        <v>2.4526720947446336E-25</v>
      </c>
      <c r="E90" s="155">
        <f t="shared" si="6"/>
        <v>579480070.03056562</v>
      </c>
    </row>
    <row r="91" spans="2:27" ht="19" x14ac:dyDescent="0.25">
      <c r="C91" s="151">
        <f t="shared" si="7"/>
        <v>1900</v>
      </c>
      <c r="D91" s="160">
        <f t="shared" si="5"/>
        <v>2.58893165556378E-25</v>
      </c>
      <c r="E91" s="155">
        <f t="shared" si="6"/>
        <v>663347724.27354527</v>
      </c>
    </row>
    <row r="92" spans="2:27" ht="20" thickBot="1" x14ac:dyDescent="0.3">
      <c r="C92" s="152">
        <f t="shared" si="7"/>
        <v>2000</v>
      </c>
      <c r="D92" s="161">
        <f t="shared" si="5"/>
        <v>2.725191216382926E-25</v>
      </c>
      <c r="E92" s="156">
        <f t="shared" si="6"/>
        <v>754105711.92199683</v>
      </c>
    </row>
    <row r="101" spans="3:29" ht="22" customHeight="1" x14ac:dyDescent="0.25">
      <c r="F101" s="1" t="s">
        <v>66</v>
      </c>
    </row>
    <row r="102" spans="3:29" ht="27" x14ac:dyDescent="0.35">
      <c r="C102" s="125" t="s">
        <v>84</v>
      </c>
      <c r="D102" s="165"/>
      <c r="E102" s="1"/>
      <c r="F102" s="1"/>
      <c r="G102" s="1"/>
    </row>
    <row r="103" spans="3:29" ht="19" x14ac:dyDescent="0.25">
      <c r="E103" s="1"/>
      <c r="G103" s="1"/>
    </row>
    <row r="104" spans="3:29" ht="20" thickBot="1" x14ac:dyDescent="0.3">
      <c r="E104" s="1"/>
      <c r="F104" s="1"/>
      <c r="G104" s="1"/>
    </row>
    <row r="105" spans="3:29" ht="20" thickBot="1" x14ac:dyDescent="0.3">
      <c r="C105" s="174" t="s">
        <v>86</v>
      </c>
      <c r="E105" s="1"/>
      <c r="F105" s="1"/>
      <c r="G105" s="1"/>
    </row>
    <row r="106" spans="3:29" ht="22" thickBot="1" x14ac:dyDescent="0.3">
      <c r="C106" s="175" t="s">
        <v>87</v>
      </c>
      <c r="D106" s="111" cm="1">
        <f t="array" ref="D106">INDEX($E:$E,(COLUMN(D106)-4)*1+42)</f>
        <v>305.42860000000002</v>
      </c>
      <c r="E106" s="111" cm="1">
        <f t="array" ref="E106">INDEX($E:$E,(COLUMN(E106)-4)*1+42)</f>
        <v>822.1259</v>
      </c>
      <c r="F106" s="111" cm="1">
        <f t="array" ref="F106">INDEX($E:$E,(COLUMN(F106)-4)*1+42)</f>
        <v>824.24069999999995</v>
      </c>
      <c r="G106" s="111" cm="1">
        <f t="array" ref="G106">INDEX($E:$E,(COLUMN(G106)-4)*1+42)</f>
        <v>997.51020000000005</v>
      </c>
      <c r="H106" s="111" cm="1">
        <f t="array" ref="H106">INDEX($E:$E,(COLUMN(H106)-4)*1+42)</f>
        <v>1218.0335</v>
      </c>
      <c r="I106" s="111" cm="1">
        <f t="array" ref="I106">INDEX($E:$E,(COLUMN(I106)-4)*1+42)</f>
        <v>1219.0435</v>
      </c>
      <c r="J106" s="111" cm="1">
        <f t="array" ref="J106">INDEX($E:$E,(COLUMN(J106)-4)*1+42)</f>
        <v>1407.4453000000001</v>
      </c>
      <c r="K106" s="111" cm="1">
        <f t="array" ref="K106">INDEX($E:$E,(COLUMN(K106)-4)*1+42)</f>
        <v>1428.8607</v>
      </c>
      <c r="L106" s="111" cm="1">
        <f t="array" ref="L106">INDEX($E:$E,(COLUMN(L106)-4)*1+42)</f>
        <v>1507.4948999999999</v>
      </c>
      <c r="M106" s="111" cm="1">
        <f t="array" ref="M106">INDEX($E:$E,(COLUMN(M106)-4)*1+42)</f>
        <v>1507.7928999999999</v>
      </c>
      <c r="N106" s="111" cm="1">
        <f t="array" ref="N106">INDEX($E:$E,(COLUMN(N106)-4)*1+42)</f>
        <v>1508.9046000000001</v>
      </c>
      <c r="O106" s="111" cm="1">
        <f t="array" ref="O106">INDEX($E:$E,(COLUMN(O106)-4)*1+42)</f>
        <v>1509.4971</v>
      </c>
      <c r="P106" s="111" cm="1">
        <f t="array" ref="P106">INDEX($E:$E,(COLUMN(P106)-4)*1+42)</f>
        <v>3038.8712</v>
      </c>
      <c r="Q106" s="111" cm="1">
        <f t="array" ref="Q106">INDEX($E:$E,(COLUMN(Q106)-4)*1+42)</f>
        <v>3039.8696</v>
      </c>
      <c r="R106" s="111" cm="1">
        <f t="array" ref="R106">INDEX($E:$E,(COLUMN(R106)-4)*1+42)</f>
        <v>3091.5839000000001</v>
      </c>
      <c r="S106" s="111" cm="1">
        <f t="array" ref="S106">INDEX($E:$E,(COLUMN(S106)-4)*1+42)</f>
        <v>3094.3207000000002</v>
      </c>
      <c r="T106" s="111" cm="1">
        <f t="array" ref="T106">INDEX($E:$E,(COLUMN(T106)-4)*1+42)</f>
        <v>3115.0074</v>
      </c>
      <c r="U106" s="111" cm="1">
        <f t="array" ref="U106">INDEX($E:$E,(COLUMN(U106)-4)*1+42)</f>
        <v>3117.7501999999999</v>
      </c>
    </row>
    <row r="107" spans="3:29" ht="20" thickBot="1" x14ac:dyDescent="0.3">
      <c r="C107" s="176" t="s">
        <v>88</v>
      </c>
      <c r="D107" s="239">
        <f t="shared" ref="D107:U107" si="8">D106*$L$9</f>
        <v>9156535627980</v>
      </c>
      <c r="E107" s="239">
        <f t="shared" si="8"/>
        <v>24646758993870</v>
      </c>
      <c r="F107" s="239">
        <f t="shared" si="8"/>
        <v>24710159217510</v>
      </c>
      <c r="G107" s="239">
        <f t="shared" si="8"/>
        <v>29904657538860</v>
      </c>
      <c r="H107" s="239">
        <f t="shared" si="8"/>
        <v>36515791706550</v>
      </c>
      <c r="I107" s="239">
        <f t="shared" si="8"/>
        <v>36546070799550</v>
      </c>
      <c r="J107" s="239">
        <f t="shared" si="8"/>
        <v>42194224882290</v>
      </c>
      <c r="K107" s="239">
        <f t="shared" si="8"/>
        <v>42836243583510</v>
      </c>
      <c r="L107" s="239">
        <f t="shared" si="8"/>
        <v>45193641855570</v>
      </c>
      <c r="M107" s="239">
        <f t="shared" si="8"/>
        <v>45202575686970</v>
      </c>
      <c r="N107" s="239">
        <f t="shared" si="8"/>
        <v>45235903674780</v>
      </c>
      <c r="O107" s="239">
        <f t="shared" si="8"/>
        <v>45253666410030</v>
      </c>
      <c r="P107" s="239">
        <f t="shared" si="8"/>
        <v>91103231366160</v>
      </c>
      <c r="Q107" s="239">
        <f t="shared" si="8"/>
        <v>91133162699280</v>
      </c>
      <c r="R107" s="239">
        <f t="shared" si="8"/>
        <v>92683521213270</v>
      </c>
      <c r="S107" s="239">
        <f t="shared" si="8"/>
        <v>92765568561510</v>
      </c>
      <c r="T107" s="239">
        <f t="shared" si="8"/>
        <v>93385741346820</v>
      </c>
      <c r="U107" s="239">
        <f t="shared" si="8"/>
        <v>93467968570860</v>
      </c>
    </row>
    <row r="108" spans="3:29" ht="17" thickBot="1" x14ac:dyDescent="0.25"/>
    <row r="109" spans="3:29" ht="30" customHeight="1" thickBot="1" x14ac:dyDescent="0.5">
      <c r="C109" s="350" t="s">
        <v>89</v>
      </c>
      <c r="D109" s="360"/>
      <c r="E109" s="360"/>
      <c r="F109" s="360"/>
      <c r="G109" s="360"/>
      <c r="H109" s="360"/>
      <c r="I109" s="360"/>
      <c r="J109" s="360"/>
      <c r="K109" s="360"/>
      <c r="L109" s="360"/>
      <c r="M109" s="360"/>
      <c r="N109" s="360"/>
      <c r="O109" s="360"/>
      <c r="P109" s="360"/>
      <c r="Q109" s="360"/>
      <c r="R109" s="360"/>
      <c r="S109" s="360"/>
      <c r="T109" s="360"/>
      <c r="U109" s="361"/>
      <c r="V109" s="187" t="s">
        <v>90</v>
      </c>
    </row>
    <row r="110" spans="3:29" ht="38" customHeight="1" thickBot="1" x14ac:dyDescent="0.35">
      <c r="C110" s="166" t="s">
        <v>85</v>
      </c>
      <c r="D110" s="170">
        <v>1</v>
      </c>
      <c r="E110" s="171">
        <f t="shared" ref="E110:U110" si="9">D110+1</f>
        <v>2</v>
      </c>
      <c r="F110" s="171">
        <f t="shared" si="9"/>
        <v>3</v>
      </c>
      <c r="G110" s="171">
        <f t="shared" si="9"/>
        <v>4</v>
      </c>
      <c r="H110" s="171">
        <f t="shared" si="9"/>
        <v>5</v>
      </c>
      <c r="I110" s="171">
        <f t="shared" si="9"/>
        <v>6</v>
      </c>
      <c r="J110" s="171">
        <f t="shared" si="9"/>
        <v>7</v>
      </c>
      <c r="K110" s="171">
        <f t="shared" si="9"/>
        <v>8</v>
      </c>
      <c r="L110" s="172">
        <f t="shared" si="9"/>
        <v>9</v>
      </c>
      <c r="M110" s="172">
        <f t="shared" si="9"/>
        <v>10</v>
      </c>
      <c r="N110" s="172">
        <f t="shared" si="9"/>
        <v>11</v>
      </c>
      <c r="O110" s="172">
        <f t="shared" si="9"/>
        <v>12</v>
      </c>
      <c r="P110" s="172">
        <f t="shared" si="9"/>
        <v>13</v>
      </c>
      <c r="Q110" s="172">
        <f t="shared" si="9"/>
        <v>14</v>
      </c>
      <c r="R110" s="172">
        <f t="shared" si="9"/>
        <v>15</v>
      </c>
      <c r="S110" s="172">
        <f t="shared" si="9"/>
        <v>16</v>
      </c>
      <c r="T110" s="172">
        <f t="shared" si="9"/>
        <v>17</v>
      </c>
      <c r="U110" s="172">
        <f t="shared" si="9"/>
        <v>18</v>
      </c>
      <c r="V110" s="81"/>
      <c r="X110" s="162" t="s">
        <v>83</v>
      </c>
      <c r="Y110" s="163"/>
      <c r="Z110" s="163"/>
      <c r="AA110" s="163"/>
      <c r="AB110" s="163"/>
      <c r="AC110" s="1"/>
    </row>
    <row r="111" spans="3:29" ht="20" thickBot="1" x14ac:dyDescent="0.3">
      <c r="C111" s="173">
        <v>298.14999999999998</v>
      </c>
      <c r="D111" s="284">
        <f t="shared" ref="D111:S126" si="10">EXP(-($B$14*D$107)/(2*$B$8*$C111))/(1-EXP(-($B$14*D$107)/($B$8*$C111)))</f>
        <v>0.62073857502944141</v>
      </c>
      <c r="E111" s="285">
        <f t="shared" si="10"/>
        <v>0.14021828788639018</v>
      </c>
      <c r="F111" s="285">
        <f t="shared" si="10"/>
        <v>0.13947730450523407</v>
      </c>
      <c r="G111" s="285">
        <f t="shared" si="10"/>
        <v>9.0837431206460886E-2</v>
      </c>
      <c r="H111" s="285">
        <f t="shared" si="10"/>
        <v>5.3071340300246933E-2</v>
      </c>
      <c r="I111" s="285">
        <f t="shared" si="10"/>
        <v>5.2941441481109956E-2</v>
      </c>
      <c r="J111" s="285">
        <f t="shared" si="10"/>
        <v>3.3546581031358547E-2</v>
      </c>
      <c r="K111" s="285">
        <f t="shared" si="10"/>
        <v>3.1853669970555568E-2</v>
      </c>
      <c r="L111" s="310">
        <f t="shared" si="10"/>
        <v>2.6340314594215264E-2</v>
      </c>
      <c r="M111" s="310">
        <f t="shared" si="10"/>
        <v>2.6321355777832463E-2</v>
      </c>
      <c r="N111" s="310">
        <f t="shared" si="10"/>
        <v>2.6250749873492137E-2</v>
      </c>
      <c r="O111" s="310">
        <f t="shared" si="10"/>
        <v>2.6213196835014906E-2</v>
      </c>
      <c r="P111" s="310">
        <f t="shared" si="10"/>
        <v>6.5405632307597198E-4</v>
      </c>
      <c r="Q111" s="310">
        <f t="shared" si="10"/>
        <v>6.524826081555896E-4</v>
      </c>
      <c r="R111" s="310">
        <f t="shared" si="10"/>
        <v>5.7594140660609217E-4</v>
      </c>
      <c r="S111" s="310">
        <f t="shared" si="10"/>
        <v>5.7215072346657821E-4</v>
      </c>
      <c r="T111" s="310">
        <f t="shared" ref="M111:U126" si="11">EXP(-($B$14*T$107)/(2*$B$8*$C111))/(1-EXP(-($B$14*T$107)/($B$8*$C111)))</f>
        <v>5.4429353059665846E-4</v>
      </c>
      <c r="U111" s="286">
        <f t="shared" si="11"/>
        <v>5.4070331720797594E-4</v>
      </c>
      <c r="V111" s="184">
        <f xml:space="preserve"> PRODUCT(D111:U111)</f>
        <v>6.5373435452722565E-35</v>
      </c>
    </row>
    <row r="112" spans="3:29" ht="20" thickBot="1" x14ac:dyDescent="0.3">
      <c r="C112" s="122">
        <v>300</v>
      </c>
      <c r="D112" s="287">
        <f t="shared" si="10"/>
        <v>0.62526190374955981</v>
      </c>
      <c r="E112" s="178">
        <f t="shared" si="10"/>
        <v>0.14201189533994502</v>
      </c>
      <c r="F112" s="178">
        <f t="shared" si="10"/>
        <v>0.14126535408193719</v>
      </c>
      <c r="G112" s="178">
        <f t="shared" si="10"/>
        <v>9.2218449141268102E-2</v>
      </c>
      <c r="H112" s="178">
        <f t="shared" si="10"/>
        <v>5.4047543178976309E-2</v>
      </c>
      <c r="I112" s="178">
        <f t="shared" si="10"/>
        <v>5.391604266461001E-2</v>
      </c>
      <c r="J112" s="178">
        <f t="shared" si="10"/>
        <v>3.4258156675973234E-2</v>
      </c>
      <c r="K112" s="178">
        <f t="shared" si="10"/>
        <v>3.2539571392418934E-2</v>
      </c>
      <c r="L112" s="183">
        <f t="shared" si="10"/>
        <v>2.693866897735054E-2</v>
      </c>
      <c r="M112" s="183">
        <f t="shared" si="11"/>
        <v>2.6919397788624233E-2</v>
      </c>
      <c r="N112" s="183">
        <f t="shared" si="11"/>
        <v>2.6847627823285584E-2</v>
      </c>
      <c r="O112" s="183">
        <f t="shared" si="11"/>
        <v>2.6809455186465173E-2</v>
      </c>
      <c r="P112" s="183">
        <f t="shared" si="11"/>
        <v>6.8430892963463913E-4</v>
      </c>
      <c r="Q112" s="183">
        <f t="shared" si="11"/>
        <v>6.8267256554759134E-4</v>
      </c>
      <c r="R112" s="183">
        <f t="shared" si="11"/>
        <v>6.0305369754884051E-4</v>
      </c>
      <c r="S112" s="183">
        <f t="shared" si="11"/>
        <v>5.9910896480722456E-4</v>
      </c>
      <c r="T112" s="183">
        <f t="shared" si="11"/>
        <v>5.7011466759961452E-4</v>
      </c>
      <c r="U112" s="288">
        <f t="shared" si="11"/>
        <v>5.6637724902101666E-4</v>
      </c>
      <c r="V112" s="184">
        <f t="shared" ref="V112:V129" si="12" xml:space="preserve"> PRODUCT(D112:U112)</f>
        <v>1.06890672487093E-34</v>
      </c>
      <c r="Z112" s="157" t="s">
        <v>82</v>
      </c>
    </row>
    <row r="113" spans="3:26" ht="20" thickBot="1" x14ac:dyDescent="0.3">
      <c r="C113" s="123">
        <f>C112+100</f>
        <v>400</v>
      </c>
      <c r="D113" s="287">
        <f t="shared" si="10"/>
        <v>0.8660275135527552</v>
      </c>
      <c r="E113" s="178">
        <f t="shared" si="10"/>
        <v>0.24045926944484058</v>
      </c>
      <c r="F113" s="178">
        <f t="shared" si="10"/>
        <v>0.2394469768946203</v>
      </c>
      <c r="G113" s="178">
        <f t="shared" si="10"/>
        <v>0.17102403470763725</v>
      </c>
      <c r="H113" s="178">
        <f t="shared" si="10"/>
        <v>0.11326665628866407</v>
      </c>
      <c r="I113" s="178">
        <f t="shared" si="10"/>
        <v>0.11305590507159644</v>
      </c>
      <c r="J113" s="178">
        <f t="shared" si="10"/>
        <v>8.0066174769303347E-2</v>
      </c>
      <c r="K113" s="178">
        <f t="shared" si="10"/>
        <v>7.7004689445755101E-2</v>
      </c>
      <c r="L113" s="183">
        <f t="shared" si="10"/>
        <v>6.6752625930542681E-2</v>
      </c>
      <c r="M113" s="183">
        <f t="shared" si="11"/>
        <v>6.6716542716075189E-2</v>
      </c>
      <c r="N113" s="183">
        <f t="shared" si="11"/>
        <v>6.658210797464359E-2</v>
      </c>
      <c r="O113" s="183">
        <f t="shared" si="11"/>
        <v>6.6510571245512046E-2</v>
      </c>
      <c r="P113" s="183">
        <f t="shared" si="11"/>
        <v>4.2310365523183522E-3</v>
      </c>
      <c r="Q113" s="183">
        <f t="shared" si="11"/>
        <v>4.2234458703016226E-3</v>
      </c>
      <c r="R113" s="183">
        <f t="shared" si="11"/>
        <v>3.8483388193903127E-3</v>
      </c>
      <c r="S113" s="183">
        <f t="shared" si="11"/>
        <v>3.8294430512823621E-3</v>
      </c>
      <c r="T113" s="183">
        <f t="shared" si="11"/>
        <v>3.6895845489741757E-3</v>
      </c>
      <c r="U113" s="288">
        <f t="shared" si="11"/>
        <v>3.6714287058209143E-3</v>
      </c>
      <c r="V113" s="184">
        <f t="shared" si="12"/>
        <v>4.7368169626482121E-26</v>
      </c>
      <c r="Y113" s="71" t="s">
        <v>79</v>
      </c>
      <c r="Z113" s="131">
        <f>V111</f>
        <v>6.5373435452722565E-35</v>
      </c>
    </row>
    <row r="114" spans="3:26" ht="20" thickBot="1" x14ac:dyDescent="0.3">
      <c r="C114" s="123">
        <f t="shared" ref="C114:C129" si="13">C113+100</f>
        <v>500</v>
      </c>
      <c r="D114" s="287">
        <f t="shared" si="10"/>
        <v>1.1019897961122427</v>
      </c>
      <c r="E114" s="178">
        <f t="shared" si="10"/>
        <v>0.33814835866351056</v>
      </c>
      <c r="F114" s="178">
        <f t="shared" si="10"/>
        <v>0.33690924929480665</v>
      </c>
      <c r="G114" s="178">
        <f t="shared" si="10"/>
        <v>0.25237241477693684</v>
      </c>
      <c r="H114" s="178">
        <f t="shared" si="10"/>
        <v>0.17871354111448312</v>
      </c>
      <c r="I114" s="178">
        <f t="shared" si="10"/>
        <v>0.1784379870182374</v>
      </c>
      <c r="J114" s="178">
        <f t="shared" si="10"/>
        <v>0.13433408546976952</v>
      </c>
      <c r="K114" s="178">
        <f t="shared" si="10"/>
        <v>0.13012021361046697</v>
      </c>
      <c r="L114" s="183">
        <f t="shared" si="10"/>
        <v>0.11581045346903757</v>
      </c>
      <c r="M114" s="183">
        <f t="shared" si="11"/>
        <v>0.11575949631065989</v>
      </c>
      <c r="N114" s="183">
        <f t="shared" si="11"/>
        <v>0.11556960655146002</v>
      </c>
      <c r="O114" s="183">
        <f t="shared" si="11"/>
        <v>0.11546853520693053</v>
      </c>
      <c r="P114" s="183">
        <f t="shared" si="11"/>
        <v>1.2624680753784645E-2</v>
      </c>
      <c r="Q114" s="183">
        <f t="shared" si="11"/>
        <v>1.2606552959549638E-2</v>
      </c>
      <c r="R114" s="183">
        <f t="shared" si="11"/>
        <v>1.170234663571823E-2</v>
      </c>
      <c r="S114" s="183">
        <f t="shared" si="11"/>
        <v>1.1656345002998822E-2</v>
      </c>
      <c r="T114" s="183">
        <f t="shared" si="11"/>
        <v>1.13144339137747E-2</v>
      </c>
      <c r="U114" s="288">
        <f t="shared" si="11"/>
        <v>1.1269860631315741E-2</v>
      </c>
      <c r="V114" s="184">
        <f t="shared" si="12"/>
        <v>8.7464256006690152E-21</v>
      </c>
      <c r="Y114" s="72" t="s">
        <v>80</v>
      </c>
      <c r="Z114" s="133">
        <f>P37</f>
        <v>6.5383600000000003E-35</v>
      </c>
    </row>
    <row r="115" spans="3:26" ht="23" thickBot="1" x14ac:dyDescent="0.35">
      <c r="C115" s="123">
        <f t="shared" si="13"/>
        <v>600</v>
      </c>
      <c r="D115" s="287">
        <f t="shared" si="10"/>
        <v>1.3353157221567631</v>
      </c>
      <c r="E115" s="178">
        <f t="shared" si="10"/>
        <v>0.43354767374911013</v>
      </c>
      <c r="F115" s="178">
        <f t="shared" si="10"/>
        <v>0.43209613886454923</v>
      </c>
      <c r="G115" s="178">
        <f t="shared" si="10"/>
        <v>0.33283977112188695</v>
      </c>
      <c r="H115" s="178">
        <f t="shared" si="10"/>
        <v>0.2453663802242208</v>
      </c>
      <c r="I115" s="178">
        <f t="shared" si="10"/>
        <v>0.24503566554514941</v>
      </c>
      <c r="J115" s="178">
        <f t="shared" si="10"/>
        <v>0.19153515950264946</v>
      </c>
      <c r="K115" s="178">
        <f t="shared" si="10"/>
        <v>0.18634927780318755</v>
      </c>
      <c r="L115" s="183">
        <f t="shared" si="10"/>
        <v>0.16860937923097152</v>
      </c>
      <c r="M115" s="183">
        <f t="shared" si="11"/>
        <v>0.1685458157578138</v>
      </c>
      <c r="N115" s="183">
        <f t="shared" si="11"/>
        <v>0.16830892276998824</v>
      </c>
      <c r="O115" s="183">
        <f t="shared" si="11"/>
        <v>0.16818281638313917</v>
      </c>
      <c r="P115" s="183">
        <f t="shared" si="11"/>
        <v>2.6177206267119141E-2</v>
      </c>
      <c r="Q115" s="183">
        <f t="shared" si="11"/>
        <v>2.6145846429571629E-2</v>
      </c>
      <c r="R115" s="183">
        <f t="shared" si="11"/>
        <v>2.4571965401704227E-2</v>
      </c>
      <c r="S115" s="183">
        <f t="shared" si="11"/>
        <v>2.4491371092462664E-2</v>
      </c>
      <c r="T115" s="183">
        <f t="shared" si="11"/>
        <v>2.3890690648817509E-2</v>
      </c>
      <c r="U115" s="288">
        <f t="shared" si="11"/>
        <v>2.381216451240661E-2</v>
      </c>
      <c r="V115" s="184">
        <f t="shared" si="12"/>
        <v>3.36784458901195E-17</v>
      </c>
      <c r="Y115" s="17" t="s">
        <v>81</v>
      </c>
      <c r="Z115" s="164">
        <f>ABS(Z113-Z114)/Z113</f>
        <v>1.5548436772592412E-4</v>
      </c>
    </row>
    <row r="116" spans="3:26" ht="20" thickBot="1" x14ac:dyDescent="0.3">
      <c r="C116" s="123">
        <f t="shared" si="13"/>
        <v>700</v>
      </c>
      <c r="D116" s="287">
        <f t="shared" si="10"/>
        <v>1.5670623802501338</v>
      </c>
      <c r="E116" s="178">
        <f t="shared" si="10"/>
        <v>0.5268320623064805</v>
      </c>
      <c r="F116" s="178">
        <f t="shared" si="10"/>
        <v>0.52517276203765906</v>
      </c>
      <c r="G116" s="178">
        <f t="shared" si="10"/>
        <v>0.4117363349964458</v>
      </c>
      <c r="H116" s="178">
        <f t="shared" si="10"/>
        <v>0.31147476376003452</v>
      </c>
      <c r="I116" s="178">
        <f t="shared" si="10"/>
        <v>0.31109415796684503</v>
      </c>
      <c r="J116" s="178">
        <f t="shared" si="10"/>
        <v>0.24922050925747372</v>
      </c>
      <c r="K116" s="178">
        <f t="shared" si="10"/>
        <v>0.24318106043375484</v>
      </c>
      <c r="L116" s="183">
        <f t="shared" si="10"/>
        <v>0.2224430700079722</v>
      </c>
      <c r="M116" s="183">
        <f t="shared" si="11"/>
        <v>0.22236852292456888</v>
      </c>
      <c r="N116" s="183">
        <f t="shared" si="11"/>
        <v>0.22209067898477691</v>
      </c>
      <c r="O116" s="183">
        <f t="shared" si="11"/>
        <v>0.2219427623914266</v>
      </c>
      <c r="P116" s="183">
        <f t="shared" si="11"/>
        <v>4.4108462469021441E-2</v>
      </c>
      <c r="Q116" s="183">
        <f t="shared" si="11"/>
        <v>4.4063052604455075E-2</v>
      </c>
      <c r="R116" s="183">
        <f t="shared" si="11"/>
        <v>4.1774225054331739E-2</v>
      </c>
      <c r="S116" s="183">
        <f t="shared" si="11"/>
        <v>4.1656488658821163E-2</v>
      </c>
      <c r="T116" s="183">
        <f t="shared" si="11"/>
        <v>4.0777291550115863E-2</v>
      </c>
      <c r="U116" s="288">
        <f t="shared" si="11"/>
        <v>4.0662132058853183E-2</v>
      </c>
      <c r="V116" s="184">
        <f t="shared" si="12"/>
        <v>1.4334010333891447E-14</v>
      </c>
    </row>
    <row r="117" spans="3:26" ht="20" thickBot="1" x14ac:dyDescent="0.3">
      <c r="C117" s="123">
        <f t="shared" si="13"/>
        <v>800</v>
      </c>
      <c r="D117" s="287">
        <f t="shared" si="10"/>
        <v>1.7977946212588893</v>
      </c>
      <c r="E117" s="178">
        <f t="shared" si="10"/>
        <v>0.61843557683590289</v>
      </c>
      <c r="F117" s="178">
        <f t="shared" si="10"/>
        <v>0.61656948786506294</v>
      </c>
      <c r="G117" s="178">
        <f t="shared" si="10"/>
        <v>0.48913234190379945</v>
      </c>
      <c r="H117" s="178">
        <f t="shared" si="10"/>
        <v>0.37655708801264098</v>
      </c>
      <c r="I117" s="178">
        <f t="shared" si="10"/>
        <v>0.37612927946558727</v>
      </c>
      <c r="J117" s="178">
        <f t="shared" si="10"/>
        <v>0.30644315127267624</v>
      </c>
      <c r="K117" s="178">
        <f t="shared" si="10"/>
        <v>0.29961978362500075</v>
      </c>
      <c r="L117" s="183">
        <f t="shared" si="10"/>
        <v>0.27614617951231657</v>
      </c>
      <c r="M117" s="183">
        <f t="shared" si="11"/>
        <v>0.2760616600318449</v>
      </c>
      <c r="N117" s="183">
        <f t="shared" si="11"/>
        <v>0.27574663841666597</v>
      </c>
      <c r="O117" s="183">
        <f t="shared" si="11"/>
        <v>0.27557892323302452</v>
      </c>
      <c r="P117" s="183">
        <f t="shared" si="11"/>
        <v>6.5322211960890844E-2</v>
      </c>
      <c r="Q117" s="183">
        <f t="shared" si="11"/>
        <v>6.5263094694032145E-2</v>
      </c>
      <c r="R117" s="183">
        <f t="shared" si="11"/>
        <v>6.2274169818766427E-2</v>
      </c>
      <c r="S117" s="183">
        <f t="shared" si="11"/>
        <v>6.2119921382464437E-2</v>
      </c>
      <c r="T117" s="183">
        <f t="shared" si="11"/>
        <v>6.0966474957764187E-2</v>
      </c>
      <c r="U117" s="288">
        <f t="shared" si="11"/>
        <v>6.0815182801667034E-2</v>
      </c>
      <c r="V117" s="184">
        <f t="shared" si="12"/>
        <v>1.5445542871836268E-12</v>
      </c>
    </row>
    <row r="118" spans="3:26" ht="20" thickBot="1" x14ac:dyDescent="0.3">
      <c r="C118" s="123">
        <f t="shared" si="13"/>
        <v>900</v>
      </c>
      <c r="D118" s="287">
        <f t="shared" si="10"/>
        <v>2.0278387589064866</v>
      </c>
      <c r="E118" s="178">
        <f t="shared" si="10"/>
        <v>0.70874666230025973</v>
      </c>
      <c r="F118" s="178">
        <f t="shared" si="10"/>
        <v>0.70667340641828247</v>
      </c>
      <c r="G118" s="178">
        <f t="shared" si="10"/>
        <v>0.56526591106001078</v>
      </c>
      <c r="H118" s="178">
        <f t="shared" si="10"/>
        <v>0.44057968178343915</v>
      </c>
      <c r="I118" s="178">
        <f t="shared" si="10"/>
        <v>0.44010597787655603</v>
      </c>
      <c r="J118" s="178">
        <f t="shared" si="10"/>
        <v>0.36290174176011086</v>
      </c>
      <c r="K118" s="178">
        <f t="shared" si="10"/>
        <v>0.35533354476218837</v>
      </c>
      <c r="L118" s="183">
        <f t="shared" si="10"/>
        <v>0.32927588832263233</v>
      </c>
      <c r="M118" s="183">
        <f t="shared" si="11"/>
        <v>0.32918199288217137</v>
      </c>
      <c r="N118" s="183">
        <f t="shared" si="11"/>
        <v>0.32883201998859979</v>
      </c>
      <c r="O118" s="183">
        <f t="shared" si="11"/>
        <v>0.32864569369071639</v>
      </c>
      <c r="P118" s="183">
        <f t="shared" si="11"/>
        <v>8.8811594382593062E-2</v>
      </c>
      <c r="Q118" s="183">
        <f t="shared" si="11"/>
        <v>8.8739639663315273E-2</v>
      </c>
      <c r="R118" s="183">
        <f t="shared" si="11"/>
        <v>8.5093491421067785E-2</v>
      </c>
      <c r="S118" s="183">
        <f t="shared" si="11"/>
        <v>8.4904881128187795E-2</v>
      </c>
      <c r="T118" s="183">
        <f t="shared" si="11"/>
        <v>8.3493055471197564E-2</v>
      </c>
      <c r="U118" s="288">
        <f t="shared" si="11"/>
        <v>8.3307684268432464E-2</v>
      </c>
      <c r="V118" s="184">
        <f t="shared" si="12"/>
        <v>6.6596710257787473E-11</v>
      </c>
    </row>
    <row r="119" spans="3:26" ht="20" thickBot="1" x14ac:dyDescent="0.3">
      <c r="C119" s="123">
        <f t="shared" si="13"/>
        <v>1000</v>
      </c>
      <c r="D119" s="287">
        <f t="shared" si="10"/>
        <v>2.2573955562823524</v>
      </c>
      <c r="E119" s="178">
        <f t="shared" si="10"/>
        <v>0.79806496185054732</v>
      </c>
      <c r="F119" s="178">
        <f t="shared" si="10"/>
        <v>0.79578371194929143</v>
      </c>
      <c r="G119" s="178">
        <f t="shared" si="10"/>
        <v>0.64037657683401528</v>
      </c>
      <c r="H119" s="178">
        <f t="shared" si="10"/>
        <v>0.50364995530881529</v>
      </c>
      <c r="I119" s="178">
        <f t="shared" si="10"/>
        <v>0.50313094318096951</v>
      </c>
      <c r="J119" s="178">
        <f t="shared" si="10"/>
        <v>0.41855609042295722</v>
      </c>
      <c r="K119" s="178">
        <f t="shared" si="10"/>
        <v>0.4102642758944961</v>
      </c>
      <c r="L119" s="183">
        <f t="shared" si="10"/>
        <v>0.38170735681250778</v>
      </c>
      <c r="M119" s="183">
        <f t="shared" si="11"/>
        <v>0.38160442639048581</v>
      </c>
      <c r="N119" s="183">
        <f t="shared" si="11"/>
        <v>0.38122077550690114</v>
      </c>
      <c r="O119" s="183">
        <f t="shared" si="11"/>
        <v>0.38101651752436361</v>
      </c>
      <c r="P119" s="183">
        <f t="shared" si="11"/>
        <v>0.1137869480601106</v>
      </c>
      <c r="Q119" s="183">
        <f t="shared" si="11"/>
        <v>0.1137031647550636</v>
      </c>
      <c r="R119" s="183">
        <f t="shared" si="11"/>
        <v>0.10945063354885746</v>
      </c>
      <c r="S119" s="183">
        <f t="shared" si="11"/>
        <v>0.10923027434931339</v>
      </c>
      <c r="T119" s="183">
        <f t="shared" si="11"/>
        <v>0.10757956701498442</v>
      </c>
      <c r="U119" s="288">
        <f t="shared" si="11"/>
        <v>0.1073626683240743</v>
      </c>
      <c r="V119" s="184">
        <f t="shared" si="12"/>
        <v>1.5100011630829544E-9</v>
      </c>
    </row>
    <row r="120" spans="3:26" ht="20" thickBot="1" x14ac:dyDescent="0.3">
      <c r="C120" s="123">
        <f t="shared" si="13"/>
        <v>1100</v>
      </c>
      <c r="D120" s="287">
        <f t="shared" si="10"/>
        <v>2.4865949787228145</v>
      </c>
      <c r="E120" s="178">
        <f t="shared" si="10"/>
        <v>0.88661328260382666</v>
      </c>
      <c r="F120" s="178">
        <f t="shared" si="10"/>
        <v>0.88412311786524311</v>
      </c>
      <c r="G120" s="178">
        <f t="shared" si="10"/>
        <v>0.71466563661151616</v>
      </c>
      <c r="H120" s="178">
        <f t="shared" si="10"/>
        <v>0.56590570430307141</v>
      </c>
      <c r="I120" s="178">
        <f t="shared" si="10"/>
        <v>0.56534159823866537</v>
      </c>
      <c r="J120" s="178">
        <f t="shared" si="10"/>
        <v>0.47346355029868126</v>
      </c>
      <c r="K120" s="178">
        <f t="shared" si="10"/>
        <v>0.46445909168708449</v>
      </c>
      <c r="L120" s="183">
        <f t="shared" si="10"/>
        <v>0.43344858439139539</v>
      </c>
      <c r="M120" s="183">
        <f t="shared" si="11"/>
        <v>0.43333680768252608</v>
      </c>
      <c r="N120" s="183">
        <f t="shared" si="11"/>
        <v>0.43292018375420666</v>
      </c>
      <c r="O120" s="183">
        <f t="shared" si="11"/>
        <v>0.43269837045199394</v>
      </c>
      <c r="P120" s="183">
        <f t="shared" si="11"/>
        <v>0.13967607284448225</v>
      </c>
      <c r="Q120" s="183">
        <f t="shared" si="11"/>
        <v>0.13958141496045534</v>
      </c>
      <c r="R120" s="183">
        <f t="shared" si="11"/>
        <v>0.13477110635314515</v>
      </c>
      <c r="S120" s="183">
        <f t="shared" si="11"/>
        <v>0.13452152570613826</v>
      </c>
      <c r="T120" s="183">
        <f t="shared" si="11"/>
        <v>0.13265089287936443</v>
      </c>
      <c r="U120" s="288">
        <f t="shared" si="11"/>
        <v>0.13240496029933516</v>
      </c>
      <c r="V120" s="184">
        <f t="shared" si="12"/>
        <v>2.1406854190081182E-8</v>
      </c>
    </row>
    <row r="121" spans="3:26" ht="20" thickBot="1" x14ac:dyDescent="0.3">
      <c r="C121" s="123">
        <f t="shared" si="13"/>
        <v>1200</v>
      </c>
      <c r="D121" s="287">
        <f t="shared" si="10"/>
        <v>2.7155247366084416</v>
      </c>
      <c r="E121" s="178">
        <f t="shared" si="10"/>
        <v>0.97455662551257261</v>
      </c>
      <c r="F121" s="178">
        <f t="shared" si="10"/>
        <v>0.9718566668101164</v>
      </c>
      <c r="G121" s="178">
        <f t="shared" si="10"/>
        <v>0.78829315057870541</v>
      </c>
      <c r="H121" s="178">
        <f t="shared" si="10"/>
        <v>0.62747743848127757</v>
      </c>
      <c r="I121" s="178">
        <f t="shared" si="10"/>
        <v>0.62686826172683852</v>
      </c>
      <c r="J121" s="178">
        <f t="shared" si="10"/>
        <v>0.52771102911025414</v>
      </c>
      <c r="K121" s="178">
        <f t="shared" si="10"/>
        <v>0.51799907417875135</v>
      </c>
      <c r="L121" s="183">
        <f t="shared" si="10"/>
        <v>0.48455793136894848</v>
      </c>
      <c r="M121" s="183">
        <f t="shared" si="11"/>
        <v>0.4844374072360762</v>
      </c>
      <c r="N121" s="183">
        <f t="shared" si="11"/>
        <v>0.48398817985291037</v>
      </c>
      <c r="O121" s="183">
        <f t="shared" si="11"/>
        <v>0.48374900871174198</v>
      </c>
      <c r="P121" s="183">
        <f t="shared" si="11"/>
        <v>0.16608296008763224</v>
      </c>
      <c r="Q121" s="183">
        <f t="shared" si="11"/>
        <v>0.16597825000533972</v>
      </c>
      <c r="R121" s="183">
        <f t="shared" si="11"/>
        <v>0.1606523659042845</v>
      </c>
      <c r="S121" s="183">
        <f t="shared" si="11"/>
        <v>0.16037577494699526</v>
      </c>
      <c r="T121" s="183">
        <f t="shared" si="11"/>
        <v>0.15830185483720921</v>
      </c>
      <c r="U121" s="288">
        <f t="shared" si="11"/>
        <v>0.1580290842961421</v>
      </c>
      <c r="V121" s="184">
        <f t="shared" si="12"/>
        <v>2.1286965890386778E-7</v>
      </c>
    </row>
    <row r="122" spans="3:26" ht="20" thickBot="1" x14ac:dyDescent="0.3">
      <c r="C122" s="123">
        <f t="shared" si="13"/>
        <v>1300</v>
      </c>
      <c r="D122" s="287">
        <f t="shared" si="10"/>
        <v>2.9442461051677564</v>
      </c>
      <c r="E122" s="178">
        <f t="shared" si="10"/>
        <v>1.0620181192909683</v>
      </c>
      <c r="F122" s="178">
        <f t="shared" si="10"/>
        <v>1.0591075749257965</v>
      </c>
      <c r="G122" s="178">
        <f t="shared" si="10"/>
        <v>0.86138423589575663</v>
      </c>
      <c r="H122" s="178">
        <f t="shared" si="10"/>
        <v>0.68847767387969927</v>
      </c>
      <c r="I122" s="178">
        <f t="shared" si="10"/>
        <v>0.68782335449283194</v>
      </c>
      <c r="J122" s="178">
        <f t="shared" si="10"/>
        <v>0.58138767681574399</v>
      </c>
      <c r="K122" s="178">
        <f t="shared" si="10"/>
        <v>0.5709700743397258</v>
      </c>
      <c r="L122" s="183">
        <f t="shared" si="10"/>
        <v>0.53510810195534064</v>
      </c>
      <c r="M122" s="183">
        <f t="shared" si="11"/>
        <v>0.53497887647829678</v>
      </c>
      <c r="N122" s="183">
        <f t="shared" si="11"/>
        <v>0.53449721813098583</v>
      </c>
      <c r="O122" s="183">
        <f t="shared" si="11"/>
        <v>0.53424078146167731</v>
      </c>
      <c r="P122" s="183">
        <f t="shared" si="11"/>
        <v>0.1927418219376707</v>
      </c>
      <c r="Q122" s="183">
        <f t="shared" si="11"/>
        <v>0.19262773400001817</v>
      </c>
      <c r="R122" s="183">
        <f t="shared" si="11"/>
        <v>0.1868210671683618</v>
      </c>
      <c r="S122" s="183">
        <f t="shared" si="11"/>
        <v>0.18651929914587306</v>
      </c>
      <c r="T122" s="183">
        <f t="shared" si="11"/>
        <v>0.18425592003697516</v>
      </c>
      <c r="U122" s="288">
        <f t="shared" si="11"/>
        <v>0.18395814107224606</v>
      </c>
      <c r="V122" s="184">
        <f t="shared" si="12"/>
        <v>1.6074389455571003E-6</v>
      </c>
    </row>
    <row r="123" spans="3:26" ht="20" thickBot="1" x14ac:dyDescent="0.3">
      <c r="C123" s="123">
        <f t="shared" si="13"/>
        <v>1400</v>
      </c>
      <c r="D123" s="287">
        <f t="shared" si="10"/>
        <v>3.1728031555409504</v>
      </c>
      <c r="E123" s="178">
        <f t="shared" si="10"/>
        <v>1.1490907502001082</v>
      </c>
      <c r="F123" s="178">
        <f t="shared" si="10"/>
        <v>1.145968925039637</v>
      </c>
      <c r="G123" s="178">
        <f t="shared" si="10"/>
        <v>0.93403650372032998</v>
      </c>
      <c r="H123" s="178">
        <f t="shared" si="10"/>
        <v>0.74899989484360208</v>
      </c>
      <c r="I123" s="178">
        <f t="shared" si="10"/>
        <v>0.74830031661605445</v>
      </c>
      <c r="J123" s="178">
        <f t="shared" si="10"/>
        <v>0.63457480676739997</v>
      </c>
      <c r="K123" s="178">
        <f t="shared" si="10"/>
        <v>0.62345155802122032</v>
      </c>
      <c r="L123" s="183">
        <f t="shared" si="10"/>
        <v>0.58517101007465833</v>
      </c>
      <c r="M123" s="183">
        <f t="shared" si="11"/>
        <v>0.58503309848143303</v>
      </c>
      <c r="N123" s="183">
        <f t="shared" si="11"/>
        <v>0.58451906642159257</v>
      </c>
      <c r="O123" s="183">
        <f t="shared" si="11"/>
        <v>0.58424539502280526</v>
      </c>
      <c r="P123" s="183">
        <f t="shared" si="11"/>
        <v>0.21947864081798305</v>
      </c>
      <c r="Q123" s="183">
        <f t="shared" si="11"/>
        <v>0.21935571194858122</v>
      </c>
      <c r="R123" s="183">
        <f t="shared" si="11"/>
        <v>0.21309608744553529</v>
      </c>
      <c r="S123" s="183">
        <f t="shared" si="11"/>
        <v>0.2127706151810331</v>
      </c>
      <c r="T123" s="183">
        <f t="shared" si="11"/>
        <v>0.21032890853107175</v>
      </c>
      <c r="U123" s="288">
        <f t="shared" si="11"/>
        <v>0.21000759678139808</v>
      </c>
      <c r="V123" s="184">
        <f t="shared" si="12"/>
        <v>9.7543178377886607E-6</v>
      </c>
    </row>
    <row r="124" spans="3:26" ht="20" thickBot="1" x14ac:dyDescent="0.3">
      <c r="C124" s="123">
        <f t="shared" si="13"/>
        <v>1500</v>
      </c>
      <c r="D124" s="287">
        <f t="shared" si="10"/>
        <v>3.4012283809752213</v>
      </c>
      <c r="E124" s="178">
        <f t="shared" si="10"/>
        <v>1.2358456780419615</v>
      </c>
      <c r="F124" s="178">
        <f t="shared" si="10"/>
        <v>1.2325119683205559</v>
      </c>
      <c r="G124" s="178">
        <f t="shared" si="10"/>
        <v>1.0063264603070916</v>
      </c>
      <c r="H124" s="178">
        <f t="shared" si="10"/>
        <v>0.80912065676708689</v>
      </c>
      <c r="I124" s="178">
        <f t="shared" si="10"/>
        <v>0.80837568633667622</v>
      </c>
      <c r="J124" s="178">
        <f t="shared" si="10"/>
        <v>0.68734303582831435</v>
      </c>
      <c r="K124" s="178">
        <f t="shared" si="10"/>
        <v>0.67551313386309897</v>
      </c>
      <c r="L124" s="183">
        <f t="shared" si="10"/>
        <v>0.63481199988737869</v>
      </c>
      <c r="M124" s="183">
        <f t="shared" si="11"/>
        <v>0.63466539959483292</v>
      </c>
      <c r="N124" s="183">
        <f t="shared" si="11"/>
        <v>0.6341189845208508</v>
      </c>
      <c r="O124" s="183">
        <f t="shared" si="11"/>
        <v>0.63382807365088334</v>
      </c>
      <c r="P124" s="183">
        <f t="shared" si="11"/>
        <v>0.24618234783234871</v>
      </c>
      <c r="Q124" s="183">
        <f t="shared" si="11"/>
        <v>0.24605099777825659</v>
      </c>
      <c r="R124" s="183">
        <f t="shared" si="11"/>
        <v>0.23936025137585742</v>
      </c>
      <c r="S124" s="183">
        <f t="shared" si="11"/>
        <v>0.23901223521854162</v>
      </c>
      <c r="T124" s="183">
        <f t="shared" si="11"/>
        <v>0.23640098563856704</v>
      </c>
      <c r="U124" s="288">
        <f t="shared" si="11"/>
        <v>0.23605730759724841</v>
      </c>
      <c r="V124" s="184">
        <f t="shared" si="12"/>
        <v>4.9581202393477749E-5</v>
      </c>
    </row>
    <row r="125" spans="3:26" ht="20" thickBot="1" x14ac:dyDescent="0.3">
      <c r="C125" s="123">
        <f t="shared" si="13"/>
        <v>1600</v>
      </c>
      <c r="D125" s="287">
        <f t="shared" si="10"/>
        <v>3.6295462559357157</v>
      </c>
      <c r="E125" s="178">
        <f t="shared" si="10"/>
        <v>1.3223380870581436</v>
      </c>
      <c r="F125" s="178">
        <f t="shared" si="10"/>
        <v>1.3187919703004765</v>
      </c>
      <c r="G125" s="178">
        <f t="shared" si="10"/>
        <v>1.0783145258285232</v>
      </c>
      <c r="H125" s="178">
        <f t="shared" si="10"/>
        <v>0.86890239589994334</v>
      </c>
      <c r="I125" s="178">
        <f t="shared" si="10"/>
        <v>0.86811189705455483</v>
      </c>
      <c r="J125" s="178">
        <f t="shared" si="10"/>
        <v>0.73975233565180609</v>
      </c>
      <c r="K125" s="178">
        <f t="shared" si="10"/>
        <v>0.72721425320109279</v>
      </c>
      <c r="L125" s="183">
        <f t="shared" si="10"/>
        <v>0.68408820134105763</v>
      </c>
      <c r="M125" s="183">
        <f t="shared" si="11"/>
        <v>0.68393289975504823</v>
      </c>
      <c r="N125" s="183">
        <f t="shared" si="11"/>
        <v>0.68335405493889056</v>
      </c>
      <c r="O125" s="183">
        <f t="shared" si="11"/>
        <v>0.68304587985744181</v>
      </c>
      <c r="P125" s="183">
        <f t="shared" si="11"/>
        <v>0.27278433744686664</v>
      </c>
      <c r="Q125" s="183">
        <f t="shared" si="11"/>
        <v>0.27264489040944456</v>
      </c>
      <c r="R125" s="183">
        <f t="shared" si="11"/>
        <v>0.26553994610980863</v>
      </c>
      <c r="S125" s="183">
        <f t="shared" si="11"/>
        <v>0.26517028859824326</v>
      </c>
      <c r="T125" s="183">
        <f t="shared" si="11"/>
        <v>0.26239633930020795</v>
      </c>
      <c r="U125" s="288">
        <f t="shared" si="11"/>
        <v>0.26203120504383604</v>
      </c>
      <c r="V125" s="184">
        <f t="shared" si="12"/>
        <v>2.1777878658240792E-4</v>
      </c>
    </row>
    <row r="126" spans="3:26" ht="20" thickBot="1" x14ac:dyDescent="0.3">
      <c r="C126" s="123">
        <f t="shared" si="13"/>
        <v>1700</v>
      </c>
      <c r="D126" s="287">
        <f t="shared" si="10"/>
        <v>3.85777556107776</v>
      </c>
      <c r="E126" s="178">
        <f t="shared" si="10"/>
        <v>1.4086113206885613</v>
      </c>
      <c r="F126" s="178">
        <f t="shared" si="10"/>
        <v>1.4048523447348511</v>
      </c>
      <c r="G126" s="178">
        <f t="shared" si="10"/>
        <v>1.1500488367574966</v>
      </c>
      <c r="H126" s="178">
        <f t="shared" si="10"/>
        <v>0.92839609010259616</v>
      </c>
      <c r="I126" s="178">
        <f t="shared" si="10"/>
        <v>0.92755993111172863</v>
      </c>
      <c r="J126" s="178">
        <f t="shared" si="10"/>
        <v>0.79185314053549483</v>
      </c>
      <c r="K126" s="178">
        <f t="shared" si="10"/>
        <v>0.77860511401914323</v>
      </c>
      <c r="L126" s="183">
        <f t="shared" si="10"/>
        <v>0.73304864335014308</v>
      </c>
      <c r="M126" s="183">
        <f t="shared" si="11"/>
        <v>0.7328846225513006</v>
      </c>
      <c r="N126" s="183">
        <f t="shared" si="11"/>
        <v>0.7322732813397419</v>
      </c>
      <c r="O126" s="183">
        <f t="shared" si="11"/>
        <v>0.73194780664887105</v>
      </c>
      <c r="P126" s="183">
        <f t="shared" si="11"/>
        <v>0.29924431224931575</v>
      </c>
      <c r="Q126" s="183">
        <f t="shared" si="11"/>
        <v>0.29909701647467379</v>
      </c>
      <c r="R126" s="183">
        <f t="shared" si="11"/>
        <v>0.29159087617101637</v>
      </c>
      <c r="S126" s="183">
        <f t="shared" si="11"/>
        <v>0.29120027301818324</v>
      </c>
      <c r="T126" s="183">
        <f t="shared" si="11"/>
        <v>0.28826890659953641</v>
      </c>
      <c r="U126" s="288">
        <f t="shared" si="11"/>
        <v>0.28788301966214075</v>
      </c>
      <c r="V126" s="184">
        <f t="shared" si="12"/>
        <v>8.465478741534777E-4</v>
      </c>
    </row>
    <row r="127" spans="3:26" ht="20" thickBot="1" x14ac:dyDescent="0.3">
      <c r="C127" s="123">
        <f t="shared" si="13"/>
        <v>1800</v>
      </c>
      <c r="D127" s="287">
        <f t="shared" ref="D127:S129" si="14">EXP(-($B$14*D$107)/(2*$B$8*$C127))/(1-EXP(-($B$14*D$107)/($B$8*$C127)))</f>
        <v>4.0859309451088439</v>
      </c>
      <c r="E127" s="178">
        <f t="shared" si="14"/>
        <v>1.4946998317334301</v>
      </c>
      <c r="F127" s="178">
        <f t="shared" si="14"/>
        <v>1.4907276044529643</v>
      </c>
      <c r="G127" s="178">
        <f t="shared" si="14"/>
        <v>1.2215680938123008</v>
      </c>
      <c r="H127" s="178">
        <f t="shared" si="14"/>
        <v>0.98764352042931081</v>
      </c>
      <c r="I127" s="178">
        <f t="shared" si="14"/>
        <v>0.98676157755384664</v>
      </c>
      <c r="J127" s="178">
        <f t="shared" si="14"/>
        <v>0.84368772569763417</v>
      </c>
      <c r="K127" s="178">
        <f t="shared" si="14"/>
        <v>0.82972791958885683</v>
      </c>
      <c r="L127" s="183">
        <f t="shared" si="14"/>
        <v>0.78173504234902369</v>
      </c>
      <c r="M127" s="183">
        <f t="shared" si="14"/>
        <v>0.78156228190921806</v>
      </c>
      <c r="N127" s="183">
        <f t="shared" si="14"/>
        <v>0.78091836824591898</v>
      </c>
      <c r="O127" s="183">
        <f t="shared" si="14"/>
        <v>0.78057555350772423</v>
      </c>
      <c r="P127" s="183">
        <f t="shared" si="14"/>
        <v>0.32554065230194401</v>
      </c>
      <c r="Q127" s="183">
        <f t="shared" si="14"/>
        <v>0.32538569654401306</v>
      </c>
      <c r="R127" s="183">
        <f t="shared" si="14"/>
        <v>0.31748827885414027</v>
      </c>
      <c r="S127" s="183">
        <f t="shared" si="14"/>
        <v>0.3170772625621569</v>
      </c>
      <c r="T127" s="183">
        <f t="shared" ref="M127:U129" si="15">EXP(-($B$14*T$107)/(2*$B$8*$C127))/(1-EXP(-($B$14*T$107)/($B$8*$C127)))</f>
        <v>0.31399252807424533</v>
      </c>
      <c r="U127" s="288">
        <f t="shared" si="15"/>
        <v>0.31358642846396406</v>
      </c>
      <c r="V127" s="184">
        <f t="shared" si="12"/>
        <v>2.9669325928770528E-3</v>
      </c>
    </row>
    <row r="128" spans="3:26" ht="20" thickBot="1" x14ac:dyDescent="0.3">
      <c r="C128" s="123">
        <f t="shared" si="13"/>
        <v>1900</v>
      </c>
      <c r="D128" s="287">
        <f t="shared" si="14"/>
        <v>4.3140240001041725</v>
      </c>
      <c r="E128" s="178">
        <f t="shared" si="14"/>
        <v>1.580631312169694</v>
      </c>
      <c r="F128" s="178">
        <f t="shared" si="14"/>
        <v>1.576445492400455</v>
      </c>
      <c r="G128" s="178">
        <f t="shared" si="14"/>
        <v>1.2929036927674815</v>
      </c>
      <c r="H128" s="178">
        <f t="shared" si="14"/>
        <v>1.0466791083321663</v>
      </c>
      <c r="I128" s="178">
        <f t="shared" si="14"/>
        <v>1.0457512672410474</v>
      </c>
      <c r="J128" s="178">
        <f t="shared" si="14"/>
        <v>0.89529153884632628</v>
      </c>
      <c r="K128" s="178">
        <f t="shared" si="14"/>
        <v>0.88061813918746712</v>
      </c>
      <c r="L128" s="183">
        <f t="shared" si="14"/>
        <v>0.83018278084102082</v>
      </c>
      <c r="M128" s="183">
        <f t="shared" si="15"/>
        <v>0.83000125950688131</v>
      </c>
      <c r="N128" s="183">
        <f t="shared" si="15"/>
        <v>0.82932469422385136</v>
      </c>
      <c r="O128" s="183">
        <f t="shared" si="15"/>
        <v>0.82896449732072341</v>
      </c>
      <c r="P128" s="183">
        <f t="shared" si="15"/>
        <v>0.35166391970700278</v>
      </c>
      <c r="Q128" s="183">
        <f t="shared" si="15"/>
        <v>0.35150144652531723</v>
      </c>
      <c r="R128" s="183">
        <f t="shared" si="15"/>
        <v>0.34322026842900255</v>
      </c>
      <c r="S128" s="183">
        <f t="shared" si="15"/>
        <v>0.34278924395724619</v>
      </c>
      <c r="T128" s="183">
        <f t="shared" si="15"/>
        <v>0.33955422513142419</v>
      </c>
      <c r="U128" s="288">
        <f t="shared" si="15"/>
        <v>0.33912832470825854</v>
      </c>
      <c r="V128" s="184">
        <f t="shared" si="12"/>
        <v>9.5146667419778192E-3</v>
      </c>
    </row>
    <row r="129" spans="2:22" ht="20" thickBot="1" x14ac:dyDescent="0.3">
      <c r="C129" s="124">
        <f t="shared" si="13"/>
        <v>2000</v>
      </c>
      <c r="D129" s="289">
        <f t="shared" si="14"/>
        <v>4.542064018109996</v>
      </c>
      <c r="E129" s="290">
        <f t="shared" si="14"/>
        <v>1.6664282499884693</v>
      </c>
      <c r="F129" s="290">
        <f t="shared" si="14"/>
        <v>1.6620285397902288</v>
      </c>
      <c r="G129" s="290">
        <f t="shared" si="14"/>
        <v>1.3640813251760613</v>
      </c>
      <c r="H129" s="290">
        <f t="shared" si="14"/>
        <v>1.1055313782129279</v>
      </c>
      <c r="I129" s="290">
        <f t="shared" si="14"/>
        <v>1.1045575342675584</v>
      </c>
      <c r="J129" s="290">
        <f t="shared" si="14"/>
        <v>0.94669437313073679</v>
      </c>
      <c r="K129" s="290">
        <f t="shared" si="14"/>
        <v>0.93130563882406792</v>
      </c>
      <c r="L129" s="311">
        <f t="shared" si="14"/>
        <v>0.87842186746705286</v>
      </c>
      <c r="M129" s="311">
        <f t="shared" si="15"/>
        <v>0.87823156415120807</v>
      </c>
      <c r="N129" s="311">
        <f t="shared" si="15"/>
        <v>0.87752226867472749</v>
      </c>
      <c r="O129" s="311">
        <f t="shared" si="15"/>
        <v>0.87714464778967727</v>
      </c>
      <c r="P129" s="311">
        <f t="shared" si="15"/>
        <v>0.37761250042353367</v>
      </c>
      <c r="Q129" s="311">
        <f t="shared" si="15"/>
        <v>0.37744261668691587</v>
      </c>
      <c r="R129" s="311">
        <f t="shared" si="15"/>
        <v>0.36878333440599104</v>
      </c>
      <c r="S129" s="311">
        <f t="shared" si="15"/>
        <v>0.3683326076102959</v>
      </c>
      <c r="T129" s="311">
        <f t="shared" si="15"/>
        <v>0.36494963717197099</v>
      </c>
      <c r="U129" s="291">
        <f t="shared" si="15"/>
        <v>0.36450424797479059</v>
      </c>
      <c r="V129" s="184">
        <f t="shared" si="12"/>
        <v>2.8253085330665825E-2</v>
      </c>
    </row>
    <row r="136" spans="2:22" ht="19" x14ac:dyDescent="0.25">
      <c r="B136" s="1"/>
      <c r="C136" s="1"/>
      <c r="D136" s="1"/>
      <c r="E136" s="1"/>
      <c r="F136" s="1" t="s">
        <v>66</v>
      </c>
      <c r="G136" s="1"/>
      <c r="H136" s="1"/>
      <c r="I136" s="1"/>
      <c r="J136" s="1"/>
      <c r="K136" s="1"/>
      <c r="L136" s="1"/>
      <c r="M136" s="1"/>
      <c r="N136" s="1"/>
      <c r="O136" s="1"/>
    </row>
    <row r="137" spans="2:22" ht="27" x14ac:dyDescent="0.35">
      <c r="B137" s="1"/>
      <c r="C137" s="125" t="s">
        <v>91</v>
      </c>
      <c r="D137" s="126"/>
      <c r="E137" s="1"/>
      <c r="F137" s="1"/>
      <c r="G137" s="1"/>
      <c r="H137" s="1"/>
      <c r="I137" s="1"/>
      <c r="J137" s="1"/>
      <c r="K137" s="1"/>
      <c r="L137" s="1"/>
      <c r="M137" s="1"/>
      <c r="N137" s="1"/>
      <c r="O137" s="1"/>
    </row>
    <row r="138" spans="2:22" ht="20" thickBot="1" x14ac:dyDescent="0.3">
      <c r="B138" s="1"/>
      <c r="C138" s="1"/>
      <c r="D138" s="1"/>
      <c r="E138" s="1"/>
      <c r="F138" s="1"/>
      <c r="G138" s="1"/>
      <c r="H138" s="1"/>
      <c r="I138" s="1"/>
      <c r="J138" s="1"/>
      <c r="K138" s="1"/>
      <c r="L138" s="1"/>
      <c r="M138" s="1"/>
      <c r="N138" s="1"/>
      <c r="O138" s="1"/>
    </row>
    <row r="139" spans="2:22" ht="20" thickBot="1" x14ac:dyDescent="0.3">
      <c r="B139" s="1"/>
      <c r="C139" s="82" t="s">
        <v>26</v>
      </c>
      <c r="D139" s="63"/>
      <c r="E139" s="63"/>
      <c r="F139" s="64"/>
      <c r="G139" s="1"/>
      <c r="H139" s="1"/>
      <c r="I139" s="1"/>
      <c r="J139" s="1"/>
      <c r="K139" s="1"/>
      <c r="L139" s="1"/>
      <c r="M139" s="1"/>
      <c r="N139" s="1"/>
      <c r="O139" s="1"/>
    </row>
    <row r="140" spans="2:22" ht="20" thickBot="1" x14ac:dyDescent="0.3">
      <c r="B140" s="1"/>
      <c r="C140" s="83"/>
      <c r="D140" s="105" t="s">
        <v>36</v>
      </c>
      <c r="E140" s="106" t="s">
        <v>37</v>
      </c>
      <c r="F140" s="107" t="s">
        <v>38</v>
      </c>
      <c r="G140" s="1"/>
      <c r="H140" s="1"/>
      <c r="I140" s="1"/>
      <c r="J140" s="1"/>
      <c r="K140" s="1"/>
      <c r="L140" s="1"/>
      <c r="M140" s="1"/>
      <c r="N140" s="1"/>
      <c r="O140" s="1"/>
    </row>
    <row r="141" spans="2:22" ht="22" thickBot="1" x14ac:dyDescent="0.3">
      <c r="B141" s="1"/>
      <c r="C141" s="188" t="s">
        <v>92</v>
      </c>
      <c r="D141" s="59">
        <f>D24*($Q$8)^2</f>
        <v>3.7323307200000006E-46</v>
      </c>
      <c r="E141" s="59">
        <f>E24*($Q$8)^2</f>
        <v>1.5085245020000001E-45</v>
      </c>
      <c r="F141" s="59">
        <f>F24*($Q$8)^2</f>
        <v>1.5086519899999998E-45</v>
      </c>
      <c r="G141" s="1"/>
      <c r="H141" s="1"/>
      <c r="I141" s="1"/>
      <c r="J141" s="1"/>
      <c r="K141" s="1"/>
      <c r="L141" s="1"/>
      <c r="M141" s="1"/>
      <c r="N141" s="1"/>
      <c r="O141" s="1"/>
    </row>
    <row r="142" spans="2:22" ht="19" x14ac:dyDescent="0.25">
      <c r="B142" s="1"/>
      <c r="C142" s="1"/>
      <c r="D142" s="1"/>
      <c r="E142" s="1"/>
      <c r="F142" s="1"/>
      <c r="G142" s="1"/>
      <c r="H142" s="1"/>
      <c r="I142" s="1"/>
      <c r="J142" s="1"/>
      <c r="K142" s="1"/>
      <c r="L142" s="1"/>
      <c r="M142" s="1"/>
      <c r="N142" s="1"/>
      <c r="O142" s="1"/>
    </row>
    <row r="143" spans="2:22" ht="19" x14ac:dyDescent="0.25">
      <c r="B143" s="1"/>
      <c r="C143" s="1"/>
      <c r="D143" s="1"/>
      <c r="E143" s="1"/>
      <c r="F143" s="1"/>
      <c r="G143" s="1"/>
      <c r="H143" s="1"/>
      <c r="I143" s="1"/>
      <c r="J143" s="1"/>
      <c r="K143" s="1"/>
      <c r="L143" s="1"/>
      <c r="M143" s="1"/>
      <c r="N143" s="1"/>
      <c r="O143" s="1"/>
    </row>
    <row r="144" spans="2:22" ht="20" thickBot="1" x14ac:dyDescent="0.3">
      <c r="B144" s="1"/>
      <c r="C144" s="1"/>
      <c r="D144" s="1"/>
      <c r="E144" s="1"/>
      <c r="F144" s="1"/>
      <c r="G144" s="1"/>
      <c r="H144" s="1"/>
      <c r="I144" s="1"/>
      <c r="J144" s="1"/>
      <c r="K144" s="1"/>
      <c r="L144" s="1"/>
      <c r="M144" s="1"/>
      <c r="N144" s="1"/>
      <c r="O144" s="1"/>
    </row>
    <row r="145" spans="2:15" ht="23" thickBot="1" x14ac:dyDescent="0.35">
      <c r="B145" s="1"/>
      <c r="C145" s="189" t="s">
        <v>68</v>
      </c>
      <c r="D145" s="157" t="s">
        <v>129</v>
      </c>
      <c r="E145" s="157" t="s">
        <v>130</v>
      </c>
      <c r="F145" s="1"/>
      <c r="G145" s="1"/>
      <c r="H145" s="162" t="s">
        <v>83</v>
      </c>
      <c r="I145" s="163"/>
      <c r="J145" s="163"/>
      <c r="K145" s="163"/>
      <c r="L145" s="163"/>
      <c r="M145" s="163"/>
      <c r="N145" s="163"/>
      <c r="O145" s="1"/>
    </row>
    <row r="146" spans="2:15" ht="20" thickBot="1" x14ac:dyDescent="0.3">
      <c r="B146" s="1"/>
      <c r="C146" s="150">
        <v>298.14999999999998</v>
      </c>
      <c r="D146" s="154">
        <f t="shared" ref="D146:D164" si="16">(8*PI()^2*(2*PI()*$B$8*C146)^(3/2)*SQRT($D$141*$E$141*$F$141))/($H$148*$B$14^3)</f>
        <v>5483.7672596357852</v>
      </c>
      <c r="E146" s="256">
        <f>(SQRT(PI())/$A$31)*((C146^1.5)/SQRT($C$29*$D$29*$E$29))</f>
        <v>2439.0155355566308</v>
      </c>
      <c r="F146" s="4"/>
      <c r="G146" s="1"/>
      <c r="H146" s="1"/>
      <c r="I146" s="1"/>
      <c r="J146" s="1"/>
      <c r="K146" s="1"/>
      <c r="L146" s="1"/>
      <c r="M146" s="1"/>
      <c r="N146" s="1"/>
      <c r="O146" s="1"/>
    </row>
    <row r="147" spans="2:15" ht="20" thickBot="1" x14ac:dyDescent="0.3">
      <c r="B147" s="1"/>
      <c r="C147" s="150">
        <v>300</v>
      </c>
      <c r="D147" s="154">
        <f t="shared" si="16"/>
        <v>5534.8859435231889</v>
      </c>
      <c r="E147" s="256">
        <f>(SQRT(PI())/3)*((C147^1.5)/SQRT($C$29*$D$29*$E$29))</f>
        <v>1641.1677307014465</v>
      </c>
      <c r="F147" s="1"/>
      <c r="G147" s="1"/>
      <c r="L147" s="157" t="s">
        <v>131</v>
      </c>
      <c r="M147" s="327" t="s">
        <v>132</v>
      </c>
      <c r="N147" s="1"/>
      <c r="O147" s="1"/>
    </row>
    <row r="148" spans="2:15" ht="20" thickBot="1" x14ac:dyDescent="0.3">
      <c r="B148" s="1"/>
      <c r="C148" s="151">
        <f>C147+100</f>
        <v>400</v>
      </c>
      <c r="D148" s="155">
        <f t="shared" si="16"/>
        <v>8521.5143718053805</v>
      </c>
      <c r="E148" s="257">
        <f t="shared" ref="E148:E164" si="17">(SQRT(PI())/3)*((C148^1.5)/SQRT($C$29*$D$29*$E$29))</f>
        <v>2526.7430162821533</v>
      </c>
      <c r="F148" s="1"/>
      <c r="G148" s="108" t="s">
        <v>124</v>
      </c>
      <c r="H148" s="113">
        <v>6</v>
      </c>
      <c r="K148" s="71" t="s">
        <v>79</v>
      </c>
      <c r="L148" s="131">
        <f>D146</f>
        <v>5483.7672596357852</v>
      </c>
      <c r="M148" s="332">
        <f>E146</f>
        <v>2439.0155355566308</v>
      </c>
      <c r="N148" s="1"/>
      <c r="O148" s="1"/>
    </row>
    <row r="149" spans="2:15" ht="20" thickBot="1" x14ac:dyDescent="0.3">
      <c r="B149" s="1"/>
      <c r="C149" s="151">
        <f t="shared" ref="C149:C164" si="18">C148+100</f>
        <v>500</v>
      </c>
      <c r="D149" s="155">
        <f t="shared" si="16"/>
        <v>11909.178379123803</v>
      </c>
      <c r="E149" s="257">
        <f t="shared" si="17"/>
        <v>3531.2307162998468</v>
      </c>
      <c r="F149" s="1"/>
      <c r="G149" s="1"/>
      <c r="K149" s="72" t="s">
        <v>80</v>
      </c>
      <c r="L149" s="133">
        <f>P34</f>
        <v>2439.02</v>
      </c>
      <c r="M149" s="133">
        <f>L149</f>
        <v>2439.02</v>
      </c>
      <c r="N149" s="1"/>
      <c r="O149" s="1"/>
    </row>
    <row r="150" spans="2:15" ht="22" x14ac:dyDescent="0.3">
      <c r="B150" s="1"/>
      <c r="C150" s="151">
        <f t="shared" si="18"/>
        <v>600</v>
      </c>
      <c r="D150" s="155">
        <f t="shared" si="16"/>
        <v>15655.021535037436</v>
      </c>
      <c r="E150" s="257">
        <f t="shared" si="17"/>
        <v>4641.923325774118</v>
      </c>
      <c r="F150" s="1"/>
      <c r="G150" s="1"/>
      <c r="H150" s="1"/>
      <c r="I150" s="1"/>
      <c r="K150" s="17" t="s">
        <v>81</v>
      </c>
      <c r="L150" s="164">
        <f>ABS(L148-L149)/L148</f>
        <v>0.55522911813693709</v>
      </c>
      <c r="M150" s="164">
        <f>ABS(M148-M149)/M148</f>
        <v>1.8304284266056199E-6</v>
      </c>
      <c r="N150" s="1"/>
      <c r="O150" s="1"/>
    </row>
    <row r="151" spans="2:15" ht="19" x14ac:dyDescent="0.25">
      <c r="B151" s="1"/>
      <c r="C151" s="151">
        <f t="shared" si="18"/>
        <v>700</v>
      </c>
      <c r="D151" s="155">
        <f t="shared" si="16"/>
        <v>19727.581843777236</v>
      </c>
      <c r="E151" s="257">
        <f t="shared" si="17"/>
        <v>5849.4919420453243</v>
      </c>
      <c r="F151" s="1"/>
      <c r="G151" s="1"/>
    </row>
    <row r="152" spans="2:15" ht="19" x14ac:dyDescent="0.25">
      <c r="B152" s="1"/>
      <c r="C152" s="151">
        <f t="shared" si="18"/>
        <v>800</v>
      </c>
      <c r="D152" s="155">
        <f t="shared" si="16"/>
        <v>24102.482393128554</v>
      </c>
      <c r="E152" s="257">
        <f t="shared" si="17"/>
        <v>7146.7084845154413</v>
      </c>
      <c r="F152" s="1"/>
      <c r="G152" s="1"/>
    </row>
    <row r="153" spans="2:15" ht="19" x14ac:dyDescent="0.25">
      <c r="B153" s="1"/>
      <c r="C153" s="151">
        <f t="shared" si="18"/>
        <v>900</v>
      </c>
      <c r="D153" s="155">
        <f t="shared" si="16"/>
        <v>28760.111004842791</v>
      </c>
      <c r="E153" s="257">
        <f t="shared" si="17"/>
        <v>8527.7576799522667</v>
      </c>
      <c r="F153" s="1"/>
      <c r="G153" s="1"/>
    </row>
    <row r="154" spans="2:15" ht="19" x14ac:dyDescent="0.25">
      <c r="C154" s="151">
        <f t="shared" si="18"/>
        <v>1000</v>
      </c>
      <c r="D154" s="155">
        <f t="shared" si="16"/>
        <v>33684.243160954247</v>
      </c>
      <c r="E154" s="257">
        <f t="shared" si="17"/>
        <v>9987.8287417193969</v>
      </c>
    </row>
    <row r="155" spans="2:15" ht="19" x14ac:dyDescent="0.25">
      <c r="C155" s="151">
        <f t="shared" si="18"/>
        <v>1100</v>
      </c>
      <c r="D155" s="155">
        <f t="shared" si="16"/>
        <v>38861.165498236354</v>
      </c>
      <c r="E155" s="257">
        <f t="shared" si="17"/>
        <v>11522.855474155793</v>
      </c>
    </row>
    <row r="156" spans="2:15" ht="19" x14ac:dyDescent="0.25">
      <c r="C156" s="151">
        <f t="shared" si="18"/>
        <v>1200</v>
      </c>
      <c r="D156" s="155">
        <f t="shared" si="16"/>
        <v>44279.087548185751</v>
      </c>
      <c r="E156" s="257">
        <f t="shared" si="17"/>
        <v>13129.341845611574</v>
      </c>
    </row>
    <row r="157" spans="2:15" ht="19" x14ac:dyDescent="0.25">
      <c r="C157" s="151">
        <f t="shared" si="18"/>
        <v>1300</v>
      </c>
      <c r="D157" s="155">
        <f t="shared" si="16"/>
        <v>49927.730144739013</v>
      </c>
      <c r="E157" s="257">
        <f t="shared" si="17"/>
        <v>14804.239945829486</v>
      </c>
    </row>
    <row r="158" spans="2:15" ht="19" x14ac:dyDescent="0.25">
      <c r="C158" s="151">
        <f t="shared" si="18"/>
        <v>1400</v>
      </c>
      <c r="D158" s="155">
        <f t="shared" si="16"/>
        <v>55798.027592590151</v>
      </c>
      <c r="E158" s="257">
        <f t="shared" si="17"/>
        <v>16544.861674865282</v>
      </c>
    </row>
    <row r="159" spans="2:15" ht="19" x14ac:dyDescent="0.25">
      <c r="C159" s="151">
        <f t="shared" si="18"/>
        <v>1500</v>
      </c>
      <c r="D159" s="155">
        <f t="shared" si="16"/>
        <v>61881.906087129377</v>
      </c>
      <c r="E159" s="257">
        <f t="shared" si="17"/>
        <v>18348.813041637528</v>
      </c>
    </row>
    <row r="160" spans="2:15" ht="19" x14ac:dyDescent="0.25">
      <c r="C160" s="151">
        <f t="shared" si="18"/>
        <v>1600</v>
      </c>
      <c r="D160" s="155">
        <f t="shared" si="16"/>
        <v>68172.114974442477</v>
      </c>
      <c r="E160" s="257">
        <f t="shared" si="17"/>
        <v>20213.944130257234</v>
      </c>
    </row>
    <row r="161" spans="2:16" ht="19" x14ac:dyDescent="0.25">
      <c r="C161" s="151">
        <f t="shared" si="18"/>
        <v>1700</v>
      </c>
      <c r="D161" s="155">
        <f t="shared" si="16"/>
        <v>74662.095670991475</v>
      </c>
      <c r="E161" s="257">
        <f t="shared" si="17"/>
        <v>22138.310232961558</v>
      </c>
    </row>
    <row r="162" spans="2:16" ht="19" x14ac:dyDescent="0.25">
      <c r="C162" s="151">
        <f t="shared" si="18"/>
        <v>1800</v>
      </c>
      <c r="D162" s="155">
        <f t="shared" si="16"/>
        <v>81345.878076808993</v>
      </c>
      <c r="E162" s="257">
        <f t="shared" si="17"/>
        <v>24120.141135239654</v>
      </c>
    </row>
    <row r="163" spans="2:16" ht="19" x14ac:dyDescent="0.25">
      <c r="C163" s="151">
        <f t="shared" si="18"/>
        <v>1900</v>
      </c>
      <c r="D163" s="155">
        <f t="shared" si="16"/>
        <v>88217.997482493607</v>
      </c>
      <c r="E163" s="257">
        <f t="shared" si="17"/>
        <v>26157.816477643762</v>
      </c>
    </row>
    <row r="164" spans="2:16" ht="20" thickBot="1" x14ac:dyDescent="0.3">
      <c r="C164" s="152">
        <f t="shared" si="18"/>
        <v>2000</v>
      </c>
      <c r="D164" s="156">
        <f t="shared" si="16"/>
        <v>95273.42703298961</v>
      </c>
      <c r="E164" s="258">
        <f t="shared" si="17"/>
        <v>28249.845730398734</v>
      </c>
    </row>
    <row r="171" spans="2:16" ht="19" x14ac:dyDescent="0.25">
      <c r="B171" s="1"/>
      <c r="C171" s="1"/>
      <c r="D171" s="1"/>
      <c r="E171" s="1"/>
      <c r="F171" s="1"/>
      <c r="G171" s="1"/>
      <c r="H171" s="1"/>
      <c r="I171" s="1"/>
      <c r="J171" s="1"/>
      <c r="K171" s="1"/>
      <c r="L171" s="1"/>
      <c r="M171" s="1"/>
      <c r="N171" s="1"/>
      <c r="O171" s="1"/>
      <c r="P171" s="1"/>
    </row>
    <row r="172" spans="2:16" ht="19" x14ac:dyDescent="0.25">
      <c r="B172" s="1"/>
      <c r="C172" s="1"/>
      <c r="D172" s="1"/>
      <c r="E172" s="1"/>
      <c r="F172" s="1" t="s">
        <v>66</v>
      </c>
      <c r="G172" s="1"/>
      <c r="H172" s="1"/>
      <c r="I172" s="1"/>
      <c r="J172" s="1"/>
      <c r="K172" s="1"/>
      <c r="L172" s="1"/>
      <c r="M172" s="1"/>
      <c r="N172" s="1"/>
      <c r="O172" s="1"/>
    </row>
    <row r="173" spans="2:16" ht="27" x14ac:dyDescent="0.35">
      <c r="B173" s="1"/>
      <c r="C173" s="125" t="s">
        <v>97</v>
      </c>
      <c r="D173" s="126"/>
      <c r="E173" s="1"/>
      <c r="F173" s="1"/>
      <c r="G173" s="1"/>
      <c r="H173" s="1"/>
      <c r="I173" s="1"/>
      <c r="J173" s="1"/>
      <c r="K173" s="1"/>
      <c r="L173" s="1"/>
      <c r="M173" s="1"/>
      <c r="N173" s="1"/>
      <c r="O173" s="1"/>
    </row>
    <row r="174" spans="2:16" ht="19" x14ac:dyDescent="0.25">
      <c r="B174" s="1"/>
      <c r="C174" s="1"/>
      <c r="D174" s="1"/>
      <c r="E174" s="1"/>
      <c r="F174" s="1"/>
      <c r="G174" s="1"/>
      <c r="H174" s="1"/>
      <c r="I174" s="1"/>
      <c r="J174" s="1"/>
      <c r="K174" s="1"/>
      <c r="L174" s="1"/>
      <c r="M174" s="1"/>
      <c r="N174" s="1"/>
      <c r="O174" s="1"/>
    </row>
    <row r="175" spans="2:16" ht="19" x14ac:dyDescent="0.25">
      <c r="B175" s="1"/>
      <c r="G175" s="1"/>
      <c r="H175" s="1"/>
      <c r="I175" s="1"/>
      <c r="J175" s="1"/>
      <c r="K175" s="1"/>
      <c r="L175" s="1"/>
      <c r="M175" s="1"/>
      <c r="N175" s="1"/>
      <c r="O175" s="1"/>
    </row>
    <row r="176" spans="2:16" ht="19" x14ac:dyDescent="0.25">
      <c r="B176" s="1"/>
      <c r="G176" s="1"/>
      <c r="H176" s="1"/>
      <c r="I176" s="1"/>
      <c r="J176" s="1"/>
      <c r="K176" s="1"/>
      <c r="L176" s="1"/>
      <c r="M176" s="1"/>
      <c r="N176" s="1"/>
      <c r="O176" s="1"/>
    </row>
    <row r="177" spans="2:15" ht="19" x14ac:dyDescent="0.25">
      <c r="B177" s="1"/>
      <c r="G177" s="1"/>
      <c r="H177" s="1"/>
      <c r="I177" s="1"/>
      <c r="J177" s="1"/>
      <c r="K177" s="1"/>
      <c r="L177" s="1"/>
      <c r="M177" s="1"/>
      <c r="N177" s="1"/>
      <c r="O177" s="1"/>
    </row>
    <row r="178" spans="2:15" ht="20" thickBot="1" x14ac:dyDescent="0.3">
      <c r="B178" s="1"/>
      <c r="C178" s="191" t="s">
        <v>100</v>
      </c>
      <c r="F178" s="1"/>
      <c r="G178" s="1"/>
      <c r="H178" s="1"/>
      <c r="I178" s="1"/>
      <c r="J178" s="1"/>
      <c r="K178" s="1"/>
      <c r="L178" s="1"/>
      <c r="M178" s="1"/>
      <c r="N178" s="1"/>
      <c r="O178" s="1"/>
    </row>
    <row r="179" spans="2:15" ht="20" thickBot="1" x14ac:dyDescent="0.3">
      <c r="B179" s="1"/>
      <c r="C179" s="81"/>
      <c r="D179" s="167">
        <v>1</v>
      </c>
      <c r="E179" s="168">
        <f>D179+1</f>
        <v>2</v>
      </c>
      <c r="F179" s="168">
        <f t="shared" ref="F179:H179" si="19">E179+1</f>
        <v>3</v>
      </c>
      <c r="G179" s="168">
        <f t="shared" si="19"/>
        <v>4</v>
      </c>
      <c r="H179" s="259">
        <f t="shared" si="19"/>
        <v>5</v>
      </c>
      <c r="I179" s="199" t="s">
        <v>102</v>
      </c>
      <c r="J179" s="1"/>
      <c r="K179" s="1"/>
      <c r="L179" s="1"/>
      <c r="M179" s="1"/>
      <c r="N179" s="1"/>
      <c r="O179" s="1"/>
    </row>
    <row r="180" spans="2:15" ht="20" thickBot="1" x14ac:dyDescent="0.3">
      <c r="B180" s="1"/>
      <c r="C180" s="193" t="s">
        <v>101</v>
      </c>
      <c r="D180" s="197">
        <f>J$46</f>
        <v>-79.820728836399994</v>
      </c>
      <c r="E180" s="197">
        <f t="shared" ref="E180:I180" si="20">K$46</f>
        <v>-79.832474544999997</v>
      </c>
      <c r="F180" s="197">
        <f t="shared" si="20"/>
        <v>-79.840587526299998</v>
      </c>
      <c r="G180" s="197">
        <f t="shared" si="20"/>
        <v>-79.841602807499996</v>
      </c>
      <c r="H180" s="197">
        <f t="shared" si="20"/>
        <v>-79.841640703600007</v>
      </c>
      <c r="I180" s="197">
        <f t="shared" si="20"/>
        <v>-79.841640703600007</v>
      </c>
      <c r="J180" s="1"/>
      <c r="K180" s="1"/>
      <c r="L180" s="1"/>
      <c r="M180" s="1"/>
      <c r="N180" s="1"/>
      <c r="O180" s="1"/>
    </row>
    <row r="181" spans="2:15" ht="20" thickBot="1" x14ac:dyDescent="0.3">
      <c r="B181" s="1"/>
      <c r="C181" s="192" t="s">
        <v>103</v>
      </c>
      <c r="D181" s="198">
        <f>D180*$K$7</f>
        <v>-3.4801837772670396E-16</v>
      </c>
      <c r="E181" s="198">
        <f t="shared" ref="E181" si="21">E180*$K$7</f>
        <v>-3.4806958901619996E-16</v>
      </c>
      <c r="F181" s="198">
        <f>F180*$K$7</f>
        <v>-3.4810496161466798E-16</v>
      </c>
      <c r="G181" s="198">
        <f t="shared" ref="G181:I181" si="22">G180*$K$7</f>
        <v>-3.4810938824069997E-16</v>
      </c>
      <c r="H181" s="198">
        <f t="shared" si="22"/>
        <v>-3.48109553467696E-16</v>
      </c>
      <c r="I181" s="198">
        <f t="shared" si="22"/>
        <v>-3.48109553467696E-16</v>
      </c>
      <c r="N181" s="1"/>
      <c r="O181" s="1"/>
    </row>
    <row r="182" spans="2:15" ht="20" thickBot="1" x14ac:dyDescent="0.3">
      <c r="B182" s="1"/>
      <c r="D182" s="1"/>
      <c r="E182" s="1"/>
      <c r="F182" s="1"/>
      <c r="G182" s="1"/>
      <c r="N182" s="1"/>
      <c r="O182" s="1"/>
    </row>
    <row r="183" spans="2:15" ht="23" thickBot="1" x14ac:dyDescent="0.35">
      <c r="B183" s="1"/>
      <c r="C183" s="121" t="s">
        <v>104</v>
      </c>
      <c r="D183" s="1"/>
      <c r="E183" s="1"/>
      <c r="F183" s="1"/>
      <c r="G183" s="1"/>
      <c r="H183" s="162" t="s">
        <v>83</v>
      </c>
      <c r="I183" s="163"/>
      <c r="J183" s="163"/>
      <c r="K183" s="163"/>
      <c r="L183" s="163"/>
      <c r="M183" s="163"/>
      <c r="N183" s="1"/>
      <c r="O183" s="1"/>
    </row>
    <row r="184" spans="2:15" ht="20" thickBot="1" x14ac:dyDescent="0.3">
      <c r="B184" s="1"/>
      <c r="C184" s="196">
        <f>F181+L23</f>
        <v>-3.4777962277466798E-16</v>
      </c>
      <c r="F184" s="1"/>
      <c r="G184" s="1"/>
      <c r="H184" s="1"/>
      <c r="I184" s="1"/>
      <c r="J184" s="1"/>
      <c r="K184" s="1"/>
      <c r="L184" s="1"/>
      <c r="M184" s="1"/>
      <c r="N184" s="1"/>
      <c r="O184" s="1"/>
    </row>
    <row r="185" spans="2:15" ht="20" thickBot="1" x14ac:dyDescent="0.3">
      <c r="B185" s="1"/>
      <c r="F185" s="4"/>
      <c r="G185" s="1"/>
      <c r="L185" s="157" t="s">
        <v>82</v>
      </c>
      <c r="M185" s="1"/>
      <c r="N185" s="1"/>
      <c r="O185" s="1"/>
    </row>
    <row r="186" spans="2:15" ht="22" thickBot="1" x14ac:dyDescent="0.3">
      <c r="B186" s="1"/>
      <c r="C186" s="189" t="s">
        <v>68</v>
      </c>
      <c r="D186" s="190" t="s">
        <v>99</v>
      </c>
      <c r="F186" s="1"/>
      <c r="G186" s="1"/>
      <c r="K186" s="71" t="s">
        <v>79</v>
      </c>
      <c r="L186" s="131">
        <f>1</f>
        <v>1</v>
      </c>
      <c r="M186" s="1"/>
      <c r="N186" s="1"/>
      <c r="O186" s="1"/>
    </row>
    <row r="187" spans="2:15" ht="20" thickBot="1" x14ac:dyDescent="0.3">
      <c r="B187" s="1"/>
      <c r="C187" s="150">
        <v>299</v>
      </c>
      <c r="D187" s="154">
        <f>1</f>
        <v>1</v>
      </c>
      <c r="F187" s="1"/>
      <c r="G187" s="1"/>
      <c r="K187" s="72" t="s">
        <v>80</v>
      </c>
      <c r="L187" s="133">
        <f>P32</f>
        <v>1</v>
      </c>
      <c r="M187" s="1"/>
    </row>
    <row r="188" spans="2:15" ht="22" x14ac:dyDescent="0.3">
      <c r="B188" s="1"/>
      <c r="C188" s="150">
        <v>300</v>
      </c>
      <c r="D188" s="154">
        <f>1</f>
        <v>1</v>
      </c>
      <c r="F188" s="1"/>
      <c r="G188" s="1"/>
      <c r="H188" s="1"/>
      <c r="I188" s="1"/>
      <c r="K188" s="17" t="s">
        <v>81</v>
      </c>
      <c r="L188" s="164">
        <f>ABS(L186-L187)/L186</f>
        <v>0</v>
      </c>
      <c r="M188" s="1"/>
    </row>
    <row r="189" spans="2:15" ht="19" x14ac:dyDescent="0.25">
      <c r="B189" s="1"/>
      <c r="C189" s="151">
        <f>C188+100</f>
        <v>400</v>
      </c>
      <c r="D189" s="155">
        <f t="shared" ref="D189:D205" si="23">1*IFERROR(EXP(-$C$184/(C$188*$B$8)),1)</f>
        <v>1</v>
      </c>
      <c r="F189" s="1"/>
      <c r="G189" s="1"/>
    </row>
    <row r="190" spans="2:15" ht="19" x14ac:dyDescent="0.25">
      <c r="C190" s="151">
        <f t="shared" ref="C190:C205" si="24">C189+100</f>
        <v>500</v>
      </c>
      <c r="D190" s="155">
        <f t="shared" si="23"/>
        <v>1</v>
      </c>
      <c r="F190" s="1"/>
    </row>
    <row r="191" spans="2:15" ht="19" x14ac:dyDescent="0.25">
      <c r="C191" s="151">
        <f t="shared" si="24"/>
        <v>600</v>
      </c>
      <c r="D191" s="155">
        <f t="shared" si="23"/>
        <v>1</v>
      </c>
      <c r="F191" s="1"/>
    </row>
    <row r="192" spans="2:15" ht="19" x14ac:dyDescent="0.25">
      <c r="C192" s="151">
        <f t="shared" si="24"/>
        <v>700</v>
      </c>
      <c r="D192" s="155">
        <f t="shared" si="23"/>
        <v>1</v>
      </c>
      <c r="F192" s="1"/>
    </row>
    <row r="193" spans="3:4" ht="19" x14ac:dyDescent="0.25">
      <c r="C193" s="151">
        <f t="shared" si="24"/>
        <v>800</v>
      </c>
      <c r="D193" s="155">
        <f t="shared" si="23"/>
        <v>1</v>
      </c>
    </row>
    <row r="194" spans="3:4" ht="19" x14ac:dyDescent="0.25">
      <c r="C194" s="151">
        <f t="shared" si="24"/>
        <v>900</v>
      </c>
      <c r="D194" s="155">
        <f t="shared" si="23"/>
        <v>1</v>
      </c>
    </row>
    <row r="195" spans="3:4" ht="19" x14ac:dyDescent="0.25">
      <c r="C195" s="151">
        <f t="shared" si="24"/>
        <v>1000</v>
      </c>
      <c r="D195" s="155">
        <f t="shared" si="23"/>
        <v>1</v>
      </c>
    </row>
    <row r="196" spans="3:4" ht="19" x14ac:dyDescent="0.25">
      <c r="C196" s="151">
        <f t="shared" si="24"/>
        <v>1100</v>
      </c>
      <c r="D196" s="155">
        <f t="shared" si="23"/>
        <v>1</v>
      </c>
    </row>
    <row r="197" spans="3:4" ht="19" x14ac:dyDescent="0.25">
      <c r="C197" s="151">
        <f t="shared" si="24"/>
        <v>1200</v>
      </c>
      <c r="D197" s="155">
        <f t="shared" si="23"/>
        <v>1</v>
      </c>
    </row>
    <row r="198" spans="3:4" ht="19" x14ac:dyDescent="0.25">
      <c r="C198" s="151">
        <f t="shared" si="24"/>
        <v>1300</v>
      </c>
      <c r="D198" s="155">
        <f t="shared" si="23"/>
        <v>1</v>
      </c>
    </row>
    <row r="199" spans="3:4" ht="19" x14ac:dyDescent="0.25">
      <c r="C199" s="151">
        <f t="shared" si="24"/>
        <v>1400</v>
      </c>
      <c r="D199" s="155">
        <f t="shared" si="23"/>
        <v>1</v>
      </c>
    </row>
    <row r="200" spans="3:4" ht="19" x14ac:dyDescent="0.25">
      <c r="C200" s="151">
        <f t="shared" si="24"/>
        <v>1500</v>
      </c>
      <c r="D200" s="155">
        <f t="shared" si="23"/>
        <v>1</v>
      </c>
    </row>
    <row r="201" spans="3:4" ht="19" x14ac:dyDescent="0.25">
      <c r="C201" s="151">
        <f t="shared" si="24"/>
        <v>1600</v>
      </c>
      <c r="D201" s="155">
        <f t="shared" si="23"/>
        <v>1</v>
      </c>
    </row>
    <row r="202" spans="3:4" ht="19" x14ac:dyDescent="0.25">
      <c r="C202" s="151">
        <f t="shared" si="24"/>
        <v>1700</v>
      </c>
      <c r="D202" s="155">
        <f t="shared" si="23"/>
        <v>1</v>
      </c>
    </row>
    <row r="203" spans="3:4" ht="19" x14ac:dyDescent="0.25">
      <c r="C203" s="151">
        <f t="shared" si="24"/>
        <v>1800</v>
      </c>
      <c r="D203" s="155">
        <f t="shared" si="23"/>
        <v>1</v>
      </c>
    </row>
    <row r="204" spans="3:4" ht="19" x14ac:dyDescent="0.25">
      <c r="C204" s="151">
        <f t="shared" si="24"/>
        <v>1900</v>
      </c>
      <c r="D204" s="155">
        <f t="shared" si="23"/>
        <v>1</v>
      </c>
    </row>
    <row r="205" spans="3:4" ht="20" thickBot="1" x14ac:dyDescent="0.3">
      <c r="C205" s="152">
        <f t="shared" si="24"/>
        <v>2000</v>
      </c>
      <c r="D205" s="156">
        <f t="shared" si="23"/>
        <v>1</v>
      </c>
    </row>
    <row r="210" spans="3:11" ht="17" thickBot="1" x14ac:dyDescent="0.25"/>
    <row r="211" spans="3:11" ht="20" thickBot="1" x14ac:dyDescent="0.3">
      <c r="E211" s="1"/>
      <c r="F211" s="1" t="s">
        <v>66</v>
      </c>
      <c r="G211" s="1"/>
      <c r="H211" s="356" t="s">
        <v>110</v>
      </c>
      <c r="I211" s="357"/>
      <c r="J211" s="357"/>
      <c r="K211" s="358"/>
    </row>
    <row r="212" spans="3:11" ht="28" thickBot="1" x14ac:dyDescent="0.4">
      <c r="C212" s="125" t="s">
        <v>105</v>
      </c>
      <c r="D212" s="126"/>
      <c r="E212" s="1"/>
      <c r="F212" s="1"/>
      <c r="G212" s="1"/>
      <c r="H212" s="199" t="s">
        <v>106</v>
      </c>
      <c r="I212" s="199" t="s">
        <v>107</v>
      </c>
      <c r="J212" s="199" t="s">
        <v>108</v>
      </c>
      <c r="K212" s="199" t="s">
        <v>109</v>
      </c>
    </row>
    <row r="215" spans="3:11" ht="17" thickBot="1" x14ac:dyDescent="0.25"/>
    <row r="216" spans="3:11" ht="20" thickBot="1" x14ac:dyDescent="0.25">
      <c r="D216" s="343" t="s">
        <v>119</v>
      </c>
      <c r="E216" s="344"/>
    </row>
    <row r="217" spans="3:11" ht="20" thickBot="1" x14ac:dyDescent="0.3">
      <c r="D217" s="176" t="s">
        <v>117</v>
      </c>
      <c r="E217" s="205" t="s">
        <v>115</v>
      </c>
    </row>
    <row r="218" spans="3:11" ht="19" x14ac:dyDescent="0.25">
      <c r="C218" s="65" t="s">
        <v>45</v>
      </c>
      <c r="D218" s="58">
        <f>$Q23</f>
        <v>10.109</v>
      </c>
      <c r="E218" s="131">
        <f>D218*4.184</f>
        <v>42.296056</v>
      </c>
    </row>
    <row r="219" spans="3:11" ht="19" x14ac:dyDescent="0.25">
      <c r="C219" s="66" t="s">
        <v>46</v>
      </c>
      <c r="D219" s="58">
        <f t="shared" ref="D219:D222" si="25">$Q24</f>
        <v>0</v>
      </c>
      <c r="E219" s="132">
        <f t="shared" ref="E219:E222" si="26">D219*4.184</f>
        <v>0</v>
      </c>
    </row>
    <row r="220" spans="3:11" ht="19" x14ac:dyDescent="0.25">
      <c r="C220" s="66" t="s">
        <v>47</v>
      </c>
      <c r="D220" s="58">
        <f t="shared" si="25"/>
        <v>2.9809999999999999</v>
      </c>
      <c r="E220" s="132">
        <f t="shared" si="26"/>
        <v>12.472504000000001</v>
      </c>
    </row>
    <row r="221" spans="3:11" ht="19" x14ac:dyDescent="0.25">
      <c r="C221" s="66" t="s">
        <v>48</v>
      </c>
      <c r="D221" s="58">
        <f t="shared" si="25"/>
        <v>2.9809999999999999</v>
      </c>
      <c r="E221" s="132">
        <f t="shared" si="26"/>
        <v>12.472504000000001</v>
      </c>
    </row>
    <row r="222" spans="3:11" ht="20" thickBot="1" x14ac:dyDescent="0.3">
      <c r="C222" s="67" t="s">
        <v>49</v>
      </c>
      <c r="D222" s="58">
        <f t="shared" si="25"/>
        <v>4.1470000000000002</v>
      </c>
      <c r="E222" s="132">
        <f t="shared" si="26"/>
        <v>17.351048000000002</v>
      </c>
      <c r="K222">
        <f>COLUMN(E218)</f>
        <v>5</v>
      </c>
    </row>
    <row r="223" spans="3:11" ht="24" customHeight="1" x14ac:dyDescent="0.2"/>
    <row r="224" spans="3:11" ht="17" thickBot="1" x14ac:dyDescent="0.25"/>
    <row r="225" spans="3:16" ht="23" thickBot="1" x14ac:dyDescent="0.35">
      <c r="D225" s="353" t="s">
        <v>115</v>
      </c>
      <c r="E225" s="354"/>
      <c r="F225" s="354"/>
      <c r="G225" s="354"/>
      <c r="H225" s="355"/>
      <c r="J225" s="162" t="s">
        <v>83</v>
      </c>
      <c r="K225" s="163"/>
      <c r="L225" s="163"/>
      <c r="M225" s="163"/>
      <c r="N225" s="163"/>
      <c r="O225" s="163"/>
      <c r="P225" s="1"/>
    </row>
    <row r="226" spans="3:16" ht="20" thickBot="1" x14ac:dyDescent="0.3">
      <c r="C226" s="189" t="s">
        <v>68</v>
      </c>
      <c r="D226" s="200" t="s">
        <v>114</v>
      </c>
      <c r="E226" s="201" t="s">
        <v>111</v>
      </c>
      <c r="F226" s="201" t="s">
        <v>112</v>
      </c>
      <c r="G226" s="202" t="s">
        <v>113</v>
      </c>
      <c r="H226" s="121" t="s">
        <v>116</v>
      </c>
      <c r="J226" s="1"/>
      <c r="K226" s="1"/>
      <c r="L226" s="1"/>
      <c r="M226" s="1"/>
      <c r="N226" s="1"/>
      <c r="O226" s="1"/>
      <c r="P226" s="1"/>
    </row>
    <row r="227" spans="3:16" ht="20" thickBot="1" x14ac:dyDescent="0.3">
      <c r="C227" s="173">
        <v>298.14999999999998</v>
      </c>
      <c r="D227" s="260">
        <f>3*$B$7/2</f>
        <v>12.471599999999999</v>
      </c>
      <c r="E227" s="261" cm="1">
        <f t="array" ref="E227">$B$7*SUM(($D$42:$D$59*$D$42:$D$59)*EXP($D$42:$D$59/$C227)/($C227^2*(EXP($D$42:$D$59/$C227)-1)^2))</f>
        <v>17.350607021581681</v>
      </c>
      <c r="F227" s="262">
        <f>3*$B$7/2</f>
        <v>12.471599999999999</v>
      </c>
      <c r="G227" s="263">
        <v>0</v>
      </c>
      <c r="H227" s="227">
        <f t="shared" ref="H227:H245" si="27">SUM(D227:G227)</f>
        <v>42.293807021581678</v>
      </c>
      <c r="K227" s="200" t="s">
        <v>114</v>
      </c>
      <c r="L227" s="201" t="s">
        <v>111</v>
      </c>
      <c r="M227" s="201" t="s">
        <v>112</v>
      </c>
      <c r="N227" s="202" t="s">
        <v>113</v>
      </c>
      <c r="O227" s="121" t="s">
        <v>116</v>
      </c>
      <c r="P227" s="1"/>
    </row>
    <row r="228" spans="3:16" ht="19" x14ac:dyDescent="0.25">
      <c r="C228" s="150">
        <v>300</v>
      </c>
      <c r="D228" s="220">
        <f>3*$B$7/2</f>
        <v>12.471599999999999</v>
      </c>
      <c r="E228" s="217" cm="1">
        <f t="array" ref="E228">$B$7*SUM(($D$42:$D$59*$D$42:$D$59)*EXP($D$42:$D$59/$C228)/($C228^2*(EXP($D$42:$D$59/$C228)-1)^2))</f>
        <v>17.567007479830941</v>
      </c>
      <c r="F228" s="247">
        <f>3*$B$7/2</f>
        <v>12.471599999999999</v>
      </c>
      <c r="G228" s="221">
        <v>0</v>
      </c>
      <c r="H228" s="227">
        <f t="shared" si="27"/>
        <v>42.510207479830939</v>
      </c>
      <c r="J228" s="71" t="s">
        <v>79</v>
      </c>
      <c r="K228" s="131">
        <f>D$227</f>
        <v>12.471599999999999</v>
      </c>
      <c r="L228" s="131">
        <f>E$227</f>
        <v>17.350607021581681</v>
      </c>
      <c r="M228" s="131">
        <f>F$227</f>
        <v>12.471599999999999</v>
      </c>
      <c r="N228" s="131">
        <f>G$227</f>
        <v>0</v>
      </c>
      <c r="O228" s="131">
        <f>H$227</f>
        <v>42.293807021581678</v>
      </c>
      <c r="P228" s="1"/>
    </row>
    <row r="229" spans="3:16" ht="20" thickBot="1" x14ac:dyDescent="0.3">
      <c r="C229" s="151">
        <f>C228+100</f>
        <v>400</v>
      </c>
      <c r="D229" s="220">
        <f t="shared" ref="D229:D245" si="28">3*$B$7/2</f>
        <v>12.471599999999999</v>
      </c>
      <c r="E229" s="217" cm="1">
        <f t="array" ref="E229">$B$7*SUM(($D$42:$D$59*$D$42:$D$59)*EXP($D$42:$D$59/$C229)/($C229^2*(EXP($D$42:$D$59/$C229)-1)^2))</f>
        <v>30.252336906465342</v>
      </c>
      <c r="F229" s="247">
        <f t="shared" ref="F229:F245" si="29">3*$B$7/2</f>
        <v>12.471599999999999</v>
      </c>
      <c r="G229" s="221">
        <v>0</v>
      </c>
      <c r="H229" s="328">
        <f t="shared" si="27"/>
        <v>55.195536906465335</v>
      </c>
      <c r="J229" s="72" t="s">
        <v>80</v>
      </c>
      <c r="K229" s="133">
        <f>E220</f>
        <v>12.472504000000001</v>
      </c>
      <c r="L229" s="133">
        <f>E222</f>
        <v>17.351048000000002</v>
      </c>
      <c r="M229" s="133">
        <f>E221</f>
        <v>12.472504000000001</v>
      </c>
      <c r="N229" s="133">
        <f>E219</f>
        <v>0</v>
      </c>
      <c r="O229" s="133">
        <f>E218</f>
        <v>42.296056</v>
      </c>
      <c r="P229" s="1"/>
    </row>
    <row r="230" spans="3:16" ht="22" x14ac:dyDescent="0.3">
      <c r="C230" s="151">
        <f t="shared" ref="C230:C245" si="30">C229+100</f>
        <v>500</v>
      </c>
      <c r="D230" s="220">
        <f t="shared" si="28"/>
        <v>12.471599999999999</v>
      </c>
      <c r="E230" s="217" cm="1">
        <f t="array" ref="E230">$B$7*SUM(($D$42:$D$59*$D$42:$D$59)*EXP($D$42:$D$59/$C230)/($C230^2*(EXP($D$42:$D$59/$C230)-1)^2))</f>
        <v>43.086325513241455</v>
      </c>
      <c r="F230" s="247">
        <f t="shared" si="29"/>
        <v>12.471599999999999</v>
      </c>
      <c r="G230" s="221">
        <v>0</v>
      </c>
      <c r="H230" s="328">
        <f t="shared" si="27"/>
        <v>68.029525513241452</v>
      </c>
      <c r="J230" s="17" t="s">
        <v>81</v>
      </c>
      <c r="K230" s="164">
        <f>IFERROR(ABS(K228-K229)/K228,0)</f>
        <v>7.2484685204946797E-5</v>
      </c>
      <c r="L230" s="164">
        <f t="shared" ref="L230:O230" si="31">IFERROR(ABS(L228-L229)/L228,0)</f>
        <v>2.5415734318296595E-5</v>
      </c>
      <c r="M230" s="164">
        <f t="shared" si="31"/>
        <v>7.2484685204946797E-5</v>
      </c>
      <c r="N230" s="164">
        <f t="shared" si="31"/>
        <v>0</v>
      </c>
      <c r="O230" s="164">
        <f t="shared" si="31"/>
        <v>5.3175123657573762E-5</v>
      </c>
      <c r="P230" s="1"/>
    </row>
    <row r="231" spans="3:16" ht="19" x14ac:dyDescent="0.25">
      <c r="C231" s="151">
        <f t="shared" si="30"/>
        <v>600</v>
      </c>
      <c r="D231" s="220">
        <f t="shared" si="28"/>
        <v>12.471599999999999</v>
      </c>
      <c r="E231" s="217" cm="1">
        <f t="array" ref="E231">$B$7*SUM(($D$42:$D$59*$D$42:$D$59)*EXP($D$42:$D$59/$C231)/($C231^2*(EXP($D$42:$D$59/$C231)-1)^2))</f>
        <v>54.786033318248045</v>
      </c>
      <c r="F231" s="247">
        <f t="shared" si="29"/>
        <v>12.471599999999999</v>
      </c>
      <c r="G231" s="221">
        <v>0</v>
      </c>
      <c r="H231" s="328">
        <f t="shared" si="27"/>
        <v>79.729233318248035</v>
      </c>
    </row>
    <row r="232" spans="3:16" ht="19" x14ac:dyDescent="0.25">
      <c r="C232" s="151">
        <f t="shared" si="30"/>
        <v>700</v>
      </c>
      <c r="D232" s="220">
        <f t="shared" si="28"/>
        <v>12.471599999999999</v>
      </c>
      <c r="E232" s="217" cm="1">
        <f t="array" ref="E232">$B$7*SUM(($D$42:$D$59*$D$42:$D$59)*EXP($D$42:$D$59/$C232)/($C232^2*(EXP($D$42:$D$59/$C232)-1)^2))</f>
        <v>65.160611554570465</v>
      </c>
      <c r="F232" s="247">
        <f t="shared" si="29"/>
        <v>12.471599999999999</v>
      </c>
      <c r="G232" s="221">
        <v>0</v>
      </c>
      <c r="H232" s="328">
        <f t="shared" si="27"/>
        <v>90.103811554570456</v>
      </c>
    </row>
    <row r="233" spans="3:16" ht="19" x14ac:dyDescent="0.25">
      <c r="C233" s="151">
        <f t="shared" si="30"/>
        <v>800</v>
      </c>
      <c r="D233" s="220">
        <f t="shared" si="28"/>
        <v>12.471599999999999</v>
      </c>
      <c r="E233" s="217" cm="1">
        <f t="array" ref="E233">$B$7*SUM(($D$42:$D$59*$D$42:$D$59)*EXP($D$42:$D$59/$C233)/($C233^2*(EXP($D$42:$D$59/$C233)-1)^2))</f>
        <v>74.325908418846566</v>
      </c>
      <c r="F233" s="247">
        <f t="shared" si="29"/>
        <v>12.471599999999999</v>
      </c>
      <c r="G233" s="221">
        <v>0</v>
      </c>
      <c r="H233" s="328">
        <f t="shared" si="27"/>
        <v>99.269108418846557</v>
      </c>
    </row>
    <row r="234" spans="3:16" ht="19" x14ac:dyDescent="0.25">
      <c r="C234" s="151">
        <f t="shared" si="30"/>
        <v>900</v>
      </c>
      <c r="D234" s="220">
        <f t="shared" si="28"/>
        <v>12.471599999999999</v>
      </c>
      <c r="E234" s="217" cm="1">
        <f t="array" ref="E234">$B$7*SUM(($D$42:$D$59*$D$42:$D$59)*EXP($D$42:$D$59/$C234)/($C234^2*(EXP($D$42:$D$59/$C234)-1)^2))</f>
        <v>82.41976269848476</v>
      </c>
      <c r="F234" s="247">
        <f t="shared" si="29"/>
        <v>12.471599999999999</v>
      </c>
      <c r="G234" s="221">
        <v>0</v>
      </c>
      <c r="H234" s="328">
        <f t="shared" si="27"/>
        <v>107.36296269848475</v>
      </c>
    </row>
    <row r="235" spans="3:16" ht="19" x14ac:dyDescent="0.25">
      <c r="C235" s="151">
        <f t="shared" si="30"/>
        <v>1000</v>
      </c>
      <c r="D235" s="220">
        <f t="shared" si="28"/>
        <v>12.471599999999999</v>
      </c>
      <c r="E235" s="217" cm="1">
        <f t="array" ref="E235">$B$7*SUM(($D$42:$D$59*$D$42:$D$59)*EXP($D$42:$D$59/$C235)/($C235^2*(EXP($D$42:$D$59/$C235)-1)^2))</f>
        <v>89.556384607124286</v>
      </c>
      <c r="F235" s="247">
        <f t="shared" si="29"/>
        <v>12.471599999999999</v>
      </c>
      <c r="G235" s="221">
        <v>0</v>
      </c>
      <c r="H235" s="328">
        <f t="shared" si="27"/>
        <v>114.49958460712428</v>
      </c>
    </row>
    <row r="236" spans="3:16" ht="19" x14ac:dyDescent="0.25">
      <c r="C236" s="151">
        <f t="shared" si="30"/>
        <v>1100</v>
      </c>
      <c r="D236" s="220">
        <f t="shared" si="28"/>
        <v>12.471599999999999</v>
      </c>
      <c r="E236" s="217" cm="1">
        <f t="array" ref="E236">$B$7*SUM(($D$42:$D$59*$D$42:$D$59)*EXP($D$42:$D$59/$C236)/($C236^2*(EXP($D$42:$D$59/$C236)-1)^2))</f>
        <v>95.834763459794686</v>
      </c>
      <c r="F236" s="247">
        <f t="shared" si="29"/>
        <v>12.471599999999999</v>
      </c>
      <c r="G236" s="221">
        <v>0</v>
      </c>
      <c r="H236" s="328">
        <f t="shared" si="27"/>
        <v>120.77796345979468</v>
      </c>
    </row>
    <row r="237" spans="3:16" ht="19" x14ac:dyDescent="0.25">
      <c r="C237" s="151">
        <f t="shared" si="30"/>
        <v>1200</v>
      </c>
      <c r="D237" s="220">
        <f t="shared" si="28"/>
        <v>12.471599999999999</v>
      </c>
      <c r="E237" s="217" cm="1">
        <f t="array" ref="E237">$B$7*SUM(($D$42:$D$59*$D$42:$D$59)*EXP($D$42:$D$59/$C237)/($C237^2*(EXP($D$42:$D$59/$C237)-1)^2))</f>
        <v>101.3471762527122</v>
      </c>
      <c r="F237" s="247">
        <f t="shared" si="29"/>
        <v>12.471599999999999</v>
      </c>
      <c r="G237" s="221">
        <v>0</v>
      </c>
      <c r="H237" s="328">
        <f t="shared" si="27"/>
        <v>126.29037625271219</v>
      </c>
    </row>
    <row r="238" spans="3:16" ht="19" x14ac:dyDescent="0.25">
      <c r="C238" s="151">
        <f t="shared" si="30"/>
        <v>1300</v>
      </c>
      <c r="D238" s="220">
        <f t="shared" si="28"/>
        <v>12.471599999999999</v>
      </c>
      <c r="E238" s="217" cm="1">
        <f t="array" ref="E238">$B$7*SUM(($D$42:$D$59*$D$42:$D$59)*EXP($D$42:$D$59/$C238)/($C238^2*(EXP($D$42:$D$59/$C238)-1)^2))</f>
        <v>106.18150770433223</v>
      </c>
      <c r="F238" s="247">
        <f t="shared" si="29"/>
        <v>12.471599999999999</v>
      </c>
      <c r="G238" s="221">
        <v>0</v>
      </c>
      <c r="H238" s="328">
        <f t="shared" si="27"/>
        <v>131.12470770433222</v>
      </c>
    </row>
    <row r="239" spans="3:16" ht="19" x14ac:dyDescent="0.25">
      <c r="C239" s="151">
        <f t="shared" si="30"/>
        <v>1400</v>
      </c>
      <c r="D239" s="220">
        <f t="shared" si="28"/>
        <v>12.471599999999999</v>
      </c>
      <c r="E239" s="217" cm="1">
        <f t="array" ref="E239">$B$7*SUM(($D$42:$D$59*$D$42:$D$59)*EXP($D$42:$D$59/$C239)/($C239^2*(EXP($D$42:$D$59/$C239)-1)^2))</f>
        <v>110.42041946030784</v>
      </c>
      <c r="F239" s="247">
        <f t="shared" si="29"/>
        <v>12.471599999999999</v>
      </c>
      <c r="G239" s="221">
        <v>0</v>
      </c>
      <c r="H239" s="328">
        <f t="shared" si="27"/>
        <v>135.36361946030783</v>
      </c>
    </row>
    <row r="240" spans="3:16" ht="19" x14ac:dyDescent="0.25">
      <c r="C240" s="151">
        <f t="shared" si="30"/>
        <v>1500</v>
      </c>
      <c r="D240" s="220">
        <f t="shared" si="28"/>
        <v>12.471599999999999</v>
      </c>
      <c r="E240" s="217" cm="1">
        <f t="array" ref="E240">$B$7*SUM(($D$42:$D$59*$D$42:$D$59)*EXP($D$42:$D$59/$C240)/($C240^2*(EXP($D$42:$D$59/$C240)-1)^2))</f>
        <v>114.13992078695976</v>
      </c>
      <c r="F240" s="247">
        <f t="shared" si="29"/>
        <v>12.471599999999999</v>
      </c>
      <c r="G240" s="221">
        <v>0</v>
      </c>
      <c r="H240" s="328">
        <f t="shared" si="27"/>
        <v>139.08312078695977</v>
      </c>
    </row>
    <row r="241" spans="3:11" ht="19" x14ac:dyDescent="0.25">
      <c r="C241" s="151">
        <f t="shared" si="30"/>
        <v>1600</v>
      </c>
      <c r="D241" s="220">
        <f t="shared" si="28"/>
        <v>12.471599999999999</v>
      </c>
      <c r="E241" s="217" cm="1">
        <f t="array" ref="E241">$B$7*SUM(($D$42:$D$59*$D$42:$D$59)*EXP($D$42:$D$59/$C241)/($C241^2*(EXP($D$42:$D$59/$C241)-1)^2))</f>
        <v>117.40840470009321</v>
      </c>
      <c r="F241" s="247">
        <f t="shared" si="29"/>
        <v>12.471599999999999</v>
      </c>
      <c r="G241" s="221">
        <v>0</v>
      </c>
      <c r="H241" s="328">
        <f t="shared" si="27"/>
        <v>142.35160470009322</v>
      </c>
    </row>
    <row r="242" spans="3:11" ht="19" x14ac:dyDescent="0.25">
      <c r="C242" s="151">
        <f t="shared" si="30"/>
        <v>1700</v>
      </c>
      <c r="D242" s="220">
        <f t="shared" si="28"/>
        <v>12.471599999999999</v>
      </c>
      <c r="E242" s="217" cm="1">
        <f t="array" ref="E242">$B$7*SUM(($D$42:$D$59*$D$42:$D$59)*EXP($D$42:$D$59/$C242)/($C242^2*(EXP($D$42:$D$59/$C242)-1)^2))</f>
        <v>120.28634828233129</v>
      </c>
      <c r="F242" s="247">
        <f t="shared" si="29"/>
        <v>12.471599999999999</v>
      </c>
      <c r="G242" s="221">
        <v>0</v>
      </c>
      <c r="H242" s="328">
        <f t="shared" si="27"/>
        <v>145.22954828233128</v>
      </c>
    </row>
    <row r="243" spans="3:11" ht="19" x14ac:dyDescent="0.25">
      <c r="C243" s="151">
        <f t="shared" si="30"/>
        <v>1800</v>
      </c>
      <c r="D243" s="220">
        <f t="shared" si="28"/>
        <v>12.471599999999999</v>
      </c>
      <c r="E243" s="217" cm="1">
        <f t="array" ref="E243">$B$7*SUM(($D$42:$D$59*$D$42:$D$59)*EXP($D$42:$D$59/$C243)/($C243^2*(EXP($D$42:$D$59/$C243)-1)^2))</f>
        <v>122.82654430130388</v>
      </c>
      <c r="F243" s="247">
        <f t="shared" si="29"/>
        <v>12.471599999999999</v>
      </c>
      <c r="G243" s="221">
        <v>0</v>
      </c>
      <c r="H243" s="328">
        <f t="shared" si="27"/>
        <v>147.76974430130389</v>
      </c>
    </row>
    <row r="244" spans="3:11" ht="19" x14ac:dyDescent="0.25">
      <c r="C244" s="151">
        <f t="shared" si="30"/>
        <v>1900</v>
      </c>
      <c r="D244" s="220">
        <f t="shared" si="28"/>
        <v>12.471599999999999</v>
      </c>
      <c r="E244" s="217" cm="1">
        <f t="array" ref="E244">$B$7*SUM(($D$42:$D$59*$D$42:$D$59)*EXP($D$42:$D$59/$C244)/($C244^2*(EXP($D$42:$D$59/$C244)-1)^2))</f>
        <v>125.07466475174434</v>
      </c>
      <c r="F244" s="247">
        <f t="shared" si="29"/>
        <v>12.471599999999999</v>
      </c>
      <c r="G244" s="221">
        <v>0</v>
      </c>
      <c r="H244" s="328">
        <f t="shared" si="27"/>
        <v>150.01786475174433</v>
      </c>
    </row>
    <row r="245" spans="3:11" ht="20" thickBot="1" x14ac:dyDescent="0.3">
      <c r="C245" s="152">
        <f t="shared" si="30"/>
        <v>2000</v>
      </c>
      <c r="D245" s="222">
        <f t="shared" si="28"/>
        <v>12.471599999999999</v>
      </c>
      <c r="E245" s="228" cm="1">
        <f t="array" ref="E245">$B$7*SUM(($D$42:$D$59*$D$42:$D$59)*EXP($D$42:$D$59/$C245)/($C245^2*(EXP($D$42:$D$59/$C245)-1)^2))</f>
        <v>127.06998803706077</v>
      </c>
      <c r="F245" s="229">
        <f t="shared" si="29"/>
        <v>12.471599999999999</v>
      </c>
      <c r="G245" s="223">
        <v>0</v>
      </c>
      <c r="H245" s="329">
        <f t="shared" si="27"/>
        <v>152.01318803706076</v>
      </c>
    </row>
    <row r="251" spans="3:11" ht="17" thickBot="1" x14ac:dyDescent="0.25"/>
    <row r="252" spans="3:11" ht="20" thickBot="1" x14ac:dyDescent="0.3">
      <c r="E252" s="1"/>
      <c r="F252" s="1" t="s">
        <v>66</v>
      </c>
      <c r="G252" s="1"/>
      <c r="H252" s="356" t="s">
        <v>110</v>
      </c>
      <c r="I252" s="357"/>
      <c r="J252" s="357"/>
      <c r="K252" s="358"/>
    </row>
    <row r="253" spans="3:11" ht="28" thickBot="1" x14ac:dyDescent="0.4">
      <c r="C253" s="125" t="s">
        <v>123</v>
      </c>
      <c r="D253" s="126"/>
      <c r="E253" s="1"/>
      <c r="F253" s="1"/>
      <c r="G253" s="1"/>
      <c r="H253" s="199" t="s">
        <v>106</v>
      </c>
      <c r="I253" s="199" t="s">
        <v>107</v>
      </c>
      <c r="J253" s="199" t="s">
        <v>108</v>
      </c>
      <c r="K253" s="199" t="s">
        <v>109</v>
      </c>
    </row>
    <row r="257" spans="3:10" ht="20" thickBot="1" x14ac:dyDescent="0.25">
      <c r="D257" s="359"/>
      <c r="E257" s="359"/>
    </row>
    <row r="258" spans="3:10" ht="20" thickBot="1" x14ac:dyDescent="0.25">
      <c r="D258" s="343" t="s">
        <v>118</v>
      </c>
      <c r="E258" s="344"/>
    </row>
    <row r="259" spans="3:10" ht="20" thickBot="1" x14ac:dyDescent="0.3">
      <c r="D259" s="176" t="s">
        <v>117</v>
      </c>
      <c r="E259" s="205" t="s">
        <v>115</v>
      </c>
    </row>
    <row r="260" spans="3:10" ht="19" x14ac:dyDescent="0.25">
      <c r="C260" s="65" t="s">
        <v>45</v>
      </c>
      <c r="D260" s="334">
        <f>R23</f>
        <v>56.628999999999998</v>
      </c>
      <c r="E260" s="131">
        <f>D260*4.184</f>
        <v>236.93573599999999</v>
      </c>
    </row>
    <row r="261" spans="3:10" ht="19" x14ac:dyDescent="0.25">
      <c r="C261" s="66" t="s">
        <v>46</v>
      </c>
      <c r="D261" s="335">
        <f t="shared" ref="D261:D264" si="32">R24</f>
        <v>0</v>
      </c>
      <c r="E261" s="132">
        <f t="shared" ref="E261:E264" si="33">D261*4.184</f>
        <v>0</v>
      </c>
    </row>
    <row r="262" spans="3:10" ht="19" x14ac:dyDescent="0.25">
      <c r="C262" s="66" t="s">
        <v>47</v>
      </c>
      <c r="D262" s="335">
        <f t="shared" si="32"/>
        <v>36.134</v>
      </c>
      <c r="E262" s="132">
        <f t="shared" si="33"/>
        <v>151.18465600000002</v>
      </c>
    </row>
    <row r="263" spans="3:10" ht="19" x14ac:dyDescent="0.25">
      <c r="C263" s="66" t="s">
        <v>48</v>
      </c>
      <c r="D263" s="335">
        <f t="shared" si="32"/>
        <v>18.48</v>
      </c>
      <c r="E263" s="132">
        <f t="shared" si="33"/>
        <v>77.320320000000009</v>
      </c>
    </row>
    <row r="264" spans="3:10" ht="20" thickBot="1" x14ac:dyDescent="0.3">
      <c r="C264" s="67" t="s">
        <v>49</v>
      </c>
      <c r="D264" s="336">
        <f t="shared" si="32"/>
        <v>2.0150000000000001</v>
      </c>
      <c r="E264" s="133">
        <f t="shared" si="33"/>
        <v>8.4307600000000011</v>
      </c>
    </row>
    <row r="266" spans="3:10" ht="17" thickBot="1" x14ac:dyDescent="0.25"/>
    <row r="267" spans="3:10" ht="20" thickBot="1" x14ac:dyDescent="0.3">
      <c r="C267" s="82" t="s">
        <v>26</v>
      </c>
      <c r="D267" s="210"/>
      <c r="E267" s="210"/>
      <c r="F267" s="210"/>
      <c r="G267" s="211"/>
      <c r="I267" s="115" t="s">
        <v>121</v>
      </c>
      <c r="J267" s="212">
        <f>($B$14^2)/(8*PI()*PI()*$G$271*$B$8)</f>
        <v>0.18595448614746521</v>
      </c>
    </row>
    <row r="268" spans="3:10" ht="20" thickBot="1" x14ac:dyDescent="0.3">
      <c r="C268" s="207"/>
      <c r="D268" s="105" t="s">
        <v>36</v>
      </c>
      <c r="E268" s="106" t="s">
        <v>37</v>
      </c>
      <c r="F268" s="107" t="s">
        <v>38</v>
      </c>
      <c r="G268" s="121" t="s">
        <v>116</v>
      </c>
      <c r="I268" s="104"/>
      <c r="J268" s="104"/>
    </row>
    <row r="269" spans="3:10" ht="22" thickBot="1" x14ac:dyDescent="0.3">
      <c r="C269" s="46" t="s">
        <v>31</v>
      </c>
      <c r="D269" s="339">
        <f>D$23</f>
        <v>22.483920000000001</v>
      </c>
      <c r="E269" s="55">
        <f t="shared" ref="E269:F269" si="34">E$23</f>
        <v>90.874970000000005</v>
      </c>
      <c r="F269" s="340">
        <f t="shared" si="34"/>
        <v>90.882649999999998</v>
      </c>
      <c r="G269" s="52">
        <f>SQRT(F269^2 + E269^2 + D269^2)</f>
        <v>130.47391655840565</v>
      </c>
      <c r="J269" s="104"/>
    </row>
    <row r="270" spans="3:10" ht="22" thickBot="1" x14ac:dyDescent="0.3">
      <c r="C270" s="47" t="s">
        <v>29</v>
      </c>
      <c r="D270" s="208">
        <f>D269*$U$9</f>
        <v>3.7323307200000001E-26</v>
      </c>
      <c r="E270" s="58">
        <f t="shared" ref="E270:F270" si="35">E269*$U$9</f>
        <v>1.5085245020000001E-25</v>
      </c>
      <c r="F270" s="341">
        <f t="shared" si="35"/>
        <v>1.5086519899999998E-25</v>
      </c>
      <c r="G270" s="52">
        <f t="shared" ref="G270:G271" si="36">SQRT(F270^2 + E270^2 + D270^2)</f>
        <v>2.1658670148695337E-25</v>
      </c>
    </row>
    <row r="271" spans="3:10" ht="22" thickBot="1" x14ac:dyDescent="0.3">
      <c r="C271" s="48" t="s">
        <v>30</v>
      </c>
      <c r="D271" s="59">
        <f>D270*($Q$8)^2</f>
        <v>3.7323307200000006E-46</v>
      </c>
      <c r="E271" s="60">
        <f>E270*($Q$8)^2</f>
        <v>1.5085245020000001E-45</v>
      </c>
      <c r="F271" s="204">
        <f t="shared" ref="F271" si="37">F270*($Q$8)^2</f>
        <v>1.5086519899999998E-45</v>
      </c>
      <c r="G271" s="52">
        <f t="shared" si="36"/>
        <v>2.1658670148695338E-45</v>
      </c>
    </row>
    <row r="272" spans="3:10" ht="17" thickBot="1" x14ac:dyDescent="0.25"/>
    <row r="273" spans="1:18" ht="20" thickBot="1" x14ac:dyDescent="0.3">
      <c r="F273" s="353" t="s">
        <v>115</v>
      </c>
      <c r="G273" s="354"/>
      <c r="H273" s="354"/>
      <c r="I273" s="354"/>
      <c r="J273" s="355"/>
    </row>
    <row r="274" spans="1:18" ht="23" thickBot="1" x14ac:dyDescent="0.35">
      <c r="C274" s="189" t="s">
        <v>68</v>
      </c>
      <c r="D274" s="206" t="s">
        <v>122</v>
      </c>
      <c r="E274" s="173" t="s">
        <v>120</v>
      </c>
      <c r="F274" s="200" t="s">
        <v>114</v>
      </c>
      <c r="G274" s="201" t="s">
        <v>111</v>
      </c>
      <c r="H274" s="201" t="s">
        <v>112</v>
      </c>
      <c r="I274" s="202" t="s">
        <v>113</v>
      </c>
      <c r="J274" s="121" t="s">
        <v>116</v>
      </c>
      <c r="L274" s="162" t="s">
        <v>83</v>
      </c>
      <c r="M274" s="163"/>
      <c r="N274" s="163"/>
      <c r="O274" s="163"/>
      <c r="P274" s="163"/>
      <c r="Q274" s="163"/>
    </row>
    <row r="275" spans="1:18" ht="20" thickBot="1" x14ac:dyDescent="0.3">
      <c r="C275" s="173">
        <v>298.14999999999998</v>
      </c>
      <c r="D275" s="213">
        <f>$B$7*C275/$B$16</f>
        <v>2.4465219442388352E-2</v>
      </c>
      <c r="E275" s="230">
        <f>((2*PI()*$A$28*$U$9*$B$8*$C275)/($B$14*$B$14))^(3/2)</f>
        <v>1.5927311609015205E+32</v>
      </c>
      <c r="F275" s="305">
        <f t="shared" ref="F275:F293" si="38">$B$7*LN(($D275/$B$6)*EXP(5/2)*E275)</f>
        <v>151.17882811230029</v>
      </c>
      <c r="G275" s="261" cm="1">
        <f t="array" ref="G275">$B$7*SUM((($D$42:$D$59)/$C275)/(EXP($D$42:$D$59/$C275)-1)-LN(1-EXP(-$D$42:$D$59/$C275)))</f>
        <v>8.432307080230645</v>
      </c>
      <c r="H275" s="306">
        <f>$B$7*(LN((SQRT(PI())/$A$31)*($C275^(3/2)/SQRT(C$29*D$29*E$29)))+3/2)</f>
        <v>77.318513709708512</v>
      </c>
      <c r="I275" s="263">
        <v>0</v>
      </c>
      <c r="J275" s="203">
        <f>SUM(F275:I275)</f>
        <v>236.92964890223948</v>
      </c>
      <c r="L275" s="1"/>
      <c r="M275" s="1"/>
      <c r="N275" s="1"/>
      <c r="O275" s="1"/>
      <c r="P275" s="1"/>
      <c r="Q275" s="1"/>
    </row>
    <row r="276" spans="1:18" ht="20" thickBot="1" x14ac:dyDescent="0.3">
      <c r="C276" s="150">
        <v>300</v>
      </c>
      <c r="D276" s="213">
        <f>$B$7*C276/$B$16</f>
        <v>2.4617024426350848E-2</v>
      </c>
      <c r="E276" s="230">
        <f>((2*PI()*$A$28*$U$9*$B$8*$C276)/($B$14*$B$14))^(3/2)</f>
        <v>1.6075783119341529E+32</v>
      </c>
      <c r="F276" s="216">
        <f t="shared" si="38"/>
        <v>151.30740530068439</v>
      </c>
      <c r="G276" s="225" cm="1">
        <f t="array" ref="G276">$B$7*SUM((($D$42:$D$50)/$C276)/(EXP($D$42:$D$50/$C276)-1)-LN(1-EXP(-$D$42:$D$50/$C276)))</f>
        <v>8.3919178865992414</v>
      </c>
      <c r="H276" s="235">
        <f t="shared" ref="H276:H281" si="39">$B$7*(LN((SQRT(PI())/$A$31)*($C276^(3/2)/SQRT(C$29*D$29*E$29)))+3/2)</f>
        <v>77.395660022739023</v>
      </c>
      <c r="I276" s="219">
        <v>0</v>
      </c>
      <c r="J276" s="203">
        <f>SUM(F276:I276)</f>
        <v>237.09498321002263</v>
      </c>
      <c r="N276" s="200" t="s">
        <v>114</v>
      </c>
      <c r="O276" s="201" t="s">
        <v>111</v>
      </c>
      <c r="P276" s="201" t="s">
        <v>112</v>
      </c>
      <c r="Q276" s="202" t="s">
        <v>113</v>
      </c>
      <c r="R276" s="121" t="s">
        <v>116</v>
      </c>
    </row>
    <row r="277" spans="1:18" ht="20" thickBot="1" x14ac:dyDescent="0.3">
      <c r="C277" s="151">
        <f>C276+100</f>
        <v>400</v>
      </c>
      <c r="D277" s="214">
        <f t="shared" ref="D277:D293" si="40">$B$7*C277/$B$16</f>
        <v>3.2822699235134464E-2</v>
      </c>
      <c r="E277" s="231">
        <f t="shared" ref="E277:E293" si="41">(2*PI()*$A$28*$U$9*$B$8*$C277/($B$14)^2)^(3/2)</f>
        <v>2.4750287230362555E+32</v>
      </c>
      <c r="F277" s="236">
        <f t="shared" si="38"/>
        <v>157.28716485866718</v>
      </c>
      <c r="G277" s="217" cm="1">
        <f t="array" ref="G277">$B$7*SUM((($D$42:$D$50)/$C277)/(EXP($D$42:$D$50/$C277)-1)-LN(1-EXP(-$D$42:$D$50/$C277)))</f>
        <v>14.581329824449908</v>
      </c>
      <c r="H277" s="218">
        <f t="shared" si="39"/>
        <v>80.98351575752865</v>
      </c>
      <c r="I277" s="221">
        <v>0</v>
      </c>
      <c r="J277" s="330">
        <f t="shared" ref="J277:J293" si="42">SUM(F277:I277)</f>
        <v>252.85201044064576</v>
      </c>
      <c r="M277" s="71" t="s">
        <v>79</v>
      </c>
      <c r="N277" s="239">
        <f>F$275</f>
        <v>151.17882811230029</v>
      </c>
      <c r="O277" s="239">
        <f>G$275</f>
        <v>8.432307080230645</v>
      </c>
      <c r="P277" s="239">
        <f>H$275</f>
        <v>77.318513709708512</v>
      </c>
      <c r="Q277" s="239">
        <f>I$275</f>
        <v>0</v>
      </c>
      <c r="R277" s="239">
        <f>J$275</f>
        <v>236.92964890223948</v>
      </c>
    </row>
    <row r="278" spans="1:18" ht="20" thickBot="1" x14ac:dyDescent="0.3">
      <c r="C278" s="151">
        <f t="shared" ref="C278:C293" si="43">C277+100</f>
        <v>500</v>
      </c>
      <c r="D278" s="214">
        <f t="shared" si="40"/>
        <v>4.1028374043918084E-2</v>
      </c>
      <c r="E278" s="231">
        <f t="shared" si="41"/>
        <v>3.4589577943584988E+32</v>
      </c>
      <c r="F278" s="236">
        <f t="shared" si="38"/>
        <v>161.92542671628439</v>
      </c>
      <c r="G278" s="217" cm="1">
        <f t="array" ref="G278">$B$7*SUM((($D$42:$D$50)/$C278)/(EXP($D$42:$D$50/$C278)-1)-LN(1-EXP(-$D$42:$D$50/$C278)))</f>
        <v>21.617814177319779</v>
      </c>
      <c r="H278" s="218">
        <f t="shared" si="39"/>
        <v>83.766472872098944</v>
      </c>
      <c r="I278" s="221">
        <v>0</v>
      </c>
      <c r="J278" s="330">
        <f t="shared" si="42"/>
        <v>267.30971376570312</v>
      </c>
      <c r="M278" s="72" t="s">
        <v>80</v>
      </c>
      <c r="N278" s="239">
        <f>E262</f>
        <v>151.18465600000002</v>
      </c>
      <c r="O278" s="239">
        <f>E264</f>
        <v>8.4307600000000011</v>
      </c>
      <c r="P278" s="239">
        <f>E263</f>
        <v>77.320320000000009</v>
      </c>
      <c r="Q278" s="239">
        <f>E261</f>
        <v>0</v>
      </c>
      <c r="R278" s="239">
        <f>E260</f>
        <v>236.93573599999999</v>
      </c>
    </row>
    <row r="279" spans="1:18" ht="22" x14ac:dyDescent="0.3">
      <c r="C279" s="151">
        <f t="shared" si="43"/>
        <v>600</v>
      </c>
      <c r="D279" s="214">
        <f t="shared" si="40"/>
        <v>4.9234048852701696E-2</v>
      </c>
      <c r="E279" s="231">
        <f t="shared" si="41"/>
        <v>4.5469181026282622E+32</v>
      </c>
      <c r="F279" s="236">
        <f t="shared" si="38"/>
        <v>165.71516259580343</v>
      </c>
      <c r="G279" s="217" cm="1">
        <f t="array" ref="G279">$B$7*SUM((($D$42:$D$50)/$C279)/(EXP($D$42:$D$50/$C279)-1)-LN(1-EXP(-$D$42:$D$50/$C279)))</f>
        <v>28.926283671754074</v>
      </c>
      <c r="H279" s="218">
        <f t="shared" si="39"/>
        <v>86.040314399810427</v>
      </c>
      <c r="I279" s="221">
        <v>0</v>
      </c>
      <c r="J279" s="330">
        <f t="shared" si="42"/>
        <v>280.68176066736794</v>
      </c>
      <c r="L279" s="1"/>
      <c r="M279" s="17" t="s">
        <v>81</v>
      </c>
      <c r="N279" s="164">
        <f>IFERROR(ABS(N277-N278)/N277,0)</f>
        <v>3.8549628757502992E-5</v>
      </c>
      <c r="O279" s="164">
        <f t="shared" ref="O279:R279" si="44">IFERROR(ABS(O277-O278)/O277,0)</f>
        <v>1.8347057524398824E-4</v>
      </c>
      <c r="P279" s="164">
        <f t="shared" si="44"/>
        <v>2.3361678915342316E-5</v>
      </c>
      <c r="Q279" s="164">
        <f t="shared" si="44"/>
        <v>0</v>
      </c>
      <c r="R279" s="164">
        <f t="shared" si="44"/>
        <v>2.5691583086864059E-5</v>
      </c>
    </row>
    <row r="280" spans="1:18" ht="19" x14ac:dyDescent="0.25">
      <c r="A280" s="16"/>
      <c r="C280" s="151">
        <f t="shared" si="43"/>
        <v>700</v>
      </c>
      <c r="D280" s="214">
        <f t="shared" si="40"/>
        <v>5.7439723661485309E-2</v>
      </c>
      <c r="E280" s="231">
        <f t="shared" si="41"/>
        <v>5.729771677783776E+32</v>
      </c>
      <c r="F280" s="236">
        <f t="shared" si="38"/>
        <v>168.91933862669296</v>
      </c>
      <c r="G280" s="217" cm="1">
        <f t="array" ref="G280">$B$7*SUM((($D$42:$D$50)/$C280)/(EXP($D$42:$D$50/$C280)-1)-LN(1-EXP(-$D$42:$D$50/$C280)))</f>
        <v>36.149568567947043</v>
      </c>
      <c r="H280" s="218">
        <f t="shared" si="39"/>
        <v>87.962820018344061</v>
      </c>
      <c r="I280" s="221">
        <v>0</v>
      </c>
      <c r="J280" s="330">
        <f t="shared" si="42"/>
        <v>293.03172721298409</v>
      </c>
    </row>
    <row r="281" spans="1:18" ht="19" x14ac:dyDescent="0.25">
      <c r="A281" s="16"/>
      <c r="C281" s="151">
        <f t="shared" si="43"/>
        <v>800</v>
      </c>
      <c r="D281" s="214">
        <f t="shared" si="40"/>
        <v>6.5645398470268929E-2</v>
      </c>
      <c r="E281" s="231">
        <f t="shared" si="41"/>
        <v>7.0004383747616906E+32</v>
      </c>
      <c r="F281" s="236">
        <f t="shared" si="38"/>
        <v>171.69492215378622</v>
      </c>
      <c r="G281" s="217" cm="1">
        <f t="array" ref="G281">$B$7*SUM((($D$42:$D$50)/$C281)/(EXP($D$42:$D$50/$C281)-1)-LN(1-EXP(-$D$42:$D$50/$C281)))</f>
        <v>43.104672000414141</v>
      </c>
      <c r="H281" s="218">
        <f t="shared" si="39"/>
        <v>89.628170134600055</v>
      </c>
      <c r="I281" s="221">
        <v>0</v>
      </c>
      <c r="J281" s="330">
        <f t="shared" si="42"/>
        <v>304.4277642888004</v>
      </c>
    </row>
    <row r="282" spans="1:18" ht="19" x14ac:dyDescent="0.25">
      <c r="C282" s="151">
        <f t="shared" si="43"/>
        <v>900</v>
      </c>
      <c r="D282" s="214">
        <f t="shared" si="40"/>
        <v>7.3851073279052548E-2</v>
      </c>
      <c r="E282" s="231">
        <f t="shared" si="41"/>
        <v>8.3532219402473749E+32</v>
      </c>
      <c r="F282" s="236">
        <f t="shared" si="38"/>
        <v>174.14316033293977</v>
      </c>
      <c r="G282" s="217" cm="1">
        <f t="array" ref="G282">$B$7*SUM((($D$42:$D$50)/$C282)/(EXP($D$42:$D$50/$C282)-1)-LN(1-EXP(-$D$42:$D$50/$C282)))</f>
        <v>49.713132484834098</v>
      </c>
      <c r="H282" s="218">
        <f>$B$7*(LN((SQRT(PI())/$A$31)*($C282^(3/2)/SQRT(C$29*D$29*E$29)))+3/2)</f>
        <v>91.097113042092218</v>
      </c>
      <c r="I282" s="221">
        <v>0</v>
      </c>
      <c r="J282" s="330">
        <f t="shared" si="42"/>
        <v>314.95340585986605</v>
      </c>
    </row>
    <row r="283" spans="1:18" ht="19" x14ac:dyDescent="0.25">
      <c r="C283" s="151">
        <f t="shared" si="43"/>
        <v>1000</v>
      </c>
      <c r="D283" s="214">
        <f t="shared" si="40"/>
        <v>8.2056748087836168E-2</v>
      </c>
      <c r="E283" s="231">
        <f t="shared" si="41"/>
        <v>9.7834100489157217E+32</v>
      </c>
      <c r="F283" s="236">
        <f t="shared" si="38"/>
        <v>176.33318401140332</v>
      </c>
      <c r="G283" s="217" cm="1">
        <f t="array" ref="G283">$B$7*SUM((($D$42:$D$50)/$C283)/(EXP($D$42:$D$50/$C283)-1)-LN(1-EXP(-$D$42:$D$50/$C283)))</f>
        <v>55.952730604060939</v>
      </c>
      <c r="H283" s="218">
        <f t="shared" ref="H283:H293" si="45">$B$7*(LN((SQRT(PI())/$A$31)*($C283^(3/2)/SQRT(C$29*D$29*E$29)))+3/2)</f>
        <v>92.411127249170363</v>
      </c>
      <c r="I283" s="221">
        <v>0</v>
      </c>
      <c r="J283" s="330">
        <f t="shared" si="42"/>
        <v>324.69704186463463</v>
      </c>
    </row>
    <row r="284" spans="1:18" ht="19" x14ac:dyDescent="0.25">
      <c r="C284" s="151">
        <f t="shared" si="43"/>
        <v>1100</v>
      </c>
      <c r="D284" s="214">
        <f t="shared" si="40"/>
        <v>9.0262422896619773E-2</v>
      </c>
      <c r="E284" s="231">
        <f t="shared" si="41"/>
        <v>1.1287019727037616E+33</v>
      </c>
      <c r="F284" s="236">
        <f t="shared" si="38"/>
        <v>178.31430140881608</v>
      </c>
      <c r="G284" s="217" cm="1">
        <f t="array" ref="G284">$B$7*SUM((($D$42:$D$50)/$C284)/(EXP($D$42:$D$50/$C284)-1)-LN(1-EXP(-$D$42:$D$50/$C284)))</f>
        <v>61.829561008055819</v>
      </c>
      <c r="H284" s="218">
        <f t="shared" si="45"/>
        <v>93.599797687617965</v>
      </c>
      <c r="I284" s="221">
        <v>0</v>
      </c>
      <c r="J284" s="330">
        <f t="shared" si="42"/>
        <v>333.74366010448989</v>
      </c>
    </row>
    <row r="285" spans="1:18" ht="19" x14ac:dyDescent="0.25">
      <c r="C285" s="151">
        <f t="shared" si="43"/>
        <v>1200</v>
      </c>
      <c r="D285" s="214">
        <f t="shared" si="40"/>
        <v>9.8468097705403393E-2</v>
      </c>
      <c r="E285" s="231">
        <f t="shared" si="41"/>
        <v>1.2860626495473295E+33</v>
      </c>
      <c r="F285" s="236">
        <f t="shared" si="38"/>
        <v>180.12291989092247</v>
      </c>
      <c r="G285" s="217" cm="1">
        <f t="array" ref="G285">$B$7*SUM((($D$42:$D$50)/$C285)/(EXP($D$42:$D$50/$C285)-1)-LN(1-EXP(-$D$42:$D$50/$C285)))</f>
        <v>67.362912658441516</v>
      </c>
      <c r="H285" s="218">
        <f t="shared" si="45"/>
        <v>94.684968776881846</v>
      </c>
      <c r="I285" s="221">
        <v>0</v>
      </c>
      <c r="J285" s="330">
        <f t="shared" si="42"/>
        <v>342.17080132624585</v>
      </c>
    </row>
    <row r="286" spans="1:18" ht="19" x14ac:dyDescent="0.25">
      <c r="C286" s="151">
        <f t="shared" si="43"/>
        <v>1300</v>
      </c>
      <c r="D286" s="214">
        <f t="shared" si="40"/>
        <v>0.10667377251418701</v>
      </c>
      <c r="E286" s="231">
        <f t="shared" si="41"/>
        <v>1.4501244824874201E+33</v>
      </c>
      <c r="F286" s="236">
        <f t="shared" si="38"/>
        <v>181.7866876126246</v>
      </c>
      <c r="G286" s="217" cm="1">
        <f t="array" ref="G286">$B$7*SUM((($D$42:$D$50)/$C286)/(EXP($D$42:$D$50/$C286)-1)-LN(1-EXP(-$D$42:$D$50/$C286)))</f>
        <v>72.57733790170218</v>
      </c>
      <c r="H286" s="218">
        <f t="shared" si="45"/>
        <v>95.68322940990312</v>
      </c>
      <c r="I286" s="221">
        <v>0</v>
      </c>
      <c r="J286" s="330">
        <f t="shared" si="42"/>
        <v>350.04725492422989</v>
      </c>
    </row>
    <row r="287" spans="1:18" ht="19" x14ac:dyDescent="0.25">
      <c r="C287" s="151">
        <f t="shared" si="43"/>
        <v>1400</v>
      </c>
      <c r="D287" s="214">
        <f t="shared" si="40"/>
        <v>0.11487944732297062</v>
      </c>
      <c r="E287" s="231">
        <f t="shared" si="41"/>
        <v>1.6206241632046164E+33</v>
      </c>
      <c r="F287" s="236">
        <f t="shared" si="38"/>
        <v>183.32709592181197</v>
      </c>
      <c r="G287" s="217" cm="1">
        <f t="array" ref="G287">$B$7*SUM((($D$42:$D$50)/$C287)/(EXP($D$42:$D$50/$C287)-1)-LN(1-EXP(-$D$42:$D$50/$C287)))</f>
        <v>77.498599835307743</v>
      </c>
      <c r="H287" s="218">
        <f t="shared" si="45"/>
        <v>96.60747439541548</v>
      </c>
      <c r="I287" s="221">
        <v>0</v>
      </c>
      <c r="J287" s="330">
        <f t="shared" si="42"/>
        <v>357.43317015253518</v>
      </c>
    </row>
    <row r="288" spans="1:18" ht="19" x14ac:dyDescent="0.25">
      <c r="C288" s="151">
        <f t="shared" si="43"/>
        <v>1500</v>
      </c>
      <c r="D288" s="214">
        <f t="shared" si="40"/>
        <v>0.12308512213175424</v>
      </c>
      <c r="E288" s="231">
        <f t="shared" si="41"/>
        <v>1.797327192319584E+33</v>
      </c>
      <c r="F288" s="236">
        <f t="shared" si="38"/>
        <v>184.76118174853968</v>
      </c>
      <c r="G288" s="217" cm="1">
        <f t="array" ref="G288">$B$7*SUM((($D$42:$D$50)/$C288)/(EXP($D$42:$D$50/$C288)-1)-LN(1-EXP(-$D$42:$D$50/$C288)))</f>
        <v>82.151681663331004</v>
      </c>
      <c r="H288" s="218">
        <f t="shared" si="45"/>
        <v>97.467925891452154</v>
      </c>
      <c r="I288" s="221">
        <v>0</v>
      </c>
      <c r="J288" s="330">
        <f t="shared" si="42"/>
        <v>364.3807893033229</v>
      </c>
    </row>
    <row r="289" spans="3:10" ht="19" x14ac:dyDescent="0.25">
      <c r="C289" s="151">
        <f t="shared" si="43"/>
        <v>1600</v>
      </c>
      <c r="D289" s="214">
        <f t="shared" si="40"/>
        <v>0.13129079694053786</v>
      </c>
      <c r="E289" s="231">
        <f t="shared" si="41"/>
        <v>1.9800229784290153E+33</v>
      </c>
      <c r="F289" s="236">
        <f t="shared" si="38"/>
        <v>186.10267944890526</v>
      </c>
      <c r="G289" s="217" cm="1">
        <f t="array" ref="G289">$B$7*SUM((($D$42:$D$50)/$C289)/(EXP($D$42:$D$50/$C289)-1)-LN(1-EXP(-$D$42:$D$50/$C289)))</f>
        <v>86.559883872372708</v>
      </c>
      <c r="H289" s="218">
        <f t="shared" si="45"/>
        <v>98.272824511671473</v>
      </c>
      <c r="I289" s="221">
        <v>0</v>
      </c>
      <c r="J289" s="330">
        <f t="shared" si="42"/>
        <v>370.93538783294946</v>
      </c>
    </row>
    <row r="290" spans="3:10" ht="19" x14ac:dyDescent="0.25">
      <c r="C290" s="151">
        <f t="shared" si="43"/>
        <v>1700</v>
      </c>
      <c r="D290" s="214">
        <f t="shared" si="40"/>
        <v>0.13949647174932148</v>
      </c>
      <c r="E290" s="231">
        <f t="shared" si="41"/>
        <v>2.1685210309471637E+33</v>
      </c>
      <c r="F290" s="236">
        <f t="shared" si="38"/>
        <v>187.36282283798161</v>
      </c>
      <c r="G290" s="217" cm="1">
        <f t="array" ref="G290">$B$7*SUM((($D$42:$D$50)/$C290)/(EXP($D$42:$D$50/$C290)-1)-LN(1-EXP(-$D$42:$D$50/$C290)))</f>
        <v>90.744489215088805</v>
      </c>
      <c r="H290" s="218">
        <f t="shared" si="45"/>
        <v>99.028910545117327</v>
      </c>
      <c r="I290" s="221">
        <v>0</v>
      </c>
      <c r="J290" s="330">
        <f t="shared" si="42"/>
        <v>377.13622259818771</v>
      </c>
    </row>
    <row r="291" spans="3:10" ht="19" x14ac:dyDescent="0.25">
      <c r="C291" s="151">
        <f t="shared" si="43"/>
        <v>1800</v>
      </c>
      <c r="D291" s="214">
        <f t="shared" si="40"/>
        <v>0.1477021465581051</v>
      </c>
      <c r="E291" s="231">
        <f t="shared" si="41"/>
        <v>2.3626479514820739E+33</v>
      </c>
      <c r="F291" s="236">
        <f t="shared" si="38"/>
        <v>188.55091762805884</v>
      </c>
      <c r="G291" s="217" cm="1">
        <f t="array" ref="G291">$B$7*SUM((($D$42:$D$50)/$C291)/(EXP($D$42:$D$50/$C291)-1)-LN(1-EXP(-$D$42:$D$50/$C291)))</f>
        <v>94.72471760891213</v>
      </c>
      <c r="H291" s="218">
        <f t="shared" si="45"/>
        <v>99.741767419163637</v>
      </c>
      <c r="I291" s="221">
        <v>0</v>
      </c>
      <c r="J291" s="330">
        <f t="shared" si="42"/>
        <v>383.01740265613461</v>
      </c>
    </row>
    <row r="292" spans="3:10" ht="19" x14ac:dyDescent="0.25">
      <c r="C292" s="151">
        <f t="shared" si="43"/>
        <v>1900</v>
      </c>
      <c r="D292" s="214">
        <f t="shared" si="40"/>
        <v>0.15590782136688872</v>
      </c>
      <c r="E292" s="231">
        <f t="shared" si="41"/>
        <v>2.5622450204429636E+33</v>
      </c>
      <c r="F292" s="236">
        <f t="shared" si="38"/>
        <v>189.67475888938284</v>
      </c>
      <c r="G292" s="217" cm="1">
        <f t="array" ref="G292">$B$7*SUM((($D$42:$D$50)/$C292)/(EXP($D$42:$D$50/$C292)-1)-LN(1-EXP(-$D$42:$D$50/$C292)))</f>
        <v>98.517822317417028</v>
      </c>
      <c r="H292" s="218">
        <f t="shared" si="45"/>
        <v>100.41607217595801</v>
      </c>
      <c r="I292" s="221">
        <v>0</v>
      </c>
      <c r="J292" s="330">
        <f t="shared" si="42"/>
        <v>388.60865338275789</v>
      </c>
    </row>
    <row r="293" spans="3:10" ht="20" thickBot="1" x14ac:dyDescent="0.3">
      <c r="C293" s="152">
        <f t="shared" si="43"/>
        <v>2000</v>
      </c>
      <c r="D293" s="215">
        <f t="shared" si="40"/>
        <v>0.16411349617567234</v>
      </c>
      <c r="E293" s="232">
        <f t="shared" si="41"/>
        <v>2.7671662354867754E+33</v>
      </c>
      <c r="F293" s="237">
        <f t="shared" si="38"/>
        <v>190.74094130652236</v>
      </c>
      <c r="G293" s="228" cm="1">
        <f t="array" ref="G293">$B$7*SUM((($D$42:$D$50)/$C293)/(EXP($D$42:$D$50/$C293)-1)-LN(1-EXP(-$D$42:$D$50/$C293)))</f>
        <v>102.13924820811376</v>
      </c>
      <c r="H293" s="238">
        <f t="shared" si="45"/>
        <v>101.05578162624177</v>
      </c>
      <c r="I293" s="223">
        <v>0</v>
      </c>
      <c r="J293" s="331">
        <f t="shared" si="42"/>
        <v>393.93597114087788</v>
      </c>
    </row>
  </sheetData>
  <mergeCells count="10">
    <mergeCell ref="H252:K252"/>
    <mergeCell ref="D257:E257"/>
    <mergeCell ref="D258:E258"/>
    <mergeCell ref="F273:J273"/>
    <mergeCell ref="A18:V18"/>
    <mergeCell ref="A62:V62"/>
    <mergeCell ref="C109:U109"/>
    <mergeCell ref="H211:K211"/>
    <mergeCell ref="D216:E216"/>
    <mergeCell ref="D225:H2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05C0F-05D7-1F42-9311-3816D7EE4FA4}">
  <dimension ref="A3:AA280"/>
  <sheetViews>
    <sheetView topLeftCell="A250" zoomScale="85" workbookViewId="0">
      <selection activeCell="E256" sqref="E256:E257"/>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47" t="s">
        <v>0</v>
      </c>
      <c r="B5" s="148"/>
      <c r="D5" s="8" t="s">
        <v>13</v>
      </c>
      <c r="E5" s="9"/>
      <c r="F5" s="9"/>
      <c r="G5" s="9"/>
      <c r="H5" s="9"/>
      <c r="I5" s="9"/>
      <c r="J5" s="9"/>
      <c r="K5" s="9"/>
      <c r="L5" s="10"/>
      <c r="N5" s="21" t="s">
        <v>17</v>
      </c>
      <c r="O5" s="22"/>
      <c r="P5" s="22"/>
      <c r="Q5" s="23"/>
      <c r="S5" s="33" t="s">
        <v>34</v>
      </c>
      <c r="T5" s="34"/>
      <c r="U5" s="34"/>
      <c r="V5" s="35"/>
    </row>
    <row r="6" spans="1:22" ht="32" customHeight="1" x14ac:dyDescent="0.3">
      <c r="A6" s="139" t="s">
        <v>1</v>
      </c>
      <c r="B6" s="146">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2" t="s">
        <v>2</v>
      </c>
      <c r="B7" s="143">
        <v>8.3143999999999991</v>
      </c>
      <c r="D7" s="11" t="s">
        <v>7</v>
      </c>
      <c r="E7" s="312">
        <v>1</v>
      </c>
      <c r="F7" s="312">
        <v>27.210699999999999</v>
      </c>
      <c r="G7" s="312">
        <v>219474.63</v>
      </c>
      <c r="H7" s="312">
        <v>627.50300000000004</v>
      </c>
      <c r="I7" s="312">
        <v>2625.5</v>
      </c>
      <c r="J7" s="312">
        <v>315777</v>
      </c>
      <c r="K7" s="312">
        <v>4.3599999999999999E-18</v>
      </c>
      <c r="L7" s="313">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6" t="s">
        <v>3</v>
      </c>
      <c r="B8" s="137">
        <v>1.38065E-23</v>
      </c>
      <c r="D8" s="11" t="s">
        <v>8</v>
      </c>
      <c r="E8" s="312">
        <v>3.6750199999999997E-2</v>
      </c>
      <c r="F8" s="312">
        <v>1</v>
      </c>
      <c r="G8" s="312">
        <v>8065.73</v>
      </c>
      <c r="H8" s="312">
        <v>23.0609</v>
      </c>
      <c r="I8" s="312">
        <v>96.486900000000006</v>
      </c>
      <c r="J8" s="312">
        <v>11604.9</v>
      </c>
      <c r="K8" s="7">
        <v>1.6021E-19</v>
      </c>
      <c r="L8" s="313">
        <v>241804000000000</v>
      </c>
      <c r="N8" s="25" t="s">
        <v>19</v>
      </c>
      <c r="O8" s="20">
        <v>1.8897299999999999</v>
      </c>
      <c r="P8" s="19">
        <v>1</v>
      </c>
      <c r="Q8" s="26">
        <v>1E-10</v>
      </c>
      <c r="S8" s="39" t="s">
        <v>35</v>
      </c>
      <c r="T8" s="41">
        <v>1.098E+30</v>
      </c>
      <c r="U8" s="40">
        <v>1</v>
      </c>
      <c r="V8" s="42">
        <f>1/U9</f>
        <v>6.0240963855421691E+26</v>
      </c>
    </row>
    <row r="9" spans="1:22" ht="22" thickBot="1" x14ac:dyDescent="0.3">
      <c r="A9" s="142" t="s">
        <v>4</v>
      </c>
      <c r="B9" s="144">
        <v>1.6021760000000001E-16</v>
      </c>
      <c r="D9" s="11" t="s">
        <v>14</v>
      </c>
      <c r="E9" s="312">
        <v>4.5563300000000003E-6</v>
      </c>
      <c r="F9" s="312">
        <v>1.23981E-4</v>
      </c>
      <c r="G9" s="312">
        <v>1</v>
      </c>
      <c r="H9" s="312">
        <v>2.8591100000000002E-3</v>
      </c>
      <c r="I9" s="312">
        <v>1.19627E-2</v>
      </c>
      <c r="J9" s="312">
        <v>1.42879</v>
      </c>
      <c r="K9" s="312">
        <v>1.9863000000000001E-23</v>
      </c>
      <c r="L9" s="314">
        <v>29979300000</v>
      </c>
      <c r="N9" s="27" t="s">
        <v>20</v>
      </c>
      <c r="O9" s="28">
        <v>18900000000</v>
      </c>
      <c r="P9" s="28">
        <v>10000000000</v>
      </c>
      <c r="Q9" s="29">
        <v>1</v>
      </c>
      <c r="S9" s="43" t="s">
        <v>78</v>
      </c>
      <c r="T9" s="44">
        <f>U9*T8</f>
        <v>1822.6799999999998</v>
      </c>
      <c r="U9" s="44">
        <v>1.6599999999999999E-27</v>
      </c>
      <c r="V9" s="45">
        <v>1</v>
      </c>
    </row>
    <row r="10" spans="1:22" ht="21" x14ac:dyDescent="0.3">
      <c r="A10" s="135" t="s">
        <v>5</v>
      </c>
      <c r="B10" s="138">
        <v>9.1092999999999998E-31</v>
      </c>
      <c r="D10" s="11" t="s">
        <v>9</v>
      </c>
      <c r="E10" s="312">
        <v>1.59362E-3</v>
      </c>
      <c r="F10" s="312">
        <v>4.3363400000000003E-2</v>
      </c>
      <c r="G10" s="312">
        <v>349.75700000000001</v>
      </c>
      <c r="H10" s="312">
        <v>1</v>
      </c>
      <c r="I10" s="312">
        <v>4.1840000000000002</v>
      </c>
      <c r="J10" s="312">
        <v>503.22800000000001</v>
      </c>
      <c r="K10" s="312">
        <v>6.9500000000000005E-21</v>
      </c>
      <c r="L10" s="313">
        <v>10485400000000</v>
      </c>
    </row>
    <row r="11" spans="1:22" ht="22" x14ac:dyDescent="0.3">
      <c r="A11" s="142" t="s">
        <v>16</v>
      </c>
      <c r="B11" s="149">
        <v>8.8541799999999997E-12</v>
      </c>
      <c r="D11" s="11" t="s">
        <v>10</v>
      </c>
      <c r="E11" s="312">
        <v>3.8088E-4</v>
      </c>
      <c r="F11" s="312">
        <v>1.0364099999999999E-2</v>
      </c>
      <c r="G11" s="312">
        <v>83.593000000000004</v>
      </c>
      <c r="H11" s="312">
        <v>0.23900099999999999</v>
      </c>
      <c r="I11" s="312">
        <v>1</v>
      </c>
      <c r="J11" s="312">
        <v>120.274</v>
      </c>
      <c r="K11" s="312">
        <v>1.6599999999999999E-21</v>
      </c>
      <c r="L11" s="313">
        <v>2506070000000</v>
      </c>
    </row>
    <row r="12" spans="1:22" ht="22" x14ac:dyDescent="0.3">
      <c r="A12" s="135" t="s">
        <v>6</v>
      </c>
      <c r="B12" s="138">
        <v>5.2917700000000002E-12</v>
      </c>
      <c r="D12" s="13" t="s">
        <v>15</v>
      </c>
      <c r="E12" s="312">
        <v>3.1667800000000002E-6</v>
      </c>
      <c r="F12" s="312">
        <v>8.6170500000000004E-5</v>
      </c>
      <c r="G12" s="312">
        <v>0.69502799999999998</v>
      </c>
      <c r="H12" s="312">
        <v>1.9871699999999999E-3</v>
      </c>
      <c r="I12" s="312">
        <v>8.3143499999999999E-3</v>
      </c>
      <c r="J12" s="312">
        <v>1</v>
      </c>
      <c r="K12" s="312">
        <v>1.38054E-23</v>
      </c>
      <c r="L12" s="314">
        <v>20836400000</v>
      </c>
    </row>
    <row r="13" spans="1:22" ht="19" x14ac:dyDescent="0.25">
      <c r="A13" s="142" t="s">
        <v>71</v>
      </c>
      <c r="B13" s="145">
        <f>298.15</f>
        <v>298.14999999999998</v>
      </c>
      <c r="D13" s="11" t="s">
        <v>11</v>
      </c>
      <c r="E13" s="312">
        <v>2.294E+17</v>
      </c>
      <c r="F13" s="312">
        <v>6.24181E+18</v>
      </c>
      <c r="G13" s="312">
        <v>5.0344500000000003E+22</v>
      </c>
      <c r="H13" s="312">
        <v>1.44E+20</v>
      </c>
      <c r="I13" s="312">
        <v>6.02E+20</v>
      </c>
      <c r="J13" s="312">
        <v>7.2435399999999999E+22</v>
      </c>
      <c r="K13" s="312">
        <v>1</v>
      </c>
      <c r="L13" s="313">
        <v>1.5093E+33</v>
      </c>
    </row>
    <row r="14" spans="1:22" ht="20" thickBot="1" x14ac:dyDescent="0.3">
      <c r="A14" s="142" t="s">
        <v>76</v>
      </c>
      <c r="B14" s="158">
        <v>6.626068E-34</v>
      </c>
      <c r="D14" s="14" t="s">
        <v>12</v>
      </c>
      <c r="E14" s="315">
        <v>1.5198300000000001E-16</v>
      </c>
      <c r="F14" s="315">
        <v>4.13558E-15</v>
      </c>
      <c r="G14" s="315">
        <v>3.3356499999999997E-11</v>
      </c>
      <c r="H14" s="315">
        <v>9.5370200000000003E-14</v>
      </c>
      <c r="I14" s="315"/>
      <c r="J14" s="315">
        <v>4.7993E-11</v>
      </c>
      <c r="K14" s="315">
        <v>6.62561E-34</v>
      </c>
      <c r="L14" s="316">
        <v>1</v>
      </c>
    </row>
    <row r="15" spans="1:22" ht="19" x14ac:dyDescent="0.25">
      <c r="A15" s="135" t="s">
        <v>72</v>
      </c>
      <c r="B15" s="140">
        <v>1</v>
      </c>
    </row>
    <row r="16" spans="1:22" ht="19" x14ac:dyDescent="0.25">
      <c r="A16" s="142" t="s">
        <v>74</v>
      </c>
      <c r="B16" s="145">
        <v>101325</v>
      </c>
    </row>
    <row r="17" spans="1:27" ht="21" x14ac:dyDescent="0.25">
      <c r="A17" s="139" t="s">
        <v>73</v>
      </c>
      <c r="B17" s="141">
        <v>299792459</v>
      </c>
    </row>
    <row r="18" spans="1:27" ht="34" thickBot="1" x14ac:dyDescent="0.5">
      <c r="A18" s="349" t="s">
        <v>133</v>
      </c>
      <c r="B18" s="349"/>
      <c r="C18" s="349"/>
      <c r="D18" s="349"/>
      <c r="E18" s="349"/>
      <c r="F18" s="349"/>
      <c r="G18" s="349"/>
      <c r="H18" s="349"/>
      <c r="I18" s="349"/>
      <c r="J18" s="349"/>
      <c r="K18" s="349"/>
      <c r="L18" s="349"/>
      <c r="M18" s="349"/>
      <c r="N18" s="349"/>
      <c r="O18" s="349"/>
      <c r="P18" s="349"/>
      <c r="Q18" s="349"/>
      <c r="R18" s="349"/>
      <c r="S18" s="349"/>
      <c r="T18" s="349"/>
      <c r="U18" s="349"/>
      <c r="V18" s="349"/>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4"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7.6653799999999999</v>
      </c>
      <c r="E23" s="55">
        <v>139.79329999999999</v>
      </c>
      <c r="F23" s="56">
        <v>147.45867999999999</v>
      </c>
      <c r="G23" s="1"/>
      <c r="H23" s="118">
        <v>8.7819999999999999E-3</v>
      </c>
      <c r="I23" s="119">
        <f>H23*$H$7</f>
        <v>5.510731346</v>
      </c>
      <c r="J23" s="119">
        <f>H23*$I$7</f>
        <v>23.057141000000001</v>
      </c>
      <c r="K23" s="195">
        <f>H23*$F$7</f>
        <v>0.23896436739999999</v>
      </c>
      <c r="L23" s="246">
        <f>H23*$K$7</f>
        <v>3.8289519999999997E-20</v>
      </c>
      <c r="M23" s="1"/>
      <c r="N23" s="1"/>
      <c r="O23" s="65" t="s">
        <v>45</v>
      </c>
      <c r="P23" s="84">
        <v>7.3540000000000001</v>
      </c>
      <c r="Q23" s="76">
        <v>6.843</v>
      </c>
      <c r="R23" s="77">
        <v>57.375999999999998</v>
      </c>
      <c r="S23" s="1"/>
      <c r="T23" s="1"/>
      <c r="U23" s="1"/>
      <c r="V23" s="1"/>
      <c r="W23" s="1"/>
      <c r="X23" s="1"/>
      <c r="Y23" s="1"/>
      <c r="Z23" s="1"/>
      <c r="AA23" s="1"/>
    </row>
    <row r="24" spans="1:27" ht="22" thickBot="1" x14ac:dyDescent="0.3">
      <c r="A24" s="31" t="s">
        <v>24</v>
      </c>
      <c r="B24" s="1"/>
      <c r="C24" s="47" t="s">
        <v>29</v>
      </c>
      <c r="D24" s="208">
        <f>D23*$U$9</f>
        <v>1.2724530799999999E-26</v>
      </c>
      <c r="E24" s="58">
        <f t="shared" ref="E24:F24" si="0">E23*$U$9</f>
        <v>2.3205687799999996E-25</v>
      </c>
      <c r="F24" s="338">
        <f t="shared" si="0"/>
        <v>2.4478140879999998E-25</v>
      </c>
      <c r="G24" s="1"/>
      <c r="M24" s="1"/>
      <c r="N24" s="1"/>
      <c r="O24" s="66" t="s">
        <v>46</v>
      </c>
      <c r="P24" s="84">
        <v>0</v>
      </c>
      <c r="Q24" s="76">
        <v>0</v>
      </c>
      <c r="R24" s="77">
        <v>1.377</v>
      </c>
      <c r="S24" s="1"/>
      <c r="T24" s="1"/>
      <c r="U24" s="1"/>
      <c r="V24" s="1"/>
      <c r="W24" s="1"/>
      <c r="X24" s="1"/>
      <c r="Y24" s="1"/>
      <c r="Z24" s="1"/>
      <c r="AA24" s="1"/>
    </row>
    <row r="25" spans="1:27" ht="22" thickBot="1" x14ac:dyDescent="0.3">
      <c r="A25" s="30">
        <v>1</v>
      </c>
      <c r="B25" s="1"/>
      <c r="C25" s="48" t="s">
        <v>30</v>
      </c>
      <c r="D25" s="59">
        <f>D24*($Q$8)^2</f>
        <v>1.27245308E-46</v>
      </c>
      <c r="E25" s="60">
        <f>E24*($Q$8)^2</f>
        <v>2.3205687799999996E-45</v>
      </c>
      <c r="F25" s="61">
        <f t="shared" ref="F25" si="1">F24*($Q$8)^2</f>
        <v>2.4478140880000001E-45</v>
      </c>
      <c r="G25" s="1"/>
      <c r="M25" s="1"/>
      <c r="N25" s="1"/>
      <c r="O25" s="66" t="s">
        <v>47</v>
      </c>
      <c r="P25" s="84">
        <v>0.88900000000000001</v>
      </c>
      <c r="Q25" s="76">
        <v>2.9809999999999999</v>
      </c>
      <c r="R25" s="77">
        <v>37.402999999999999</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0.88900000000000001</v>
      </c>
      <c r="Q26" s="76">
        <v>2.9809999999999999</v>
      </c>
      <c r="R26" s="77">
        <v>18.318999999999999</v>
      </c>
      <c r="S26" s="1"/>
      <c r="T26" s="1"/>
      <c r="U26" s="1"/>
      <c r="V26" s="1"/>
      <c r="W26" s="1"/>
      <c r="X26" s="1"/>
      <c r="Y26" s="1"/>
      <c r="Z26" s="1"/>
      <c r="AA26" s="1"/>
    </row>
    <row r="27" spans="1:27" ht="20" thickBot="1" x14ac:dyDescent="0.3">
      <c r="A27" s="31" t="s">
        <v>25</v>
      </c>
      <c r="B27" s="1"/>
      <c r="C27" s="31" t="s">
        <v>27</v>
      </c>
      <c r="D27" s="1"/>
      <c r="E27" s="1"/>
      <c r="F27" s="1"/>
      <c r="G27" s="1"/>
      <c r="H27" s="115" t="s">
        <v>65</v>
      </c>
      <c r="I27" s="116" t="s">
        <v>9</v>
      </c>
      <c r="J27" s="116" t="s">
        <v>10</v>
      </c>
      <c r="K27" s="194" t="s">
        <v>8</v>
      </c>
      <c r="L27" s="117" t="s">
        <v>11</v>
      </c>
      <c r="M27" s="1"/>
      <c r="N27" s="1"/>
      <c r="O27" s="67" t="s">
        <v>49</v>
      </c>
      <c r="P27" s="96">
        <v>5.5759999999999996</v>
      </c>
      <c r="Q27" s="78">
        <v>0.88100000000000001</v>
      </c>
      <c r="R27" s="79">
        <v>0.27600000000000002</v>
      </c>
      <c r="S27" s="1"/>
      <c r="T27" s="1"/>
      <c r="U27" s="1"/>
      <c r="V27" s="1"/>
      <c r="W27" s="1"/>
      <c r="X27" s="1"/>
      <c r="Y27" s="1"/>
      <c r="Z27" s="1"/>
      <c r="AA27" s="1"/>
    </row>
    <row r="28" spans="1:27" ht="20" thickBot="1" x14ac:dyDescent="0.3">
      <c r="A28" s="30">
        <v>45.992899999999999</v>
      </c>
      <c r="B28" s="1"/>
      <c r="C28" s="108" t="s">
        <v>36</v>
      </c>
      <c r="D28" s="109" t="s">
        <v>37</v>
      </c>
      <c r="E28" s="110" t="s">
        <v>38</v>
      </c>
      <c r="F28" s="1"/>
      <c r="G28" s="1"/>
      <c r="H28" s="111">
        <v>1.1719E-2</v>
      </c>
      <c r="I28" s="119">
        <f>H28*$H$7</f>
        <v>7.3537076570000011</v>
      </c>
      <c r="J28" s="119">
        <f>H28*$I$7</f>
        <v>30.768234500000002</v>
      </c>
      <c r="K28" s="120">
        <f>H28*$F$7</f>
        <v>0.31888219330000001</v>
      </c>
      <c r="L28" s="246">
        <f>H28*$K$7</f>
        <v>5.1094840000000001E-20</v>
      </c>
      <c r="M28" s="1"/>
      <c r="N28" s="1"/>
      <c r="O28" s="1"/>
      <c r="P28" s="1"/>
      <c r="Q28" s="1"/>
      <c r="R28" s="1"/>
      <c r="S28" s="1"/>
      <c r="T28" s="1"/>
      <c r="U28" s="1"/>
      <c r="V28" s="1"/>
      <c r="W28" s="1"/>
      <c r="X28" s="1"/>
      <c r="Y28" s="1"/>
      <c r="Z28" s="1"/>
      <c r="AA28" s="1"/>
    </row>
    <row r="29" spans="1:27" ht="20" thickBot="1" x14ac:dyDescent="0.3">
      <c r="A29" s="1"/>
      <c r="B29" s="1"/>
      <c r="C29" s="111">
        <v>11.29935</v>
      </c>
      <c r="D29" s="112">
        <v>0.61958000000000002</v>
      </c>
      <c r="E29" s="113">
        <v>0.58738000000000001</v>
      </c>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2</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4" t="s">
        <v>8</v>
      </c>
      <c r="L32" s="117" t="s">
        <v>11</v>
      </c>
      <c r="M32" s="1"/>
      <c r="N32" s="1"/>
      <c r="O32" s="65" t="s">
        <v>46</v>
      </c>
      <c r="P32" s="85">
        <v>2</v>
      </c>
      <c r="Q32" s="86">
        <v>0.30103000000000002</v>
      </c>
      <c r="R32" s="86">
        <v>0.69314699999999996</v>
      </c>
      <c r="S32" s="1"/>
      <c r="T32" s="1"/>
      <c r="U32" s="1"/>
      <c r="V32" s="1"/>
      <c r="W32" s="1"/>
      <c r="X32" s="1"/>
      <c r="Y32" s="1"/>
      <c r="Z32" s="1"/>
      <c r="AA32" s="1"/>
    </row>
    <row r="33" spans="1:27" ht="20" thickBot="1" x14ac:dyDescent="0.3">
      <c r="A33" s="1"/>
      <c r="B33" s="1"/>
      <c r="C33" s="49">
        <v>235.44055</v>
      </c>
      <c r="D33" s="50">
        <v>12.910069999999999</v>
      </c>
      <c r="E33" s="51">
        <v>12.238960000000001</v>
      </c>
      <c r="F33" s="1"/>
      <c r="G33" s="1"/>
      <c r="H33" s="111">
        <v>1.2663000000000001E-2</v>
      </c>
      <c r="I33" s="119">
        <f>H33*$H$7</f>
        <v>7.9460704890000011</v>
      </c>
      <c r="J33" s="119">
        <f>H33*$I$7</f>
        <v>33.246706500000002</v>
      </c>
      <c r="K33" s="120">
        <f>H33*$F$7</f>
        <v>0.34456909410000003</v>
      </c>
      <c r="L33" s="246">
        <f>H33*$K$7</f>
        <v>5.5210679999999998E-20</v>
      </c>
      <c r="M33" s="1"/>
      <c r="N33" s="1"/>
      <c r="O33" s="66" t="s">
        <v>47</v>
      </c>
      <c r="P33" s="84">
        <v>12260000</v>
      </c>
      <c r="Q33" s="76">
        <v>7.0884910000000003</v>
      </c>
      <c r="R33" s="76">
        <v>16.321854999999999</v>
      </c>
      <c r="S33" s="1"/>
      <c r="T33" s="1"/>
      <c r="U33" s="1"/>
      <c r="V33" s="1"/>
      <c r="W33" s="1"/>
      <c r="X33" s="1"/>
      <c r="Y33" s="1"/>
      <c r="Z33" s="1"/>
      <c r="AA33" s="1"/>
    </row>
    <row r="34" spans="1:27" ht="19" x14ac:dyDescent="0.25">
      <c r="A34" s="1"/>
      <c r="B34" s="1"/>
      <c r="E34" s="1"/>
      <c r="F34" s="1"/>
      <c r="G34" s="1"/>
      <c r="M34" s="1"/>
      <c r="N34" s="1"/>
      <c r="O34" s="66" t="s">
        <v>48</v>
      </c>
      <c r="P34" s="84">
        <v>2249.89</v>
      </c>
      <c r="Q34" s="76">
        <v>3.3521619999999999</v>
      </c>
      <c r="R34" s="76">
        <v>7.7186370000000002</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5183980</v>
      </c>
      <c r="Q35" s="76">
        <v>6.7146629999999998</v>
      </c>
      <c r="R35" s="76">
        <v>15.461083</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56777000000</v>
      </c>
      <c r="Q36" s="76">
        <v>10.754172000000001</v>
      </c>
      <c r="R36" s="76">
        <v>24.762397</v>
      </c>
      <c r="S36" s="1"/>
      <c r="T36" s="1"/>
      <c r="U36" s="1"/>
      <c r="V36" s="1"/>
      <c r="W36" s="1"/>
      <c r="X36" s="1"/>
      <c r="Y36" s="1"/>
      <c r="Z36" s="1"/>
      <c r="AA36" s="1"/>
    </row>
    <row r="37" spans="1:27" ht="20" thickBot="1" x14ac:dyDescent="0.3">
      <c r="A37" s="1"/>
      <c r="B37" s="1"/>
      <c r="C37" s="102" t="s">
        <v>63</v>
      </c>
      <c r="D37" s="53">
        <v>23057.599999999999</v>
      </c>
      <c r="E37" s="1"/>
      <c r="F37" s="1"/>
      <c r="H37" s="115" t="s">
        <v>65</v>
      </c>
      <c r="I37" s="116" t="s">
        <v>9</v>
      </c>
      <c r="J37" s="116" t="s">
        <v>10</v>
      </c>
      <c r="K37" s="117" t="s">
        <v>8</v>
      </c>
      <c r="L37" s="117" t="s">
        <v>11</v>
      </c>
      <c r="M37" s="1"/>
      <c r="N37" s="1"/>
      <c r="O37" s="66" t="s">
        <v>55</v>
      </c>
      <c r="P37" s="84">
        <v>9.3968000000000006E-5</v>
      </c>
      <c r="Q37" s="76">
        <v>-4.0270200000000003</v>
      </c>
      <c r="R37" s="76">
        <v>-9.2725559999999998</v>
      </c>
      <c r="S37" s="1"/>
      <c r="T37" s="1"/>
      <c r="U37" s="1"/>
      <c r="V37" s="1"/>
      <c r="W37" s="1"/>
      <c r="X37" s="1"/>
      <c r="Y37" s="1"/>
      <c r="Z37" s="1"/>
      <c r="AA37" s="1"/>
    </row>
    <row r="38" spans="1:27" ht="20" thickBot="1" x14ac:dyDescent="0.3">
      <c r="A38" s="1"/>
      <c r="B38" s="1"/>
      <c r="C38" s="103" t="s">
        <v>64</v>
      </c>
      <c r="D38" s="114">
        <v>5.5108899999999998</v>
      </c>
      <c r="E38" s="1"/>
      <c r="F38" s="1"/>
      <c r="H38" s="111">
        <v>-1.4598E-2</v>
      </c>
      <c r="I38" s="119">
        <f>H38*$H$7</f>
        <v>-9.1602887940000013</v>
      </c>
      <c r="J38" s="119">
        <f>H38*$I$7</f>
        <v>-38.327049000000002</v>
      </c>
      <c r="K38" s="120">
        <f>H38*$F$7</f>
        <v>-0.39722179860000001</v>
      </c>
      <c r="L38" s="246">
        <f>H38*$K$7</f>
        <v>-6.364728E-20</v>
      </c>
      <c r="M38" s="1"/>
      <c r="N38" s="1"/>
      <c r="O38" s="67" t="s">
        <v>56</v>
      </c>
      <c r="P38" s="84">
        <v>1.02918</v>
      </c>
      <c r="Q38" s="76">
        <v>1.2489E-2</v>
      </c>
      <c r="R38" s="76">
        <v>2.8757999999999999E-2</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99" t="s">
        <v>60</v>
      </c>
      <c r="E41" s="100" t="s">
        <v>61</v>
      </c>
      <c r="F41" s="130" t="s">
        <v>69</v>
      </c>
      <c r="G41" s="134" t="s">
        <v>70</v>
      </c>
      <c r="I41" s="1"/>
      <c r="J41" s="1"/>
      <c r="K41" s="1"/>
      <c r="L41" s="1"/>
      <c r="M41" s="1"/>
      <c r="N41" s="1"/>
      <c r="O41" s="1"/>
      <c r="P41" s="1"/>
      <c r="Q41" s="1"/>
      <c r="R41" s="1"/>
      <c r="S41" s="1"/>
      <c r="T41" s="1"/>
      <c r="U41" s="1"/>
      <c r="V41" s="1"/>
      <c r="W41" s="1"/>
      <c r="X41" s="1"/>
      <c r="Y41" s="1"/>
      <c r="Z41" s="1"/>
      <c r="AA41" s="1"/>
    </row>
    <row r="42" spans="1:27" ht="19" x14ac:dyDescent="0.25">
      <c r="A42" s="1"/>
      <c r="B42" s="1"/>
      <c r="C42" s="91">
        <v>1</v>
      </c>
      <c r="D42" s="264">
        <v>1077.54</v>
      </c>
      <c r="E42" s="265">
        <v>748.92849999999999</v>
      </c>
      <c r="F42" s="131">
        <f>E42*$L$9</f>
        <v>22452352180050</v>
      </c>
      <c r="G42" s="243">
        <v>15.158200000000001</v>
      </c>
      <c r="H42" s="97"/>
      <c r="K42" s="1"/>
      <c r="L42" s="1"/>
      <c r="M42" s="1"/>
      <c r="N42" s="1"/>
      <c r="O42" s="1"/>
      <c r="P42" s="1"/>
      <c r="Q42" s="1"/>
      <c r="R42" s="1"/>
      <c r="S42" s="1"/>
      <c r="T42" s="1"/>
      <c r="U42" s="1"/>
      <c r="V42" s="1"/>
      <c r="W42" s="1"/>
      <c r="X42" s="1"/>
      <c r="Y42" s="1"/>
      <c r="Z42" s="1"/>
      <c r="AA42" s="1"/>
    </row>
    <row r="43" spans="1:27" ht="19" x14ac:dyDescent="0.25">
      <c r="A43" s="1"/>
      <c r="B43" s="1"/>
      <c r="C43" s="92">
        <f>C42+1</f>
        <v>2</v>
      </c>
      <c r="D43" s="94">
        <v>2009.08</v>
      </c>
      <c r="E43" s="128">
        <v>1396.3815999999999</v>
      </c>
      <c r="F43" s="132">
        <f>E43*$L$9</f>
        <v>41862542900880</v>
      </c>
      <c r="G43" s="244">
        <v>15.3247</v>
      </c>
      <c r="H43" s="97"/>
      <c r="K43" s="1"/>
      <c r="L43" s="1"/>
      <c r="M43" s="1"/>
      <c r="N43" s="1"/>
      <c r="O43" s="1"/>
      <c r="P43" s="1"/>
      <c r="Q43" s="1"/>
      <c r="R43" s="1"/>
      <c r="S43" s="1"/>
      <c r="T43" s="1"/>
      <c r="U43" s="1"/>
      <c r="V43" s="1"/>
      <c r="W43" s="1"/>
      <c r="X43" s="1"/>
      <c r="Y43" s="1"/>
      <c r="Z43" s="1"/>
      <c r="AA43" s="1"/>
    </row>
    <row r="44" spans="1:27" ht="20" thickBot="1" x14ac:dyDescent="0.3">
      <c r="A44" s="1"/>
      <c r="B44" s="1"/>
      <c r="C44" s="93">
        <f t="shared" ref="C44" si="2">C43+1</f>
        <v>3</v>
      </c>
      <c r="D44" s="95">
        <v>2459.75</v>
      </c>
      <c r="E44" s="129">
        <v>1709.6168</v>
      </c>
      <c r="F44" s="133">
        <f>E44*$L$9</f>
        <v>51253114932240</v>
      </c>
      <c r="G44" s="245">
        <v>14.6234</v>
      </c>
      <c r="H44" s="97"/>
      <c r="J44" s="191" t="s">
        <v>98</v>
      </c>
      <c r="M44" s="1"/>
      <c r="N44" s="1"/>
      <c r="O44" s="1"/>
      <c r="P44" s="1"/>
      <c r="Q44" s="1"/>
      <c r="R44" s="1"/>
      <c r="S44" s="1"/>
      <c r="T44" s="1"/>
      <c r="U44" s="1"/>
      <c r="V44" s="1"/>
      <c r="W44" s="1"/>
      <c r="X44" s="1"/>
      <c r="Y44" s="1"/>
      <c r="Z44" s="1"/>
      <c r="AA44" s="1"/>
    </row>
    <row r="45" spans="1:27" ht="20" thickBot="1" x14ac:dyDescent="0.3">
      <c r="A45" s="1"/>
      <c r="B45" s="1"/>
      <c r="C45" s="97"/>
      <c r="D45" s="1"/>
      <c r="E45" s="1"/>
      <c r="F45" s="4"/>
      <c r="G45" s="1"/>
      <c r="H45" s="97"/>
      <c r="J45" s="167">
        <v>1</v>
      </c>
      <c r="K45" s="168">
        <f>J45+1</f>
        <v>2</v>
      </c>
      <c r="L45" s="169">
        <f>K45+1</f>
        <v>3</v>
      </c>
      <c r="M45" s="169">
        <f t="shared" ref="M45:N45" si="3">L45+1</f>
        <v>4</v>
      </c>
      <c r="N45" s="169">
        <f t="shared" si="3"/>
        <v>5</v>
      </c>
      <c r="O45" s="1"/>
      <c r="P45" s="1"/>
      <c r="Q45" s="1"/>
      <c r="R45" s="1"/>
      <c r="S45" s="1"/>
      <c r="T45" s="1"/>
      <c r="U45" s="1"/>
      <c r="V45" s="1"/>
      <c r="W45" s="1"/>
      <c r="X45" s="1"/>
      <c r="Y45" s="1"/>
      <c r="Z45" s="1"/>
      <c r="AA45" s="1"/>
    </row>
    <row r="46" spans="1:27" ht="19" x14ac:dyDescent="0.25">
      <c r="A46" s="1"/>
      <c r="B46" s="1"/>
      <c r="C46" s="97"/>
      <c r="D46" s="1"/>
      <c r="E46" s="1"/>
      <c r="F46" s="4"/>
      <c r="H46" s="97"/>
      <c r="J46" s="76">
        <v>-205.08367119299999</v>
      </c>
      <c r="K46" s="76">
        <v>-205.08387352</v>
      </c>
      <c r="L46" s="76">
        <v>-205.083886296</v>
      </c>
      <c r="M46" s="76">
        <v>-205.08388724100001</v>
      </c>
      <c r="N46" s="76">
        <v>-205.08388724100001</v>
      </c>
      <c r="O46" s="1"/>
      <c r="P46" s="1"/>
      <c r="Q46" s="1"/>
      <c r="R46" s="1"/>
      <c r="S46" s="1"/>
      <c r="T46" s="1"/>
      <c r="U46" s="1"/>
      <c r="V46" s="1"/>
      <c r="W46" s="1"/>
      <c r="X46" s="1"/>
      <c r="Y46" s="1"/>
      <c r="Z46" s="1"/>
      <c r="AA46" s="1"/>
    </row>
    <row r="47" spans="1:27" ht="19" x14ac:dyDescent="0.25">
      <c r="A47" s="1"/>
      <c r="B47" s="1"/>
      <c r="C47" s="97"/>
      <c r="E47" s="1"/>
      <c r="F47" s="4"/>
      <c r="H47" s="97"/>
      <c r="K47" s="1"/>
      <c r="L47" s="1"/>
      <c r="M47" s="1"/>
      <c r="N47" s="1"/>
      <c r="O47" s="1"/>
      <c r="P47" s="1"/>
      <c r="Q47" s="1"/>
      <c r="R47" s="1"/>
      <c r="S47" s="1"/>
      <c r="T47" s="1"/>
      <c r="U47" s="1"/>
      <c r="V47" s="1"/>
      <c r="W47" s="1"/>
      <c r="X47" s="1"/>
      <c r="Y47" s="1"/>
      <c r="Z47" s="1"/>
      <c r="AA47" s="1"/>
    </row>
    <row r="48" spans="1:27" ht="19" x14ac:dyDescent="0.25">
      <c r="A48" s="1"/>
      <c r="B48" s="1"/>
      <c r="C48" s="97"/>
      <c r="E48" s="1"/>
      <c r="F48" s="4"/>
      <c r="H48" s="97"/>
      <c r="K48" s="1"/>
      <c r="L48" s="1"/>
      <c r="M48" s="1"/>
      <c r="N48" s="1"/>
      <c r="O48" s="1"/>
      <c r="P48" s="1"/>
      <c r="Q48" s="1"/>
      <c r="R48" s="1"/>
      <c r="S48" s="1"/>
      <c r="T48" s="1"/>
      <c r="U48" s="1"/>
      <c r="V48" s="1"/>
      <c r="W48" s="1"/>
      <c r="X48" s="1"/>
      <c r="Y48" s="1"/>
      <c r="Z48" s="1"/>
      <c r="AA48" s="1"/>
    </row>
    <row r="49" spans="1:27" ht="19" x14ac:dyDescent="0.25">
      <c r="A49" s="1"/>
      <c r="B49" s="1"/>
      <c r="C49" s="97"/>
      <c r="E49" s="1"/>
      <c r="F49" s="4"/>
      <c r="G49" s="1"/>
      <c r="H49" s="97"/>
      <c r="K49" s="1"/>
      <c r="L49" s="1"/>
      <c r="M49" s="1"/>
      <c r="N49" s="1"/>
      <c r="O49" s="1"/>
      <c r="P49" s="1"/>
      <c r="Q49" s="1"/>
      <c r="R49" s="1"/>
      <c r="S49" s="1"/>
      <c r="T49" s="1"/>
      <c r="U49" s="1"/>
      <c r="V49" s="1"/>
      <c r="W49" s="1"/>
      <c r="X49" s="1"/>
      <c r="Y49" s="1"/>
      <c r="Z49" s="1"/>
      <c r="AA49" s="1"/>
    </row>
    <row r="50" spans="1:27" ht="19" x14ac:dyDescent="0.25">
      <c r="A50" s="1"/>
      <c r="B50" s="1"/>
      <c r="C50" s="97"/>
      <c r="D50" s="1"/>
      <c r="E50" s="1"/>
      <c r="F50" s="4"/>
      <c r="G50" s="1"/>
      <c r="H50" s="97"/>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0" thickBot="1" x14ac:dyDescent="0.4">
      <c r="A53" s="349" t="s">
        <v>134</v>
      </c>
      <c r="B53" s="349"/>
      <c r="C53" s="349"/>
      <c r="D53" s="349"/>
      <c r="E53" s="349"/>
      <c r="F53" s="349"/>
      <c r="G53" s="349"/>
      <c r="H53" s="349"/>
      <c r="I53" s="349"/>
      <c r="J53" s="349"/>
      <c r="K53" s="349"/>
      <c r="L53" s="349"/>
      <c r="M53" s="349"/>
      <c r="N53" s="349"/>
      <c r="O53" s="349"/>
      <c r="P53" s="349"/>
      <c r="Q53" s="349"/>
      <c r="R53" s="349"/>
      <c r="S53" s="349"/>
      <c r="T53" s="349"/>
      <c r="U53" s="349"/>
      <c r="V53" s="349"/>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25" t="s">
        <v>75</v>
      </c>
      <c r="D56" s="126"/>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57" t="s">
        <v>68</v>
      </c>
      <c r="D64" s="153" t="s">
        <v>67</v>
      </c>
      <c r="E64" s="157" t="s">
        <v>77</v>
      </c>
      <c r="F64" s="1"/>
      <c r="G64" s="1"/>
      <c r="H64" s="162" t="s">
        <v>83</v>
      </c>
      <c r="I64" s="163"/>
      <c r="J64" s="163"/>
      <c r="K64" s="163"/>
      <c r="L64" s="163"/>
      <c r="M64" s="163"/>
      <c r="N64" s="163"/>
      <c r="O64" s="1"/>
      <c r="Q64" s="1"/>
      <c r="R64" s="1"/>
      <c r="S64" s="1"/>
      <c r="T64" s="1"/>
      <c r="U64" s="1"/>
      <c r="V64" s="1"/>
      <c r="W64" s="1"/>
      <c r="X64" s="1"/>
      <c r="Y64" s="1"/>
      <c r="Z64" s="1"/>
      <c r="AA64" s="1"/>
    </row>
    <row r="65" spans="2:27" ht="20" thickBot="1" x14ac:dyDescent="0.3">
      <c r="B65" s="1"/>
      <c r="C65" s="150">
        <v>298.14999999999998</v>
      </c>
      <c r="D65" s="159">
        <f t="shared" ref="D65:D83" si="4">C65*$B$8/$B$16</f>
        <v>4.0625788058228471E-26</v>
      </c>
      <c r="E65" s="154">
        <f xml:space="preserve"> (2*PI()*$A$28*$U$9*$B$8*C65/($B$14^2))^(3/2)*D65</f>
        <v>12254056.406141056</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0">
        <v>300</v>
      </c>
      <c r="D66" s="159">
        <f t="shared" si="4"/>
        <v>4.0877868245743891E-26</v>
      </c>
      <c r="E66" s="154">
        <f xml:space="preserve"> (2*PI()*$A$28*$U$9*$B$8*C66/($B$14^2))^(3/2)*D66</f>
        <v>12445030.854564963</v>
      </c>
      <c r="F66" s="1"/>
      <c r="G66" s="1"/>
      <c r="L66" s="157" t="s">
        <v>82</v>
      </c>
      <c r="M66" s="1"/>
      <c r="N66" s="1"/>
      <c r="O66" s="1"/>
      <c r="Q66" s="1"/>
      <c r="R66" s="1"/>
      <c r="S66" s="1"/>
      <c r="T66" s="1"/>
      <c r="U66" s="1"/>
      <c r="V66" s="1"/>
      <c r="W66" s="1"/>
      <c r="X66" s="1"/>
      <c r="Y66" s="1"/>
      <c r="Z66" s="1"/>
      <c r="AA66" s="1"/>
    </row>
    <row r="67" spans="2:27" ht="19" x14ac:dyDescent="0.25">
      <c r="B67" s="1"/>
      <c r="C67" s="151">
        <f>C66+100</f>
        <v>400</v>
      </c>
      <c r="D67" s="160">
        <f t="shared" si="4"/>
        <v>5.4503824327658529E-26</v>
      </c>
      <c r="E67" s="155">
        <f t="shared" ref="E67:E83" si="5" xml:space="preserve"> (2*PI()*$A$28*$U$9*$B$8*C67/($B$14^2))^(3/2)*D67</f>
        <v>25547171.249622203</v>
      </c>
      <c r="F67" s="1"/>
      <c r="G67" s="1"/>
      <c r="K67" s="71" t="s">
        <v>79</v>
      </c>
      <c r="L67" s="131">
        <f>$E$65</f>
        <v>12254056.406141056</v>
      </c>
      <c r="M67" s="1"/>
      <c r="N67" s="1"/>
      <c r="O67" s="1"/>
      <c r="Q67" s="1"/>
      <c r="R67" s="1"/>
      <c r="S67" s="1"/>
      <c r="T67" s="1"/>
      <c r="U67" s="1"/>
      <c r="V67" s="1"/>
      <c r="W67" s="1"/>
      <c r="X67" s="1"/>
      <c r="Y67" s="1"/>
      <c r="Z67" s="1"/>
      <c r="AA67" s="1"/>
    </row>
    <row r="68" spans="2:27" ht="20" thickBot="1" x14ac:dyDescent="0.3">
      <c r="B68" s="1"/>
      <c r="C68" s="151">
        <f t="shared" ref="C68:C83" si="6">C67+100</f>
        <v>500</v>
      </c>
      <c r="D68" s="160">
        <f t="shared" si="4"/>
        <v>6.812978040957315E-26</v>
      </c>
      <c r="E68" s="155">
        <f t="shared" si="5"/>
        <v>44629071.521081105</v>
      </c>
      <c r="F68" s="1"/>
      <c r="G68" s="1"/>
      <c r="K68" s="72" t="s">
        <v>80</v>
      </c>
      <c r="L68" s="133">
        <f>P33</f>
        <v>12260000</v>
      </c>
      <c r="M68" s="1"/>
      <c r="N68" s="1"/>
      <c r="O68" s="1"/>
      <c r="Q68" s="1"/>
      <c r="R68" s="1"/>
      <c r="S68" s="1"/>
      <c r="T68" s="1"/>
      <c r="U68" s="1"/>
      <c r="V68" s="1"/>
      <c r="W68" s="1"/>
      <c r="X68" s="1"/>
      <c r="Y68" s="1"/>
      <c r="Z68" s="1"/>
      <c r="AA68" s="1"/>
    </row>
    <row r="69" spans="2:27" ht="22" x14ac:dyDescent="0.3">
      <c r="B69" s="1"/>
      <c r="C69" s="151">
        <f t="shared" si="6"/>
        <v>600</v>
      </c>
      <c r="D69" s="160">
        <f t="shared" si="4"/>
        <v>8.1755736491487783E-26</v>
      </c>
      <c r="E69" s="155">
        <f t="shared" si="5"/>
        <v>70399725.674709797</v>
      </c>
      <c r="F69" s="1"/>
      <c r="G69" s="1"/>
      <c r="H69" s="1"/>
      <c r="I69" s="1"/>
      <c r="K69" s="17" t="s">
        <v>81</v>
      </c>
      <c r="L69" s="164">
        <f>ABS(L67-L68)/L67</f>
        <v>4.8503072468033127E-4</v>
      </c>
      <c r="M69" s="1"/>
      <c r="N69" s="1"/>
      <c r="O69" s="1"/>
      <c r="Q69" s="1"/>
      <c r="R69" s="1"/>
      <c r="S69" s="1"/>
      <c r="T69" s="1"/>
      <c r="U69" s="1"/>
      <c r="V69" s="1"/>
      <c r="W69" s="1"/>
      <c r="X69" s="1"/>
      <c r="Y69" s="1"/>
      <c r="Z69" s="1"/>
      <c r="AA69" s="1"/>
    </row>
    <row r="70" spans="2:27" ht="19" x14ac:dyDescent="0.25">
      <c r="B70" s="1"/>
      <c r="C70" s="151">
        <f t="shared" si="6"/>
        <v>700</v>
      </c>
      <c r="D70" s="160">
        <f t="shared" si="4"/>
        <v>9.5381692573402415E-26</v>
      </c>
      <c r="E70" s="155">
        <f t="shared" si="5"/>
        <v>103499425.92363513</v>
      </c>
      <c r="F70" s="1"/>
      <c r="G70" s="1"/>
      <c r="Q70" s="1"/>
      <c r="R70" s="1"/>
      <c r="S70" s="1"/>
      <c r="T70" s="1"/>
      <c r="U70" s="1"/>
      <c r="V70" s="1"/>
      <c r="W70" s="1"/>
      <c r="X70" s="1"/>
      <c r="Y70" s="1"/>
      <c r="Z70" s="1"/>
      <c r="AA70" s="1"/>
    </row>
    <row r="71" spans="2:27" ht="19" x14ac:dyDescent="0.25">
      <c r="B71" s="1"/>
      <c r="C71" s="151">
        <f t="shared" si="6"/>
        <v>800</v>
      </c>
      <c r="D71" s="160">
        <f t="shared" si="4"/>
        <v>1.0900764865531706E-25</v>
      </c>
      <c r="E71" s="155">
        <f t="shared" si="5"/>
        <v>144516624.24593532</v>
      </c>
      <c r="F71" s="1"/>
      <c r="G71" s="1"/>
      <c r="Q71" s="1"/>
      <c r="R71" s="1"/>
      <c r="S71" s="1"/>
      <c r="T71" s="1"/>
      <c r="U71" s="1"/>
      <c r="V71" s="1"/>
      <c r="W71" s="1"/>
      <c r="X71" s="1"/>
      <c r="Y71" s="1"/>
      <c r="Z71" s="1"/>
      <c r="AA71" s="1"/>
    </row>
    <row r="72" spans="2:27" ht="19" x14ac:dyDescent="0.25">
      <c r="B72" s="1"/>
      <c r="C72" s="151">
        <f t="shared" si="6"/>
        <v>900</v>
      </c>
      <c r="D72" s="160">
        <f t="shared" si="4"/>
        <v>1.2263360473723168E-25</v>
      </c>
      <c r="E72" s="155">
        <f t="shared" si="5"/>
        <v>193998831.67681888</v>
      </c>
      <c r="F72" s="1"/>
      <c r="G72" s="1"/>
      <c r="Q72" s="1"/>
      <c r="R72" s="1"/>
      <c r="S72" s="1"/>
      <c r="T72" s="1"/>
      <c r="U72" s="1"/>
      <c r="V72" s="1"/>
      <c r="W72" s="1"/>
      <c r="X72" s="1"/>
      <c r="Y72" s="1"/>
      <c r="Z72" s="1"/>
      <c r="AA72" s="1"/>
    </row>
    <row r="73" spans="2:27" ht="19" x14ac:dyDescent="0.25">
      <c r="C73" s="151">
        <f t="shared" si="6"/>
        <v>1000</v>
      </c>
      <c r="D73" s="160">
        <f t="shared" si="4"/>
        <v>1.362595608191463E-25</v>
      </c>
      <c r="E73" s="155">
        <f t="shared" si="5"/>
        <v>252460152.88492769</v>
      </c>
    </row>
    <row r="74" spans="2:27" ht="19" x14ac:dyDescent="0.25">
      <c r="C74" s="151">
        <f t="shared" si="6"/>
        <v>1100</v>
      </c>
      <c r="D74" s="160">
        <f t="shared" si="4"/>
        <v>1.4988551690106094E-25</v>
      </c>
      <c r="E74" s="155">
        <f t="shared" si="5"/>
        <v>320386755.0088802</v>
      </c>
    </row>
    <row r="75" spans="2:27" ht="19" x14ac:dyDescent="0.25">
      <c r="C75" s="151">
        <f t="shared" si="6"/>
        <v>1200</v>
      </c>
      <c r="D75" s="160">
        <f t="shared" si="4"/>
        <v>1.6351147298297557E-25</v>
      </c>
      <c r="E75" s="155">
        <f t="shared" si="5"/>
        <v>398240987.34607536</v>
      </c>
    </row>
    <row r="76" spans="2:27" ht="19" x14ac:dyDescent="0.25">
      <c r="C76" s="151">
        <f t="shared" si="6"/>
        <v>1300</v>
      </c>
      <c r="D76" s="160">
        <f t="shared" si="4"/>
        <v>1.7713742906489019E-25</v>
      </c>
      <c r="E76" s="155">
        <f t="shared" si="5"/>
        <v>486464577.01012164</v>
      </c>
    </row>
    <row r="77" spans="2:27" ht="19" x14ac:dyDescent="0.25">
      <c r="C77" s="151">
        <f t="shared" si="6"/>
        <v>1400</v>
      </c>
      <c r="D77" s="160">
        <f t="shared" si="4"/>
        <v>1.9076338514680483E-25</v>
      </c>
      <c r="E77" s="155">
        <f t="shared" si="5"/>
        <v>585481167.35613883</v>
      </c>
    </row>
    <row r="78" spans="2:27" ht="19" x14ac:dyDescent="0.25">
      <c r="C78" s="151">
        <f t="shared" si="6"/>
        <v>1500</v>
      </c>
      <c r="D78" s="160">
        <f t="shared" si="4"/>
        <v>2.043893412287195E-25</v>
      </c>
      <c r="E78" s="155">
        <f t="shared" si="5"/>
        <v>695698374.32224691</v>
      </c>
    </row>
    <row r="79" spans="2:27" ht="19" x14ac:dyDescent="0.25">
      <c r="C79" s="151">
        <f t="shared" si="6"/>
        <v>1600</v>
      </c>
      <c r="D79" s="160">
        <f t="shared" si="4"/>
        <v>2.1801529731063412E-25</v>
      </c>
      <c r="E79" s="155">
        <f t="shared" si="5"/>
        <v>817509479.98791504</v>
      </c>
    </row>
    <row r="80" spans="2:27" ht="19" x14ac:dyDescent="0.25">
      <c r="C80" s="151">
        <f t="shared" si="6"/>
        <v>1700</v>
      </c>
      <c r="D80" s="160">
        <f t="shared" si="4"/>
        <v>2.3164125339254876E-25</v>
      </c>
      <c r="E80" s="155">
        <f t="shared" si="5"/>
        <v>951294847.15322471</v>
      </c>
    </row>
    <row r="81" spans="3:7" ht="19" x14ac:dyDescent="0.25">
      <c r="C81" s="151">
        <f t="shared" si="6"/>
        <v>1800</v>
      </c>
      <c r="D81" s="160">
        <f t="shared" si="4"/>
        <v>2.4526720947446336E-25</v>
      </c>
      <c r="E81" s="155">
        <f t="shared" si="5"/>
        <v>1097423115.367573</v>
      </c>
    </row>
    <row r="82" spans="3:7" ht="19" x14ac:dyDescent="0.25">
      <c r="C82" s="151">
        <f t="shared" si="6"/>
        <v>1900</v>
      </c>
      <c r="D82" s="160">
        <f t="shared" si="4"/>
        <v>2.58893165556378E-25</v>
      </c>
      <c r="E82" s="155">
        <f t="shared" si="5"/>
        <v>1256252222.9726827</v>
      </c>
    </row>
    <row r="83" spans="3:7" ht="20" thickBot="1" x14ac:dyDescent="0.3">
      <c r="C83" s="152">
        <f t="shared" si="6"/>
        <v>2000</v>
      </c>
      <c r="D83" s="161">
        <f t="shared" si="4"/>
        <v>2.725191216382926E-25</v>
      </c>
      <c r="E83" s="156">
        <f t="shared" si="5"/>
        <v>1428130288.6746032</v>
      </c>
    </row>
    <row r="92" spans="3:7" ht="22" customHeight="1" x14ac:dyDescent="0.25">
      <c r="F92" s="1" t="s">
        <v>66</v>
      </c>
    </row>
    <row r="93" spans="3:7" ht="27" x14ac:dyDescent="0.35">
      <c r="C93" s="125" t="s">
        <v>84</v>
      </c>
      <c r="D93" s="165"/>
      <c r="E93" s="1"/>
      <c r="F93" s="1"/>
      <c r="G93" s="1"/>
    </row>
    <row r="94" spans="3:7" ht="19" x14ac:dyDescent="0.25">
      <c r="E94" s="1"/>
      <c r="G94" s="1"/>
    </row>
    <row r="95" spans="3:7" ht="20" thickBot="1" x14ac:dyDescent="0.3">
      <c r="E95" s="1"/>
      <c r="F95" s="1"/>
      <c r="G95" s="1"/>
    </row>
    <row r="96" spans="3:7" ht="20" thickBot="1" x14ac:dyDescent="0.3">
      <c r="C96" s="174" t="s">
        <v>86</v>
      </c>
      <c r="E96" s="1"/>
      <c r="F96" s="1"/>
      <c r="G96" s="1"/>
    </row>
    <row r="97" spans="3:22" ht="22" thickBot="1" x14ac:dyDescent="0.3">
      <c r="C97" s="175" t="s">
        <v>87</v>
      </c>
      <c r="D97" s="177" cm="1">
        <f t="array" ref="D97">INDEX($E:$E,(COLUMN(D97)-4)*1+42)</f>
        <v>748.92849999999999</v>
      </c>
      <c r="E97" s="177" cm="1">
        <f t="array" ref="E97">INDEX($E:$E,(COLUMN(E97)-4)*1+42)</f>
        <v>1396.3815999999999</v>
      </c>
      <c r="F97" s="266" cm="1">
        <f t="array" ref="F97">INDEX($E:$E,(COLUMN(F97)-4)*1+42)</f>
        <v>1709.6168</v>
      </c>
      <c r="G97" s="1"/>
      <c r="H97" s="1"/>
      <c r="I97" s="1"/>
      <c r="J97" s="1"/>
      <c r="K97" s="1"/>
      <c r="L97" s="1"/>
    </row>
    <row r="98" spans="3:22" ht="20" thickBot="1" x14ac:dyDescent="0.3">
      <c r="C98" s="176" t="s">
        <v>88</v>
      </c>
      <c r="D98" s="296">
        <f>D97*$L$9</f>
        <v>22452352180050</v>
      </c>
      <c r="E98" s="239">
        <f t="shared" ref="E98:F98" si="7">E97*$L$9</f>
        <v>41862542900880</v>
      </c>
      <c r="F98" s="342">
        <f t="shared" si="7"/>
        <v>51253114932240</v>
      </c>
      <c r="G98" s="4"/>
      <c r="H98" s="4"/>
      <c r="I98" s="4"/>
      <c r="J98" s="4"/>
      <c r="K98" s="4"/>
      <c r="L98" s="4"/>
    </row>
    <row r="99" spans="3:22" ht="17" thickBot="1" x14ac:dyDescent="0.25"/>
    <row r="100" spans="3:22" ht="30" customHeight="1" thickBot="1" x14ac:dyDescent="0.5">
      <c r="C100" s="350" t="s">
        <v>89</v>
      </c>
      <c r="D100" s="360"/>
      <c r="E100" s="360"/>
      <c r="F100" s="360"/>
      <c r="G100" s="187" t="s">
        <v>90</v>
      </c>
    </row>
    <row r="101" spans="3:22" ht="38" customHeight="1" thickBot="1" x14ac:dyDescent="0.35">
      <c r="C101" s="166" t="s">
        <v>85</v>
      </c>
      <c r="D101" s="170">
        <v>1</v>
      </c>
      <c r="E101" s="171">
        <f t="shared" ref="E101:F101" si="8">D101+1</f>
        <v>2</v>
      </c>
      <c r="F101" s="267">
        <f t="shared" si="8"/>
        <v>3</v>
      </c>
      <c r="G101" s="268"/>
      <c r="I101" s="162" t="s">
        <v>83</v>
      </c>
      <c r="J101" s="163"/>
      <c r="K101" s="163"/>
      <c r="L101" s="163"/>
      <c r="M101" s="163"/>
      <c r="N101" s="1"/>
      <c r="V101" s="1"/>
    </row>
    <row r="102" spans="3:22" ht="20" thickBot="1" x14ac:dyDescent="0.3">
      <c r="C102" s="173">
        <v>298.14999999999998</v>
      </c>
      <c r="D102" s="284">
        <f>EXP(-($B$14*D$98)/(2*$B$8*$C102))/(1-EXP(-($B$14*D$98)/($B$8*$C102)))</f>
        <v>0.16868274501228242</v>
      </c>
      <c r="E102" s="285">
        <f t="shared" ref="E102:F102" si="9">EXP(-($B$14*E$98)/(2*$B$8*$C102))/(1-EXP(-($B$14*E$98)/($B$8*$C102)))</f>
        <v>3.4456290058234543E-2</v>
      </c>
      <c r="F102" s="286">
        <f t="shared" si="9"/>
        <v>1.6167135621669635E-2</v>
      </c>
      <c r="G102" s="269">
        <f xml:space="preserve"> PRODUCT(D102:F102)</f>
        <v>9.3966328022693875E-5</v>
      </c>
    </row>
    <row r="103" spans="3:22" ht="20" thickBot="1" x14ac:dyDescent="0.3">
      <c r="C103" s="122">
        <v>300</v>
      </c>
      <c r="D103" s="287">
        <f t="shared" ref="D103:F120" si="10">EXP(-($B$14*D$98)/(2*$B$8*$C103))/(1-EXP(-($B$14*D$98)/($B$8*$C103)))</f>
        <v>0.17067946808818285</v>
      </c>
      <c r="E103" s="178">
        <f t="shared" si="10"/>
        <v>3.5181448622590379E-2</v>
      </c>
      <c r="F103" s="288">
        <f t="shared" si="10"/>
        <v>1.6583892232657764E-2</v>
      </c>
      <c r="G103" s="270">
        <f t="shared" ref="G103:G120" si="11" xml:space="preserve"> PRODUCT(D103:F103)</f>
        <v>9.9582142431043694E-5</v>
      </c>
      <c r="K103" s="157" t="s">
        <v>82</v>
      </c>
    </row>
    <row r="104" spans="3:22" ht="19" x14ac:dyDescent="0.25">
      <c r="C104" s="123">
        <f>C103+100</f>
        <v>400</v>
      </c>
      <c r="D104" s="287">
        <f t="shared" si="10"/>
        <v>0.27889701558767938</v>
      </c>
      <c r="E104" s="178">
        <f t="shared" si="10"/>
        <v>8.1696395345762923E-2</v>
      </c>
      <c r="F104" s="288">
        <f t="shared" si="10"/>
        <v>4.6302390610359317E-2</v>
      </c>
      <c r="G104" s="270">
        <f t="shared" si="11"/>
        <v>1.0549944529514531E-3</v>
      </c>
      <c r="J104" s="71" t="s">
        <v>79</v>
      </c>
      <c r="K104" s="131">
        <f>G102</f>
        <v>9.3966328022693875E-5</v>
      </c>
    </row>
    <row r="105" spans="3:22" ht="20" thickBot="1" x14ac:dyDescent="0.3">
      <c r="C105" s="123">
        <f t="shared" ref="C105:C120" si="12">C104+100</f>
        <v>500</v>
      </c>
      <c r="D105" s="287">
        <f t="shared" si="10"/>
        <v>0.38505693076185132</v>
      </c>
      <c r="E105" s="178">
        <f t="shared" si="10"/>
        <v>0.13656788623404989</v>
      </c>
      <c r="F105" s="288">
        <f t="shared" si="10"/>
        <v>8.6084186942557914E-2</v>
      </c>
      <c r="G105" s="270">
        <f t="shared" si="11"/>
        <v>4.5268584449686304E-3</v>
      </c>
      <c r="J105" s="72" t="s">
        <v>80</v>
      </c>
      <c r="K105" s="133">
        <f>P37</f>
        <v>9.3968000000000006E-5</v>
      </c>
    </row>
    <row r="106" spans="3:22" ht="22" x14ac:dyDescent="0.3">
      <c r="C106" s="123">
        <f t="shared" si="12"/>
        <v>600</v>
      </c>
      <c r="D106" s="287">
        <f t="shared" si="10"/>
        <v>0.48848006145107409</v>
      </c>
      <c r="E106" s="178">
        <f t="shared" si="10"/>
        <v>0.19427789457698716</v>
      </c>
      <c r="F106" s="288">
        <f t="shared" si="10"/>
        <v>0.13093151902549166</v>
      </c>
      <c r="G106" s="270">
        <f t="shared" si="11"/>
        <v>1.2425516097884283E-2</v>
      </c>
      <c r="J106" s="17" t="s">
        <v>81</v>
      </c>
      <c r="K106" s="164">
        <f>ABS(K104-K105)/K104</f>
        <v>1.7793366425122626E-5</v>
      </c>
    </row>
    <row r="107" spans="3:22" ht="19" x14ac:dyDescent="0.25">
      <c r="C107" s="123">
        <f t="shared" si="12"/>
        <v>700</v>
      </c>
      <c r="D107" s="287">
        <f t="shared" si="10"/>
        <v>0.58965917250812339</v>
      </c>
      <c r="E107" s="178">
        <f t="shared" si="10"/>
        <v>0.25241096568356797</v>
      </c>
      <c r="F107" s="288">
        <f t="shared" si="10"/>
        <v>0.17786348023965751</v>
      </c>
      <c r="G107" s="270">
        <f t="shared" si="11"/>
        <v>2.6472567410659949E-2</v>
      </c>
    </row>
    <row r="108" spans="3:22" ht="19" x14ac:dyDescent="0.25">
      <c r="C108" s="123">
        <f t="shared" si="12"/>
        <v>800</v>
      </c>
      <c r="D108" s="287">
        <f t="shared" si="10"/>
        <v>0.68914256163675458</v>
      </c>
      <c r="E108" s="178">
        <f t="shared" si="10"/>
        <v>0.31004571769775868</v>
      </c>
      <c r="F108" s="288">
        <f t="shared" si="10"/>
        <v>0.22536265435427522</v>
      </c>
      <c r="G108" s="270">
        <f t="shared" si="11"/>
        <v>4.8152269323223702E-2</v>
      </c>
    </row>
    <row r="109" spans="3:22" ht="19" x14ac:dyDescent="0.25">
      <c r="C109" s="123">
        <f t="shared" si="12"/>
        <v>900</v>
      </c>
      <c r="D109" s="287">
        <f t="shared" si="10"/>
        <v>0.78735787633531562</v>
      </c>
      <c r="E109" s="178">
        <f t="shared" si="10"/>
        <v>0.36689662315515786</v>
      </c>
      <c r="F109" s="288">
        <f t="shared" si="10"/>
        <v>0.27272181629465547</v>
      </c>
      <c r="G109" s="270">
        <f t="shared" si="11"/>
        <v>7.8783590853871918E-2</v>
      </c>
    </row>
    <row r="110" spans="3:22" ht="19" x14ac:dyDescent="0.25">
      <c r="C110" s="123">
        <f t="shared" si="12"/>
        <v>1000</v>
      </c>
      <c r="D110" s="287">
        <f t="shared" si="10"/>
        <v>0.88461592201841266</v>
      </c>
      <c r="E110" s="178">
        <f t="shared" si="10"/>
        <v>0.42293265987145556</v>
      </c>
      <c r="F110" s="288">
        <f t="shared" si="10"/>
        <v>0.31964307573677664</v>
      </c>
      <c r="G110" s="270">
        <f t="shared" si="11"/>
        <v>0.11958901162361234</v>
      </c>
    </row>
    <row r="111" spans="3:22" ht="19" x14ac:dyDescent="0.25">
      <c r="C111" s="123">
        <f t="shared" si="12"/>
        <v>1100</v>
      </c>
      <c r="D111" s="287">
        <f t="shared" si="10"/>
        <v>0.98114021392782624</v>
      </c>
      <c r="E111" s="178">
        <f t="shared" si="10"/>
        <v>0.47821639236088831</v>
      </c>
      <c r="F111" s="288">
        <f t="shared" si="10"/>
        <v>0.36602654439725002</v>
      </c>
      <c r="G111" s="270">
        <f t="shared" si="11"/>
        <v>0.17173867862314962</v>
      </c>
    </row>
    <row r="112" spans="3:22" ht="19" x14ac:dyDescent="0.25">
      <c r="C112" s="123">
        <f t="shared" si="12"/>
        <v>1200</v>
      </c>
      <c r="D112" s="287">
        <f t="shared" si="10"/>
        <v>1.0770927964791661</v>
      </c>
      <c r="E112" s="178">
        <f t="shared" si="10"/>
        <v>0.53283767302790286</v>
      </c>
      <c r="F112" s="288">
        <f t="shared" si="10"/>
        <v>0.41186448255326047</v>
      </c>
      <c r="G112" s="270">
        <f t="shared" si="11"/>
        <v>0.23637545957679013</v>
      </c>
    </row>
    <row r="113" spans="2:15" ht="19" x14ac:dyDescent="0.25">
      <c r="C113" s="123">
        <f t="shared" si="12"/>
        <v>1300</v>
      </c>
      <c r="D113" s="287">
        <f t="shared" si="10"/>
        <v>1.1725928399016703</v>
      </c>
      <c r="E113" s="178">
        <f t="shared" si="10"/>
        <v>0.5868873068648538</v>
      </c>
      <c r="F113" s="288">
        <f t="shared" si="10"/>
        <v>0.45718933379491539</v>
      </c>
      <c r="G113" s="270">
        <f t="shared" si="11"/>
        <v>0.31462848891683359</v>
      </c>
    </row>
    <row r="114" spans="2:15" ht="19" x14ac:dyDescent="0.25">
      <c r="C114" s="123">
        <f t="shared" si="12"/>
        <v>1400</v>
      </c>
      <c r="D114" s="287">
        <f t="shared" si="10"/>
        <v>1.2677293960010123</v>
      </c>
      <c r="E114" s="178">
        <f t="shared" si="10"/>
        <v>0.64044752556722095</v>
      </c>
      <c r="F114" s="288">
        <f t="shared" si="10"/>
        <v>0.50204856618844851</v>
      </c>
      <c r="G114" s="270">
        <f t="shared" si="11"/>
        <v>0.40762033726419727</v>
      </c>
    </row>
    <row r="115" spans="2:15" ht="19" x14ac:dyDescent="0.25">
      <c r="C115" s="123">
        <f t="shared" si="12"/>
        <v>1500</v>
      </c>
      <c r="D115" s="287">
        <f t="shared" si="10"/>
        <v>1.3625700755229169</v>
      </c>
      <c r="E115" s="178">
        <f t="shared" si="10"/>
        <v>0.69358944068626516</v>
      </c>
      <c r="F115" s="288">
        <f t="shared" si="10"/>
        <v>0.54649276234501343</v>
      </c>
      <c r="G115" s="270">
        <f t="shared" si="11"/>
        <v>0.51647075431101808</v>
      </c>
    </row>
    <row r="116" spans="2:15" ht="19" x14ac:dyDescent="0.25">
      <c r="C116" s="123">
        <f t="shared" si="12"/>
        <v>1600</v>
      </c>
      <c r="D116" s="287">
        <f t="shared" si="10"/>
        <v>1.4571669900648505</v>
      </c>
      <c r="E116" s="178">
        <f t="shared" si="10"/>
        <v>0.74637327369433049</v>
      </c>
      <c r="F116" s="288">
        <f t="shared" si="10"/>
        <v>0.59057024803992331</v>
      </c>
      <c r="G116" s="270">
        <f t="shared" si="11"/>
        <v>0.64229858939844864</v>
      </c>
    </row>
    <row r="117" spans="2:15" ht="19" x14ac:dyDescent="0.25">
      <c r="C117" s="123">
        <f t="shared" si="12"/>
        <v>1700</v>
      </c>
      <c r="D117" s="287">
        <f t="shared" si="10"/>
        <v>1.5515608717339351</v>
      </c>
      <c r="E117" s="178">
        <f t="shared" si="10"/>
        <v>0.79884956712222521</v>
      </c>
      <c r="F117" s="288">
        <f t="shared" si="10"/>
        <v>0.63432493165478876</v>
      </c>
      <c r="G117" s="270">
        <f t="shared" si="11"/>
        <v>0.78622274629559141</v>
      </c>
    </row>
    <row r="118" spans="2:15" ht="19" x14ac:dyDescent="0.25">
      <c r="C118" s="123">
        <f t="shared" si="12"/>
        <v>1800</v>
      </c>
      <c r="D118" s="287">
        <f t="shared" si="10"/>
        <v>1.6457839713046778</v>
      </c>
      <c r="E118" s="178">
        <f t="shared" si="10"/>
        <v>0.85106062316702813</v>
      </c>
      <c r="F118" s="288">
        <f t="shared" si="10"/>
        <v>0.67779569508241455</v>
      </c>
      <c r="G118" s="270">
        <f t="shared" si="11"/>
        <v>0.94936262792240811</v>
      </c>
    </row>
    <row r="119" spans="2:15" ht="19" x14ac:dyDescent="0.25">
      <c r="C119" s="123">
        <f t="shared" si="12"/>
        <v>1900</v>
      </c>
      <c r="D119" s="287">
        <f t="shared" si="10"/>
        <v>1.7398621279563364</v>
      </c>
      <c r="E119" s="178">
        <f t="shared" si="10"/>
        <v>0.903041870823862</v>
      </c>
      <c r="F119" s="288">
        <f t="shared" si="10"/>
        <v>0.72101650556603958</v>
      </c>
      <c r="G119" s="270">
        <f t="shared" si="11"/>
        <v>1.1328383140977805</v>
      </c>
    </row>
    <row r="120" spans="2:15" ht="20" thickBot="1" x14ac:dyDescent="0.3">
      <c r="C120" s="124">
        <f t="shared" si="12"/>
        <v>2000</v>
      </c>
      <c r="D120" s="289">
        <f t="shared" si="10"/>
        <v>1.8338162693420297</v>
      </c>
      <c r="E120" s="290">
        <f t="shared" si="10"/>
        <v>0.95482305992029615</v>
      </c>
      <c r="F120" s="291">
        <f t="shared" si="10"/>
        <v>0.76401683370075768</v>
      </c>
      <c r="G120" s="271">
        <f t="shared" si="11"/>
        <v>1.3377706023873841</v>
      </c>
    </row>
    <row r="127" spans="2:15" ht="19" x14ac:dyDescent="0.25">
      <c r="B127" s="1"/>
      <c r="C127" s="1"/>
      <c r="D127" s="1"/>
      <c r="E127" s="1"/>
      <c r="F127" s="1" t="s">
        <v>66</v>
      </c>
      <c r="G127" s="1"/>
      <c r="H127" s="1"/>
      <c r="I127" s="1"/>
      <c r="J127" s="1"/>
      <c r="K127" s="1"/>
      <c r="L127" s="1"/>
      <c r="M127" s="1"/>
      <c r="N127" s="1"/>
      <c r="O127" s="1"/>
    </row>
    <row r="128" spans="2:15" ht="27" x14ac:dyDescent="0.35">
      <c r="B128" s="1"/>
      <c r="C128" s="125" t="s">
        <v>91</v>
      </c>
      <c r="D128" s="126"/>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82" t="s">
        <v>26</v>
      </c>
      <c r="D130" s="63"/>
      <c r="E130" s="63"/>
      <c r="F130" s="64"/>
      <c r="G130" s="1"/>
      <c r="H130" s="1"/>
      <c r="I130" s="1"/>
      <c r="J130" s="1"/>
      <c r="K130" s="1"/>
      <c r="L130" s="1"/>
      <c r="M130" s="1"/>
      <c r="N130" s="1"/>
      <c r="O130" s="1"/>
    </row>
    <row r="131" spans="2:15" ht="20" thickBot="1" x14ac:dyDescent="0.3">
      <c r="B131" s="1"/>
      <c r="C131" s="83"/>
      <c r="D131" s="105" t="s">
        <v>36</v>
      </c>
      <c r="E131" s="106" t="s">
        <v>37</v>
      </c>
      <c r="F131" s="107" t="s">
        <v>38</v>
      </c>
      <c r="G131" s="1"/>
      <c r="H131" s="1"/>
      <c r="I131" s="1"/>
      <c r="J131" s="1"/>
      <c r="K131" s="1"/>
      <c r="L131" s="1"/>
      <c r="M131" s="1"/>
      <c r="N131" s="1"/>
      <c r="O131" s="1"/>
    </row>
    <row r="132" spans="2:15" ht="22" thickBot="1" x14ac:dyDescent="0.3">
      <c r="B132" s="1"/>
      <c r="C132" s="188" t="s">
        <v>92</v>
      </c>
      <c r="D132" s="59">
        <f>D24*($Q$8)^2</f>
        <v>1.27245308E-46</v>
      </c>
      <c r="E132" s="59">
        <f t="shared" ref="E132:F132" si="13">E24*($Q$8)^2</f>
        <v>2.3205687799999996E-45</v>
      </c>
      <c r="F132" s="59">
        <f t="shared" si="13"/>
        <v>2.4478140880000001E-45</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89" t="s">
        <v>68</v>
      </c>
      <c r="D136" s="157" t="s">
        <v>135</v>
      </c>
      <c r="E136" s="157" t="s">
        <v>130</v>
      </c>
      <c r="F136" s="1"/>
      <c r="G136" s="1"/>
      <c r="H136" s="162" t="s">
        <v>83</v>
      </c>
      <c r="I136" s="163"/>
      <c r="J136" s="163"/>
      <c r="K136" s="163"/>
      <c r="L136" s="163"/>
      <c r="M136" s="163"/>
      <c r="N136" s="163"/>
      <c r="O136" s="1"/>
    </row>
    <row r="137" spans="2:15" ht="20" thickBot="1" x14ac:dyDescent="0.3">
      <c r="B137" s="1"/>
      <c r="C137" s="150">
        <v>298.14999999999998</v>
      </c>
      <c r="D137" s="154">
        <f t="shared" ref="D137:D155" si="14">(8*PI()^2*(2*PI()*$B$8*C137)^(3/2)*SQRT($D$132*$E$132*$F$132))/($H$139*$B$14^3)</f>
        <v>15175.633035895264</v>
      </c>
      <c r="E137" s="154">
        <f>(SQRT(PI())/$A$31)*((C137^1.5)/SQRT($C$29*$D$29*$E$29))</f>
        <v>2249.8945203304188</v>
      </c>
      <c r="F137" s="4"/>
      <c r="G137" s="1"/>
      <c r="H137" s="1"/>
      <c r="I137" s="1"/>
      <c r="J137" s="1"/>
      <c r="K137" s="1"/>
      <c r="L137" s="1"/>
      <c r="M137" s="1"/>
      <c r="N137" s="1"/>
      <c r="O137" s="1"/>
    </row>
    <row r="138" spans="2:15" ht="20" thickBot="1" x14ac:dyDescent="0.3">
      <c r="B138" s="1"/>
      <c r="C138" s="150">
        <v>300</v>
      </c>
      <c r="D138" s="154">
        <f t="shared" si="14"/>
        <v>15317.097534883629</v>
      </c>
      <c r="E138" s="154">
        <f>(SQRT(PI())/$A$31)*((C138^1.5)/SQRT($C$29*$D$29*$E$29))</f>
        <v>2270.8676290200037</v>
      </c>
      <c r="F138" s="1"/>
      <c r="G138" s="1"/>
      <c r="L138" s="157" t="s">
        <v>136</v>
      </c>
      <c r="M138" s="327" t="s">
        <v>137</v>
      </c>
      <c r="N138" s="1"/>
      <c r="O138" s="1"/>
    </row>
    <row r="139" spans="2:15" ht="20" thickBot="1" x14ac:dyDescent="0.3">
      <c r="B139" s="1"/>
      <c r="C139" s="151">
        <f>C138+100</f>
        <v>400</v>
      </c>
      <c r="D139" s="155">
        <f t="shared" si="14"/>
        <v>23582.214359917056</v>
      </c>
      <c r="E139" s="155">
        <f t="shared" ref="E139:E155" si="15">(SQRT(PI())/$A$31)*((C139^1.5)/SQRT($C$29*$D$29*$E$29))</f>
        <v>3496.2294317565506</v>
      </c>
      <c r="F139" s="1"/>
      <c r="G139" s="108" t="s">
        <v>124</v>
      </c>
      <c r="H139" s="113">
        <v>2</v>
      </c>
      <c r="K139" s="71" t="s">
        <v>79</v>
      </c>
      <c r="L139" s="131">
        <f>D137</f>
        <v>15175.633035895264</v>
      </c>
      <c r="M139" s="332">
        <f>E137</f>
        <v>2249.8945203304188</v>
      </c>
      <c r="N139" s="1"/>
      <c r="O139" s="1"/>
    </row>
    <row r="140" spans="2:15" ht="20" thickBot="1" x14ac:dyDescent="0.3">
      <c r="B140" s="1"/>
      <c r="C140" s="151">
        <f t="shared" ref="C140:C155" si="16">C139+100</f>
        <v>500</v>
      </c>
      <c r="D140" s="155">
        <f t="shared" si="14"/>
        <v>32957.146480466115</v>
      </c>
      <c r="E140" s="155">
        <f t="shared" si="15"/>
        <v>4886.1291714644449</v>
      </c>
      <c r="F140" s="1"/>
      <c r="G140" s="1"/>
      <c r="K140" s="72" t="s">
        <v>80</v>
      </c>
      <c r="L140" s="133">
        <f>P34</f>
        <v>2249.89</v>
      </c>
      <c r="M140" s="133">
        <f>L140</f>
        <v>2249.89</v>
      </c>
      <c r="N140" s="1"/>
      <c r="O140" s="1"/>
    </row>
    <row r="141" spans="2:15" ht="22" x14ac:dyDescent="0.3">
      <c r="B141" s="1"/>
      <c r="C141" s="151">
        <f t="shared" si="16"/>
        <v>600</v>
      </c>
      <c r="D141" s="155">
        <f t="shared" si="14"/>
        <v>43323.294140047969</v>
      </c>
      <c r="E141" s="155">
        <f t="shared" si="15"/>
        <v>6422.9835986282415</v>
      </c>
      <c r="F141" s="1"/>
      <c r="G141" s="1"/>
      <c r="H141" s="1"/>
      <c r="I141" s="1"/>
      <c r="K141" s="17" t="s">
        <v>81</v>
      </c>
      <c r="L141" s="164">
        <f>ABS(L139-L140)/L139</f>
        <v>0.85174325218076341</v>
      </c>
      <c r="M141" s="164">
        <f>ABS(M139-M140)/M139</f>
        <v>2.0091299294614635E-6</v>
      </c>
      <c r="N141" s="1"/>
      <c r="O141" s="1"/>
    </row>
    <row r="142" spans="2:15" ht="19" x14ac:dyDescent="0.25">
      <c r="B142" s="1"/>
      <c r="C142" s="151">
        <f t="shared" si="16"/>
        <v>700</v>
      </c>
      <c r="D142" s="155">
        <f t="shared" si="14"/>
        <v>54593.590240486839</v>
      </c>
      <c r="E142" s="155">
        <f t="shared" si="15"/>
        <v>8093.8844024959317</v>
      </c>
      <c r="F142" s="1"/>
      <c r="G142" s="1"/>
    </row>
    <row r="143" spans="2:15" ht="19" x14ac:dyDescent="0.25">
      <c r="B143" s="1"/>
      <c r="C143" s="151">
        <f t="shared" si="16"/>
        <v>800</v>
      </c>
      <c r="D143" s="155">
        <f t="shared" si="14"/>
        <v>66700.574757167749</v>
      </c>
      <c r="E143" s="155">
        <f t="shared" si="15"/>
        <v>9888.830159116178</v>
      </c>
      <c r="F143" s="1"/>
      <c r="G143" s="1"/>
    </row>
    <row r="144" spans="2:15" ht="19" x14ac:dyDescent="0.25">
      <c r="B144" s="1"/>
      <c r="C144" s="151">
        <f t="shared" si="16"/>
        <v>900</v>
      </c>
      <c r="D144" s="155">
        <f t="shared" si="14"/>
        <v>79589.973464719049</v>
      </c>
      <c r="E144" s="155">
        <f t="shared" si="15"/>
        <v>11799.774332178356</v>
      </c>
      <c r="F144" s="1"/>
      <c r="G144" s="1"/>
    </row>
    <row r="145" spans="3:5" ht="19" x14ac:dyDescent="0.25">
      <c r="C145" s="151">
        <f t="shared" si="16"/>
        <v>1000</v>
      </c>
      <c r="D145" s="155">
        <f t="shared" si="14"/>
        <v>93216.887059582732</v>
      </c>
      <c r="E145" s="155">
        <f t="shared" si="15"/>
        <v>13820.060283583654</v>
      </c>
    </row>
    <row r="146" spans="3:5" ht="19" x14ac:dyDescent="0.25">
      <c r="C146" s="151">
        <f t="shared" si="16"/>
        <v>1100</v>
      </c>
      <c r="D146" s="155">
        <f t="shared" si="14"/>
        <v>107543.36554166557</v>
      </c>
      <c r="E146" s="155">
        <f t="shared" si="15"/>
        <v>15944.061658434162</v>
      </c>
    </row>
    <row r="147" spans="3:5" ht="19" x14ac:dyDescent="0.25">
      <c r="C147" s="151">
        <f t="shared" si="16"/>
        <v>1200</v>
      </c>
      <c r="D147" s="155">
        <f t="shared" si="14"/>
        <v>122536.78027906969</v>
      </c>
      <c r="E147" s="155">
        <f t="shared" si="15"/>
        <v>18166.941032160034</v>
      </c>
    </row>
    <row r="148" spans="3:5" ht="19" x14ac:dyDescent="0.25">
      <c r="C148" s="151">
        <f t="shared" si="16"/>
        <v>1300</v>
      </c>
      <c r="D148" s="155">
        <f t="shared" si="14"/>
        <v>138168.6849784519</v>
      </c>
      <c r="E148" s="155">
        <f t="shared" si="15"/>
        <v>20484.481041349904</v>
      </c>
    </row>
    <row r="149" spans="3:5" ht="19" x14ac:dyDescent="0.25">
      <c r="C149" s="151">
        <f t="shared" si="16"/>
        <v>1400</v>
      </c>
      <c r="D149" s="155">
        <f t="shared" si="14"/>
        <v>154413.99147347227</v>
      </c>
      <c r="E149" s="155">
        <f t="shared" si="15"/>
        <v>22892.96218857963</v>
      </c>
    </row>
    <row r="150" spans="3:5" ht="19" x14ac:dyDescent="0.25">
      <c r="C150" s="151">
        <f t="shared" si="16"/>
        <v>1500</v>
      </c>
      <c r="D150" s="155">
        <f t="shared" si="14"/>
        <v>171250.35652997074</v>
      </c>
      <c r="E150" s="155">
        <f t="shared" si="15"/>
        <v>25389.071931962528</v>
      </c>
    </row>
    <row r="151" spans="3:5" ht="19" x14ac:dyDescent="0.25">
      <c r="C151" s="151">
        <f t="shared" si="16"/>
        <v>1600</v>
      </c>
      <c r="D151" s="155">
        <f t="shared" si="14"/>
        <v>188657.71487933485</v>
      </c>
      <c r="E151" s="155">
        <f t="shared" si="15"/>
        <v>27969.835454052416</v>
      </c>
    </row>
    <row r="152" spans="3:5" ht="19" x14ac:dyDescent="0.25">
      <c r="C152" s="151">
        <f t="shared" si="16"/>
        <v>1700</v>
      </c>
      <c r="D152" s="155">
        <f t="shared" si="14"/>
        <v>206617.91647027782</v>
      </c>
      <c r="E152" s="155">
        <f t="shared" si="15"/>
        <v>30632.561881866633</v>
      </c>
    </row>
    <row r="153" spans="3:5" ht="19" x14ac:dyDescent="0.25">
      <c r="C153" s="151">
        <f t="shared" si="16"/>
        <v>1800</v>
      </c>
      <c r="D153" s="155">
        <f t="shared" si="14"/>
        <v>225114.43980544151</v>
      </c>
      <c r="E153" s="155">
        <f t="shared" si="15"/>
        <v>33374.801787017153</v>
      </c>
    </row>
    <row r="154" spans="3:5" ht="19" x14ac:dyDescent="0.25">
      <c r="C154" s="151">
        <f t="shared" si="16"/>
        <v>1900</v>
      </c>
      <c r="D154" s="155">
        <f t="shared" si="14"/>
        <v>244132.16199200472</v>
      </c>
      <c r="E154" s="155">
        <f t="shared" si="15"/>
        <v>36194.31309409118</v>
      </c>
    </row>
    <row r="155" spans="3:5" ht="20" thickBot="1" x14ac:dyDescent="0.3">
      <c r="C155" s="152">
        <f t="shared" si="16"/>
        <v>2000</v>
      </c>
      <c r="D155" s="156">
        <f t="shared" si="14"/>
        <v>263657.17184372665</v>
      </c>
      <c r="E155" s="156">
        <f t="shared" si="15"/>
        <v>39089.033371715501</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25" t="s">
        <v>97</v>
      </c>
      <c r="D164" s="126"/>
      <c r="E164" s="1"/>
      <c r="F164" s="1"/>
      <c r="G164" s="1"/>
      <c r="H164" s="1"/>
      <c r="I164" s="1"/>
      <c r="J164" s="1"/>
      <c r="K164" s="1"/>
      <c r="L164" s="1"/>
      <c r="M164" s="1"/>
      <c r="N164" s="1"/>
      <c r="O164" s="1"/>
    </row>
    <row r="165" spans="2:16" ht="19" x14ac:dyDescent="0.25">
      <c r="H165" s="1"/>
      <c r="I165" s="1"/>
      <c r="J165" s="1"/>
      <c r="K165" s="1"/>
      <c r="L165" s="1"/>
      <c r="M165" s="1"/>
      <c r="N165" s="1"/>
      <c r="O165" s="1"/>
    </row>
    <row r="166" spans="2:16" ht="19" x14ac:dyDescent="0.25">
      <c r="H166" s="1"/>
      <c r="I166" s="1"/>
      <c r="J166" s="1"/>
      <c r="K166" s="1"/>
      <c r="L166" s="1"/>
      <c r="M166" s="1"/>
      <c r="N166" s="1"/>
      <c r="O166" s="1"/>
    </row>
    <row r="167" spans="2:16" ht="19" x14ac:dyDescent="0.25">
      <c r="B167" s="1"/>
      <c r="C167" s="1"/>
      <c r="D167" s="1"/>
      <c r="E167" s="1"/>
      <c r="F167" s="1"/>
      <c r="G167" s="1"/>
      <c r="H167" s="1"/>
      <c r="I167" s="1"/>
      <c r="J167" s="1"/>
      <c r="K167" s="1"/>
      <c r="L167" s="1"/>
      <c r="M167" s="1"/>
      <c r="N167" s="1"/>
      <c r="O167" s="1"/>
    </row>
    <row r="168" spans="2:16" ht="20" thickBot="1" x14ac:dyDescent="0.3">
      <c r="B168" s="1"/>
      <c r="C168" s="191" t="s">
        <v>100</v>
      </c>
      <c r="F168" s="1"/>
      <c r="G168" s="1"/>
      <c r="H168" s="1"/>
      <c r="I168" s="1"/>
      <c r="J168" s="1"/>
      <c r="K168" s="1"/>
      <c r="L168" s="1"/>
      <c r="M168" s="1"/>
      <c r="N168" s="1"/>
      <c r="O168" s="1"/>
    </row>
    <row r="169" spans="2:16" ht="20" thickBot="1" x14ac:dyDescent="0.3">
      <c r="B169" s="1"/>
      <c r="C169" s="81"/>
      <c r="D169" s="167">
        <v>1</v>
      </c>
      <c r="E169" s="168">
        <f>D169+1</f>
        <v>2</v>
      </c>
      <c r="F169" s="168">
        <f>E169+1</f>
        <v>3</v>
      </c>
      <c r="G169" s="168">
        <f>F169+1</f>
        <v>4</v>
      </c>
      <c r="H169" s="169" t="s">
        <v>102</v>
      </c>
      <c r="I169" s="1"/>
      <c r="J169" s="1"/>
      <c r="K169" s="1"/>
      <c r="L169" s="1"/>
      <c r="M169" s="1"/>
      <c r="N169" s="1"/>
      <c r="O169" s="1"/>
    </row>
    <row r="170" spans="2:16" ht="20" thickBot="1" x14ac:dyDescent="0.3">
      <c r="B170" s="1"/>
      <c r="C170" s="193" t="s">
        <v>101</v>
      </c>
      <c r="D170" s="197">
        <f>J$46</f>
        <v>-205.08367119299999</v>
      </c>
      <c r="E170" s="197">
        <f t="shared" ref="E170:H170" si="17">K$46</f>
        <v>-205.08387352</v>
      </c>
      <c r="F170" s="197">
        <f t="shared" si="17"/>
        <v>-205.083886296</v>
      </c>
      <c r="G170" s="197">
        <f t="shared" si="17"/>
        <v>-205.08388724100001</v>
      </c>
      <c r="H170" s="197">
        <f t="shared" si="17"/>
        <v>-205.08388724100001</v>
      </c>
      <c r="I170" s="1"/>
      <c r="J170" s="1"/>
      <c r="K170" s="1"/>
      <c r="L170" s="1"/>
      <c r="M170" s="1"/>
      <c r="N170" s="1"/>
      <c r="O170" s="1"/>
    </row>
    <row r="171" spans="2:16" ht="20" thickBot="1" x14ac:dyDescent="0.3">
      <c r="B171" s="1"/>
      <c r="C171" s="192" t="s">
        <v>103</v>
      </c>
      <c r="D171" s="198">
        <f>D170*$K$7</f>
        <v>-8.9416480640147987E-16</v>
      </c>
      <c r="E171" s="198">
        <f t="shared" ref="E171:H171" si="18">E170*$K$7</f>
        <v>-8.9416568854719991E-16</v>
      </c>
      <c r="F171" s="198">
        <f t="shared" si="18"/>
        <v>-8.9416574425055992E-16</v>
      </c>
      <c r="G171" s="198">
        <f t="shared" si="18"/>
        <v>-8.9416574837076012E-16</v>
      </c>
      <c r="H171" s="198">
        <f t="shared" si="18"/>
        <v>-8.9416574837076012E-16</v>
      </c>
      <c r="I171" s="1"/>
      <c r="J171" s="1"/>
      <c r="K171" s="1"/>
      <c r="L171" s="1"/>
      <c r="M171" s="1"/>
      <c r="N171" s="1"/>
      <c r="O171" s="1"/>
    </row>
    <row r="172" spans="2:16" ht="20" thickBot="1" x14ac:dyDescent="0.3">
      <c r="B172" s="1"/>
      <c r="D172" s="1"/>
      <c r="E172" s="1"/>
      <c r="F172" s="1"/>
      <c r="G172" s="1"/>
      <c r="O172" s="1"/>
    </row>
    <row r="173" spans="2:16" ht="23" thickBot="1" x14ac:dyDescent="0.35">
      <c r="B173" s="1"/>
      <c r="C173" s="121" t="s">
        <v>104</v>
      </c>
      <c r="D173" s="1"/>
      <c r="E173" s="1"/>
      <c r="F173" s="1"/>
      <c r="G173" s="1"/>
      <c r="H173" s="162" t="s">
        <v>83</v>
      </c>
      <c r="I173" s="163"/>
      <c r="J173" s="163"/>
      <c r="K173" s="163"/>
      <c r="L173" s="163"/>
      <c r="M173" s="163"/>
      <c r="N173" s="1"/>
      <c r="O173" s="1"/>
    </row>
    <row r="174" spans="2:16" ht="20" thickBot="1" x14ac:dyDescent="0.3">
      <c r="B174" s="1"/>
      <c r="C174" s="196">
        <f>F171+L23</f>
        <v>-8.9412745473055988E-16</v>
      </c>
      <c r="F174" s="1"/>
      <c r="G174" s="1"/>
      <c r="H174" s="1"/>
      <c r="I174" s="1"/>
      <c r="J174" s="1"/>
      <c r="K174" s="1"/>
      <c r="L174" s="1"/>
      <c r="M174" s="1"/>
      <c r="N174" s="1"/>
      <c r="O174" s="1"/>
    </row>
    <row r="175" spans="2:16" ht="20" thickBot="1" x14ac:dyDescent="0.3">
      <c r="B175" s="1"/>
      <c r="F175" s="4"/>
      <c r="G175" s="1"/>
      <c r="L175" s="157" t="s">
        <v>82</v>
      </c>
      <c r="M175" s="1"/>
      <c r="N175" s="1"/>
      <c r="O175" s="1"/>
    </row>
    <row r="176" spans="2:16" ht="22" thickBot="1" x14ac:dyDescent="0.3">
      <c r="B176" s="1"/>
      <c r="C176" s="189" t="s">
        <v>68</v>
      </c>
      <c r="D176" s="190" t="s">
        <v>99</v>
      </c>
      <c r="F176" s="1"/>
      <c r="G176" s="1"/>
      <c r="K176" s="71" t="s">
        <v>79</v>
      </c>
      <c r="L176" s="131">
        <f>IFERROR(2*EXP(-$C$174/(A22*$B$8)),2)</f>
        <v>2</v>
      </c>
      <c r="M176" s="1"/>
      <c r="N176" s="1"/>
      <c r="O176" s="1"/>
    </row>
    <row r="177" spans="2:15" ht="20" thickBot="1" x14ac:dyDescent="0.3">
      <c r="B177" s="1"/>
      <c r="C177" s="150">
        <v>298.14999999999998</v>
      </c>
      <c r="D177" s="154">
        <f t="shared" ref="D177:D195" si="19">2*IFERROR(EXP(-$C$174/(C$178*$B$8)),1)</f>
        <v>2</v>
      </c>
      <c r="F177" s="1"/>
      <c r="G177" s="1"/>
      <c r="K177" s="72" t="s">
        <v>80</v>
      </c>
      <c r="L177" s="133">
        <f>P32</f>
        <v>2</v>
      </c>
      <c r="M177" s="1"/>
      <c r="N177" s="1"/>
      <c r="O177" s="1"/>
    </row>
    <row r="178" spans="2:15" ht="22" x14ac:dyDescent="0.3">
      <c r="B178" s="1"/>
      <c r="C178" s="150">
        <v>300</v>
      </c>
      <c r="D178" s="154">
        <f t="shared" si="19"/>
        <v>2</v>
      </c>
      <c r="F178" s="1"/>
      <c r="G178" s="1"/>
      <c r="H178" s="1"/>
      <c r="I178" s="1"/>
      <c r="K178" s="17" t="s">
        <v>81</v>
      </c>
      <c r="L178" s="164">
        <f>ABS(L176-L177)/L176</f>
        <v>0</v>
      </c>
      <c r="M178" s="1"/>
      <c r="N178" s="1"/>
    </row>
    <row r="179" spans="2:15" ht="19" x14ac:dyDescent="0.25">
      <c r="B179" s="1"/>
      <c r="C179" s="151">
        <f>C178+100</f>
        <v>400</v>
      </c>
      <c r="D179" s="155">
        <f t="shared" si="19"/>
        <v>2</v>
      </c>
      <c r="F179" s="1"/>
      <c r="G179" s="1"/>
    </row>
    <row r="180" spans="2:15" ht="19" x14ac:dyDescent="0.25">
      <c r="B180" s="1"/>
      <c r="C180" s="151">
        <f t="shared" ref="C180:C195" si="20">C179+100</f>
        <v>500</v>
      </c>
      <c r="D180" s="155">
        <f t="shared" si="19"/>
        <v>2</v>
      </c>
      <c r="F180" s="1"/>
      <c r="G180" s="1"/>
    </row>
    <row r="181" spans="2:15" ht="19" x14ac:dyDescent="0.25">
      <c r="B181" s="1"/>
      <c r="C181" s="151">
        <f t="shared" si="20"/>
        <v>600</v>
      </c>
      <c r="D181" s="155">
        <f t="shared" si="19"/>
        <v>2</v>
      </c>
      <c r="F181" s="1"/>
      <c r="G181" s="1"/>
    </row>
    <row r="182" spans="2:15" ht="19" x14ac:dyDescent="0.25">
      <c r="B182" s="1"/>
      <c r="C182" s="151">
        <f t="shared" si="20"/>
        <v>700</v>
      </c>
      <c r="D182" s="155">
        <f t="shared" si="19"/>
        <v>2</v>
      </c>
      <c r="F182" s="1"/>
      <c r="G182" s="1"/>
    </row>
    <row r="183" spans="2:15" ht="19" x14ac:dyDescent="0.25">
      <c r="C183" s="151">
        <f t="shared" si="20"/>
        <v>800</v>
      </c>
      <c r="D183" s="155">
        <f t="shared" si="19"/>
        <v>2</v>
      </c>
    </row>
    <row r="184" spans="2:15" ht="19" x14ac:dyDescent="0.25">
      <c r="C184" s="151">
        <f t="shared" si="20"/>
        <v>900</v>
      </c>
      <c r="D184" s="155">
        <f t="shared" si="19"/>
        <v>2</v>
      </c>
    </row>
    <row r="185" spans="2:15" ht="19" x14ac:dyDescent="0.25">
      <c r="C185" s="151">
        <f t="shared" si="20"/>
        <v>1000</v>
      </c>
      <c r="D185" s="155">
        <f t="shared" si="19"/>
        <v>2</v>
      </c>
    </row>
    <row r="186" spans="2:15" ht="19" x14ac:dyDescent="0.25">
      <c r="C186" s="151">
        <f t="shared" si="20"/>
        <v>1100</v>
      </c>
      <c r="D186" s="155">
        <f t="shared" si="19"/>
        <v>2</v>
      </c>
    </row>
    <row r="187" spans="2:15" ht="19" x14ac:dyDescent="0.25">
      <c r="C187" s="151">
        <f t="shared" si="20"/>
        <v>1200</v>
      </c>
      <c r="D187" s="155">
        <f t="shared" si="19"/>
        <v>2</v>
      </c>
    </row>
    <row r="188" spans="2:15" ht="19" x14ac:dyDescent="0.25">
      <c r="C188" s="151">
        <f t="shared" si="20"/>
        <v>1300</v>
      </c>
      <c r="D188" s="155">
        <f t="shared" si="19"/>
        <v>2</v>
      </c>
    </row>
    <row r="189" spans="2:15" ht="19" x14ac:dyDescent="0.25">
      <c r="C189" s="151">
        <f t="shared" si="20"/>
        <v>1400</v>
      </c>
      <c r="D189" s="155">
        <f t="shared" si="19"/>
        <v>2</v>
      </c>
    </row>
    <row r="190" spans="2:15" ht="19" x14ac:dyDescent="0.25">
      <c r="C190" s="151">
        <f t="shared" si="20"/>
        <v>1500</v>
      </c>
      <c r="D190" s="155">
        <f t="shared" si="19"/>
        <v>2</v>
      </c>
    </row>
    <row r="191" spans="2:15" ht="19" x14ac:dyDescent="0.25">
      <c r="C191" s="151">
        <f t="shared" si="20"/>
        <v>1600</v>
      </c>
      <c r="D191" s="155">
        <f t="shared" si="19"/>
        <v>2</v>
      </c>
    </row>
    <row r="192" spans="2:15" ht="19" x14ac:dyDescent="0.25">
      <c r="C192" s="151">
        <f t="shared" si="20"/>
        <v>1700</v>
      </c>
      <c r="D192" s="155">
        <f t="shared" si="19"/>
        <v>2</v>
      </c>
    </row>
    <row r="193" spans="3:11" ht="19" x14ac:dyDescent="0.25">
      <c r="C193" s="151">
        <f t="shared" si="20"/>
        <v>1800</v>
      </c>
      <c r="D193" s="155">
        <f t="shared" si="19"/>
        <v>2</v>
      </c>
    </row>
    <row r="194" spans="3:11" ht="19" x14ac:dyDescent="0.25">
      <c r="C194" s="151">
        <f t="shared" si="20"/>
        <v>1900</v>
      </c>
      <c r="D194" s="155">
        <f t="shared" si="19"/>
        <v>2</v>
      </c>
    </row>
    <row r="195" spans="3:11" ht="20" thickBot="1" x14ac:dyDescent="0.3">
      <c r="C195" s="152">
        <f t="shared" si="20"/>
        <v>2000</v>
      </c>
      <c r="D195" s="156">
        <f t="shared" si="19"/>
        <v>2</v>
      </c>
    </row>
    <row r="197" spans="3:11" ht="17" thickBot="1" x14ac:dyDescent="0.25"/>
    <row r="198" spans="3:11" ht="20" thickBot="1" x14ac:dyDescent="0.3">
      <c r="E198" s="1"/>
      <c r="F198" s="1" t="s">
        <v>66</v>
      </c>
      <c r="G198" s="1"/>
      <c r="H198" s="345" t="s">
        <v>110</v>
      </c>
      <c r="I198" s="346"/>
      <c r="J198" s="346"/>
      <c r="K198" s="347"/>
    </row>
    <row r="199" spans="3:11" ht="28" thickBot="1" x14ac:dyDescent="0.4">
      <c r="C199" s="125" t="s">
        <v>105</v>
      </c>
      <c r="D199" s="126"/>
      <c r="E199" s="1"/>
      <c r="F199" s="1"/>
      <c r="G199" s="1"/>
      <c r="H199" s="199" t="s">
        <v>106</v>
      </c>
      <c r="I199" s="199" t="s">
        <v>107</v>
      </c>
      <c r="J199" s="199" t="s">
        <v>108</v>
      </c>
      <c r="K199" s="199" t="s">
        <v>109</v>
      </c>
    </row>
    <row r="202" spans="3:11" ht="17" thickBot="1" x14ac:dyDescent="0.25"/>
    <row r="203" spans="3:11" ht="20" thickBot="1" x14ac:dyDescent="0.25">
      <c r="D203" s="343" t="s">
        <v>119</v>
      </c>
      <c r="E203" s="344"/>
    </row>
    <row r="204" spans="3:11" ht="20" thickBot="1" x14ac:dyDescent="0.3">
      <c r="D204" s="176" t="s">
        <v>117</v>
      </c>
      <c r="E204" s="205" t="s">
        <v>115</v>
      </c>
    </row>
    <row r="205" spans="3:11" ht="19" x14ac:dyDescent="0.25">
      <c r="C205" s="65" t="s">
        <v>45</v>
      </c>
      <c r="D205" s="337">
        <f>$Q23</f>
        <v>6.843</v>
      </c>
      <c r="E205" s="131">
        <f>D205*4.184</f>
        <v>28.631112000000002</v>
      </c>
    </row>
    <row r="206" spans="3:11" ht="19" x14ac:dyDescent="0.25">
      <c r="C206" s="66" t="s">
        <v>46</v>
      </c>
      <c r="D206" s="57">
        <f t="shared" ref="D206:D209" si="21">$Q24</f>
        <v>0</v>
      </c>
      <c r="E206" s="132">
        <f t="shared" ref="E206:E209" si="22">D206*4.184</f>
        <v>0</v>
      </c>
    </row>
    <row r="207" spans="3:11" ht="19" x14ac:dyDescent="0.25">
      <c r="C207" s="66" t="s">
        <v>47</v>
      </c>
      <c r="D207" s="57">
        <f t="shared" si="21"/>
        <v>2.9809999999999999</v>
      </c>
      <c r="E207" s="132">
        <f t="shared" si="22"/>
        <v>12.472504000000001</v>
      </c>
    </row>
    <row r="208" spans="3:11" ht="19" x14ac:dyDescent="0.25">
      <c r="C208" s="66" t="s">
        <v>48</v>
      </c>
      <c r="D208" s="57">
        <f t="shared" si="21"/>
        <v>2.9809999999999999</v>
      </c>
      <c r="E208" s="132">
        <f t="shared" si="22"/>
        <v>12.472504000000001</v>
      </c>
    </row>
    <row r="209" spans="3:16" ht="20" thickBot="1" x14ac:dyDescent="0.3">
      <c r="C209" s="67" t="s">
        <v>49</v>
      </c>
      <c r="D209" s="59">
        <f t="shared" si="21"/>
        <v>0.88100000000000001</v>
      </c>
      <c r="E209" s="133">
        <f t="shared" si="22"/>
        <v>3.6861040000000003</v>
      </c>
      <c r="K209">
        <f>COLUMN(E205)</f>
        <v>5</v>
      </c>
    </row>
    <row r="210" spans="3:16" ht="24" customHeight="1" x14ac:dyDescent="0.2"/>
    <row r="211" spans="3:16" ht="17" thickBot="1" x14ac:dyDescent="0.25"/>
    <row r="212" spans="3:16" ht="23" thickBot="1" x14ac:dyDescent="0.35">
      <c r="D212" s="353" t="s">
        <v>115</v>
      </c>
      <c r="E212" s="354"/>
      <c r="F212" s="354"/>
      <c r="G212" s="354"/>
      <c r="H212" s="355"/>
      <c r="J212" s="162" t="s">
        <v>83</v>
      </c>
      <c r="K212" s="163"/>
      <c r="L212" s="163"/>
      <c r="M212" s="163"/>
      <c r="N212" s="163"/>
      <c r="O212" s="163"/>
      <c r="P212" s="1"/>
    </row>
    <row r="213" spans="3:16" ht="20" thickBot="1" x14ac:dyDescent="0.3">
      <c r="C213" s="189" t="s">
        <v>68</v>
      </c>
      <c r="D213" s="200" t="s">
        <v>114</v>
      </c>
      <c r="E213" s="201" t="s">
        <v>111</v>
      </c>
      <c r="F213" s="201" t="s">
        <v>112</v>
      </c>
      <c r="G213" s="202" t="s">
        <v>113</v>
      </c>
      <c r="H213" s="121" t="s">
        <v>116</v>
      </c>
      <c r="J213" s="1"/>
      <c r="K213" s="1"/>
      <c r="L213" s="1"/>
      <c r="M213" s="1"/>
      <c r="N213" s="1"/>
      <c r="O213" s="1"/>
      <c r="P213" s="1"/>
    </row>
    <row r="214" spans="3:16" ht="20" thickBot="1" x14ac:dyDescent="0.3">
      <c r="C214" s="173">
        <v>298.14999999999998</v>
      </c>
      <c r="D214" s="260">
        <f>3*$B$7/2</f>
        <v>12.471599999999999</v>
      </c>
      <c r="E214" s="261" cm="1">
        <f t="array" ref="E214">$B$7*SUM(($D$42:$D$44*$D$42:$D$44)*EXP($D$42:$D$44/$C214)/($C214^2*(EXP($D$42:$D$44/$C214)-1)^2))</f>
        <v>3.6862424792325421</v>
      </c>
      <c r="F214" s="262">
        <f>3*$B$7/2</f>
        <v>12.471599999999999</v>
      </c>
      <c r="G214" s="263">
        <v>0</v>
      </c>
      <c r="H214" s="227">
        <f t="shared" ref="H214:H232" si="23">SUM(D214:G214)</f>
        <v>28.629442479232541</v>
      </c>
      <c r="K214" s="200" t="s">
        <v>114</v>
      </c>
      <c r="L214" s="201" t="s">
        <v>111</v>
      </c>
      <c r="M214" s="201" t="s">
        <v>112</v>
      </c>
      <c r="N214" s="202" t="s">
        <v>113</v>
      </c>
      <c r="O214" s="121" t="s">
        <v>116</v>
      </c>
      <c r="P214" s="1"/>
    </row>
    <row r="215" spans="3:16" ht="19" x14ac:dyDescent="0.25">
      <c r="C215" s="150">
        <v>300</v>
      </c>
      <c r="D215" s="220">
        <f>3*$B$7/2</f>
        <v>12.471599999999999</v>
      </c>
      <c r="E215" s="225" cm="1">
        <f t="array" ref="E215">$B$7*SUM(($D$42:$D$44*$D$42:$D$44)*EXP($D$42:$D$44/$C215)/($C215^2*(EXP($D$42:$D$44/$C215)-1)^2))</f>
        <v>3.7400629756473736</v>
      </c>
      <c r="F215" s="247">
        <f>3*$B$7/2</f>
        <v>12.471599999999999</v>
      </c>
      <c r="G215" s="221">
        <v>0</v>
      </c>
      <c r="H215" s="227">
        <f t="shared" si="23"/>
        <v>28.68326297564737</v>
      </c>
      <c r="J215" s="71" t="s">
        <v>79</v>
      </c>
      <c r="K215" s="131">
        <f>D$214</f>
        <v>12.471599999999999</v>
      </c>
      <c r="L215" s="131">
        <f t="shared" ref="L215:O215" si="24">E$214</f>
        <v>3.6862424792325421</v>
      </c>
      <c r="M215" s="131">
        <f t="shared" si="24"/>
        <v>12.471599999999999</v>
      </c>
      <c r="N215" s="131">
        <f t="shared" si="24"/>
        <v>0</v>
      </c>
      <c r="O215" s="131">
        <f t="shared" si="24"/>
        <v>28.629442479232541</v>
      </c>
      <c r="P215" s="1"/>
    </row>
    <row r="216" spans="3:16" ht="20" thickBot="1" x14ac:dyDescent="0.3">
      <c r="C216" s="151">
        <f>C215+100</f>
        <v>400</v>
      </c>
      <c r="D216" s="220">
        <f t="shared" ref="D216:D232" si="25">3*$B$7/2</f>
        <v>12.471599999999999</v>
      </c>
      <c r="E216" s="217" cm="1">
        <f t="array" ref="E216">$B$7*SUM(($D$42:$D$44*$D$42:$D$44)*EXP($D$42:$D$44/$C216)/($C216^2*(EXP($D$42:$D$44/$C216)-1)^2))</f>
        <v>6.7672192869898504</v>
      </c>
      <c r="F216" s="247">
        <f t="shared" ref="F216:F232" si="26">3*$B$7/2</f>
        <v>12.471599999999999</v>
      </c>
      <c r="G216" s="221">
        <v>0</v>
      </c>
      <c r="H216" s="328">
        <f t="shared" si="23"/>
        <v>31.710419286989847</v>
      </c>
      <c r="J216" s="72" t="s">
        <v>80</v>
      </c>
      <c r="K216" s="133">
        <f>E207</f>
        <v>12.472504000000001</v>
      </c>
      <c r="L216" s="133">
        <f>E209</f>
        <v>3.6861040000000003</v>
      </c>
      <c r="M216" s="133">
        <f>E208</f>
        <v>12.472504000000001</v>
      </c>
      <c r="N216" s="133">
        <f>E206</f>
        <v>0</v>
      </c>
      <c r="O216" s="133">
        <f>E205</f>
        <v>28.631112000000002</v>
      </c>
      <c r="P216" s="1"/>
    </row>
    <row r="217" spans="3:16" ht="22" x14ac:dyDescent="0.3">
      <c r="C217" s="151">
        <f t="shared" ref="C217:C232" si="27">C216+100</f>
        <v>500</v>
      </c>
      <c r="D217" s="220">
        <f t="shared" si="25"/>
        <v>12.471599999999999</v>
      </c>
      <c r="E217" s="217" cm="1">
        <f t="array" ref="E217">$B$7*SUM(($D$42:$D$44*$D$42:$D$44)*EXP($D$42:$D$44/$C217)/($C217^2*(EXP($D$42:$D$44/$C217)-1)^2))</f>
        <v>9.7203383839076629</v>
      </c>
      <c r="F217" s="247">
        <f t="shared" si="26"/>
        <v>12.471599999999999</v>
      </c>
      <c r="G217" s="221">
        <v>0</v>
      </c>
      <c r="H217" s="328">
        <f t="shared" si="23"/>
        <v>34.663538383907664</v>
      </c>
      <c r="J217" s="17" t="s">
        <v>81</v>
      </c>
      <c r="K217" s="164">
        <f>IFERROR(ABS(K215-K216)/K215,0)</f>
        <v>7.2484685204946797E-5</v>
      </c>
      <c r="L217" s="164">
        <f t="shared" ref="L217:O217" si="28">IFERROR(ABS(L215-L216)/L215,0)</f>
        <v>3.7566501206039629E-5</v>
      </c>
      <c r="M217" s="164">
        <f t="shared" si="28"/>
        <v>7.2484685204946797E-5</v>
      </c>
      <c r="N217" s="164">
        <f t="shared" si="28"/>
        <v>0</v>
      </c>
      <c r="O217" s="164">
        <f t="shared" si="28"/>
        <v>5.8314819391677052E-5</v>
      </c>
      <c r="P217" s="1"/>
    </row>
    <row r="218" spans="3:16" ht="19" x14ac:dyDescent="0.25">
      <c r="C218" s="151">
        <f t="shared" si="27"/>
        <v>600</v>
      </c>
      <c r="D218" s="220">
        <f t="shared" si="25"/>
        <v>12.471599999999999</v>
      </c>
      <c r="E218" s="217" cm="1">
        <f t="array" ref="E218">$B$7*SUM(($D$42:$D$44*$D$42:$D$44)*EXP($D$42:$D$44/$C218)/($C218^2*(EXP($D$42:$D$44/$C218)-1)^2))</f>
        <v>12.31285401100274</v>
      </c>
      <c r="F218" s="247">
        <f t="shared" si="26"/>
        <v>12.471599999999999</v>
      </c>
      <c r="G218" s="221">
        <v>0</v>
      </c>
      <c r="H218" s="328">
        <f t="shared" si="23"/>
        <v>37.256054011002732</v>
      </c>
    </row>
    <row r="219" spans="3:16" ht="19" x14ac:dyDescent="0.25">
      <c r="C219" s="151">
        <f t="shared" si="27"/>
        <v>700</v>
      </c>
      <c r="D219" s="220">
        <f t="shared" si="25"/>
        <v>12.471599999999999</v>
      </c>
      <c r="E219" s="217" cm="1">
        <f t="array" ref="E219">$B$7*SUM(($D$42:$D$44*$D$42:$D$44)*EXP($D$42:$D$44/$C219)/($C219^2*(EXP($D$42:$D$44/$C219)-1)^2))</f>
        <v>14.461717355209197</v>
      </c>
      <c r="F219" s="247">
        <f t="shared" si="26"/>
        <v>12.471599999999999</v>
      </c>
      <c r="G219" s="221">
        <v>0</v>
      </c>
      <c r="H219" s="328">
        <f t="shared" si="23"/>
        <v>39.404917355209193</v>
      </c>
    </row>
    <row r="220" spans="3:16" ht="19" x14ac:dyDescent="0.25">
      <c r="C220" s="151">
        <f t="shared" si="27"/>
        <v>800</v>
      </c>
      <c r="D220" s="220">
        <f t="shared" si="25"/>
        <v>12.471599999999999</v>
      </c>
      <c r="E220" s="217" cm="1">
        <f t="array" ref="E220">$B$7*SUM(($D$42:$D$44*$D$42:$D$44)*EXP($D$42:$D$44/$C220)/($C220^2*(EXP($D$42:$D$44/$C220)-1)^2))</f>
        <v>16.196602457385705</v>
      </c>
      <c r="F220" s="247">
        <f t="shared" si="26"/>
        <v>12.471599999999999</v>
      </c>
      <c r="G220" s="221">
        <v>0</v>
      </c>
      <c r="H220" s="328">
        <f t="shared" si="23"/>
        <v>41.139802457385699</v>
      </c>
    </row>
    <row r="221" spans="3:16" ht="19" x14ac:dyDescent="0.25">
      <c r="C221" s="151">
        <f t="shared" si="27"/>
        <v>900</v>
      </c>
      <c r="D221" s="220">
        <f t="shared" si="25"/>
        <v>12.471599999999999</v>
      </c>
      <c r="E221" s="217" cm="1">
        <f t="array" ref="E221">$B$7*SUM(($D$42:$D$44*$D$42:$D$44)*EXP($D$42:$D$44/$C221)/($C221^2*(EXP($D$42:$D$44/$C221)-1)^2))</f>
        <v>17.585174712033307</v>
      </c>
      <c r="F221" s="247">
        <f t="shared" si="26"/>
        <v>12.471599999999999</v>
      </c>
      <c r="G221" s="221">
        <v>0</v>
      </c>
      <c r="H221" s="328">
        <f t="shared" si="23"/>
        <v>42.528374712033305</v>
      </c>
    </row>
    <row r="222" spans="3:16" ht="19" x14ac:dyDescent="0.25">
      <c r="C222" s="151">
        <f t="shared" si="27"/>
        <v>1000</v>
      </c>
      <c r="D222" s="220">
        <f t="shared" si="25"/>
        <v>12.471599999999999</v>
      </c>
      <c r="E222" s="217" cm="1">
        <f t="array" ref="E222">$B$7*SUM(($D$42:$D$44*$D$42:$D$44)*EXP($D$42:$D$44/$C222)/($C222^2*(EXP($D$42:$D$44/$C222)-1)^2))</f>
        <v>18.697393185108478</v>
      </c>
      <c r="F222" s="247">
        <f t="shared" si="26"/>
        <v>12.471599999999999</v>
      </c>
      <c r="G222" s="221">
        <v>0</v>
      </c>
      <c r="H222" s="328">
        <f t="shared" si="23"/>
        <v>43.640593185108472</v>
      </c>
    </row>
    <row r="223" spans="3:16" ht="19" x14ac:dyDescent="0.25">
      <c r="C223" s="151">
        <f t="shared" si="27"/>
        <v>1100</v>
      </c>
      <c r="D223" s="220">
        <f t="shared" si="25"/>
        <v>12.471599999999999</v>
      </c>
      <c r="E223" s="217" cm="1">
        <f t="array" ref="E223">$B$7*SUM(($D$42:$D$44*$D$42:$D$44)*EXP($D$42:$D$44/$C223)/($C223^2*(EXP($D$42:$D$44/$C223)-1)^2))</f>
        <v>19.593226674626571</v>
      </c>
      <c r="F223" s="247">
        <f t="shared" si="26"/>
        <v>12.471599999999999</v>
      </c>
      <c r="G223" s="221">
        <v>0</v>
      </c>
      <c r="H223" s="328">
        <f t="shared" si="23"/>
        <v>44.536426674626568</v>
      </c>
    </row>
    <row r="224" spans="3:16" ht="19" x14ac:dyDescent="0.25">
      <c r="C224" s="151">
        <f t="shared" si="27"/>
        <v>1200</v>
      </c>
      <c r="D224" s="220">
        <f t="shared" si="25"/>
        <v>12.471599999999999</v>
      </c>
      <c r="E224" s="217" cm="1">
        <f t="array" ref="E224">$B$7*SUM(($D$42:$D$44*$D$42:$D$44)*EXP($D$42:$D$44/$C224)/($C224^2*(EXP($D$42:$D$44/$C224)-1)^2))</f>
        <v>20.320472799288549</v>
      </c>
      <c r="F224" s="247">
        <f t="shared" si="26"/>
        <v>12.471599999999999</v>
      </c>
      <c r="G224" s="221">
        <v>0</v>
      </c>
      <c r="H224" s="328">
        <f t="shared" si="23"/>
        <v>45.263672799288543</v>
      </c>
    </row>
    <row r="225" spans="3:11" ht="19" x14ac:dyDescent="0.25">
      <c r="C225" s="151">
        <f t="shared" si="27"/>
        <v>1300</v>
      </c>
      <c r="D225" s="220">
        <f t="shared" si="25"/>
        <v>12.471599999999999</v>
      </c>
      <c r="E225" s="217" cm="1">
        <f t="array" ref="E225">$B$7*SUM(($D$42:$D$44*$D$42:$D$44)*EXP($D$42:$D$44/$C225)/($C225^2*(EXP($D$42:$D$44/$C225)-1)^2))</f>
        <v>20.916082026991901</v>
      </c>
      <c r="F225" s="247">
        <f t="shared" si="26"/>
        <v>12.471599999999999</v>
      </c>
      <c r="G225" s="221">
        <v>0</v>
      </c>
      <c r="H225" s="328">
        <f t="shared" si="23"/>
        <v>45.859282026991892</v>
      </c>
    </row>
    <row r="226" spans="3:11" ht="19" x14ac:dyDescent="0.25">
      <c r="C226" s="151">
        <f t="shared" si="27"/>
        <v>1400</v>
      </c>
      <c r="D226" s="220">
        <f t="shared" si="25"/>
        <v>12.471599999999999</v>
      </c>
      <c r="E226" s="217" cm="1">
        <f t="array" ref="E226">$B$7*SUM(($D$42:$D$44*$D$42:$D$44)*EXP($D$42:$D$44/$C226)/($C226^2*(EXP($D$42:$D$44/$C226)-1)^2))</f>
        <v>21.408298709874686</v>
      </c>
      <c r="F226" s="247">
        <f t="shared" si="26"/>
        <v>12.471599999999999</v>
      </c>
      <c r="G226" s="221">
        <v>0</v>
      </c>
      <c r="H226" s="328">
        <f t="shared" si="23"/>
        <v>46.351498709874676</v>
      </c>
    </row>
    <row r="227" spans="3:11" ht="19" x14ac:dyDescent="0.25">
      <c r="C227" s="151">
        <f t="shared" si="27"/>
        <v>1500</v>
      </c>
      <c r="D227" s="220">
        <f t="shared" si="25"/>
        <v>12.471599999999999</v>
      </c>
      <c r="E227" s="217" cm="1">
        <f t="array" ref="E227">$B$7*SUM(($D$42:$D$44*$D$42:$D$44)*EXP($D$42:$D$44/$C227)/($C227^2*(EXP($D$42:$D$44/$C227)-1)^2))</f>
        <v>21.818678069546547</v>
      </c>
      <c r="F227" s="247">
        <f t="shared" si="26"/>
        <v>12.471599999999999</v>
      </c>
      <c r="G227" s="221">
        <v>0</v>
      </c>
      <c r="H227" s="328">
        <f t="shared" si="23"/>
        <v>46.76187806954654</v>
      </c>
    </row>
    <row r="228" spans="3:11" ht="19" x14ac:dyDescent="0.25">
      <c r="C228" s="151">
        <f t="shared" si="27"/>
        <v>1600</v>
      </c>
      <c r="D228" s="220">
        <f t="shared" si="25"/>
        <v>12.471599999999999</v>
      </c>
      <c r="E228" s="217" cm="1">
        <f t="array" ref="E228">$B$7*SUM(($D$42:$D$44*$D$42:$D$44)*EXP($D$42:$D$44/$C228)/($C228^2*(EXP($D$42:$D$44/$C228)-1)^2))</f>
        <v>22.163728228380144</v>
      </c>
      <c r="F228" s="247">
        <f t="shared" si="26"/>
        <v>12.471599999999999</v>
      </c>
      <c r="G228" s="221">
        <v>0</v>
      </c>
      <c r="H228" s="328">
        <f t="shared" si="23"/>
        <v>47.106928228380141</v>
      </c>
    </row>
    <row r="229" spans="3:11" ht="19" x14ac:dyDescent="0.25">
      <c r="C229" s="151">
        <f t="shared" si="27"/>
        <v>1700</v>
      </c>
      <c r="D229" s="220">
        <f t="shared" si="25"/>
        <v>12.471599999999999</v>
      </c>
      <c r="E229" s="217" cm="1">
        <f t="array" ref="E229">$B$7*SUM(($D$42:$D$44*$D$42:$D$44)*EXP($D$42:$D$44/$C229)/($C229^2*(EXP($D$42:$D$44/$C229)-1)^2))</f>
        <v>22.456170689706919</v>
      </c>
      <c r="F229" s="247">
        <f t="shared" si="26"/>
        <v>12.471599999999999</v>
      </c>
      <c r="G229" s="221">
        <v>0</v>
      </c>
      <c r="H229" s="328">
        <f t="shared" si="23"/>
        <v>47.399370689706913</v>
      </c>
    </row>
    <row r="230" spans="3:11" ht="19" x14ac:dyDescent="0.25">
      <c r="C230" s="151">
        <f t="shared" si="27"/>
        <v>1800</v>
      </c>
      <c r="D230" s="220">
        <f t="shared" si="25"/>
        <v>12.471599999999999</v>
      </c>
      <c r="E230" s="217" cm="1">
        <f t="array" ref="E230">$B$7*SUM(($D$42:$D$44*$D$42:$D$44)*EXP($D$42:$D$44/$C230)/($C230^2*(EXP($D$42:$D$44/$C230)-1)^2))</f>
        <v>22.705883481303704</v>
      </c>
      <c r="F230" s="247">
        <f t="shared" si="26"/>
        <v>12.471599999999999</v>
      </c>
      <c r="G230" s="221">
        <v>0</v>
      </c>
      <c r="H230" s="328">
        <f t="shared" si="23"/>
        <v>47.649083481303705</v>
      </c>
    </row>
    <row r="231" spans="3:11" ht="19" x14ac:dyDescent="0.25">
      <c r="C231" s="151">
        <f t="shared" si="27"/>
        <v>1900</v>
      </c>
      <c r="D231" s="220">
        <f t="shared" si="25"/>
        <v>12.471599999999999</v>
      </c>
      <c r="E231" s="217" cm="1">
        <f t="array" ref="E231">$B$7*SUM(($D$42:$D$44*$D$42:$D$44)*EXP($D$42:$D$44/$C231)/($C231^2*(EXP($D$42:$D$44/$C231)-1)^2))</f>
        <v>22.920599821484132</v>
      </c>
      <c r="F231" s="247">
        <f t="shared" si="26"/>
        <v>12.471599999999999</v>
      </c>
      <c r="G231" s="221">
        <v>0</v>
      </c>
      <c r="H231" s="328">
        <f t="shared" si="23"/>
        <v>47.863799821484122</v>
      </c>
    </row>
    <row r="232" spans="3:11" ht="20" thickBot="1" x14ac:dyDescent="0.3">
      <c r="C232" s="152">
        <f t="shared" si="27"/>
        <v>2000</v>
      </c>
      <c r="D232" s="222">
        <f t="shared" si="25"/>
        <v>12.471599999999999</v>
      </c>
      <c r="E232" s="228" cm="1">
        <f t="array" ref="E232">$B$7*SUM(($D$42:$D$44*$D$42:$D$44)*EXP($D$42:$D$44/$C232)/($C232^2*(EXP($D$42:$D$44/$C232)-1)^2))</f>
        <v>23.106424702648635</v>
      </c>
      <c r="F232" s="229">
        <f t="shared" si="26"/>
        <v>12.471599999999999</v>
      </c>
      <c r="G232" s="223">
        <v>0</v>
      </c>
      <c r="H232" s="329">
        <f t="shared" si="23"/>
        <v>48.049624702648629</v>
      </c>
    </row>
    <row r="238" spans="3:11" ht="17" thickBot="1" x14ac:dyDescent="0.25"/>
    <row r="239" spans="3:11" ht="20" thickBot="1" x14ac:dyDescent="0.3">
      <c r="E239" s="1"/>
      <c r="F239" s="1" t="s">
        <v>66</v>
      </c>
      <c r="G239" s="1"/>
      <c r="H239" s="345" t="s">
        <v>110</v>
      </c>
      <c r="I239" s="346"/>
      <c r="J239" s="346"/>
      <c r="K239" s="347"/>
    </row>
    <row r="240" spans="3:11" ht="28" thickBot="1" x14ac:dyDescent="0.4">
      <c r="C240" s="125" t="s">
        <v>123</v>
      </c>
      <c r="D240" s="126"/>
      <c r="E240" s="1"/>
      <c r="F240" s="1"/>
      <c r="G240" s="1"/>
      <c r="H240" s="199" t="s">
        <v>106</v>
      </c>
      <c r="I240" s="199" t="s">
        <v>107</v>
      </c>
      <c r="J240" s="199" t="s">
        <v>108</v>
      </c>
      <c r="K240" s="199" t="s">
        <v>109</v>
      </c>
    </row>
    <row r="244" spans="3:10" ht="20" thickBot="1" x14ac:dyDescent="0.25">
      <c r="D244" s="348"/>
      <c r="E244" s="348"/>
    </row>
    <row r="245" spans="3:10" ht="20" thickBot="1" x14ac:dyDescent="0.25">
      <c r="D245" s="343" t="s">
        <v>118</v>
      </c>
      <c r="E245" s="344"/>
    </row>
    <row r="246" spans="3:10" ht="20" thickBot="1" x14ac:dyDescent="0.3">
      <c r="D246" s="176" t="s">
        <v>117</v>
      </c>
      <c r="E246" s="205" t="s">
        <v>115</v>
      </c>
    </row>
    <row r="247" spans="3:10" ht="19" x14ac:dyDescent="0.25">
      <c r="C247" s="65" t="s">
        <v>45</v>
      </c>
      <c r="D247" s="334">
        <f>$R23</f>
        <v>57.375999999999998</v>
      </c>
      <c r="E247" s="131">
        <f>D247*4.184</f>
        <v>240.061184</v>
      </c>
    </row>
    <row r="248" spans="3:10" ht="19" x14ac:dyDescent="0.25">
      <c r="C248" s="66" t="s">
        <v>46</v>
      </c>
      <c r="D248" s="335">
        <f t="shared" ref="D248:D251" si="29">$R24</f>
        <v>1.377</v>
      </c>
      <c r="E248" s="132">
        <f t="shared" ref="E248:E251" si="30">D248*4.184</f>
        <v>5.761368</v>
      </c>
    </row>
    <row r="249" spans="3:10" ht="19" x14ac:dyDescent="0.25">
      <c r="C249" s="66" t="s">
        <v>47</v>
      </c>
      <c r="D249" s="335">
        <f t="shared" si="29"/>
        <v>37.402999999999999</v>
      </c>
      <c r="E249" s="132">
        <f t="shared" si="30"/>
        <v>156.49415200000001</v>
      </c>
    </row>
    <row r="250" spans="3:10" ht="19" x14ac:dyDescent="0.25">
      <c r="C250" s="66" t="s">
        <v>48</v>
      </c>
      <c r="D250" s="335">
        <f t="shared" si="29"/>
        <v>18.318999999999999</v>
      </c>
      <c r="E250" s="132">
        <f t="shared" si="30"/>
        <v>76.646696000000006</v>
      </c>
    </row>
    <row r="251" spans="3:10" ht="20" thickBot="1" x14ac:dyDescent="0.3">
      <c r="C251" s="67" t="s">
        <v>49</v>
      </c>
      <c r="D251" s="336">
        <f t="shared" si="29"/>
        <v>0.27600000000000002</v>
      </c>
      <c r="E251" s="133">
        <f t="shared" si="30"/>
        <v>1.154784</v>
      </c>
    </row>
    <row r="253" spans="3:10" ht="17" thickBot="1" x14ac:dyDescent="0.25"/>
    <row r="254" spans="3:10" ht="20" thickBot="1" x14ac:dyDescent="0.3">
      <c r="C254" s="82" t="s">
        <v>26</v>
      </c>
      <c r="D254" s="210"/>
      <c r="E254" s="210"/>
      <c r="F254" s="210"/>
      <c r="G254" s="211"/>
      <c r="I254" s="115" t="s">
        <v>121</v>
      </c>
      <c r="J254" s="212">
        <f>($B$14^2)/(8*PI()*PI()*$G$258*$B$8)</f>
        <v>0.11932156176531102</v>
      </c>
    </row>
    <row r="255" spans="3:10" ht="20" thickBot="1" x14ac:dyDescent="0.3">
      <c r="C255" s="207"/>
      <c r="D255" s="105" t="s">
        <v>36</v>
      </c>
      <c r="E255" s="106" t="s">
        <v>37</v>
      </c>
      <c r="F255" s="107" t="s">
        <v>38</v>
      </c>
      <c r="G255" s="121" t="s">
        <v>116</v>
      </c>
      <c r="I255" s="104"/>
      <c r="J255" s="104"/>
    </row>
    <row r="256" spans="3:10" ht="22" thickBot="1" x14ac:dyDescent="0.3">
      <c r="C256" s="46" t="s">
        <v>31</v>
      </c>
      <c r="D256" s="339">
        <f>D$23</f>
        <v>7.6653799999999999</v>
      </c>
      <c r="E256" s="55">
        <f t="shared" ref="E256:F256" si="31">E$23</f>
        <v>139.79329999999999</v>
      </c>
      <c r="F256" s="340">
        <f t="shared" si="31"/>
        <v>147.45867999999999</v>
      </c>
      <c r="G256" s="52">
        <f>SQRT(F256^2 + E256^2 + D256^2)</f>
        <v>203.33466768551003</v>
      </c>
      <c r="J256" s="104"/>
    </row>
    <row r="257" spans="1:18" ht="22" thickBot="1" x14ac:dyDescent="0.3">
      <c r="C257" s="47" t="s">
        <v>29</v>
      </c>
      <c r="D257" s="208">
        <f>D256*$U$9</f>
        <v>1.2724530799999999E-26</v>
      </c>
      <c r="E257" s="58">
        <f t="shared" ref="E257:F257" si="32">E256*$U$9</f>
        <v>2.3205687799999996E-25</v>
      </c>
      <c r="F257" s="341">
        <f t="shared" si="32"/>
        <v>2.4478140879999998E-25</v>
      </c>
      <c r="G257" s="52">
        <f t="shared" ref="G257:G258" si="33">SQRT(F257^2 + E257^2 + D257^2)</f>
        <v>3.3753554835794665E-25</v>
      </c>
    </row>
    <row r="258" spans="1:18" ht="22" thickBot="1" x14ac:dyDescent="0.3">
      <c r="C258" s="48" t="s">
        <v>30</v>
      </c>
      <c r="D258" s="59">
        <f>D257*($Q$8)^2</f>
        <v>1.27245308E-46</v>
      </c>
      <c r="E258" s="60">
        <f>E257*($Q$8)^2</f>
        <v>2.3205687799999996E-45</v>
      </c>
      <c r="F258" s="204">
        <f t="shared" ref="F258" si="34">F257*($Q$8)^2</f>
        <v>2.4478140880000001E-45</v>
      </c>
      <c r="G258" s="52">
        <f t="shared" si="33"/>
        <v>3.3753554835794663E-45</v>
      </c>
    </row>
    <row r="259" spans="1:18" ht="17" thickBot="1" x14ac:dyDescent="0.25"/>
    <row r="260" spans="1:18" ht="20" thickBot="1" x14ac:dyDescent="0.3">
      <c r="F260" s="353" t="s">
        <v>115</v>
      </c>
      <c r="G260" s="354"/>
      <c r="H260" s="354"/>
      <c r="I260" s="354"/>
      <c r="J260" s="355"/>
    </row>
    <row r="261" spans="1:18" ht="23" thickBot="1" x14ac:dyDescent="0.35">
      <c r="C261" s="189" t="s">
        <v>68</v>
      </c>
      <c r="D261" s="206" t="s">
        <v>122</v>
      </c>
      <c r="E261" s="173" t="s">
        <v>120</v>
      </c>
      <c r="F261" s="200" t="s">
        <v>114</v>
      </c>
      <c r="G261" s="201" t="s">
        <v>111</v>
      </c>
      <c r="H261" s="201" t="s">
        <v>112</v>
      </c>
      <c r="I261" s="202" t="s">
        <v>113</v>
      </c>
      <c r="J261" s="121" t="s">
        <v>116</v>
      </c>
      <c r="L261" s="162" t="s">
        <v>83</v>
      </c>
      <c r="M261" s="163"/>
      <c r="N261" s="163"/>
      <c r="O261" s="163"/>
      <c r="P261" s="163"/>
      <c r="Q261" s="163"/>
    </row>
    <row r="262" spans="1:18" ht="20" thickBot="1" x14ac:dyDescent="0.3">
      <c r="C262" s="173">
        <v>298.14999999999998</v>
      </c>
      <c r="D262" s="213">
        <f>$B$7*C262/$B$16</f>
        <v>2.4465219442388352E-2</v>
      </c>
      <c r="E262" s="230">
        <f>((2*PI()*$A$28*$U$9*$B$8*$C262)/($B$14*$B$14))^(3/2)</f>
        <v>3.0163246036181398E+32</v>
      </c>
      <c r="F262" s="305">
        <f t="shared" ref="F262:F280" si="35">$B$7*LN(($D262/$B$6)*EXP(5/2)*E262)</f>
        <v>156.48831097765699</v>
      </c>
      <c r="G262" s="261" cm="1">
        <f t="array" ref="G262">$B$7*SUM((($D$42:$D$44)/$C262)/(EXP($D$42:$D$44/$C262)-1)-LN(1-EXP(-$D$42:$D$44/$C262)))</f>
        <v>1.1554441501184838</v>
      </c>
      <c r="H262" s="306">
        <f t="shared" ref="H262:H280" si="36">$B$7*(LN((SQRT(PI())/$A$31)*($C262^(3/2)/SQRT(C$29*D$29*E$29)))+3/2)</f>
        <v>76.647448894290449</v>
      </c>
      <c r="I262" s="263">
        <f>$B$7*LN(2)</f>
        <v>5.7631029180476085</v>
      </c>
      <c r="J262" s="203">
        <f>SUM(F262:I262)</f>
        <v>240.05430694011355</v>
      </c>
      <c r="L262" s="1"/>
      <c r="M262" s="1"/>
      <c r="N262" s="1"/>
      <c r="O262" s="1"/>
      <c r="P262" s="1"/>
      <c r="Q262" s="1"/>
    </row>
    <row r="263" spans="1:18" ht="20" thickBot="1" x14ac:dyDescent="0.3">
      <c r="C263" s="150">
        <v>300</v>
      </c>
      <c r="D263" s="213">
        <f>$B$7*C263/$B$16</f>
        <v>2.4617024426350848E-2</v>
      </c>
      <c r="E263" s="230">
        <f>((2*PI()*$A$28*$U$9*$B$8*$C263)/($B$14*$B$14))^(3/2)</f>
        <v>3.0444422345484493E+32</v>
      </c>
      <c r="F263" s="216">
        <f t="shared" si="35"/>
        <v>156.61688816604121</v>
      </c>
      <c r="G263" s="225" cm="1">
        <f t="array" ref="G263">$B$7*SUM((($D$42:$D$44)/$C263)/(EXP($D$42:$D$44/$C263)-1)-LN(1-EXP(-$D$42:$D$44/$C263)))</f>
        <v>1.1784125734347848</v>
      </c>
      <c r="H263" s="235">
        <f t="shared" si="36"/>
        <v>76.724595207320959</v>
      </c>
      <c r="I263" s="219">
        <f t="shared" ref="I263:I280" si="37">$B$7*LN(2)</f>
        <v>5.7631029180476085</v>
      </c>
      <c r="J263" s="203">
        <f>SUM(F263:I263)</f>
        <v>240.28299886484459</v>
      </c>
      <c r="N263" s="200" t="s">
        <v>114</v>
      </c>
      <c r="O263" s="201" t="s">
        <v>111</v>
      </c>
      <c r="P263" s="201" t="s">
        <v>112</v>
      </c>
      <c r="Q263" s="202" t="s">
        <v>113</v>
      </c>
      <c r="R263" s="121" t="s">
        <v>116</v>
      </c>
    </row>
    <row r="264" spans="1:18" ht="20" thickBot="1" x14ac:dyDescent="0.3">
      <c r="C264" s="151">
        <f>C263+100</f>
        <v>400</v>
      </c>
      <c r="D264" s="214">
        <f t="shared" ref="D264:D280" si="38">$B$7*C264/$B$16</f>
        <v>3.2822699235134464E-2</v>
      </c>
      <c r="E264" s="231">
        <f t="shared" ref="E264:E280" si="39">(2*PI()*$A$28*$U$9*$B$8*$C264/($B$14)^2)^(3/2)</f>
        <v>4.6872254497301443E+32</v>
      </c>
      <c r="F264" s="236">
        <f t="shared" si="35"/>
        <v>162.59664772402388</v>
      </c>
      <c r="G264" s="217" cm="1">
        <f t="array" ref="G264">$B$7*SUM((($D$42:$D$44)/$C264)/(EXP($D$42:$D$44/$C264)-1)-LN(1-EXP(-$D$42:$D$44/$C264)))</f>
        <v>2.6654982351604217</v>
      </c>
      <c r="H264" s="218">
        <f>$B$7*(LN((SQRT(PI())/$A$31)*($C264^(3/2)/SQRT(C$29*D$29*E$29)))+3/2)</f>
        <v>80.312450942110601</v>
      </c>
      <c r="I264" s="221">
        <f t="shared" si="37"/>
        <v>5.7631029180476085</v>
      </c>
      <c r="J264" s="330">
        <f t="shared" ref="J264:J280" si="40">SUM(F264:I264)</f>
        <v>251.33769981934253</v>
      </c>
      <c r="M264" s="71" t="s">
        <v>79</v>
      </c>
      <c r="N264" s="239">
        <f>F$262</f>
        <v>156.48831097765699</v>
      </c>
      <c r="O264" s="239">
        <f t="shared" ref="O264:R264" si="41">G$262</f>
        <v>1.1554441501184838</v>
      </c>
      <c r="P264" s="239">
        <f t="shared" si="41"/>
        <v>76.647448894290449</v>
      </c>
      <c r="Q264" s="239">
        <f t="shared" si="41"/>
        <v>5.7631029180476085</v>
      </c>
      <c r="R264" s="239">
        <f t="shared" si="41"/>
        <v>240.05430694011355</v>
      </c>
    </row>
    <row r="265" spans="1:18" ht="20" thickBot="1" x14ac:dyDescent="0.3">
      <c r="C265" s="151">
        <f t="shared" ref="C265:C280" si="42">C264+100</f>
        <v>500</v>
      </c>
      <c r="D265" s="214">
        <f t="shared" si="38"/>
        <v>4.1028374043918084E-2</v>
      </c>
      <c r="E265" s="231">
        <f t="shared" si="39"/>
        <v>6.5505967071648037E+32</v>
      </c>
      <c r="F265" s="236">
        <f t="shared" si="35"/>
        <v>167.23490958164109</v>
      </c>
      <c r="G265" s="217" cm="1">
        <f t="array" ref="G265">$B$7*SUM((($D$42:$D$44)/$C265)/(EXP($D$42:$D$44/$C265)-1)-LN(1-EXP(-$D$42:$D$44/$C265)))</f>
        <v>4.4976170458320146</v>
      </c>
      <c r="H265" s="218">
        <f t="shared" si="36"/>
        <v>83.09540805668091</v>
      </c>
      <c r="I265" s="221">
        <f t="shared" si="37"/>
        <v>5.7631029180476085</v>
      </c>
      <c r="J265" s="330">
        <f t="shared" si="40"/>
        <v>260.5910376022016</v>
      </c>
      <c r="M265" s="72" t="s">
        <v>80</v>
      </c>
      <c r="N265" s="239">
        <f>E249</f>
        <v>156.49415200000001</v>
      </c>
      <c r="O265" s="239">
        <f>E251</f>
        <v>1.154784</v>
      </c>
      <c r="P265" s="239">
        <f>E250</f>
        <v>76.646696000000006</v>
      </c>
      <c r="Q265" s="239">
        <f>E248</f>
        <v>5.761368</v>
      </c>
      <c r="R265" s="239">
        <f>E247</f>
        <v>240.061184</v>
      </c>
    </row>
    <row r="266" spans="1:18" ht="22" x14ac:dyDescent="0.3">
      <c r="C266" s="151">
        <f t="shared" si="42"/>
        <v>600</v>
      </c>
      <c r="D266" s="214">
        <f t="shared" si="38"/>
        <v>4.9234048852701696E-2</v>
      </c>
      <c r="E266" s="231">
        <f t="shared" si="39"/>
        <v>8.6109829959197608E+32</v>
      </c>
      <c r="F266" s="236">
        <f t="shared" si="35"/>
        <v>171.02464546116025</v>
      </c>
      <c r="G266" s="217" cm="1">
        <f t="array" ref="G266">$B$7*SUM((($D$42:$D$44)/$C266)/(EXP($D$42:$D$44/$C266)-1)-LN(1-EXP(-$D$42:$D$44/$C266)))</f>
        <v>6.505554186559328</v>
      </c>
      <c r="H266" s="218">
        <f t="shared" si="36"/>
        <v>85.369249584392378</v>
      </c>
      <c r="I266" s="221">
        <f t="shared" si="37"/>
        <v>5.7631029180476085</v>
      </c>
      <c r="J266" s="330">
        <f t="shared" si="40"/>
        <v>268.66255215015951</v>
      </c>
      <c r="L266" s="1"/>
      <c r="M266" s="17" t="s">
        <v>81</v>
      </c>
      <c r="N266" s="164">
        <f>IFERROR(ABS(N264-N265)/N264,0)</f>
        <v>3.7325614332012648E-5</v>
      </c>
      <c r="O266" s="164">
        <f t="shared" ref="O266:R266" si="43">IFERROR(ABS(O264-O265)/O264,0)</f>
        <v>5.7133883832987894E-4</v>
      </c>
      <c r="P266" s="164">
        <f t="shared" si="43"/>
        <v>9.8228225636219424E-6</v>
      </c>
      <c r="Q266" s="164">
        <f t="shared" si="43"/>
        <v>3.0103887997132075E-4</v>
      </c>
      <c r="R266" s="164">
        <f t="shared" si="43"/>
        <v>2.8647933770105429E-5</v>
      </c>
    </row>
    <row r="267" spans="1:18" ht="19" x14ac:dyDescent="0.25">
      <c r="A267" s="16"/>
      <c r="C267" s="151">
        <f t="shared" si="42"/>
        <v>700</v>
      </c>
      <c r="D267" s="214">
        <f t="shared" si="38"/>
        <v>5.7439723661485309E-2</v>
      </c>
      <c r="E267" s="231">
        <f t="shared" si="39"/>
        <v>1.0851078769019075E+33</v>
      </c>
      <c r="F267" s="236">
        <f t="shared" si="35"/>
        <v>174.22882149204966</v>
      </c>
      <c r="G267" s="217" cm="1">
        <f t="array" ref="G267">$B$7*SUM((($D$42:$D$44)/$C267)/(EXP($D$42:$D$44/$C267)-1)-LN(1-EXP(-$D$42:$D$44/$C267)))</f>
        <v>8.5706210654659536</v>
      </c>
      <c r="H267" s="218">
        <f t="shared" si="36"/>
        <v>87.291755202926012</v>
      </c>
      <c r="I267" s="221">
        <f t="shared" si="37"/>
        <v>5.7631029180476085</v>
      </c>
      <c r="J267" s="330">
        <f t="shared" si="40"/>
        <v>275.85430067848921</v>
      </c>
    </row>
    <row r="268" spans="1:18" ht="19" x14ac:dyDescent="0.25">
      <c r="A268" s="16"/>
      <c r="C268" s="151">
        <f t="shared" si="42"/>
        <v>800</v>
      </c>
      <c r="D268" s="214">
        <f t="shared" si="38"/>
        <v>6.5645398470268929E-2</v>
      </c>
      <c r="E268" s="231">
        <f t="shared" si="39"/>
        <v>1.3257475601817436E+33</v>
      </c>
      <c r="F268" s="236">
        <f t="shared" si="35"/>
        <v>177.00440501914295</v>
      </c>
      <c r="G268" s="217" cm="1">
        <f t="array" ref="G268">$B$7*SUM((($D$42:$D$44)/$C268)/(EXP($D$42:$D$44/$C268)-1)-LN(1-EXP(-$D$42:$D$44/$C268)))</f>
        <v>10.619224882442687</v>
      </c>
      <c r="H268" s="218">
        <f t="shared" si="36"/>
        <v>88.957105319181991</v>
      </c>
      <c r="I268" s="221">
        <f t="shared" si="37"/>
        <v>5.7631029180476085</v>
      </c>
      <c r="J268" s="330">
        <f t="shared" si="40"/>
        <v>282.34383813881522</v>
      </c>
    </row>
    <row r="269" spans="1:18" ht="19" x14ac:dyDescent="0.25">
      <c r="C269" s="151">
        <f t="shared" si="42"/>
        <v>900</v>
      </c>
      <c r="D269" s="214">
        <f t="shared" si="38"/>
        <v>7.3851073279052548E-2</v>
      </c>
      <c r="E269" s="231">
        <f t="shared" si="39"/>
        <v>1.5819385892839262E+33</v>
      </c>
      <c r="F269" s="236">
        <f t="shared" si="35"/>
        <v>179.4526431982965</v>
      </c>
      <c r="G269" s="217" cm="1">
        <f t="array" ref="G269">$B$7*SUM((($D$42:$D$44)/$C269)/(EXP($D$42:$D$44/$C269)-1)-LN(1-EXP(-$D$42:$D$44/$C269)))</f>
        <v>12.610123358264076</v>
      </c>
      <c r="H269" s="218">
        <f t="shared" si="36"/>
        <v>90.426048226674169</v>
      </c>
      <c r="I269" s="221">
        <f t="shared" si="37"/>
        <v>5.7631029180476085</v>
      </c>
      <c r="J269" s="330">
        <f t="shared" si="40"/>
        <v>288.25191770128231</v>
      </c>
    </row>
    <row r="270" spans="1:18" ht="19" x14ac:dyDescent="0.25">
      <c r="C270" s="151">
        <f t="shared" si="42"/>
        <v>1000</v>
      </c>
      <c r="D270" s="214">
        <f t="shared" si="38"/>
        <v>8.2056748087836168E-2</v>
      </c>
      <c r="E270" s="231">
        <f t="shared" si="39"/>
        <v>1.8527885409818058E+33</v>
      </c>
      <c r="F270" s="236">
        <f t="shared" si="35"/>
        <v>181.64266687676013</v>
      </c>
      <c r="G270" s="217" cm="1">
        <f t="array" ref="G270">$B$7*SUM((($D$42:$D$44)/$C270)/(EXP($D$42:$D$44/$C270)-1)-LN(1-EXP(-$D$42:$D$44/$C270)))</f>
        <v>14.522613256941696</v>
      </c>
      <c r="H270" s="218">
        <f t="shared" si="36"/>
        <v>91.740062433752314</v>
      </c>
      <c r="I270" s="221">
        <f t="shared" si="37"/>
        <v>5.7631029180476085</v>
      </c>
      <c r="J270" s="330">
        <f t="shared" si="40"/>
        <v>293.66844548550171</v>
      </c>
    </row>
    <row r="271" spans="1:18" ht="19" x14ac:dyDescent="0.25">
      <c r="C271" s="151">
        <f t="shared" si="42"/>
        <v>1100</v>
      </c>
      <c r="D271" s="214">
        <f t="shared" si="38"/>
        <v>9.0262422896619773E-2</v>
      </c>
      <c r="E271" s="231">
        <f t="shared" si="39"/>
        <v>2.137543117126965E+33</v>
      </c>
      <c r="F271" s="236">
        <f t="shared" si="35"/>
        <v>183.62378427417278</v>
      </c>
      <c r="G271" s="217" cm="1">
        <f t="array" ref="G271">$B$7*SUM((($D$42:$D$44)/$C271)/(EXP($D$42:$D$44/$C271)-1)-LN(1-EXP(-$D$42:$D$44/$C271)))</f>
        <v>16.34818986685675</v>
      </c>
      <c r="H271" s="218">
        <f t="shared" si="36"/>
        <v>92.928732872199916</v>
      </c>
      <c r="I271" s="221">
        <f t="shared" si="37"/>
        <v>5.7631029180476085</v>
      </c>
      <c r="J271" s="330">
        <f t="shared" si="40"/>
        <v>298.66380993127706</v>
      </c>
    </row>
    <row r="272" spans="1:18" ht="19" x14ac:dyDescent="0.25">
      <c r="C272" s="151">
        <f t="shared" si="42"/>
        <v>1200</v>
      </c>
      <c r="D272" s="214">
        <f t="shared" si="38"/>
        <v>9.8468097705403393E-2</v>
      </c>
      <c r="E272" s="231">
        <f t="shared" si="39"/>
        <v>2.4355537876387384E+33</v>
      </c>
      <c r="F272" s="236">
        <f t="shared" si="35"/>
        <v>185.43240275627917</v>
      </c>
      <c r="G272" s="217" cm="1">
        <f t="array" ref="G272">$B$7*SUM((($D$42:$D$44)/$C272)/(EXP($D$42:$D$44/$C272)-1)-LN(1-EXP(-$D$42:$D$44/$C272)))</f>
        <v>18.085279610096329</v>
      </c>
      <c r="H272" s="218">
        <f t="shared" si="36"/>
        <v>94.013903961463797</v>
      </c>
      <c r="I272" s="221">
        <f t="shared" si="37"/>
        <v>5.7631029180476085</v>
      </c>
      <c r="J272" s="330">
        <f t="shared" si="40"/>
        <v>303.2946892458869</v>
      </c>
    </row>
    <row r="273" spans="3:10" ht="19" x14ac:dyDescent="0.25">
      <c r="C273" s="151">
        <f t="shared" si="42"/>
        <v>1300</v>
      </c>
      <c r="D273" s="214">
        <f t="shared" si="38"/>
        <v>0.10667377251418701</v>
      </c>
      <c r="E273" s="231">
        <f t="shared" si="39"/>
        <v>2.7462551510325728E+33</v>
      </c>
      <c r="F273" s="236">
        <f t="shared" si="35"/>
        <v>187.09617047798142</v>
      </c>
      <c r="G273" s="217" cm="1">
        <f t="array" ref="G273">$B$7*SUM((($D$42:$D$44)/$C273)/(EXP($D$42:$D$44/$C273)-1)-LN(1-EXP(-$D$42:$D$44/$C273)))</f>
        <v>19.736079002704162</v>
      </c>
      <c r="H273" s="218">
        <f t="shared" si="36"/>
        <v>95.012164594485057</v>
      </c>
      <c r="I273" s="221">
        <f t="shared" si="37"/>
        <v>5.7631029180476085</v>
      </c>
      <c r="J273" s="330">
        <f t="shared" si="40"/>
        <v>307.60751699321827</v>
      </c>
    </row>
    <row r="274" spans="3:10" ht="19" x14ac:dyDescent="0.25">
      <c r="C274" s="151">
        <f t="shared" si="42"/>
        <v>1400</v>
      </c>
      <c r="D274" s="214">
        <f t="shared" si="38"/>
        <v>0.11487944732297062</v>
      </c>
      <c r="E274" s="231">
        <f t="shared" si="39"/>
        <v>3.0691485523051136E+33</v>
      </c>
      <c r="F274" s="236">
        <f t="shared" si="35"/>
        <v>188.63657878716867</v>
      </c>
      <c r="G274" s="217" cm="1">
        <f t="array" ref="G274">$B$7*SUM((($D$42:$D$44)/$C274)/(EXP($D$42:$D$44/$C274)-1)-LN(1-EXP(-$D$42:$D$44/$C274)))</f>
        <v>21.304706236157632</v>
      </c>
      <c r="H274" s="218">
        <f t="shared" si="36"/>
        <v>95.936409579997431</v>
      </c>
      <c r="I274" s="221">
        <f t="shared" si="37"/>
        <v>5.7631029180476085</v>
      </c>
      <c r="J274" s="330">
        <f t="shared" si="40"/>
        <v>311.64079752137133</v>
      </c>
    </row>
    <row r="275" spans="3:10" ht="19" x14ac:dyDescent="0.25">
      <c r="C275" s="151">
        <f t="shared" si="42"/>
        <v>1500</v>
      </c>
      <c r="D275" s="214">
        <f t="shared" si="38"/>
        <v>0.12308512213175424</v>
      </c>
      <c r="E275" s="231">
        <f t="shared" si="39"/>
        <v>3.403789895010884E+33</v>
      </c>
      <c r="F275" s="236">
        <f t="shared" si="35"/>
        <v>190.0706646138965</v>
      </c>
      <c r="G275" s="217" cm="1">
        <f t="array" ref="G275">$B$7*SUM((($D$42:$D$44)/$C275)/(EXP($D$42:$D$44/$C275)-1)-LN(1-EXP(-$D$42:$D$44/$C275)))</f>
        <v>22.796138615181722</v>
      </c>
      <c r="H275" s="218">
        <f t="shared" si="36"/>
        <v>96.796861076034105</v>
      </c>
      <c r="I275" s="221">
        <f t="shared" si="37"/>
        <v>5.7631029180476085</v>
      </c>
      <c r="J275" s="330">
        <f t="shared" si="40"/>
        <v>315.42676722315991</v>
      </c>
    </row>
    <row r="276" spans="3:10" ht="19" x14ac:dyDescent="0.25">
      <c r="C276" s="151">
        <f t="shared" si="42"/>
        <v>1600</v>
      </c>
      <c r="D276" s="214">
        <f t="shared" si="38"/>
        <v>0.13129079694053786</v>
      </c>
      <c r="E276" s="231">
        <f t="shared" si="39"/>
        <v>3.7497803597841362E+33</v>
      </c>
      <c r="F276" s="236">
        <f t="shared" si="35"/>
        <v>191.41216231426196</v>
      </c>
      <c r="G276" s="217" cm="1">
        <f t="array" ref="G276">$B$7*SUM((($D$42:$D$44)/$C276)/(EXP($D$42:$D$44/$C276)-1)-LN(1-EXP(-$D$42:$D$44/$C276)))</f>
        <v>24.215612547726113</v>
      </c>
      <c r="H276" s="218">
        <f t="shared" si="36"/>
        <v>97.601759696253438</v>
      </c>
      <c r="I276" s="221">
        <f t="shared" si="37"/>
        <v>5.7631029180476085</v>
      </c>
      <c r="J276" s="330">
        <f t="shared" si="40"/>
        <v>318.99263747628913</v>
      </c>
    </row>
    <row r="277" spans="3:10" ht="19" x14ac:dyDescent="0.25">
      <c r="C277" s="151">
        <f t="shared" si="42"/>
        <v>1700</v>
      </c>
      <c r="D277" s="214">
        <f t="shared" si="38"/>
        <v>0.13949647174932148</v>
      </c>
      <c r="E277" s="231">
        <f t="shared" si="39"/>
        <v>4.106759194318127E+33</v>
      </c>
      <c r="F277" s="236">
        <f t="shared" si="35"/>
        <v>192.67230570333831</v>
      </c>
      <c r="G277" s="217" cm="1">
        <f t="array" ref="G277">$B$7*SUM((($D$42:$D$44)/$C277)/(EXP($D$42:$D$44/$C277)-1)-LN(1-EXP(-$D$42:$D$44/$C277)))</f>
        <v>25.568293808639464</v>
      </c>
      <c r="H277" s="218">
        <f t="shared" si="36"/>
        <v>98.357845729699278</v>
      </c>
      <c r="I277" s="221">
        <f t="shared" si="37"/>
        <v>5.7631029180476085</v>
      </c>
      <c r="J277" s="330">
        <f t="shared" si="40"/>
        <v>322.36154815972463</v>
      </c>
    </row>
    <row r="278" spans="3:10" ht="19" x14ac:dyDescent="0.25">
      <c r="C278" s="151">
        <f t="shared" si="42"/>
        <v>1800</v>
      </c>
      <c r="D278" s="214">
        <f t="shared" si="38"/>
        <v>0.1477021465581051</v>
      </c>
      <c r="E278" s="231">
        <f t="shared" si="39"/>
        <v>4.4743980156133918E+33</v>
      </c>
      <c r="F278" s="236">
        <f t="shared" si="35"/>
        <v>193.86040049341554</v>
      </c>
      <c r="G278" s="217" cm="1">
        <f t="array" ref="G278">$B$7*SUM((($D$42:$D$44)/$C278)/(EXP($D$42:$D$44/$C278)-1)-LN(1-EXP(-$D$42:$D$44/$C278)))</f>
        <v>26.859105025350665</v>
      </c>
      <c r="H278" s="218">
        <f t="shared" si="36"/>
        <v>99.070702603745573</v>
      </c>
      <c r="I278" s="221">
        <f t="shared" si="37"/>
        <v>5.7631029180476085</v>
      </c>
      <c r="J278" s="330">
        <f t="shared" si="40"/>
        <v>325.55331104055938</v>
      </c>
    </row>
    <row r="279" spans="3:10" ht="19" x14ac:dyDescent="0.25">
      <c r="C279" s="151">
        <f t="shared" si="42"/>
        <v>1900</v>
      </c>
      <c r="D279" s="214">
        <f t="shared" si="38"/>
        <v>0.15590782136688872</v>
      </c>
      <c r="E279" s="231">
        <f t="shared" si="39"/>
        <v>4.8523962394793856E+33</v>
      </c>
      <c r="F279" s="236">
        <f t="shared" si="35"/>
        <v>194.98424175473954</v>
      </c>
      <c r="G279" s="217" cm="1">
        <f t="array" ref="G279">$B$7*SUM((($D$42:$D$44)/$C279)/(EXP($D$42:$D$44/$C279)-1)-LN(1-EXP(-$D$42:$D$44/$C279)))</f>
        <v>28.092644076090458</v>
      </c>
      <c r="H279" s="218">
        <f t="shared" si="36"/>
        <v>99.745007360539958</v>
      </c>
      <c r="I279" s="221">
        <f t="shared" si="37"/>
        <v>5.7631029180476085</v>
      </c>
      <c r="J279" s="330">
        <f t="shared" si="40"/>
        <v>328.58499610941755</v>
      </c>
    </row>
    <row r="280" spans="3:10" ht="20" thickBot="1" x14ac:dyDescent="0.3">
      <c r="C280" s="152">
        <f t="shared" si="42"/>
        <v>2000</v>
      </c>
      <c r="D280" s="215">
        <f t="shared" si="38"/>
        <v>0.16411349617567234</v>
      </c>
      <c r="E280" s="232">
        <f t="shared" si="39"/>
        <v>5.2404773657318718E+33</v>
      </c>
      <c r="F280" s="237">
        <f t="shared" si="35"/>
        <v>196.05042417187917</v>
      </c>
      <c r="G280" s="228" cm="1">
        <f t="array" ref="G280">$B$7*SUM((($D$42:$D$44)/$C280)/(EXP($D$42:$D$44/$C280)-1)-LN(1-EXP(-$D$42:$D$44/$C280)))</f>
        <v>29.273154460787421</v>
      </c>
      <c r="H280" s="238">
        <f t="shared" si="36"/>
        <v>100.38471681082372</v>
      </c>
      <c r="I280" s="223">
        <f t="shared" si="37"/>
        <v>5.7631029180476085</v>
      </c>
      <c r="J280" s="331">
        <f t="shared" si="40"/>
        <v>331.47139836153792</v>
      </c>
    </row>
  </sheetData>
  <mergeCells count="10">
    <mergeCell ref="H239:K239"/>
    <mergeCell ref="D244:E244"/>
    <mergeCell ref="D245:E245"/>
    <mergeCell ref="F260:J260"/>
    <mergeCell ref="A18:V18"/>
    <mergeCell ref="A53:V53"/>
    <mergeCell ref="C100:F100"/>
    <mergeCell ref="H198:K198"/>
    <mergeCell ref="D203:E203"/>
    <mergeCell ref="D212:H2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C53BD-DDDD-934E-B983-8D675B41C09C}">
  <dimension ref="A3:AA280"/>
  <sheetViews>
    <sheetView topLeftCell="A124" workbookViewId="0">
      <selection activeCell="I209" sqref="I209"/>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8.5" customWidth="1"/>
    <col min="8" max="8" width="11.33203125" customWidth="1"/>
    <col min="9" max="9" width="10.83203125" customWidth="1"/>
    <col min="10" max="10" width="14.6640625" customWidth="1"/>
    <col min="11" max="11" width="14.33203125" customWidth="1"/>
    <col min="12" max="12" width="14.1640625" customWidth="1"/>
    <col min="13" max="13" width="17.33203125"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47" t="s">
        <v>0</v>
      </c>
      <c r="B5" s="148"/>
      <c r="D5" s="8" t="s">
        <v>13</v>
      </c>
      <c r="E5" s="9"/>
      <c r="F5" s="9"/>
      <c r="G5" s="9"/>
      <c r="H5" s="9"/>
      <c r="I5" s="9"/>
      <c r="J5" s="9"/>
      <c r="K5" s="9"/>
      <c r="L5" s="10"/>
      <c r="N5" s="21" t="s">
        <v>17</v>
      </c>
      <c r="O5" s="22"/>
      <c r="P5" s="22"/>
      <c r="Q5" s="23"/>
      <c r="S5" s="33" t="s">
        <v>34</v>
      </c>
      <c r="T5" s="34"/>
      <c r="U5" s="34"/>
      <c r="V5" s="35"/>
    </row>
    <row r="6" spans="1:22" ht="32" customHeight="1" x14ac:dyDescent="0.3">
      <c r="A6" s="139" t="s">
        <v>1</v>
      </c>
      <c r="B6" s="146">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2" t="s">
        <v>2</v>
      </c>
      <c r="B7" s="143">
        <v>8.3143999999999991</v>
      </c>
      <c r="D7" s="11" t="s">
        <v>7</v>
      </c>
      <c r="E7" s="312">
        <v>1</v>
      </c>
      <c r="F7" s="312">
        <v>27.210699999999999</v>
      </c>
      <c r="G7" s="312">
        <v>219474.63</v>
      </c>
      <c r="H7" s="312">
        <v>627.50300000000004</v>
      </c>
      <c r="I7" s="312">
        <v>2625.5</v>
      </c>
      <c r="J7" s="312">
        <v>315777</v>
      </c>
      <c r="K7" s="312">
        <v>4.3599999999999999E-18</v>
      </c>
      <c r="L7" s="313">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6" t="s">
        <v>3</v>
      </c>
      <c r="B8" s="137">
        <v>1.38065E-23</v>
      </c>
      <c r="D8" s="11" t="s">
        <v>8</v>
      </c>
      <c r="E8" s="312">
        <v>3.6750199999999997E-2</v>
      </c>
      <c r="F8" s="312">
        <v>1</v>
      </c>
      <c r="G8" s="312">
        <v>8065.73</v>
      </c>
      <c r="H8" s="312">
        <v>23.0609</v>
      </c>
      <c r="I8" s="312">
        <v>96.486900000000006</v>
      </c>
      <c r="J8" s="312">
        <v>11604.9</v>
      </c>
      <c r="K8" s="7">
        <v>1.6021E-19</v>
      </c>
      <c r="L8" s="313">
        <v>241804000000000</v>
      </c>
      <c r="N8" s="25" t="s">
        <v>19</v>
      </c>
      <c r="O8" s="20">
        <v>1.8897299999999999</v>
      </c>
      <c r="P8" s="19">
        <v>1</v>
      </c>
      <c r="Q8" s="26">
        <v>1E-10</v>
      </c>
      <c r="S8" s="39" t="s">
        <v>35</v>
      </c>
      <c r="T8" s="41">
        <v>1.098E+30</v>
      </c>
      <c r="U8" s="40">
        <v>1</v>
      </c>
      <c r="V8" s="42">
        <f>1/U9</f>
        <v>6.0240963855421691E+26</v>
      </c>
    </row>
    <row r="9" spans="1:22" ht="22" thickBot="1" x14ac:dyDescent="0.3">
      <c r="A9" s="142" t="s">
        <v>4</v>
      </c>
      <c r="B9" s="144">
        <v>1.6021760000000001E-16</v>
      </c>
      <c r="D9" s="11" t="s">
        <v>14</v>
      </c>
      <c r="E9" s="312">
        <v>4.5563300000000003E-6</v>
      </c>
      <c r="F9" s="312">
        <v>1.23981E-4</v>
      </c>
      <c r="G9" s="312">
        <v>1</v>
      </c>
      <c r="H9" s="312">
        <v>2.8591100000000002E-3</v>
      </c>
      <c r="I9" s="312">
        <v>1.19627E-2</v>
      </c>
      <c r="J9" s="312">
        <v>1.42879</v>
      </c>
      <c r="K9" s="312">
        <v>1.9863000000000001E-23</v>
      </c>
      <c r="L9" s="314">
        <v>29979300000</v>
      </c>
      <c r="N9" s="27" t="s">
        <v>20</v>
      </c>
      <c r="O9" s="28">
        <v>18900000000</v>
      </c>
      <c r="P9" s="28">
        <v>10000000000</v>
      </c>
      <c r="Q9" s="29">
        <v>1</v>
      </c>
      <c r="S9" s="43" t="s">
        <v>78</v>
      </c>
      <c r="T9" s="44">
        <f>U9*T8</f>
        <v>1822.6799999999998</v>
      </c>
      <c r="U9" s="44">
        <v>1.6599999999999999E-27</v>
      </c>
      <c r="V9" s="45">
        <v>1</v>
      </c>
    </row>
    <row r="10" spans="1:22" ht="21" x14ac:dyDescent="0.3">
      <c r="A10" s="135" t="s">
        <v>5</v>
      </c>
      <c r="B10" s="138">
        <v>9.1092999999999998E-31</v>
      </c>
      <c r="D10" s="11" t="s">
        <v>9</v>
      </c>
      <c r="E10" s="312">
        <v>1.59362E-3</v>
      </c>
      <c r="F10" s="312">
        <v>4.3363400000000003E-2</v>
      </c>
      <c r="G10" s="312">
        <v>349.75700000000001</v>
      </c>
      <c r="H10" s="312">
        <v>1</v>
      </c>
      <c r="I10" s="312">
        <v>4.1840000000000002</v>
      </c>
      <c r="J10" s="312">
        <v>503.22800000000001</v>
      </c>
      <c r="K10" s="312">
        <v>6.9500000000000005E-21</v>
      </c>
      <c r="L10" s="313">
        <v>10485400000000</v>
      </c>
    </row>
    <row r="11" spans="1:22" ht="22" x14ac:dyDescent="0.3">
      <c r="A11" s="142" t="s">
        <v>16</v>
      </c>
      <c r="B11" s="149">
        <v>8.8541799999999997E-12</v>
      </c>
      <c r="D11" s="11" t="s">
        <v>10</v>
      </c>
      <c r="E11" s="312">
        <v>3.8088E-4</v>
      </c>
      <c r="F11" s="312">
        <v>1.0364099999999999E-2</v>
      </c>
      <c r="G11" s="312">
        <v>83.593000000000004</v>
      </c>
      <c r="H11" s="312">
        <v>0.23900099999999999</v>
      </c>
      <c r="I11" s="312">
        <v>1</v>
      </c>
      <c r="J11" s="312">
        <v>120.274</v>
      </c>
      <c r="K11" s="312">
        <v>1.6599999999999999E-21</v>
      </c>
      <c r="L11" s="313">
        <v>2506070000000</v>
      </c>
    </row>
    <row r="12" spans="1:22" ht="22" x14ac:dyDescent="0.3">
      <c r="A12" s="135" t="s">
        <v>6</v>
      </c>
      <c r="B12" s="138">
        <v>5.2917700000000002E-12</v>
      </c>
      <c r="D12" s="13" t="s">
        <v>15</v>
      </c>
      <c r="E12" s="312">
        <v>3.1667800000000002E-6</v>
      </c>
      <c r="F12" s="312">
        <v>8.6170500000000004E-5</v>
      </c>
      <c r="G12" s="312">
        <v>0.69502799999999998</v>
      </c>
      <c r="H12" s="312">
        <v>1.9871699999999999E-3</v>
      </c>
      <c r="I12" s="312">
        <v>8.3143499999999999E-3</v>
      </c>
      <c r="J12" s="312">
        <v>1</v>
      </c>
      <c r="K12" s="312">
        <v>1.38054E-23</v>
      </c>
      <c r="L12" s="314">
        <v>20836400000</v>
      </c>
    </row>
    <row r="13" spans="1:22" ht="19" x14ac:dyDescent="0.25">
      <c r="A13" s="142" t="s">
        <v>71</v>
      </c>
      <c r="B13" s="145">
        <f>298.15</f>
        <v>298.14999999999998</v>
      </c>
      <c r="D13" s="11" t="s">
        <v>11</v>
      </c>
      <c r="E13" s="312">
        <v>2.294E+17</v>
      </c>
      <c r="F13" s="312">
        <v>6.24181E+18</v>
      </c>
      <c r="G13" s="312">
        <v>5.0344500000000003E+22</v>
      </c>
      <c r="H13" s="312">
        <v>1.44E+20</v>
      </c>
      <c r="I13" s="312">
        <v>6.02E+20</v>
      </c>
      <c r="J13" s="312">
        <v>7.2435399999999999E+22</v>
      </c>
      <c r="K13" s="312">
        <v>1</v>
      </c>
      <c r="L13" s="313">
        <v>1.5093E+33</v>
      </c>
    </row>
    <row r="14" spans="1:22" ht="20" thickBot="1" x14ac:dyDescent="0.3">
      <c r="A14" s="142" t="s">
        <v>76</v>
      </c>
      <c r="B14" s="158">
        <v>6.626068E-34</v>
      </c>
      <c r="D14" s="14" t="s">
        <v>12</v>
      </c>
      <c r="E14" s="315">
        <v>1.5198300000000001E-16</v>
      </c>
      <c r="F14" s="315">
        <v>4.13558E-15</v>
      </c>
      <c r="G14" s="315">
        <v>3.3356499999999997E-11</v>
      </c>
      <c r="H14" s="315">
        <v>9.5370200000000003E-14</v>
      </c>
      <c r="I14" s="315"/>
      <c r="J14" s="315">
        <v>4.7993E-11</v>
      </c>
      <c r="K14" s="315">
        <v>6.62561E-34</v>
      </c>
      <c r="L14" s="316">
        <v>1</v>
      </c>
    </row>
    <row r="15" spans="1:22" ht="19" x14ac:dyDescent="0.25">
      <c r="A15" s="135" t="s">
        <v>72</v>
      </c>
      <c r="B15" s="140">
        <v>1</v>
      </c>
    </row>
    <row r="16" spans="1:22" ht="19" x14ac:dyDescent="0.25">
      <c r="A16" s="142" t="s">
        <v>74</v>
      </c>
      <c r="B16" s="145">
        <v>101325</v>
      </c>
    </row>
    <row r="17" spans="1:27" ht="21" x14ac:dyDescent="0.25">
      <c r="A17" s="139" t="s">
        <v>73</v>
      </c>
      <c r="B17" s="141">
        <v>299792459</v>
      </c>
    </row>
    <row r="18" spans="1:27" ht="34" thickBot="1" x14ac:dyDescent="0.5">
      <c r="A18" s="349" t="s">
        <v>138</v>
      </c>
      <c r="B18" s="349"/>
      <c r="C18" s="349"/>
      <c r="D18" s="349"/>
      <c r="E18" s="349"/>
      <c r="F18" s="349"/>
      <c r="G18" s="349"/>
      <c r="H18" s="349"/>
      <c r="I18" s="349"/>
      <c r="J18" s="349"/>
      <c r="K18" s="349"/>
      <c r="L18" s="349"/>
      <c r="M18" s="349"/>
      <c r="N18" s="349"/>
      <c r="O18" s="349"/>
      <c r="P18" s="349"/>
      <c r="Q18" s="349"/>
      <c r="R18" s="349"/>
      <c r="S18" s="349"/>
      <c r="T18" s="349"/>
      <c r="U18" s="349"/>
      <c r="V18" s="349"/>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4"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2.16805</v>
      </c>
      <c r="E23" s="55">
        <v>4.2622499999999999</v>
      </c>
      <c r="F23" s="56">
        <v>6.4302999999999999</v>
      </c>
      <c r="G23" s="1"/>
      <c r="H23" s="118">
        <v>2.1288999999999999E-2</v>
      </c>
      <c r="I23" s="119">
        <f>H23*$H$7</f>
        <v>13.358911367000001</v>
      </c>
      <c r="J23" s="119">
        <f>H23*$I$7</f>
        <v>55.8942695</v>
      </c>
      <c r="K23" s="195">
        <f>H23*$F$7</f>
        <v>0.57928859229999996</v>
      </c>
      <c r="L23" s="246">
        <f>H23*$K$7</f>
        <v>9.2820039999999992E-20</v>
      </c>
      <c r="M23" s="1"/>
      <c r="N23" s="1"/>
      <c r="O23" s="65" t="s">
        <v>45</v>
      </c>
      <c r="P23" s="84">
        <v>15.138</v>
      </c>
      <c r="Q23" s="76">
        <v>6.0140000000000002</v>
      </c>
      <c r="R23" s="77">
        <v>45.1</v>
      </c>
      <c r="S23" s="1"/>
      <c r="T23" s="1"/>
      <c r="U23" s="1"/>
      <c r="V23" s="1"/>
      <c r="W23" s="1"/>
      <c r="X23" s="1"/>
      <c r="Y23" s="1"/>
      <c r="Z23" s="1"/>
      <c r="AA23" s="1"/>
    </row>
    <row r="24" spans="1:27" ht="22" thickBot="1" x14ac:dyDescent="0.3">
      <c r="A24" s="31" t="s">
        <v>24</v>
      </c>
      <c r="B24" s="1"/>
      <c r="C24" s="47" t="s">
        <v>29</v>
      </c>
      <c r="D24" s="208">
        <f>D23*$U$9</f>
        <v>3.5989629999999997E-27</v>
      </c>
      <c r="E24" s="58">
        <f t="shared" ref="E24:F24" si="0">E23*$U$9</f>
        <v>7.0753349999999999E-27</v>
      </c>
      <c r="F24" s="338">
        <f t="shared" si="0"/>
        <v>1.0674298E-26</v>
      </c>
      <c r="G24" s="1"/>
      <c r="M24" s="1"/>
      <c r="N24" s="1"/>
      <c r="O24" s="66" t="s">
        <v>46</v>
      </c>
      <c r="P24" s="84">
        <v>0</v>
      </c>
      <c r="Q24" s="76">
        <v>0</v>
      </c>
      <c r="R24" s="77">
        <v>0</v>
      </c>
      <c r="S24" s="1"/>
      <c r="T24" s="1"/>
      <c r="U24" s="1"/>
      <c r="V24" s="1"/>
      <c r="W24" s="1"/>
      <c r="X24" s="1"/>
      <c r="Y24" s="1"/>
      <c r="Z24" s="1"/>
      <c r="AA24" s="1"/>
    </row>
    <row r="25" spans="1:27" ht="22" thickBot="1" x14ac:dyDescent="0.3">
      <c r="A25" s="30">
        <v>1</v>
      </c>
      <c r="B25" s="1"/>
      <c r="C25" s="48" t="s">
        <v>30</v>
      </c>
      <c r="D25" s="59">
        <f>D24*($Q$8)^2</f>
        <v>3.5989630000000002E-47</v>
      </c>
      <c r="E25" s="60">
        <f>E24*($Q$8)^2</f>
        <v>7.0753350000000009E-47</v>
      </c>
      <c r="F25" s="61">
        <f t="shared" ref="F25" si="1">F24*($Q$8)^2</f>
        <v>1.0674298000000001E-46</v>
      </c>
      <c r="G25" s="1"/>
      <c r="M25" s="1"/>
      <c r="N25" s="1"/>
      <c r="O25" s="66" t="s">
        <v>47</v>
      </c>
      <c r="P25" s="84">
        <v>0.88900000000000001</v>
      </c>
      <c r="Q25" s="76">
        <v>2.9809999999999999</v>
      </c>
      <c r="R25" s="77">
        <v>34.607999999999997</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0.88900000000000001</v>
      </c>
      <c r="Q26" s="76">
        <v>2.9809999999999999</v>
      </c>
      <c r="R26" s="77">
        <v>10.484</v>
      </c>
      <c r="S26" s="1"/>
      <c r="T26" s="1"/>
      <c r="U26" s="1"/>
      <c r="V26" s="1"/>
      <c r="W26" s="1"/>
      <c r="X26" s="1"/>
      <c r="Y26" s="1"/>
      <c r="Z26" s="1"/>
      <c r="AA26" s="1"/>
    </row>
    <row r="27" spans="1:27" ht="20" thickBot="1" x14ac:dyDescent="0.3">
      <c r="A27" s="31" t="s">
        <v>25</v>
      </c>
      <c r="B27" s="1"/>
      <c r="C27" s="31" t="s">
        <v>27</v>
      </c>
      <c r="D27" s="1"/>
      <c r="E27" s="1"/>
      <c r="F27" s="1"/>
      <c r="G27" s="1"/>
      <c r="H27" s="115" t="s">
        <v>65</v>
      </c>
      <c r="I27" s="116" t="s">
        <v>9</v>
      </c>
      <c r="J27" s="116" t="s">
        <v>10</v>
      </c>
      <c r="K27" s="194" t="s">
        <v>8</v>
      </c>
      <c r="L27" s="117" t="s">
        <v>11</v>
      </c>
      <c r="M27" s="1"/>
      <c r="N27" s="1"/>
      <c r="O27" s="67" t="s">
        <v>49</v>
      </c>
      <c r="P27" s="96">
        <v>13.361000000000001</v>
      </c>
      <c r="Q27" s="78">
        <v>5.1999999999999998E-2</v>
      </c>
      <c r="R27" s="79">
        <v>8.0000000000000002E-3</v>
      </c>
      <c r="S27" s="1"/>
      <c r="T27" s="1"/>
      <c r="U27" s="1"/>
      <c r="V27" s="1"/>
      <c r="W27" s="1"/>
      <c r="X27" s="1"/>
      <c r="Y27" s="1"/>
      <c r="Z27" s="1"/>
      <c r="AA27" s="1"/>
    </row>
    <row r="28" spans="1:27" ht="20" thickBot="1" x14ac:dyDescent="0.3">
      <c r="A28" s="30">
        <v>18.010560000000002</v>
      </c>
      <c r="B28" s="1"/>
      <c r="C28" s="108" t="s">
        <v>36</v>
      </c>
      <c r="D28" s="109" t="s">
        <v>37</v>
      </c>
      <c r="E28" s="110" t="s">
        <v>38</v>
      </c>
      <c r="F28" s="1"/>
      <c r="G28" s="1"/>
      <c r="H28" s="111">
        <v>2.4125000000000001E-2</v>
      </c>
      <c r="I28" s="119">
        <f>H28*$H$7</f>
        <v>15.138509875000002</v>
      </c>
      <c r="J28" s="119">
        <f>H28*$I$7</f>
        <v>63.340187499999999</v>
      </c>
      <c r="K28" s="120">
        <f>H28*$F$7</f>
        <v>0.65645813750000004</v>
      </c>
      <c r="L28" s="246">
        <f>H28*$K$7</f>
        <v>1.0518500000000001E-19</v>
      </c>
      <c r="M28" s="1"/>
      <c r="N28" s="1"/>
      <c r="O28" s="1"/>
      <c r="P28" s="1"/>
      <c r="Q28" s="1"/>
      <c r="R28" s="1"/>
      <c r="S28" s="1"/>
      <c r="T28" s="1"/>
      <c r="U28" s="1"/>
      <c r="V28" s="1"/>
      <c r="W28" s="1"/>
      <c r="X28" s="1"/>
      <c r="Y28" s="1"/>
      <c r="Z28" s="1"/>
      <c r="AA28" s="1"/>
    </row>
    <row r="29" spans="1:27" ht="20" thickBot="1" x14ac:dyDescent="0.3">
      <c r="A29" s="1"/>
      <c r="B29" s="1"/>
      <c r="C29" s="111">
        <v>39.950090000000003</v>
      </c>
      <c r="D29" s="112">
        <v>20.32114</v>
      </c>
      <c r="E29" s="113">
        <v>13.46963</v>
      </c>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2</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4" t="s">
        <v>8</v>
      </c>
      <c r="L32" s="117" t="s">
        <v>11</v>
      </c>
      <c r="M32" s="1"/>
      <c r="N32" s="1"/>
      <c r="O32" s="65" t="s">
        <v>46</v>
      </c>
      <c r="P32" s="85">
        <v>1</v>
      </c>
      <c r="Q32" s="86">
        <v>0</v>
      </c>
      <c r="R32" s="86">
        <v>0</v>
      </c>
      <c r="S32" s="1"/>
      <c r="T32" s="1"/>
      <c r="U32" s="1"/>
      <c r="V32" s="1"/>
      <c r="W32" s="1"/>
      <c r="X32" s="1"/>
      <c r="Y32" s="1"/>
      <c r="Z32" s="1"/>
      <c r="AA32" s="1"/>
    </row>
    <row r="33" spans="1:27" ht="20" thickBot="1" x14ac:dyDescent="0.3">
      <c r="A33" s="1"/>
      <c r="B33" s="1"/>
      <c r="C33" s="49">
        <v>832.42582000000004</v>
      </c>
      <c r="D33" s="50">
        <v>423.42435</v>
      </c>
      <c r="E33" s="51">
        <v>280.66194999999999</v>
      </c>
      <c r="F33" s="1"/>
      <c r="G33" s="1"/>
      <c r="H33" s="111">
        <v>2.5069000000000001E-2</v>
      </c>
      <c r="I33" s="119">
        <f>H33*$H$7</f>
        <v>15.730872707000001</v>
      </c>
      <c r="J33" s="119">
        <f>H33*$I$7</f>
        <v>65.81865950000001</v>
      </c>
      <c r="K33" s="120">
        <f>H33*$F$7</f>
        <v>0.68214503830000006</v>
      </c>
      <c r="L33" s="246">
        <f>H33*$K$7</f>
        <v>1.0930084000000001E-19</v>
      </c>
      <c r="M33" s="1"/>
      <c r="N33" s="1"/>
      <c r="O33" s="66" t="s">
        <v>47</v>
      </c>
      <c r="P33" s="84">
        <v>3004320</v>
      </c>
      <c r="Q33" s="76">
        <v>6.4777459999999998</v>
      </c>
      <c r="R33" s="76">
        <v>14.915562</v>
      </c>
      <c r="S33" s="1"/>
      <c r="T33" s="1"/>
      <c r="U33" s="1"/>
      <c r="V33" s="1"/>
      <c r="W33" s="1"/>
      <c r="X33" s="1"/>
      <c r="Y33" s="1"/>
      <c r="Z33" s="1"/>
      <c r="AA33" s="1"/>
    </row>
    <row r="34" spans="1:27" ht="19" x14ac:dyDescent="0.25">
      <c r="A34" s="1"/>
      <c r="B34" s="1"/>
      <c r="E34" s="1"/>
      <c r="F34" s="1"/>
      <c r="G34" s="1"/>
      <c r="M34" s="1"/>
      <c r="N34" s="1"/>
      <c r="O34" s="66" t="s">
        <v>48</v>
      </c>
      <c r="P34" s="84">
        <v>43.630099999999999</v>
      </c>
      <c r="Q34" s="76">
        <v>1.639786</v>
      </c>
      <c r="R34" s="76">
        <v>3.7757480000000001</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2.1160200000000001E-2</v>
      </c>
      <c r="Q35" s="76">
        <v>-1.67448</v>
      </c>
      <c r="R35" s="76">
        <v>-3.8556319999999999</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131136000</v>
      </c>
      <c r="Q36" s="76">
        <v>8.1177220000000005</v>
      </c>
      <c r="R36" s="76">
        <v>18.691746999999999</v>
      </c>
      <c r="S36" s="1"/>
      <c r="T36" s="1"/>
      <c r="U36" s="1"/>
      <c r="V36" s="1"/>
      <c r="W36" s="1"/>
      <c r="X36" s="1"/>
      <c r="Y36" s="1"/>
      <c r="Z36" s="1"/>
      <c r="AA36" s="1"/>
    </row>
    <row r="37" spans="1:27" ht="20" thickBot="1" x14ac:dyDescent="0.3">
      <c r="A37" s="1"/>
      <c r="B37" s="1"/>
      <c r="C37" s="102" t="s">
        <v>63</v>
      </c>
      <c r="D37" s="53">
        <v>55894</v>
      </c>
      <c r="E37" s="1"/>
      <c r="F37" s="1"/>
      <c r="H37" s="115" t="s">
        <v>65</v>
      </c>
      <c r="I37" s="116" t="s">
        <v>9</v>
      </c>
      <c r="J37" s="116" t="s">
        <v>10</v>
      </c>
      <c r="K37" s="117" t="s">
        <v>8</v>
      </c>
      <c r="L37" s="117" t="s">
        <v>11</v>
      </c>
      <c r="M37" s="1"/>
      <c r="N37" s="1"/>
      <c r="O37" s="66" t="s">
        <v>55</v>
      </c>
      <c r="P37" s="84">
        <v>1.6143099999999999E-10</v>
      </c>
      <c r="Q37" s="76">
        <v>-9.7920119999999997</v>
      </c>
      <c r="R37" s="76">
        <v>-22.546941</v>
      </c>
      <c r="S37" s="1"/>
      <c r="T37" s="1"/>
      <c r="U37" s="1"/>
      <c r="V37" s="1"/>
      <c r="W37" s="1"/>
      <c r="X37" s="1"/>
      <c r="Y37" s="1"/>
      <c r="Z37" s="1"/>
      <c r="AA37" s="1"/>
    </row>
    <row r="38" spans="1:27" ht="20" thickBot="1" x14ac:dyDescent="0.3">
      <c r="A38" s="1"/>
      <c r="B38" s="1"/>
      <c r="C38" s="103" t="s">
        <v>64</v>
      </c>
      <c r="D38" s="114">
        <v>13.359</v>
      </c>
      <c r="E38" s="1"/>
      <c r="F38" s="1"/>
      <c r="H38" s="111">
        <v>3.64E-3</v>
      </c>
      <c r="I38" s="119">
        <f>H38*$H$7</f>
        <v>2.2841109200000003</v>
      </c>
      <c r="J38" s="119">
        <f>H38*$I$7</f>
        <v>9.5568200000000001</v>
      </c>
      <c r="K38" s="120">
        <f>H38*$F$7</f>
        <v>9.9046947999999996E-2</v>
      </c>
      <c r="L38" s="246">
        <f>H38*$K$7</f>
        <v>1.5870399999999999E-20</v>
      </c>
      <c r="M38" s="1"/>
      <c r="N38" s="1"/>
      <c r="O38" s="67" t="s">
        <v>56</v>
      </c>
      <c r="P38" s="84">
        <v>1.00044</v>
      </c>
      <c r="Q38" s="76">
        <v>1.9000000000000001E-4</v>
      </c>
      <c r="R38" s="76">
        <v>4.37E-4</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99" t="s">
        <v>60</v>
      </c>
      <c r="E41" s="100" t="s">
        <v>61</v>
      </c>
      <c r="F41" s="130" t="s">
        <v>69</v>
      </c>
      <c r="G41" s="134" t="s">
        <v>70</v>
      </c>
      <c r="I41" s="1"/>
      <c r="J41" s="1"/>
      <c r="K41" s="1"/>
      <c r="L41" s="1"/>
      <c r="M41" s="1"/>
      <c r="N41" s="1"/>
      <c r="O41" s="1"/>
      <c r="P41" s="1"/>
      <c r="Q41" s="1"/>
      <c r="R41" s="1"/>
      <c r="S41" s="1"/>
      <c r="T41" s="1"/>
      <c r="U41" s="1"/>
      <c r="V41" s="1"/>
      <c r="W41" s="1"/>
      <c r="X41" s="1"/>
      <c r="Y41" s="1"/>
      <c r="Z41" s="1"/>
      <c r="AA41" s="1"/>
    </row>
    <row r="42" spans="1:27" ht="19" x14ac:dyDescent="0.25">
      <c r="A42" s="1"/>
      <c r="B42" s="1"/>
      <c r="C42" s="91">
        <v>1</v>
      </c>
      <c r="D42" s="264">
        <v>2306.39</v>
      </c>
      <c r="E42" s="265">
        <v>1603.0222000000001</v>
      </c>
      <c r="F42" s="131">
        <f>E42*$L$9</f>
        <v>48057483440460</v>
      </c>
      <c r="G42" s="243">
        <v>1.0838000000000001</v>
      </c>
      <c r="H42" s="97"/>
      <c r="K42" s="1"/>
      <c r="L42" s="1"/>
      <c r="M42" s="1"/>
      <c r="N42" s="1"/>
      <c r="O42" s="1"/>
      <c r="P42" s="1"/>
      <c r="Q42" s="1"/>
      <c r="R42" s="1"/>
      <c r="S42" s="1"/>
      <c r="T42" s="1"/>
      <c r="U42" s="1"/>
      <c r="V42" s="1"/>
      <c r="W42" s="1"/>
      <c r="X42" s="1"/>
      <c r="Y42" s="1"/>
      <c r="Z42" s="1"/>
      <c r="AA42" s="1"/>
    </row>
    <row r="43" spans="1:27" ht="19" x14ac:dyDescent="0.25">
      <c r="A43" s="1"/>
      <c r="B43" s="1"/>
      <c r="C43" s="92">
        <f>C42+1</f>
        <v>2</v>
      </c>
      <c r="D43" s="94">
        <v>5481.45</v>
      </c>
      <c r="E43" s="128">
        <v>3809.8024</v>
      </c>
      <c r="F43" s="132">
        <f t="shared" ref="F43:F44" si="2">E43*$L$9</f>
        <v>114215209090320</v>
      </c>
      <c r="G43" s="244">
        <v>1.0441</v>
      </c>
      <c r="H43" s="97"/>
      <c r="K43" s="1"/>
      <c r="L43" s="1"/>
      <c r="M43" s="1"/>
      <c r="N43" s="1"/>
      <c r="O43" s="1"/>
      <c r="P43" s="1"/>
      <c r="Q43" s="1"/>
      <c r="R43" s="1"/>
      <c r="S43" s="1"/>
      <c r="T43" s="1"/>
      <c r="U43" s="1"/>
      <c r="V43" s="1"/>
      <c r="W43" s="1"/>
      <c r="X43" s="1"/>
      <c r="Y43" s="1"/>
      <c r="Z43" s="1"/>
      <c r="AA43" s="1"/>
    </row>
    <row r="44" spans="1:27" ht="20" thickBot="1" x14ac:dyDescent="0.3">
      <c r="A44" s="1"/>
      <c r="B44" s="1"/>
      <c r="C44" s="93">
        <f t="shared" ref="C44" si="3">C43+1</f>
        <v>3</v>
      </c>
      <c r="D44" s="95">
        <v>5657.16</v>
      </c>
      <c r="E44" s="129">
        <v>3931.9306999999999</v>
      </c>
      <c r="F44" s="133">
        <f t="shared" si="2"/>
        <v>117876530034510</v>
      </c>
      <c r="G44" s="245">
        <v>1.0831</v>
      </c>
      <c r="H44" s="97"/>
      <c r="J44" s="191" t="s">
        <v>98</v>
      </c>
      <c r="M44" s="1"/>
      <c r="N44" s="1"/>
      <c r="O44" s="1"/>
      <c r="P44" s="1"/>
      <c r="Q44" s="1"/>
      <c r="R44" s="1"/>
      <c r="S44" s="1"/>
      <c r="T44" s="1"/>
      <c r="U44" s="1"/>
      <c r="V44" s="1"/>
      <c r="W44" s="1"/>
      <c r="X44" s="1"/>
      <c r="Y44" s="1"/>
      <c r="Z44" s="1"/>
      <c r="AA44" s="1"/>
    </row>
    <row r="45" spans="1:27" ht="20" thickBot="1" x14ac:dyDescent="0.3">
      <c r="A45" s="1"/>
      <c r="B45" s="1"/>
      <c r="C45" s="97"/>
      <c r="D45" s="1"/>
      <c r="E45" s="1"/>
      <c r="F45" s="4"/>
      <c r="G45" s="1"/>
      <c r="H45" s="97"/>
      <c r="J45" s="272">
        <v>1</v>
      </c>
      <c r="K45" s="273">
        <f>J45+1</f>
        <v>2</v>
      </c>
      <c r="L45" s="274">
        <f>K45+1</f>
        <v>3</v>
      </c>
      <c r="M45" s="274">
        <f>L45+1</f>
        <v>4</v>
      </c>
      <c r="N45" s="1"/>
      <c r="O45" s="1"/>
      <c r="P45" s="1"/>
      <c r="Q45" s="1"/>
      <c r="R45" s="1"/>
      <c r="S45" s="1"/>
      <c r="T45" s="1"/>
      <c r="U45" s="1"/>
      <c r="V45" s="1"/>
      <c r="W45" s="1"/>
      <c r="X45" s="1"/>
      <c r="Y45" s="1"/>
      <c r="Z45" s="1"/>
      <c r="AA45" s="1"/>
    </row>
    <row r="46" spans="1:27" ht="20" thickBot="1" x14ac:dyDescent="0.3">
      <c r="A46" s="1"/>
      <c r="B46" s="1"/>
      <c r="C46" s="97"/>
      <c r="E46" s="1"/>
      <c r="F46" s="4"/>
      <c r="H46" s="97"/>
      <c r="J46" s="275">
        <v>-76.433896609100003</v>
      </c>
      <c r="K46" s="276">
        <v>-76.434045551799997</v>
      </c>
      <c r="L46" s="276">
        <v>-76.434047683299994</v>
      </c>
      <c r="M46" s="113">
        <v>-76.434047683299994</v>
      </c>
      <c r="N46" s="1"/>
      <c r="O46" s="1"/>
      <c r="P46" s="1"/>
      <c r="Q46" s="1"/>
      <c r="R46" s="1"/>
      <c r="S46" s="1"/>
      <c r="T46" s="1"/>
      <c r="U46" s="1"/>
      <c r="V46" s="1"/>
      <c r="W46" s="1"/>
      <c r="X46" s="1"/>
      <c r="Y46" s="1"/>
      <c r="Z46" s="1"/>
      <c r="AA46" s="1"/>
    </row>
    <row r="47" spans="1:27" ht="19" x14ac:dyDescent="0.25">
      <c r="A47" s="1"/>
      <c r="B47" s="1"/>
      <c r="C47" s="97"/>
      <c r="E47" s="1"/>
      <c r="F47" s="4"/>
      <c r="H47" s="97"/>
      <c r="K47" s="1"/>
      <c r="L47" s="1"/>
      <c r="M47" s="1"/>
      <c r="N47" s="1"/>
      <c r="O47" s="1"/>
      <c r="P47" s="1"/>
      <c r="Q47" s="1"/>
      <c r="R47" s="1"/>
      <c r="S47" s="1"/>
      <c r="T47" s="1"/>
      <c r="U47" s="1"/>
      <c r="V47" s="1"/>
      <c r="W47" s="1"/>
      <c r="X47" s="1"/>
      <c r="Y47" s="1"/>
      <c r="Z47" s="1"/>
      <c r="AA47" s="1"/>
    </row>
    <row r="48" spans="1:27" ht="19" x14ac:dyDescent="0.25">
      <c r="A48" s="1"/>
      <c r="B48" s="1"/>
      <c r="C48" s="97"/>
      <c r="E48" s="1"/>
      <c r="F48" s="4"/>
      <c r="H48" s="97"/>
      <c r="N48" s="1"/>
      <c r="O48" s="1"/>
      <c r="P48" s="1"/>
      <c r="Q48" s="1"/>
      <c r="R48" s="1"/>
      <c r="S48" s="1"/>
      <c r="T48" s="1"/>
      <c r="U48" s="1"/>
      <c r="V48" s="1"/>
      <c r="W48" s="1"/>
      <c r="X48" s="1"/>
      <c r="Y48" s="1"/>
      <c r="Z48" s="1"/>
      <c r="AA48" s="1"/>
    </row>
    <row r="49" spans="1:27" ht="19" x14ac:dyDescent="0.25">
      <c r="A49" s="1"/>
      <c r="B49" s="1"/>
      <c r="C49" s="97"/>
      <c r="E49" s="1"/>
      <c r="F49" s="4"/>
      <c r="G49" s="1"/>
      <c r="H49" s="97"/>
      <c r="K49" s="1"/>
      <c r="L49" s="1"/>
      <c r="M49" s="1"/>
      <c r="N49" s="1"/>
      <c r="O49" s="1"/>
      <c r="P49" s="1"/>
      <c r="Q49" s="1"/>
      <c r="R49" s="1"/>
      <c r="S49" s="1"/>
      <c r="T49" s="1"/>
      <c r="U49" s="1"/>
      <c r="V49" s="1"/>
      <c r="W49" s="1"/>
      <c r="X49" s="1"/>
      <c r="Y49" s="1"/>
      <c r="Z49" s="1"/>
      <c r="AA49" s="1"/>
    </row>
    <row r="50" spans="1:27" ht="19" x14ac:dyDescent="0.25">
      <c r="A50" s="1"/>
      <c r="B50" s="1"/>
      <c r="C50" s="97"/>
      <c r="D50" s="1"/>
      <c r="E50" s="1"/>
      <c r="F50" s="4"/>
      <c r="G50" s="1"/>
      <c r="H50" s="97"/>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349" t="s">
        <v>139</v>
      </c>
      <c r="B53" s="349"/>
      <c r="C53" s="349"/>
      <c r="D53" s="349"/>
      <c r="E53" s="349"/>
      <c r="F53" s="349"/>
      <c r="G53" s="349"/>
      <c r="H53" s="349"/>
      <c r="I53" s="349"/>
      <c r="J53" s="349"/>
      <c r="K53" s="349"/>
      <c r="L53" s="349"/>
      <c r="M53" s="349"/>
      <c r="N53" s="349"/>
      <c r="O53" s="349"/>
      <c r="P53" s="349"/>
      <c r="Q53" s="349"/>
      <c r="R53" s="349"/>
      <c r="S53" s="349"/>
      <c r="T53" s="349"/>
      <c r="U53" s="349"/>
      <c r="V53" s="349"/>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25" t="s">
        <v>75</v>
      </c>
      <c r="D56" s="126"/>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57" t="s">
        <v>68</v>
      </c>
      <c r="D64" s="153" t="s">
        <v>67</v>
      </c>
      <c r="E64" s="157" t="s">
        <v>77</v>
      </c>
      <c r="F64" s="1"/>
      <c r="G64" s="1"/>
      <c r="H64" s="162" t="s">
        <v>83</v>
      </c>
      <c r="I64" s="163"/>
      <c r="J64" s="163"/>
      <c r="K64" s="163"/>
      <c r="L64" s="163"/>
      <c r="M64" s="163"/>
      <c r="N64" s="163"/>
      <c r="O64" s="1"/>
      <c r="Q64" s="1"/>
      <c r="R64" s="1"/>
      <c r="S64" s="1"/>
      <c r="T64" s="1"/>
      <c r="U64" s="1"/>
      <c r="V64" s="1"/>
      <c r="W64" s="1"/>
      <c r="X64" s="1"/>
      <c r="Y64" s="1"/>
      <c r="Z64" s="1"/>
      <c r="AA64" s="1"/>
    </row>
    <row r="65" spans="2:27" ht="20" thickBot="1" x14ac:dyDescent="0.3">
      <c r="B65" s="1"/>
      <c r="C65" s="150">
        <v>298.14999999999998</v>
      </c>
      <c r="D65" s="159">
        <f t="shared" ref="D65:D83" si="4">C65*$B$8/$B$16</f>
        <v>4.0625788058228471E-26</v>
      </c>
      <c r="E65" s="154">
        <f t="shared" ref="E65:E83" si="5" xml:space="preserve"> (2*PI()*$A$28*$U$9*$B$8*C65/($B$14^2))^(3/2)*D65</f>
        <v>3002856.0157825998</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0">
        <v>300</v>
      </c>
      <c r="D66" s="159">
        <f t="shared" si="4"/>
        <v>4.0877868245743891E-26</v>
      </c>
      <c r="E66" s="154">
        <f t="shared" si="5"/>
        <v>3049654.2964746249</v>
      </c>
      <c r="F66" s="1"/>
      <c r="G66" s="1"/>
      <c r="L66" s="157" t="s">
        <v>82</v>
      </c>
      <c r="M66" s="1"/>
      <c r="N66" s="1"/>
      <c r="O66" s="1"/>
      <c r="Q66" s="1"/>
      <c r="R66" s="1"/>
      <c r="S66" s="1"/>
      <c r="T66" s="1"/>
      <c r="U66" s="1"/>
      <c r="V66" s="1"/>
      <c r="W66" s="1"/>
      <c r="X66" s="1"/>
      <c r="Y66" s="1"/>
      <c r="Z66" s="1"/>
      <c r="AA66" s="1"/>
    </row>
    <row r="67" spans="2:27" ht="19" x14ac:dyDescent="0.25">
      <c r="B67" s="1"/>
      <c r="C67" s="151">
        <f t="shared" ref="C67:C83" si="6">C66+100</f>
        <v>400</v>
      </c>
      <c r="D67" s="160">
        <f t="shared" si="4"/>
        <v>5.4503824327658529E-26</v>
      </c>
      <c r="E67" s="155">
        <f t="shared" si="5"/>
        <v>6260333.2586841406</v>
      </c>
      <c r="F67" s="1"/>
      <c r="G67" s="1"/>
      <c r="K67" s="71" t="s">
        <v>79</v>
      </c>
      <c r="L67" s="131">
        <f>$E$65</f>
        <v>3002856.0157825998</v>
      </c>
      <c r="M67" s="1"/>
      <c r="N67" s="1"/>
      <c r="O67" s="1"/>
      <c r="Q67" s="1"/>
      <c r="R67" s="1"/>
      <c r="S67" s="1"/>
      <c r="T67" s="1"/>
      <c r="U67" s="1"/>
      <c r="V67" s="1"/>
      <c r="W67" s="1"/>
      <c r="X67" s="1"/>
      <c r="Y67" s="1"/>
      <c r="Z67" s="1"/>
      <c r="AA67" s="1"/>
    </row>
    <row r="68" spans="2:27" ht="20" thickBot="1" x14ac:dyDescent="0.3">
      <c r="B68" s="1"/>
      <c r="C68" s="151">
        <f t="shared" si="6"/>
        <v>500</v>
      </c>
      <c r="D68" s="160">
        <f t="shared" si="4"/>
        <v>6.812978040957315E-26</v>
      </c>
      <c r="E68" s="155">
        <f t="shared" si="5"/>
        <v>10936352.131422339</v>
      </c>
      <c r="F68" s="1"/>
      <c r="G68" s="1"/>
      <c r="K68" s="72" t="s">
        <v>80</v>
      </c>
      <c r="L68" s="133">
        <f>P33</f>
        <v>3004320</v>
      </c>
      <c r="M68" s="1"/>
      <c r="N68" s="1"/>
      <c r="O68" s="1"/>
      <c r="Q68" s="1"/>
      <c r="R68" s="1"/>
      <c r="S68" s="1"/>
      <c r="T68" s="1"/>
      <c r="U68" s="1"/>
      <c r="V68" s="1"/>
      <c r="W68" s="1"/>
      <c r="X68" s="1"/>
      <c r="Y68" s="1"/>
      <c r="Z68" s="1"/>
      <c r="AA68" s="1"/>
    </row>
    <row r="69" spans="2:27" ht="22" x14ac:dyDescent="0.3">
      <c r="B69" s="1"/>
      <c r="C69" s="151">
        <f t="shared" si="6"/>
        <v>600</v>
      </c>
      <c r="D69" s="160">
        <f t="shared" si="4"/>
        <v>8.1755736491487783E-26</v>
      </c>
      <c r="E69" s="155">
        <f t="shared" si="5"/>
        <v>17251449.866495226</v>
      </c>
      <c r="F69" s="1"/>
      <c r="G69" s="1"/>
      <c r="H69" s="1"/>
      <c r="I69" s="1"/>
      <c r="K69" s="17" t="s">
        <v>81</v>
      </c>
      <c r="L69" s="164">
        <f>ABS(L67-L68)/L67</f>
        <v>4.8753060743029185E-4</v>
      </c>
      <c r="M69" s="1"/>
      <c r="N69" s="1"/>
      <c r="O69" s="1"/>
      <c r="Q69" s="1"/>
      <c r="R69" s="1"/>
      <c r="S69" s="1"/>
      <c r="T69" s="1"/>
      <c r="U69" s="1"/>
      <c r="V69" s="1"/>
      <c r="W69" s="1"/>
      <c r="X69" s="1"/>
      <c r="Y69" s="1"/>
      <c r="Z69" s="1"/>
      <c r="AA69" s="1"/>
    </row>
    <row r="70" spans="2:27" ht="19" x14ac:dyDescent="0.25">
      <c r="B70" s="1"/>
      <c r="C70" s="151">
        <f t="shared" si="6"/>
        <v>700</v>
      </c>
      <c r="D70" s="160">
        <f t="shared" si="4"/>
        <v>9.5381692573402415E-26</v>
      </c>
      <c r="E70" s="155">
        <f t="shared" si="5"/>
        <v>25362530.044261605</v>
      </c>
      <c r="F70" s="1"/>
      <c r="G70" s="1"/>
      <c r="Q70" s="1"/>
      <c r="R70" s="1"/>
      <c r="S70" s="1"/>
      <c r="T70" s="1"/>
      <c r="U70" s="1"/>
      <c r="V70" s="1"/>
      <c r="W70" s="1"/>
      <c r="X70" s="1"/>
      <c r="Y70" s="1"/>
      <c r="Z70" s="1"/>
      <c r="AA70" s="1"/>
    </row>
    <row r="71" spans="2:27" ht="19" x14ac:dyDescent="0.25">
      <c r="B71" s="1"/>
      <c r="C71" s="151">
        <f t="shared" si="6"/>
        <v>800</v>
      </c>
      <c r="D71" s="160">
        <f t="shared" si="4"/>
        <v>1.0900764865531706E-25</v>
      </c>
      <c r="E71" s="155">
        <f t="shared" si="5"/>
        <v>35413792.797625959</v>
      </c>
      <c r="F71" s="1"/>
      <c r="G71" s="1"/>
      <c r="Q71" s="1"/>
      <c r="R71" s="1"/>
      <c r="S71" s="1"/>
      <c r="T71" s="1"/>
      <c r="U71" s="1"/>
      <c r="V71" s="1"/>
      <c r="W71" s="1"/>
      <c r="X71" s="1"/>
      <c r="Y71" s="1"/>
      <c r="Z71" s="1"/>
      <c r="AA71" s="1"/>
    </row>
    <row r="72" spans="2:27" ht="19" x14ac:dyDescent="0.25">
      <c r="B72" s="1"/>
      <c r="C72" s="151">
        <f t="shared" si="6"/>
        <v>900</v>
      </c>
      <c r="D72" s="160">
        <f t="shared" si="4"/>
        <v>1.2263360473723168E-25</v>
      </c>
      <c r="E72" s="155">
        <f t="shared" si="5"/>
        <v>47539405.683132768</v>
      </c>
      <c r="F72" s="1"/>
      <c r="G72" s="1"/>
      <c r="Q72" s="1"/>
      <c r="R72" s="1"/>
      <c r="S72" s="1"/>
      <c r="T72" s="1"/>
      <c r="U72" s="1"/>
      <c r="V72" s="1"/>
      <c r="W72" s="1"/>
      <c r="X72" s="1"/>
      <c r="Y72" s="1"/>
      <c r="Z72" s="1"/>
      <c r="AA72" s="1"/>
    </row>
    <row r="73" spans="2:27" ht="19" x14ac:dyDescent="0.25">
      <c r="C73" s="151">
        <f t="shared" si="6"/>
        <v>1000</v>
      </c>
      <c r="D73" s="160">
        <f t="shared" si="4"/>
        <v>1.362595608191463E-25</v>
      </c>
      <c r="E73" s="155">
        <f t="shared" si="5"/>
        <v>61865350.028581679</v>
      </c>
    </row>
    <row r="74" spans="2:27" ht="19" x14ac:dyDescent="0.25">
      <c r="C74" s="151">
        <f t="shared" si="6"/>
        <v>1100</v>
      </c>
      <c r="D74" s="160">
        <f t="shared" si="4"/>
        <v>1.4988551690106094E-25</v>
      </c>
      <c r="E74" s="155">
        <f t="shared" si="5"/>
        <v>78510761.071194604</v>
      </c>
    </row>
    <row r="75" spans="2:27" ht="19" x14ac:dyDescent="0.25">
      <c r="C75" s="151">
        <f t="shared" si="6"/>
        <v>1200</v>
      </c>
      <c r="D75" s="160">
        <f t="shared" si="4"/>
        <v>1.6351147298297557E-25</v>
      </c>
      <c r="E75" s="155">
        <f t="shared" si="5"/>
        <v>97588937.487187162</v>
      </c>
    </row>
    <row r="76" spans="2:27" ht="19" x14ac:dyDescent="0.25">
      <c r="C76" s="151">
        <f t="shared" si="6"/>
        <v>1300</v>
      </c>
      <c r="D76" s="160">
        <f t="shared" si="4"/>
        <v>1.7713742906489019E-25</v>
      </c>
      <c r="E76" s="155">
        <f t="shared" si="5"/>
        <v>119208124.48748784</v>
      </c>
    </row>
    <row r="77" spans="2:27" ht="19" x14ac:dyDescent="0.25">
      <c r="C77" s="151">
        <f t="shared" si="6"/>
        <v>1400</v>
      </c>
      <c r="D77" s="160">
        <f t="shared" si="4"/>
        <v>1.9076338514680483E-25</v>
      </c>
      <c r="E77" s="155">
        <f t="shared" si="5"/>
        <v>143472135.85875982</v>
      </c>
    </row>
    <row r="78" spans="2:27" ht="19" x14ac:dyDescent="0.25">
      <c r="C78" s="151">
        <f t="shared" si="6"/>
        <v>1500</v>
      </c>
      <c r="D78" s="160">
        <f t="shared" si="4"/>
        <v>2.043893412287195E-25</v>
      </c>
      <c r="E78" s="155">
        <f t="shared" si="5"/>
        <v>170480857.8697885</v>
      </c>
    </row>
    <row r="79" spans="2:27" ht="19" x14ac:dyDescent="0.25">
      <c r="C79" s="151">
        <f t="shared" si="6"/>
        <v>1600</v>
      </c>
      <c r="D79" s="160">
        <f t="shared" si="4"/>
        <v>2.1801529731063412E-25</v>
      </c>
      <c r="E79" s="155">
        <f t="shared" si="5"/>
        <v>200330664.27789077</v>
      </c>
    </row>
    <row r="80" spans="2:27" ht="19" x14ac:dyDescent="0.25">
      <c r="C80" s="151">
        <f t="shared" si="6"/>
        <v>1700</v>
      </c>
      <c r="D80" s="160">
        <f t="shared" si="4"/>
        <v>2.3164125339254876E-25</v>
      </c>
      <c r="E80" s="155">
        <f t="shared" si="5"/>
        <v>233114762.97150701</v>
      </c>
    </row>
    <row r="81" spans="3:7" ht="19" x14ac:dyDescent="0.25">
      <c r="C81" s="151">
        <f t="shared" si="6"/>
        <v>1800</v>
      </c>
      <c r="D81" s="160">
        <f t="shared" si="4"/>
        <v>2.4526720947446336E-25</v>
      </c>
      <c r="E81" s="155">
        <f t="shared" si="5"/>
        <v>268923489.05697256</v>
      </c>
    </row>
    <row r="82" spans="3:7" ht="19" x14ac:dyDescent="0.25">
      <c r="C82" s="151">
        <f t="shared" si="6"/>
        <v>1900</v>
      </c>
      <c r="D82" s="160">
        <f t="shared" si="4"/>
        <v>2.58893165556378E-25</v>
      </c>
      <c r="E82" s="155">
        <f t="shared" si="5"/>
        <v>307844555.31012899</v>
      </c>
    </row>
    <row r="83" spans="3:7" ht="20" thickBot="1" x14ac:dyDescent="0.3">
      <c r="C83" s="152">
        <f t="shared" si="6"/>
        <v>2000</v>
      </c>
      <c r="D83" s="161">
        <f t="shared" si="4"/>
        <v>2.725191216382926E-25</v>
      </c>
      <c r="E83" s="156">
        <f t="shared" si="5"/>
        <v>349963268.20551682</v>
      </c>
    </row>
    <row r="92" spans="3:7" ht="22" customHeight="1" x14ac:dyDescent="0.25">
      <c r="F92" s="1" t="s">
        <v>66</v>
      </c>
    </row>
    <row r="93" spans="3:7" ht="27" x14ac:dyDescent="0.35">
      <c r="C93" s="125" t="s">
        <v>84</v>
      </c>
      <c r="D93" s="165"/>
      <c r="E93" s="1"/>
      <c r="F93" s="1"/>
      <c r="G93" s="1"/>
    </row>
    <row r="94" spans="3:7" ht="19" x14ac:dyDescent="0.25">
      <c r="E94" s="1"/>
      <c r="G94" s="1"/>
    </row>
    <row r="95" spans="3:7" ht="20" thickBot="1" x14ac:dyDescent="0.3">
      <c r="E95" s="1"/>
      <c r="F95" s="1"/>
      <c r="G95" s="1"/>
    </row>
    <row r="96" spans="3:7" ht="20" thickBot="1" x14ac:dyDescent="0.3">
      <c r="C96" s="174" t="s">
        <v>86</v>
      </c>
      <c r="E96" s="1"/>
      <c r="F96" s="1"/>
      <c r="G96" s="1"/>
    </row>
    <row r="97" spans="3:22" ht="22" thickBot="1" x14ac:dyDescent="0.3">
      <c r="C97" s="175" t="s">
        <v>87</v>
      </c>
      <c r="D97" s="111" cm="1">
        <f t="array" ref="D97">INDEX($E:$E,(COLUMN(D97)-4)*1+42)</f>
        <v>1603.0222000000001</v>
      </c>
      <c r="E97" s="111" cm="1">
        <f t="array" ref="E97">INDEX($E:$E,(COLUMN(E97)-4)*1+42)</f>
        <v>3809.8024</v>
      </c>
      <c r="F97" s="114" cm="1">
        <f t="array" ref="F97">INDEX($E:$E,(COLUMN(F97)-4)*1+42)</f>
        <v>3931.9306999999999</v>
      </c>
      <c r="G97" s="1"/>
      <c r="H97" s="1"/>
      <c r="I97" s="1"/>
      <c r="J97" s="1"/>
      <c r="K97" s="1"/>
      <c r="L97" s="1"/>
    </row>
    <row r="98" spans="3:22" ht="20" thickBot="1" x14ac:dyDescent="0.3">
      <c r="C98" s="176" t="s">
        <v>88</v>
      </c>
      <c r="D98" s="296">
        <f>D97*$L$9</f>
        <v>48057483440460</v>
      </c>
      <c r="E98" s="239">
        <f t="shared" ref="E98:F98" si="7">E97*$L$9</f>
        <v>114215209090320</v>
      </c>
      <c r="F98" s="342">
        <f t="shared" si="7"/>
        <v>117876530034510</v>
      </c>
      <c r="G98" s="4"/>
      <c r="H98" s="4"/>
      <c r="I98" s="4"/>
      <c r="J98" s="4"/>
      <c r="K98" s="4"/>
      <c r="L98" s="4"/>
    </row>
    <row r="99" spans="3:22" ht="17" thickBot="1" x14ac:dyDescent="0.25"/>
    <row r="100" spans="3:22" ht="30" customHeight="1" thickBot="1" x14ac:dyDescent="0.5">
      <c r="C100" s="277" t="s">
        <v>89</v>
      </c>
      <c r="D100" s="88"/>
      <c r="E100" s="88"/>
      <c r="F100" s="88"/>
      <c r="G100" s="278" t="s">
        <v>90</v>
      </c>
    </row>
    <row r="101" spans="3:22" ht="38" customHeight="1" thickBot="1" x14ac:dyDescent="0.35">
      <c r="C101" s="166" t="s">
        <v>85</v>
      </c>
      <c r="D101" s="170">
        <v>1</v>
      </c>
      <c r="E101" s="171">
        <f t="shared" ref="E101:F101" si="8">D101+1</f>
        <v>2</v>
      </c>
      <c r="F101" s="267">
        <f t="shared" si="8"/>
        <v>3</v>
      </c>
      <c r="G101" s="279"/>
      <c r="H101" s="280"/>
      <c r="J101" s="162" t="s">
        <v>83</v>
      </c>
      <c r="K101" s="163"/>
      <c r="L101" s="163"/>
      <c r="M101" s="163"/>
      <c r="N101" s="163"/>
      <c r="U101" s="1"/>
      <c r="V101" s="1"/>
    </row>
    <row r="102" spans="3:22" ht="20" thickBot="1" x14ac:dyDescent="0.3">
      <c r="C102" s="173">
        <v>298.14999999999998</v>
      </c>
      <c r="D102" s="281">
        <f>EXP(-($B$14*D$98)/(2*$B$8*$C102))/(1-EXP(-($B$14*D$98)/($B$8*$C102)))</f>
        <v>2.091260886297126E-2</v>
      </c>
      <c r="E102" s="282">
        <f t="shared" ref="E102:F102" si="9">EXP(-($B$14*E$98)/(2*$B$8*$C102))/(1-EXP(-($B$14*E$98)/($B$8*$C102)))</f>
        <v>1.0180482543440743E-4</v>
      </c>
      <c r="F102" s="283">
        <f t="shared" si="9"/>
        <v>7.5821443579899067E-5</v>
      </c>
      <c r="G102" s="270">
        <f xml:space="preserve"> PRODUCT(D102:F102)</f>
        <v>1.6142419417418757E-10</v>
      </c>
      <c r="H102" s="16"/>
    </row>
    <row r="103" spans="3:22" ht="20" thickBot="1" x14ac:dyDescent="0.3">
      <c r="C103" s="122">
        <v>300</v>
      </c>
      <c r="D103" s="284">
        <f t="shared" ref="D103:F120" si="10">EXP(-($B$14*D$98)/(2*$B$8*$C103))/(1-EXP(-($B$14*D$98)/($B$8*$C103)))</f>
        <v>2.141786338091466E-2</v>
      </c>
      <c r="E103" s="285">
        <f t="shared" si="10"/>
        <v>1.0774251920663638E-4</v>
      </c>
      <c r="F103" s="286">
        <f t="shared" si="10"/>
        <v>8.0389624142890669E-5</v>
      </c>
      <c r="G103" s="270">
        <f t="shared" ref="G103:G120" si="11" xml:space="preserve"> PRODUCT(D103:F103)</f>
        <v>1.855082668784347E-10</v>
      </c>
      <c r="H103" s="16"/>
      <c r="L103" s="157" t="s">
        <v>82</v>
      </c>
    </row>
    <row r="104" spans="3:22" ht="19" x14ac:dyDescent="0.25">
      <c r="C104" s="123">
        <f>C103+100</f>
        <v>400</v>
      </c>
      <c r="D104" s="287">
        <f t="shared" si="10"/>
        <v>5.6142956253281986E-2</v>
      </c>
      <c r="E104" s="178">
        <f t="shared" si="10"/>
        <v>1.057525446574704E-3</v>
      </c>
      <c r="F104" s="288">
        <f t="shared" si="10"/>
        <v>8.4898557161329426E-4</v>
      </c>
      <c r="G104" s="270">
        <f t="shared" si="11"/>
        <v>5.0406484895422924E-8</v>
      </c>
      <c r="H104" s="16"/>
      <c r="K104" s="71" t="s">
        <v>79</v>
      </c>
      <c r="L104" s="131">
        <f>G102</f>
        <v>1.6142419417418757E-10</v>
      </c>
    </row>
    <row r="105" spans="3:22" ht="20" thickBot="1" x14ac:dyDescent="0.3">
      <c r="C105" s="123">
        <f t="shared" ref="C105:C120" si="12">C104+100</f>
        <v>500</v>
      </c>
      <c r="D105" s="287">
        <f t="shared" si="10"/>
        <v>0.10061848171493497</v>
      </c>
      <c r="E105" s="178">
        <f t="shared" si="10"/>
        <v>4.1633200694187866E-3</v>
      </c>
      <c r="F105" s="288">
        <f t="shared" si="10"/>
        <v>3.4924105715969651E-3</v>
      </c>
      <c r="G105" s="270">
        <f t="shared" si="11"/>
        <v>1.4629950407126921E-6</v>
      </c>
      <c r="H105" s="16"/>
      <c r="K105" s="72" t="s">
        <v>80</v>
      </c>
      <c r="L105" s="133">
        <f>P37</f>
        <v>1.6143099999999999E-10</v>
      </c>
    </row>
    <row r="106" spans="3:22" ht="22" x14ac:dyDescent="0.3">
      <c r="C106" s="123">
        <f t="shared" si="12"/>
        <v>600</v>
      </c>
      <c r="D106" s="287">
        <f t="shared" si="10"/>
        <v>0.14951573138700611</v>
      </c>
      <c r="E106" s="178">
        <f t="shared" si="10"/>
        <v>1.0381027820450811E-2</v>
      </c>
      <c r="F106" s="288">
        <f t="shared" si="10"/>
        <v>8.9667469109630214E-3</v>
      </c>
      <c r="G106" s="270">
        <f t="shared" si="11"/>
        <v>1.3917529687877594E-5</v>
      </c>
      <c r="H106" s="16"/>
      <c r="K106" s="17" t="s">
        <v>81</v>
      </c>
      <c r="L106" s="164">
        <f>ABS(L104-L105)/L104</f>
        <v>4.216112613874192E-5</v>
      </c>
    </row>
    <row r="107" spans="3:22" ht="19" x14ac:dyDescent="0.25">
      <c r="C107" s="123">
        <f t="shared" si="12"/>
        <v>700</v>
      </c>
      <c r="D107" s="287">
        <f t="shared" si="10"/>
        <v>0.1999585512052936</v>
      </c>
      <c r="E107" s="178">
        <f t="shared" si="10"/>
        <v>1.9941925424761378E-2</v>
      </c>
      <c r="F107" s="288">
        <f t="shared" si="10"/>
        <v>1.7588143318914257E-2</v>
      </c>
      <c r="G107" s="270">
        <f t="shared" si="11"/>
        <v>7.0133750675118502E-5</v>
      </c>
      <c r="H107" s="16"/>
    </row>
    <row r="108" spans="3:22" ht="19" x14ac:dyDescent="0.25">
      <c r="C108" s="123">
        <f t="shared" si="12"/>
        <v>800</v>
      </c>
      <c r="D108" s="287">
        <f t="shared" si="10"/>
        <v>0.25059896138584747</v>
      </c>
      <c r="E108" s="178">
        <f t="shared" si="10"/>
        <v>3.2554024821837779E-2</v>
      </c>
      <c r="F108" s="288">
        <f t="shared" si="10"/>
        <v>2.9162104664645284E-2</v>
      </c>
      <c r="G108" s="270">
        <f t="shared" si="11"/>
        <v>2.3790459010295092E-4</v>
      </c>
      <c r="H108" s="16"/>
    </row>
    <row r="109" spans="3:22" ht="19" x14ac:dyDescent="0.25">
      <c r="C109" s="123">
        <f t="shared" si="12"/>
        <v>900</v>
      </c>
      <c r="D109" s="287">
        <f t="shared" si="10"/>
        <v>0.30086439085738276</v>
      </c>
      <c r="E109" s="178">
        <f t="shared" si="10"/>
        <v>4.7692143354138933E-2</v>
      </c>
      <c r="F109" s="288">
        <f t="shared" si="10"/>
        <v>4.323907174102485E-2</v>
      </c>
      <c r="G109" s="270">
        <f t="shared" si="11"/>
        <v>6.2043171810677203E-4</v>
      </c>
      <c r="H109" s="16"/>
    </row>
    <row r="110" spans="3:22" ht="19" x14ac:dyDescent="0.25">
      <c r="C110" s="123">
        <f t="shared" si="12"/>
        <v>1000</v>
      </c>
      <c r="D110" s="287">
        <f t="shared" si="10"/>
        <v>0.35054779918122586</v>
      </c>
      <c r="E110" s="178">
        <f t="shared" si="10"/>
        <v>6.4792984670564643E-2</v>
      </c>
      <c r="F110" s="288">
        <f t="shared" si="10"/>
        <v>5.9303369441751144E-2</v>
      </c>
      <c r="G110" s="270">
        <f t="shared" si="11"/>
        <v>1.3469596942530403E-3</v>
      </c>
      <c r="H110" s="16"/>
    </row>
    <row r="111" spans="3:22" ht="19" x14ac:dyDescent="0.25">
      <c r="C111" s="123">
        <f t="shared" si="12"/>
        <v>1100</v>
      </c>
      <c r="D111" s="287">
        <f t="shared" si="10"/>
        <v>0.39960714018689791</v>
      </c>
      <c r="E111" s="178">
        <f t="shared" si="10"/>
        <v>8.3350842888596302E-2</v>
      </c>
      <c r="F111" s="288">
        <f t="shared" si="10"/>
        <v>7.6874168054931094E-2</v>
      </c>
      <c r="G111" s="270">
        <f t="shared" si="11"/>
        <v>2.5604934217519667E-3</v>
      </c>
      <c r="H111" s="16"/>
    </row>
    <row r="112" spans="3:22" ht="19" x14ac:dyDescent="0.25">
      <c r="C112" s="123">
        <f t="shared" si="12"/>
        <v>1200</v>
      </c>
      <c r="D112" s="287">
        <f t="shared" si="10"/>
        <v>0.4480707138053362</v>
      </c>
      <c r="E112" s="178">
        <f t="shared" si="10"/>
        <v>0.10295045650633469</v>
      </c>
      <c r="F112" s="288">
        <f t="shared" si="10"/>
        <v>9.5545768059169006E-2</v>
      </c>
      <c r="G112" s="270">
        <f t="shared" si="11"/>
        <v>4.4074388116079923E-3</v>
      </c>
      <c r="H112" s="16"/>
    </row>
    <row r="113" spans="2:15" ht="19" x14ac:dyDescent="0.25">
      <c r="C113" s="123">
        <f t="shared" si="12"/>
        <v>1300</v>
      </c>
      <c r="D113" s="287">
        <f t="shared" si="10"/>
        <v>0.4959932502223563</v>
      </c>
      <c r="E113" s="178">
        <f t="shared" si="10"/>
        <v>0.12326807525298794</v>
      </c>
      <c r="F113" s="288">
        <f t="shared" si="10"/>
        <v>0.11499487996795464</v>
      </c>
      <c r="G113" s="270">
        <f t="shared" si="11"/>
        <v>7.0308022892973821E-3</v>
      </c>
      <c r="H113" s="16"/>
    </row>
    <row r="114" spans="2:15" ht="19" x14ac:dyDescent="0.25">
      <c r="C114" s="123">
        <f t="shared" si="12"/>
        <v>1400</v>
      </c>
      <c r="D114" s="287">
        <f t="shared" si="10"/>
        <v>0.54343595695831104</v>
      </c>
      <c r="E114" s="178">
        <f t="shared" si="10"/>
        <v>0.14405950481240185</v>
      </c>
      <c r="F114" s="288">
        <f t="shared" si="10"/>
        <v>0.13497298639422042</v>
      </c>
      <c r="G114" s="270">
        <f t="shared" si="11"/>
        <v>1.0566645688391822E-2</v>
      </c>
      <c r="H114" s="16"/>
    </row>
    <row r="115" spans="2:15" ht="19" x14ac:dyDescent="0.25">
      <c r="C115" s="123">
        <f t="shared" si="12"/>
        <v>1500</v>
      </c>
      <c r="D115" s="287">
        <f t="shared" si="10"/>
        <v>0.5904578541845189</v>
      </c>
      <c r="E115" s="178">
        <f t="shared" si="10"/>
        <v>0.16514472787650519</v>
      </c>
      <c r="F115" s="288">
        <f t="shared" si="10"/>
        <v>0.15529366127368902</v>
      </c>
      <c r="G115" s="270">
        <f t="shared" si="11"/>
        <v>1.5142840460980146E-2</v>
      </c>
      <c r="H115" s="16"/>
    </row>
    <row r="116" spans="2:15" ht="19" x14ac:dyDescent="0.25">
      <c r="C116" s="123">
        <f t="shared" si="12"/>
        <v>1600</v>
      </c>
      <c r="D116" s="287">
        <f t="shared" si="10"/>
        <v>0.63711240498475019</v>
      </c>
      <c r="E116" s="178">
        <f t="shared" si="10"/>
        <v>0.18639334784126821</v>
      </c>
      <c r="F116" s="288">
        <f t="shared" si="10"/>
        <v>0.17581956606838237</v>
      </c>
      <c r="G116" s="270">
        <f t="shared" si="11"/>
        <v>2.0879191321025052E-2</v>
      </c>
      <c r="H116" s="16"/>
    </row>
    <row r="117" spans="2:15" ht="19" x14ac:dyDescent="0.25">
      <c r="C117" s="123">
        <f t="shared" si="12"/>
        <v>1700</v>
      </c>
      <c r="D117" s="287">
        <f t="shared" si="10"/>
        <v>0.6834465905039846</v>
      </c>
      <c r="E117" s="178">
        <f t="shared" si="10"/>
        <v>0.2077123533388725</v>
      </c>
      <c r="F117" s="288">
        <f t="shared" si="10"/>
        <v>0.1964510324361454</v>
      </c>
      <c r="G117" s="270">
        <f t="shared" si="11"/>
        <v>2.7888247440029598E-2</v>
      </c>
      <c r="H117" s="16"/>
    </row>
    <row r="118" spans="2:15" ht="19" x14ac:dyDescent="0.25">
      <c r="C118" s="123">
        <f t="shared" si="12"/>
        <v>1800</v>
      </c>
      <c r="D118" s="287">
        <f t="shared" si="10"/>
        <v>0.72950106834140127</v>
      </c>
      <c r="E118" s="178">
        <f t="shared" si="10"/>
        <v>0.22903643512462507</v>
      </c>
      <c r="F118" s="288">
        <f t="shared" si="10"/>
        <v>0.21711675722925605</v>
      </c>
      <c r="G118" s="270">
        <f t="shared" si="11"/>
        <v>3.6276372401637884E-2</v>
      </c>
      <c r="H118" s="16"/>
    </row>
    <row r="119" spans="2:15" ht="19" x14ac:dyDescent="0.25">
      <c r="C119" s="123">
        <f t="shared" si="12"/>
        <v>1900</v>
      </c>
      <c r="D119" s="287">
        <f t="shared" si="10"/>
        <v>0.77531076492457496</v>
      </c>
      <c r="E119" s="178">
        <f t="shared" si="10"/>
        <v>0.25032058109739191</v>
      </c>
      <c r="F119" s="288">
        <f t="shared" si="10"/>
        <v>0.23776652700719786</v>
      </c>
      <c r="G119" s="270">
        <f t="shared" si="11"/>
        <v>4.6144833846395575E-2</v>
      </c>
      <c r="H119" s="16"/>
    </row>
    <row r="120" spans="2:15" ht="20" thickBot="1" x14ac:dyDescent="0.3">
      <c r="C120" s="124">
        <f t="shared" si="12"/>
        <v>2000</v>
      </c>
      <c r="D120" s="289">
        <f t="shared" si="10"/>
        <v>0.82090559689943199</v>
      </c>
      <c r="E120" s="290">
        <f t="shared" si="10"/>
        <v>0.27153452886783275</v>
      </c>
      <c r="F120" s="291">
        <f t="shared" si="10"/>
        <v>0.2583656686663644</v>
      </c>
      <c r="G120" s="292">
        <f t="shared" si="11"/>
        <v>5.759079642759888E-2</v>
      </c>
      <c r="H120" s="16"/>
    </row>
    <row r="127" spans="2:15" ht="19" x14ac:dyDescent="0.25">
      <c r="B127" s="1"/>
      <c r="C127" s="1"/>
      <c r="D127" s="1"/>
      <c r="E127" s="1"/>
      <c r="F127" s="1" t="s">
        <v>66</v>
      </c>
      <c r="G127" s="1"/>
      <c r="H127" s="1"/>
      <c r="I127" s="1"/>
      <c r="J127" s="1"/>
      <c r="K127" s="1"/>
      <c r="L127" s="1"/>
      <c r="M127" s="1"/>
      <c r="N127" s="1"/>
      <c r="O127" s="1"/>
    </row>
    <row r="128" spans="2:15" ht="27" x14ac:dyDescent="0.35">
      <c r="B128" s="1"/>
      <c r="C128" s="125" t="s">
        <v>91</v>
      </c>
      <c r="D128" s="126"/>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82" t="s">
        <v>26</v>
      </c>
      <c r="D130" s="63"/>
      <c r="E130" s="63"/>
      <c r="F130" s="64"/>
      <c r="G130" s="1"/>
      <c r="H130" s="1"/>
      <c r="I130" s="1"/>
      <c r="J130" s="1"/>
      <c r="K130" s="1"/>
      <c r="L130" s="1"/>
      <c r="M130" s="1"/>
      <c r="N130" s="1"/>
      <c r="O130" s="1"/>
    </row>
    <row r="131" spans="2:15" ht="20" thickBot="1" x14ac:dyDescent="0.3">
      <c r="B131" s="1"/>
      <c r="C131" s="83"/>
      <c r="D131" s="105" t="s">
        <v>36</v>
      </c>
      <c r="E131" s="106" t="s">
        <v>37</v>
      </c>
      <c r="F131" s="107" t="s">
        <v>38</v>
      </c>
      <c r="G131" s="1"/>
      <c r="H131" s="1"/>
      <c r="I131" s="1"/>
      <c r="J131" s="1"/>
      <c r="K131" s="1"/>
      <c r="L131" s="1"/>
      <c r="M131" s="1"/>
      <c r="N131" s="1"/>
      <c r="O131" s="1"/>
    </row>
    <row r="132" spans="2:15" ht="22" thickBot="1" x14ac:dyDescent="0.3">
      <c r="B132" s="1"/>
      <c r="C132" s="188" t="s">
        <v>92</v>
      </c>
      <c r="D132" s="59">
        <f>D24*($Q$8)^2</f>
        <v>3.5989630000000002E-47</v>
      </c>
      <c r="E132" s="59">
        <f t="shared" ref="E132:F132" si="13">E24*($Q$8)^2</f>
        <v>7.0753350000000009E-47</v>
      </c>
      <c r="F132" s="59">
        <f t="shared" si="13"/>
        <v>1.0674298000000001E-46</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89" t="s">
        <v>68</v>
      </c>
      <c r="D136" s="157" t="s">
        <v>135</v>
      </c>
      <c r="E136" s="157" t="s">
        <v>130</v>
      </c>
      <c r="F136" s="1"/>
      <c r="G136" s="1"/>
      <c r="H136" s="162" t="s">
        <v>83</v>
      </c>
      <c r="I136" s="163"/>
      <c r="J136" s="163"/>
      <c r="K136" s="163"/>
      <c r="L136" s="163"/>
      <c r="M136" s="163"/>
      <c r="N136" s="163"/>
      <c r="O136" s="1"/>
    </row>
    <row r="137" spans="2:15" ht="20" thickBot="1" x14ac:dyDescent="0.3">
      <c r="B137" s="1"/>
      <c r="C137" s="150">
        <v>298.14999999999998</v>
      </c>
      <c r="D137" s="154">
        <f t="shared" ref="D137:D155" si="14">(8*PI()^2*(2*PI()*$B$8*C137)^(3/2)*SQRT($D$132*$E$132*$F$132))/($H$139*$B$14^3)</f>
        <v>294.28718194650514</v>
      </c>
      <c r="E137" s="154">
        <f>(SQRT(PI())/$A$31)*((C137^1.5)/SQRT($C$29*$D$29*$E$29))</f>
        <v>43.630120572645417</v>
      </c>
      <c r="F137" s="4"/>
      <c r="G137" s="1"/>
      <c r="H137" s="1"/>
      <c r="I137" s="1"/>
      <c r="J137" s="1"/>
      <c r="K137" s="1"/>
      <c r="L137" s="1"/>
      <c r="M137" s="1"/>
      <c r="N137" s="1"/>
      <c r="O137" s="1"/>
    </row>
    <row r="138" spans="2:15" ht="20" thickBot="1" x14ac:dyDescent="0.3">
      <c r="B138" s="1"/>
      <c r="C138" s="150">
        <v>300</v>
      </c>
      <c r="D138" s="154">
        <f t="shared" si="14"/>
        <v>297.03047368624931</v>
      </c>
      <c r="E138" s="154">
        <f>(SQRT(PI())/$A$31)*((C138^1.5)/SQRT($C$29*$D$29*$E$29))</f>
        <v>44.036832644096386</v>
      </c>
      <c r="F138" s="1"/>
      <c r="G138" s="1"/>
      <c r="L138" s="157" t="s">
        <v>136</v>
      </c>
      <c r="M138" s="327" t="s">
        <v>137</v>
      </c>
      <c r="N138" s="1"/>
      <c r="O138" s="1"/>
    </row>
    <row r="139" spans="2:15" ht="20" thickBot="1" x14ac:dyDescent="0.3">
      <c r="B139" s="1"/>
      <c r="C139" s="151">
        <f>C138+100</f>
        <v>400</v>
      </c>
      <c r="D139" s="155">
        <f t="shared" si="14"/>
        <v>457.30833050741234</v>
      </c>
      <c r="E139" s="155">
        <f t="shared" ref="E139:E154" si="15">(SQRT(PI())/$A$31)*((C139^1.5)/SQRT($C$29*$D$29*$E$29))</f>
        <v>67.799139150206813</v>
      </c>
      <c r="F139" s="1"/>
      <c r="G139" s="108" t="s">
        <v>124</v>
      </c>
      <c r="H139" s="113">
        <v>2</v>
      </c>
      <c r="K139" s="71" t="s">
        <v>79</v>
      </c>
      <c r="L139" s="131">
        <f>$D$137</f>
        <v>294.28718194650514</v>
      </c>
      <c r="M139" s="332">
        <f>$E$137</f>
        <v>43.630120572645417</v>
      </c>
      <c r="N139" s="1"/>
      <c r="O139" s="1"/>
    </row>
    <row r="140" spans="2:15" ht="20" thickBot="1" x14ac:dyDescent="0.3">
      <c r="B140" s="1"/>
      <c r="C140" s="151">
        <f t="shared" ref="C140:C155" si="16">C139+100</f>
        <v>500</v>
      </c>
      <c r="D140" s="155">
        <f t="shared" si="14"/>
        <v>639.10782105719147</v>
      </c>
      <c r="E140" s="155">
        <f t="shared" si="15"/>
        <v>94.752177472393626</v>
      </c>
      <c r="F140" s="1"/>
      <c r="G140" s="1"/>
      <c r="K140" s="72" t="s">
        <v>80</v>
      </c>
      <c r="L140" s="133">
        <f>P34</f>
        <v>43.630099999999999</v>
      </c>
      <c r="M140" s="133">
        <f>L140</f>
        <v>43.630099999999999</v>
      </c>
      <c r="N140" s="1"/>
      <c r="O140" s="1"/>
    </row>
    <row r="141" spans="2:15" ht="22" x14ac:dyDescent="0.3">
      <c r="B141" s="1"/>
      <c r="C141" s="151">
        <f t="shared" si="16"/>
        <v>600</v>
      </c>
      <c r="D141" s="155">
        <f t="shared" si="14"/>
        <v>840.12904865039923</v>
      </c>
      <c r="E141" s="155">
        <f t="shared" si="15"/>
        <v>124.5549719384706</v>
      </c>
      <c r="F141" s="1"/>
      <c r="G141" s="1"/>
      <c r="H141" s="1"/>
      <c r="I141" s="1"/>
      <c r="K141" s="17" t="s">
        <v>81</v>
      </c>
      <c r="L141" s="164">
        <f>ABS(L139-L140)/L139</f>
        <v>0.85174311802703329</v>
      </c>
      <c r="M141" s="164">
        <f>ABS(M139-M140)/M139</f>
        <v>4.7152391852945541E-7</v>
      </c>
      <c r="N141" s="1"/>
      <c r="O141" s="1"/>
    </row>
    <row r="142" spans="2:15" ht="19" x14ac:dyDescent="0.25">
      <c r="B142" s="1"/>
      <c r="C142" s="151">
        <f t="shared" si="16"/>
        <v>700</v>
      </c>
      <c r="D142" s="155">
        <f t="shared" si="14"/>
        <v>1058.6836006256458</v>
      </c>
      <c r="E142" s="155">
        <f t="shared" si="15"/>
        <v>156.95720363374636</v>
      </c>
      <c r="F142" s="1"/>
      <c r="G142" s="1"/>
    </row>
    <row r="143" spans="2:15" ht="19" x14ac:dyDescent="0.25">
      <c r="B143" s="1"/>
      <c r="C143" s="151">
        <f t="shared" si="16"/>
        <v>800</v>
      </c>
      <c r="D143" s="155">
        <f t="shared" si="14"/>
        <v>1293.4632863795462</v>
      </c>
      <c r="E143" s="155">
        <f t="shared" si="15"/>
        <v>191.76492420688615</v>
      </c>
      <c r="F143" s="1"/>
      <c r="G143" s="1"/>
    </row>
    <row r="144" spans="2:15" ht="19" x14ac:dyDescent="0.25">
      <c r="B144" s="1"/>
      <c r="C144" s="151">
        <f t="shared" si="16"/>
        <v>900</v>
      </c>
      <c r="D144" s="155">
        <f t="shared" si="14"/>
        <v>1543.415615462497</v>
      </c>
      <c r="E144" s="155">
        <f t="shared" si="15"/>
        <v>228.82209463194795</v>
      </c>
      <c r="F144" s="1"/>
      <c r="G144" s="1"/>
    </row>
    <row r="145" spans="3:5" ht="19" x14ac:dyDescent="0.25">
      <c r="C145" s="151">
        <f t="shared" si="16"/>
        <v>1000</v>
      </c>
      <c r="D145" s="155">
        <f t="shared" si="14"/>
        <v>1807.6698967155737</v>
      </c>
      <c r="E145" s="155">
        <f t="shared" si="15"/>
        <v>267.99962889168285</v>
      </c>
    </row>
    <row r="146" spans="3:5" ht="19" x14ac:dyDescent="0.25">
      <c r="C146" s="151">
        <f t="shared" si="16"/>
        <v>1100</v>
      </c>
      <c r="D146" s="155">
        <f t="shared" si="14"/>
        <v>2085.4902004707433</v>
      </c>
      <c r="E146" s="155">
        <f t="shared" si="15"/>
        <v>309.18842029670515</v>
      </c>
    </row>
    <row r="147" spans="3:5" ht="19" x14ac:dyDescent="0.25">
      <c r="C147" s="151">
        <f t="shared" si="16"/>
        <v>1200</v>
      </c>
      <c r="D147" s="155">
        <f t="shared" si="14"/>
        <v>2376.2437894900077</v>
      </c>
      <c r="E147" s="155">
        <f t="shared" si="15"/>
        <v>352.2946611527712</v>
      </c>
    </row>
    <row r="148" spans="3:5" ht="19" x14ac:dyDescent="0.25">
      <c r="C148" s="151">
        <f t="shared" si="16"/>
        <v>1300</v>
      </c>
      <c r="D148" s="155">
        <f t="shared" si="14"/>
        <v>2679.3790308045805</v>
      </c>
      <c r="E148" s="155">
        <f t="shared" si="15"/>
        <v>397.23656803738118</v>
      </c>
    </row>
    <row r="149" spans="3:5" ht="19" x14ac:dyDescent="0.25">
      <c r="C149" s="151">
        <f t="shared" si="16"/>
        <v>1400</v>
      </c>
      <c r="D149" s="155">
        <f t="shared" si="14"/>
        <v>2994.4094125335473</v>
      </c>
      <c r="E149" s="155">
        <f t="shared" si="15"/>
        <v>443.94201218199993</v>
      </c>
    </row>
    <row r="150" spans="3:5" ht="19" x14ac:dyDescent="0.25">
      <c r="C150" s="151">
        <f t="shared" si="16"/>
        <v>1500</v>
      </c>
      <c r="D150" s="155">
        <f t="shared" si="14"/>
        <v>3320.9016527570702</v>
      </c>
      <c r="E150" s="155">
        <f t="shared" si="15"/>
        <v>492.34675652990694</v>
      </c>
    </row>
    <row r="151" spans="3:5" ht="19" x14ac:dyDescent="0.25">
      <c r="C151" s="151">
        <f t="shared" si="16"/>
        <v>1600</v>
      </c>
      <c r="D151" s="155">
        <f t="shared" si="14"/>
        <v>3658.4666440592682</v>
      </c>
      <c r="E151" s="155">
        <f t="shared" si="15"/>
        <v>542.39311320165473</v>
      </c>
    </row>
    <row r="152" spans="3:5" ht="19" x14ac:dyDescent="0.25">
      <c r="C152" s="151">
        <f t="shared" si="16"/>
        <v>1700</v>
      </c>
      <c r="D152" s="155">
        <f t="shared" si="14"/>
        <v>4006.7524190834752</v>
      </c>
      <c r="E152" s="155">
        <f t="shared" si="15"/>
        <v>594.0289005897863</v>
      </c>
    </row>
    <row r="153" spans="3:5" ht="19" x14ac:dyDescent="0.25">
      <c r="C153" s="151">
        <f t="shared" si="16"/>
        <v>1800</v>
      </c>
      <c r="D153" s="155">
        <f t="shared" si="14"/>
        <v>4365.4385915309749</v>
      </c>
      <c r="E153" s="155">
        <f t="shared" si="15"/>
        <v>647.2066191982417</v>
      </c>
    </row>
    <row r="154" spans="3:5" ht="19" x14ac:dyDescent="0.25">
      <c r="C154" s="151">
        <f t="shared" si="16"/>
        <v>1900</v>
      </c>
      <c r="D154" s="155">
        <f t="shared" si="14"/>
        <v>4734.2318969626021</v>
      </c>
      <c r="E154" s="155">
        <f t="shared" si="15"/>
        <v>701.88279053515885</v>
      </c>
    </row>
    <row r="155" spans="3:5" ht="20" thickBot="1" x14ac:dyDescent="0.3">
      <c r="C155" s="152">
        <f t="shared" si="16"/>
        <v>2000</v>
      </c>
      <c r="D155" s="156">
        <f t="shared" si="14"/>
        <v>5112.8625684574872</v>
      </c>
      <c r="E155" s="156">
        <f>(SQRT(PI())/$A$31)*((C155^1.5)/SQRT($C$29*$D$29*$E$29))</f>
        <v>758.01741977914787</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25" t="s">
        <v>97</v>
      </c>
      <c r="D164" s="126"/>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191" t="s">
        <v>100</v>
      </c>
      <c r="F166" s="1"/>
      <c r="G166" s="1"/>
      <c r="H166" s="1"/>
      <c r="I166" s="1"/>
      <c r="J166" s="1"/>
      <c r="K166" s="1"/>
      <c r="L166" s="1"/>
      <c r="M166" s="1"/>
      <c r="N166" s="1"/>
      <c r="O166" s="1"/>
    </row>
    <row r="167" spans="2:16" ht="20" thickBot="1" x14ac:dyDescent="0.3">
      <c r="B167" s="1"/>
      <c r="C167" s="81"/>
      <c r="D167" s="167">
        <v>1</v>
      </c>
      <c r="E167" s="168">
        <f>D167+1</f>
        <v>2</v>
      </c>
      <c r="F167" s="169" t="s">
        <v>102</v>
      </c>
      <c r="G167" s="1"/>
      <c r="H167" s="1"/>
      <c r="I167" s="1"/>
      <c r="J167" s="1"/>
      <c r="K167" s="1"/>
      <c r="L167" s="1"/>
      <c r="M167" s="1"/>
      <c r="N167" s="1"/>
      <c r="O167" s="1"/>
    </row>
    <row r="168" spans="2:16" ht="20" thickBot="1" x14ac:dyDescent="0.3">
      <c r="B168" s="1"/>
      <c r="C168" s="193" t="s">
        <v>101</v>
      </c>
      <c r="D168" s="197">
        <f>J$46</f>
        <v>-76.433896609100003</v>
      </c>
      <c r="E168" s="197">
        <f t="shared" ref="E168:F168" si="17">K$46</f>
        <v>-76.434045551799997</v>
      </c>
      <c r="F168" s="197">
        <f t="shared" si="17"/>
        <v>-76.434047683299994</v>
      </c>
      <c r="G168" s="1"/>
      <c r="H168" s="1"/>
      <c r="I168" s="1"/>
      <c r="J168" s="1"/>
      <c r="K168" s="1"/>
      <c r="L168" s="1"/>
      <c r="M168" s="1"/>
      <c r="N168" s="1"/>
      <c r="O168" s="1"/>
    </row>
    <row r="169" spans="2:16" ht="20" thickBot="1" x14ac:dyDescent="0.3">
      <c r="B169" s="1"/>
      <c r="C169" s="192" t="s">
        <v>103</v>
      </c>
      <c r="D169" s="198">
        <f>D168*$K$7</f>
        <v>-3.33251789215676E-16</v>
      </c>
      <c r="E169" s="198">
        <f t="shared" ref="E169:F169" si="18">E168*$K$7</f>
        <v>-3.3325243860584799E-16</v>
      </c>
      <c r="F169" s="198">
        <f t="shared" si="18"/>
        <v>-3.3325244789918797E-16</v>
      </c>
      <c r="G169" s="1"/>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21" t="s">
        <v>104</v>
      </c>
      <c r="D171" s="1"/>
      <c r="E171" s="1"/>
      <c r="F171" s="1"/>
      <c r="G171" s="1"/>
      <c r="H171" s="1"/>
      <c r="I171" s="1"/>
      <c r="J171" s="1"/>
      <c r="K171" s="1"/>
      <c r="L171" s="1"/>
      <c r="M171" s="1"/>
      <c r="N171" s="1"/>
      <c r="O171" s="1"/>
    </row>
    <row r="172" spans="2:16" ht="23" thickBot="1" x14ac:dyDescent="0.35">
      <c r="B172" s="1"/>
      <c r="C172" s="196">
        <f>F169+L23</f>
        <v>-3.3315962785918799E-16</v>
      </c>
      <c r="F172" s="1"/>
      <c r="G172" s="1"/>
      <c r="H172" s="162" t="s">
        <v>83</v>
      </c>
      <c r="I172" s="163"/>
      <c r="J172" s="163"/>
      <c r="K172" s="163"/>
      <c r="L172" s="163"/>
      <c r="M172" s="163"/>
      <c r="N172" s="1"/>
      <c r="O172" s="1"/>
    </row>
    <row r="173" spans="2:16" ht="20" thickBot="1" x14ac:dyDescent="0.3">
      <c r="B173" s="1"/>
      <c r="F173" s="4"/>
      <c r="G173" s="1"/>
      <c r="H173" s="1"/>
      <c r="I173" s="1"/>
      <c r="J173" s="1"/>
      <c r="K173" s="1"/>
      <c r="L173" s="1"/>
      <c r="M173" s="1"/>
      <c r="N173" s="1"/>
      <c r="O173" s="1"/>
    </row>
    <row r="174" spans="2:16" ht="22" thickBot="1" x14ac:dyDescent="0.3">
      <c r="B174" s="1"/>
      <c r="C174" s="189" t="s">
        <v>68</v>
      </c>
      <c r="D174" s="190" t="s">
        <v>99</v>
      </c>
      <c r="F174" s="1"/>
      <c r="G174" s="1"/>
      <c r="L174" s="157" t="s">
        <v>82</v>
      </c>
      <c r="M174" s="1"/>
      <c r="N174" s="1"/>
      <c r="O174" s="1"/>
    </row>
    <row r="175" spans="2:16" ht="20" thickBot="1" x14ac:dyDescent="0.3">
      <c r="B175" s="1"/>
      <c r="C175" s="150">
        <v>298.14999999999998</v>
      </c>
      <c r="D175" s="154">
        <f>1</f>
        <v>1</v>
      </c>
      <c r="F175" s="1"/>
      <c r="G175" s="1"/>
      <c r="K175" s="71" t="s">
        <v>79</v>
      </c>
      <c r="L175" s="131">
        <f>1</f>
        <v>1</v>
      </c>
      <c r="M175" s="1"/>
      <c r="N175" s="1"/>
      <c r="O175" s="1"/>
    </row>
    <row r="176" spans="2:16" ht="20" thickBot="1" x14ac:dyDescent="0.3">
      <c r="B176" s="1"/>
      <c r="C176" s="150">
        <v>300</v>
      </c>
      <c r="D176" s="154">
        <f>1</f>
        <v>1</v>
      </c>
      <c r="F176" s="1"/>
      <c r="G176" s="1"/>
      <c r="K176" s="72" t="s">
        <v>80</v>
      </c>
      <c r="L176" s="133">
        <f>P32</f>
        <v>1</v>
      </c>
      <c r="M176" s="1"/>
      <c r="N176" s="1"/>
      <c r="O176" s="1"/>
    </row>
    <row r="177" spans="2:15" ht="22" x14ac:dyDescent="0.3">
      <c r="B177" s="1"/>
      <c r="C177" s="151">
        <f>C176+100</f>
        <v>400</v>
      </c>
      <c r="D177" s="155">
        <f>1</f>
        <v>1</v>
      </c>
      <c r="F177" s="1"/>
      <c r="G177" s="1"/>
      <c r="H177" s="1"/>
      <c r="I177" s="1"/>
      <c r="K177" s="17" t="s">
        <v>81</v>
      </c>
      <c r="L177" s="164">
        <f>ABS(L175-L176)/L175</f>
        <v>0</v>
      </c>
      <c r="M177" s="1"/>
      <c r="N177" s="1"/>
      <c r="O177" s="1"/>
    </row>
    <row r="178" spans="2:15" ht="19" x14ac:dyDescent="0.25">
      <c r="B178" s="1"/>
      <c r="C178" s="151">
        <f t="shared" ref="C178:C193" si="19">C177+100</f>
        <v>500</v>
      </c>
      <c r="D178" s="155">
        <f>1</f>
        <v>1</v>
      </c>
      <c r="F178" s="1"/>
      <c r="G178" s="1"/>
    </row>
    <row r="179" spans="2:15" ht="19" x14ac:dyDescent="0.25">
      <c r="B179" s="1"/>
      <c r="C179" s="151">
        <f t="shared" si="19"/>
        <v>600</v>
      </c>
      <c r="D179" s="155">
        <f>1</f>
        <v>1</v>
      </c>
      <c r="F179" s="1"/>
      <c r="G179" s="1"/>
    </row>
    <row r="180" spans="2:15" ht="19" x14ac:dyDescent="0.25">
      <c r="B180" s="1"/>
      <c r="C180" s="151">
        <f t="shared" si="19"/>
        <v>700</v>
      </c>
      <c r="D180" s="155">
        <f>1</f>
        <v>1</v>
      </c>
      <c r="F180" s="1"/>
      <c r="G180" s="1"/>
    </row>
    <row r="181" spans="2:15" ht="19" x14ac:dyDescent="0.25">
      <c r="C181" s="151">
        <f t="shared" si="19"/>
        <v>800</v>
      </c>
      <c r="D181" s="155">
        <f>1</f>
        <v>1</v>
      </c>
    </row>
    <row r="182" spans="2:15" ht="19" x14ac:dyDescent="0.25">
      <c r="C182" s="151">
        <f t="shared" si="19"/>
        <v>900</v>
      </c>
      <c r="D182" s="155">
        <f>1</f>
        <v>1</v>
      </c>
    </row>
    <row r="183" spans="2:15" ht="19" x14ac:dyDescent="0.25">
      <c r="C183" s="151">
        <f t="shared" si="19"/>
        <v>1000</v>
      </c>
      <c r="D183" s="155">
        <f>1</f>
        <v>1</v>
      </c>
    </row>
    <row r="184" spans="2:15" ht="19" x14ac:dyDescent="0.25">
      <c r="C184" s="151">
        <f t="shared" si="19"/>
        <v>1100</v>
      </c>
      <c r="D184" s="155">
        <f>1</f>
        <v>1</v>
      </c>
    </row>
    <row r="185" spans="2:15" ht="19" x14ac:dyDescent="0.25">
      <c r="C185" s="151">
        <f t="shared" si="19"/>
        <v>1200</v>
      </c>
      <c r="D185" s="155">
        <f>1</f>
        <v>1</v>
      </c>
    </row>
    <row r="186" spans="2:15" ht="19" x14ac:dyDescent="0.25">
      <c r="C186" s="151">
        <f t="shared" si="19"/>
        <v>1300</v>
      </c>
      <c r="D186" s="155">
        <f>1</f>
        <v>1</v>
      </c>
    </row>
    <row r="187" spans="2:15" ht="19" x14ac:dyDescent="0.25">
      <c r="C187" s="151">
        <f t="shared" si="19"/>
        <v>1400</v>
      </c>
      <c r="D187" s="155">
        <f>1</f>
        <v>1</v>
      </c>
    </row>
    <row r="188" spans="2:15" ht="19" x14ac:dyDescent="0.25">
      <c r="C188" s="151">
        <f t="shared" si="19"/>
        <v>1500</v>
      </c>
      <c r="D188" s="155">
        <f>1</f>
        <v>1</v>
      </c>
    </row>
    <row r="189" spans="2:15" ht="19" x14ac:dyDescent="0.25">
      <c r="C189" s="151">
        <f t="shared" si="19"/>
        <v>1600</v>
      </c>
      <c r="D189" s="155">
        <f>1</f>
        <v>1</v>
      </c>
    </row>
    <row r="190" spans="2:15" ht="19" x14ac:dyDescent="0.25">
      <c r="C190" s="151">
        <f t="shared" si="19"/>
        <v>1700</v>
      </c>
      <c r="D190" s="155">
        <f>1</f>
        <v>1</v>
      </c>
    </row>
    <row r="191" spans="2:15" ht="19" x14ac:dyDescent="0.25">
      <c r="C191" s="151">
        <f t="shared" si="19"/>
        <v>1800</v>
      </c>
      <c r="D191" s="155">
        <f>1</f>
        <v>1</v>
      </c>
    </row>
    <row r="192" spans="2:15" ht="19" x14ac:dyDescent="0.25">
      <c r="C192" s="151">
        <f t="shared" si="19"/>
        <v>1900</v>
      </c>
      <c r="D192" s="155">
        <f>1</f>
        <v>1</v>
      </c>
    </row>
    <row r="193" spans="3:11" ht="20" thickBot="1" x14ac:dyDescent="0.3">
      <c r="C193" s="152">
        <f t="shared" si="19"/>
        <v>2000</v>
      </c>
      <c r="D193" s="156">
        <f>1</f>
        <v>1</v>
      </c>
    </row>
    <row r="197" spans="3:11" ht="17" thickBot="1" x14ac:dyDescent="0.25"/>
    <row r="198" spans="3:11" ht="20" thickBot="1" x14ac:dyDescent="0.3">
      <c r="E198" s="1"/>
      <c r="F198" s="1" t="s">
        <v>66</v>
      </c>
      <c r="G198" s="1"/>
      <c r="H198" s="345" t="s">
        <v>110</v>
      </c>
      <c r="I198" s="346"/>
      <c r="J198" s="346"/>
      <c r="K198" s="347"/>
    </row>
    <row r="199" spans="3:11" ht="28" thickBot="1" x14ac:dyDescent="0.4">
      <c r="C199" s="125" t="s">
        <v>105</v>
      </c>
      <c r="D199" s="126"/>
      <c r="E199" s="1"/>
      <c r="F199" s="1"/>
      <c r="G199" s="1"/>
      <c r="H199" s="199" t="s">
        <v>106</v>
      </c>
      <c r="I199" s="199" t="s">
        <v>107</v>
      </c>
      <c r="J199" s="199" t="s">
        <v>108</v>
      </c>
      <c r="K199" s="199" t="s">
        <v>109</v>
      </c>
    </row>
    <row r="202" spans="3:11" ht="17" thickBot="1" x14ac:dyDescent="0.25"/>
    <row r="203" spans="3:11" ht="20" thickBot="1" x14ac:dyDescent="0.25">
      <c r="D203" s="343" t="s">
        <v>119</v>
      </c>
      <c r="E203" s="344"/>
    </row>
    <row r="204" spans="3:11" ht="20" thickBot="1" x14ac:dyDescent="0.3">
      <c r="D204" s="176" t="s">
        <v>117</v>
      </c>
      <c r="E204" s="205" t="s">
        <v>115</v>
      </c>
    </row>
    <row r="205" spans="3:11" ht="19" x14ac:dyDescent="0.25">
      <c r="C205" s="65" t="s">
        <v>45</v>
      </c>
      <c r="D205" s="337">
        <f>$Q23</f>
        <v>6.0140000000000002</v>
      </c>
      <c r="E205" s="131">
        <f>D205*4.184</f>
        <v>25.162576000000001</v>
      </c>
    </row>
    <row r="206" spans="3:11" ht="19" x14ac:dyDescent="0.25">
      <c r="C206" s="66" t="s">
        <v>46</v>
      </c>
      <c r="D206" s="57">
        <f t="shared" ref="D206:D209" si="20">$Q24</f>
        <v>0</v>
      </c>
      <c r="E206" s="132">
        <f t="shared" ref="E206:E209" si="21">D206*4.184</f>
        <v>0</v>
      </c>
    </row>
    <row r="207" spans="3:11" ht="19" x14ac:dyDescent="0.25">
      <c r="C207" s="66" t="s">
        <v>47</v>
      </c>
      <c r="D207" s="57">
        <f t="shared" si="20"/>
        <v>2.9809999999999999</v>
      </c>
      <c r="E207" s="132">
        <f t="shared" si="21"/>
        <v>12.472504000000001</v>
      </c>
    </row>
    <row r="208" spans="3:11" ht="19" x14ac:dyDescent="0.25">
      <c r="C208" s="66" t="s">
        <v>48</v>
      </c>
      <c r="D208" s="57">
        <f t="shared" si="20"/>
        <v>2.9809999999999999</v>
      </c>
      <c r="E208" s="132">
        <f t="shared" si="21"/>
        <v>12.472504000000001</v>
      </c>
    </row>
    <row r="209" spans="3:16" ht="20" thickBot="1" x14ac:dyDescent="0.3">
      <c r="C209" s="67" t="s">
        <v>49</v>
      </c>
      <c r="D209" s="59">
        <f t="shared" si="20"/>
        <v>5.1999999999999998E-2</v>
      </c>
      <c r="E209" s="133">
        <f t="shared" si="21"/>
        <v>0.21756800000000001</v>
      </c>
      <c r="K209">
        <f>COLUMN(E205)</f>
        <v>5</v>
      </c>
    </row>
    <row r="210" spans="3:16" ht="24" customHeight="1" x14ac:dyDescent="0.2"/>
    <row r="211" spans="3:16" ht="17" thickBot="1" x14ac:dyDescent="0.25"/>
    <row r="212" spans="3:16" ht="23" thickBot="1" x14ac:dyDescent="0.35">
      <c r="D212" s="353" t="s">
        <v>115</v>
      </c>
      <c r="E212" s="354"/>
      <c r="F212" s="354"/>
      <c r="G212" s="354"/>
      <c r="H212" s="355"/>
      <c r="J212" s="162" t="s">
        <v>83</v>
      </c>
      <c r="K212" s="163"/>
      <c r="L212" s="163"/>
      <c r="M212" s="163"/>
      <c r="N212" s="163"/>
      <c r="O212" s="163"/>
      <c r="P212" s="1"/>
    </row>
    <row r="213" spans="3:16" ht="20" thickBot="1" x14ac:dyDescent="0.3">
      <c r="C213" s="189" t="s">
        <v>68</v>
      </c>
      <c r="D213" s="200" t="s">
        <v>114</v>
      </c>
      <c r="E213" s="201" t="s">
        <v>111</v>
      </c>
      <c r="F213" s="201" t="s">
        <v>112</v>
      </c>
      <c r="G213" s="202" t="s">
        <v>113</v>
      </c>
      <c r="H213" s="121" t="s">
        <v>116</v>
      </c>
      <c r="J213" s="1"/>
      <c r="K213" s="1"/>
      <c r="L213" s="1"/>
      <c r="M213" s="1"/>
      <c r="N213" s="1"/>
      <c r="O213" s="1"/>
      <c r="P213" s="1"/>
    </row>
    <row r="214" spans="3:16" ht="20" thickBot="1" x14ac:dyDescent="0.3">
      <c r="C214" s="173">
        <v>298.14999999999998</v>
      </c>
      <c r="D214" s="260">
        <f>3*$B$7/2</f>
        <v>12.471599999999999</v>
      </c>
      <c r="E214" s="261" cm="1">
        <f t="array" ref="E214">$B$7*SUM(($D$42:$D$44*$D$42:$D$44)*EXP($D$42:$D$44/$C214)/($C214^2*(EXP($D$42:$D$44/$C214)-1)^2))</f>
        <v>0.21764069031923208</v>
      </c>
      <c r="F214" s="262">
        <f>3*$B$7/2</f>
        <v>12.471599999999999</v>
      </c>
      <c r="G214" s="263">
        <v>0</v>
      </c>
      <c r="H214" s="227">
        <f t="shared" ref="H214:H232" si="22">SUM(D214:G214)</f>
        <v>25.16084069031923</v>
      </c>
      <c r="K214" s="200" t="s">
        <v>114</v>
      </c>
      <c r="L214" s="201" t="s">
        <v>111</v>
      </c>
      <c r="M214" s="201" t="s">
        <v>112</v>
      </c>
      <c r="N214" s="202" t="s">
        <v>113</v>
      </c>
      <c r="O214" s="121" t="s">
        <v>116</v>
      </c>
      <c r="P214" s="1"/>
    </row>
    <row r="215" spans="3:16" ht="19" x14ac:dyDescent="0.25">
      <c r="C215" s="150">
        <v>300</v>
      </c>
      <c r="D215" s="220">
        <f>3*$B$7/2</f>
        <v>12.471599999999999</v>
      </c>
      <c r="E215" s="225" cm="1">
        <f t="array" ref="E215">$B$7*SUM(($D$42:$D$44*$D$42:$D$44)*EXP($D$42:$D$44/$C215)/($C215^2*(EXP($D$42:$D$44/$C215)-1)^2))</f>
        <v>0.22548073887164538</v>
      </c>
      <c r="F215" s="247">
        <f>3*$B$7/2</f>
        <v>12.471599999999999</v>
      </c>
      <c r="G215" s="221">
        <v>0</v>
      </c>
      <c r="H215" s="227">
        <f t="shared" si="22"/>
        <v>25.168680738871643</v>
      </c>
      <c r="J215" s="71" t="s">
        <v>79</v>
      </c>
      <c r="K215" s="131">
        <f>D$214</f>
        <v>12.471599999999999</v>
      </c>
      <c r="L215" s="131">
        <f t="shared" ref="L215:O215" si="23">E$214</f>
        <v>0.21764069031923208</v>
      </c>
      <c r="M215" s="131">
        <f t="shared" si="23"/>
        <v>12.471599999999999</v>
      </c>
      <c r="N215" s="131">
        <f t="shared" si="23"/>
        <v>0</v>
      </c>
      <c r="O215" s="131">
        <f t="shared" si="23"/>
        <v>25.16084069031923</v>
      </c>
      <c r="P215" s="1"/>
    </row>
    <row r="216" spans="3:16" ht="20" thickBot="1" x14ac:dyDescent="0.3">
      <c r="C216" s="151">
        <f>C215+100</f>
        <v>400</v>
      </c>
      <c r="D216" s="220">
        <f t="shared" ref="D216:D232" si="24">3*$B$7/2</f>
        <v>12.471599999999999</v>
      </c>
      <c r="E216" s="217" cm="1">
        <f t="array" ref="E216">$B$7*SUM(($D$42:$D$44*$D$42:$D$44)*EXP($D$42:$D$44/$C216)/($C216^2*(EXP($D$42:$D$44/$C216)-1)^2))</f>
        <v>0.87425009846501445</v>
      </c>
      <c r="F216" s="247">
        <f t="shared" ref="F216:F232" si="25">3*$B$7/2</f>
        <v>12.471599999999999</v>
      </c>
      <c r="G216" s="221">
        <v>0</v>
      </c>
      <c r="H216" s="328">
        <f t="shared" si="22"/>
        <v>25.817450098465009</v>
      </c>
      <c r="J216" s="72" t="s">
        <v>80</v>
      </c>
      <c r="K216" s="133">
        <f>E207</f>
        <v>12.472504000000001</v>
      </c>
      <c r="L216" s="133">
        <f>E209</f>
        <v>0.21756800000000001</v>
      </c>
      <c r="M216" s="133">
        <f>E208</f>
        <v>12.472504000000001</v>
      </c>
      <c r="N216" s="133">
        <f>E206</f>
        <v>0</v>
      </c>
      <c r="O216" s="133">
        <f>E205</f>
        <v>25.162576000000001</v>
      </c>
      <c r="P216" s="1"/>
    </row>
    <row r="217" spans="3:16" ht="22" x14ac:dyDescent="0.3">
      <c r="C217" s="151">
        <f t="shared" ref="C217:C232" si="26">C216+100</f>
        <v>500</v>
      </c>
      <c r="D217" s="220">
        <f t="shared" si="24"/>
        <v>12.471599999999999</v>
      </c>
      <c r="E217" s="217" cm="1">
        <f t="array" ref="E217">$B$7*SUM(($D$42:$D$44*$D$42:$D$44)*EXP($D$42:$D$44/$C217)/($C217^2*(EXP($D$42:$D$44/$C217)-1)^2))</f>
        <v>1.8213815905732966</v>
      </c>
      <c r="F217" s="247">
        <f t="shared" si="25"/>
        <v>12.471599999999999</v>
      </c>
      <c r="G217" s="221">
        <v>0</v>
      </c>
      <c r="H217" s="328">
        <f t="shared" si="22"/>
        <v>26.764581590573293</v>
      </c>
      <c r="J217" s="17" t="s">
        <v>81</v>
      </c>
      <c r="K217" s="164">
        <f>IFERROR(ABS(K215-K216)/K215,0)</f>
        <v>7.2484685204946797E-5</v>
      </c>
      <c r="L217" s="164">
        <f t="shared" ref="L217:O217" si="27">IFERROR(ABS(L215-L216)/L215,0)</f>
        <v>3.3399232067059942E-4</v>
      </c>
      <c r="M217" s="164">
        <f t="shared" si="27"/>
        <v>7.2484685204946797E-5</v>
      </c>
      <c r="N217" s="164">
        <f t="shared" si="27"/>
        <v>0</v>
      </c>
      <c r="O217" s="164">
        <f t="shared" si="27"/>
        <v>6.8968668500786812E-5</v>
      </c>
      <c r="P217" s="1"/>
    </row>
    <row r="218" spans="3:16" ht="19" x14ac:dyDescent="0.25">
      <c r="C218" s="151">
        <f t="shared" si="26"/>
        <v>600</v>
      </c>
      <c r="D218" s="220">
        <f t="shared" si="24"/>
        <v>12.471599999999999</v>
      </c>
      <c r="E218" s="217" cm="1">
        <f t="array" ref="E218">$B$7*SUM(($D$42:$D$44*$D$42:$D$44)*EXP($D$42:$D$44/$C218)/($C218^2*(EXP($D$42:$D$44/$C218)-1)^2))</f>
        <v>2.8806528842213464</v>
      </c>
      <c r="F218" s="247">
        <f t="shared" si="25"/>
        <v>12.471599999999999</v>
      </c>
      <c r="G218" s="221">
        <v>0</v>
      </c>
      <c r="H218" s="328">
        <f t="shared" si="22"/>
        <v>27.823852884221346</v>
      </c>
    </row>
    <row r="219" spans="3:16" ht="19" x14ac:dyDescent="0.25">
      <c r="C219" s="151">
        <f t="shared" si="26"/>
        <v>700</v>
      </c>
      <c r="D219" s="220">
        <f t="shared" si="24"/>
        <v>12.471599999999999</v>
      </c>
      <c r="E219" s="217" cm="1">
        <f t="array" ref="E219">$B$7*SUM(($D$42:$D$44*$D$42:$D$44)*EXP($D$42:$D$44/$C219)/($C219^2*(EXP($D$42:$D$44/$C219)-1)^2))</f>
        <v>3.9797035634740583</v>
      </c>
      <c r="F219" s="247">
        <f t="shared" si="25"/>
        <v>12.471599999999999</v>
      </c>
      <c r="G219" s="221">
        <v>0</v>
      </c>
      <c r="H219" s="328">
        <f t="shared" si="22"/>
        <v>28.922903563474055</v>
      </c>
    </row>
    <row r="220" spans="3:16" ht="19" x14ac:dyDescent="0.25">
      <c r="C220" s="151">
        <f t="shared" si="26"/>
        <v>800</v>
      </c>
      <c r="D220" s="220">
        <f t="shared" si="24"/>
        <v>12.471599999999999</v>
      </c>
      <c r="E220" s="217" cm="1">
        <f t="array" ref="E220">$B$7*SUM(($D$42:$D$44*$D$42:$D$44)*EXP($D$42:$D$44/$C220)/($C220^2*(EXP($D$42:$D$44/$C220)-1)^2))</f>
        <v>5.1071282879169004</v>
      </c>
      <c r="F220" s="247">
        <f t="shared" si="25"/>
        <v>12.471599999999999</v>
      </c>
      <c r="G220" s="221">
        <v>0</v>
      </c>
      <c r="H220" s="328">
        <f t="shared" si="22"/>
        <v>30.050328287916898</v>
      </c>
    </row>
    <row r="221" spans="3:16" ht="19" x14ac:dyDescent="0.25">
      <c r="C221" s="151">
        <f t="shared" si="26"/>
        <v>900</v>
      </c>
      <c r="D221" s="220">
        <f t="shared" si="24"/>
        <v>12.471599999999999</v>
      </c>
      <c r="E221" s="217" cm="1">
        <f t="array" ref="E221">$B$7*SUM(($D$42:$D$44*$D$42:$D$44)*EXP($D$42:$D$44/$C221)/($C221^2*(EXP($D$42:$D$44/$C221)-1)^2))</f>
        <v>6.2582934397824648</v>
      </c>
      <c r="F221" s="247">
        <f t="shared" si="25"/>
        <v>12.471599999999999</v>
      </c>
      <c r="G221" s="221">
        <v>0</v>
      </c>
      <c r="H221" s="328">
        <f t="shared" si="22"/>
        <v>31.201493439782464</v>
      </c>
    </row>
    <row r="222" spans="3:16" ht="19" x14ac:dyDescent="0.25">
      <c r="C222" s="151">
        <f t="shared" si="26"/>
        <v>1000</v>
      </c>
      <c r="D222" s="220">
        <f t="shared" si="24"/>
        <v>12.471599999999999</v>
      </c>
      <c r="E222" s="217" cm="1">
        <f t="array" ref="E222">$B$7*SUM(($D$42:$D$44*$D$42:$D$44)*EXP($D$42:$D$44/$C222)/($C222^2*(EXP($D$42:$D$44/$C222)-1)^2))</f>
        <v>7.4195082202922178</v>
      </c>
      <c r="F222" s="247">
        <f t="shared" si="25"/>
        <v>12.471599999999999</v>
      </c>
      <c r="G222" s="221">
        <v>0</v>
      </c>
      <c r="H222" s="328">
        <f t="shared" si="22"/>
        <v>32.36270822029222</v>
      </c>
    </row>
    <row r="223" spans="3:16" ht="19" x14ac:dyDescent="0.25">
      <c r="C223" s="151">
        <f t="shared" si="26"/>
        <v>1100</v>
      </c>
      <c r="D223" s="220">
        <f t="shared" si="24"/>
        <v>12.471599999999999</v>
      </c>
      <c r="E223" s="217" cm="1">
        <f t="array" ref="E223">$B$7*SUM(($D$42:$D$44*$D$42:$D$44)*EXP($D$42:$D$44/$C223)/($C223^2*(EXP($D$42:$D$44/$C223)-1)^2))</f>
        <v>8.5708233010970911</v>
      </c>
      <c r="F223" s="247">
        <f t="shared" si="25"/>
        <v>12.471599999999999</v>
      </c>
      <c r="G223" s="221">
        <v>0</v>
      </c>
      <c r="H223" s="328">
        <f t="shared" si="22"/>
        <v>33.514023301097083</v>
      </c>
    </row>
    <row r="224" spans="3:16" ht="19" x14ac:dyDescent="0.25">
      <c r="C224" s="151">
        <f t="shared" si="26"/>
        <v>1200</v>
      </c>
      <c r="D224" s="220">
        <f t="shared" si="24"/>
        <v>12.471599999999999</v>
      </c>
      <c r="E224" s="217" cm="1">
        <f t="array" ref="E224">$B$7*SUM(($D$42:$D$44*$D$42:$D$44)*EXP($D$42:$D$44/$C224)/($C224^2*(EXP($D$42:$D$44/$C224)-1)^2))</f>
        <v>9.6920088741610009</v>
      </c>
      <c r="F224" s="247">
        <f t="shared" si="25"/>
        <v>12.471599999999999</v>
      </c>
      <c r="G224" s="221">
        <v>0</v>
      </c>
      <c r="H224" s="328">
        <f t="shared" si="22"/>
        <v>34.635208874160995</v>
      </c>
    </row>
    <row r="225" spans="3:11" ht="19" x14ac:dyDescent="0.25">
      <c r="C225" s="151">
        <f t="shared" si="26"/>
        <v>1300</v>
      </c>
      <c r="D225" s="220">
        <f t="shared" si="24"/>
        <v>12.471599999999999</v>
      </c>
      <c r="E225" s="217" cm="1">
        <f t="array" ref="E225">$B$7*SUM(($D$42:$D$44*$D$42:$D$44)*EXP($D$42:$D$44/$C225)/($C225^2*(EXP($D$42:$D$44/$C225)-1)^2))</f>
        <v>10.766436790626543</v>
      </c>
      <c r="F225" s="247">
        <f t="shared" si="25"/>
        <v>12.471599999999999</v>
      </c>
      <c r="G225" s="221">
        <v>0</v>
      </c>
      <c r="H225" s="328">
        <f t="shared" si="22"/>
        <v>35.70963679062654</v>
      </c>
    </row>
    <row r="226" spans="3:11" ht="19" x14ac:dyDescent="0.25">
      <c r="C226" s="151">
        <f t="shared" si="26"/>
        <v>1400</v>
      </c>
      <c r="D226" s="220">
        <f t="shared" si="24"/>
        <v>12.471599999999999</v>
      </c>
      <c r="E226" s="217" cm="1">
        <f t="array" ref="E226">$B$7*SUM(($D$42:$D$44*$D$42:$D$44)*EXP($D$42:$D$44/$C226)/($C226^2*(EXP($D$42:$D$44/$C226)-1)^2))</f>
        <v>11.782481669698056</v>
      </c>
      <c r="F226" s="247">
        <f t="shared" si="25"/>
        <v>12.471599999999999</v>
      </c>
      <c r="G226" s="221">
        <v>0</v>
      </c>
      <c r="H226" s="328">
        <f t="shared" si="22"/>
        <v>36.725681669698048</v>
      </c>
    </row>
    <row r="227" spans="3:11" ht="19" x14ac:dyDescent="0.25">
      <c r="C227" s="151">
        <f t="shared" si="26"/>
        <v>1500</v>
      </c>
      <c r="D227" s="220">
        <f t="shared" si="24"/>
        <v>12.471599999999999</v>
      </c>
      <c r="E227" s="217" cm="1">
        <f t="array" ref="E227">$B$7*SUM(($D$42:$D$44*$D$42:$D$44)*EXP($D$42:$D$44/$C227)/($C227^2*(EXP($D$42:$D$44/$C227)-1)^2))</f>
        <v>12.733356677661156</v>
      </c>
      <c r="F227" s="247">
        <f t="shared" si="25"/>
        <v>12.471599999999999</v>
      </c>
      <c r="G227" s="221">
        <v>0</v>
      </c>
      <c r="H227" s="328">
        <f t="shared" si="22"/>
        <v>37.676556677661154</v>
      </c>
    </row>
    <row r="228" spans="3:11" ht="19" x14ac:dyDescent="0.25">
      <c r="C228" s="151">
        <f t="shared" si="26"/>
        <v>1600</v>
      </c>
      <c r="D228" s="220">
        <f t="shared" si="24"/>
        <v>12.471599999999999</v>
      </c>
      <c r="E228" s="217" cm="1">
        <f t="array" ref="E228">$B$7*SUM(($D$42:$D$44*$D$42:$D$44)*EXP($D$42:$D$44/$C228)/($C228^2*(EXP($D$42:$D$44/$C228)-1)^2))</f>
        <v>13.616250426780603</v>
      </c>
      <c r="F228" s="247">
        <f t="shared" si="25"/>
        <v>12.471599999999999</v>
      </c>
      <c r="G228" s="221">
        <v>0</v>
      </c>
      <c r="H228" s="328">
        <f t="shared" si="22"/>
        <v>38.5594504267806</v>
      </c>
    </row>
    <row r="229" spans="3:11" ht="19" x14ac:dyDescent="0.25">
      <c r="C229" s="151">
        <f t="shared" si="26"/>
        <v>1700</v>
      </c>
      <c r="D229" s="220">
        <f t="shared" si="24"/>
        <v>12.471599999999999</v>
      </c>
      <c r="E229" s="217" cm="1">
        <f t="array" ref="E229">$B$7*SUM(($D$42:$D$44*$D$42:$D$44)*EXP($D$42:$D$44/$C229)/($C229^2*(EXP($D$42:$D$44/$C229)-1)^2))</f>
        <v>14.431298897629938</v>
      </c>
      <c r="F229" s="247">
        <f t="shared" si="25"/>
        <v>12.471599999999999</v>
      </c>
      <c r="G229" s="221">
        <v>0</v>
      </c>
      <c r="H229" s="328">
        <f t="shared" si="22"/>
        <v>39.374498897629934</v>
      </c>
    </row>
    <row r="230" spans="3:11" ht="19" x14ac:dyDescent="0.25">
      <c r="C230" s="151">
        <f t="shared" si="26"/>
        <v>1800</v>
      </c>
      <c r="D230" s="220">
        <f t="shared" si="24"/>
        <v>12.471599999999999</v>
      </c>
      <c r="E230" s="217" cm="1">
        <f t="array" ref="E230">$B$7*SUM(($D$42:$D$44*$D$42:$D$44)*EXP($D$42:$D$44/$C230)/($C230^2*(EXP($D$42:$D$44/$C230)-1)^2))</f>
        <v>15.180650155452629</v>
      </c>
      <c r="F230" s="247">
        <f t="shared" si="25"/>
        <v>12.471599999999999</v>
      </c>
      <c r="G230" s="221">
        <v>0</v>
      </c>
      <c r="H230" s="328">
        <f t="shared" si="22"/>
        <v>40.123850155452629</v>
      </c>
    </row>
    <row r="231" spans="3:11" ht="19" x14ac:dyDescent="0.25">
      <c r="C231" s="151">
        <f t="shared" si="26"/>
        <v>1900</v>
      </c>
      <c r="D231" s="220">
        <f t="shared" si="24"/>
        <v>12.471599999999999</v>
      </c>
      <c r="E231" s="217" cm="1">
        <f t="array" ref="E231">$B$7*SUM(($D$42:$D$44*$D$42:$D$44)*EXP($D$42:$D$44/$C231)/($C231^2*(EXP($D$42:$D$44/$C231)-1)^2))</f>
        <v>15.867713006316567</v>
      </c>
      <c r="F231" s="247">
        <f t="shared" si="25"/>
        <v>12.471599999999999</v>
      </c>
      <c r="G231" s="221">
        <v>0</v>
      </c>
      <c r="H231" s="328">
        <f t="shared" si="22"/>
        <v>40.810913006316568</v>
      </c>
    </row>
    <row r="232" spans="3:11" ht="20" thickBot="1" x14ac:dyDescent="0.3">
      <c r="C232" s="152">
        <f t="shared" si="26"/>
        <v>2000</v>
      </c>
      <c r="D232" s="222">
        <f t="shared" si="24"/>
        <v>12.471599999999999</v>
      </c>
      <c r="E232" s="228" cm="1">
        <f t="array" ref="E232">$B$7*SUM(($D$42:$D$44*$D$42:$D$44)*EXP($D$42:$D$44/$C232)/($C232^2*(EXP($D$42:$D$44/$C232)-1)^2))</f>
        <v>16.496597267728923</v>
      </c>
      <c r="F232" s="229">
        <f t="shared" si="25"/>
        <v>12.471599999999999</v>
      </c>
      <c r="G232" s="223">
        <v>0</v>
      </c>
      <c r="H232" s="329">
        <f t="shared" si="22"/>
        <v>41.43979726772892</v>
      </c>
    </row>
    <row r="238" spans="3:11" ht="17" thickBot="1" x14ac:dyDescent="0.25"/>
    <row r="239" spans="3:11" ht="20" thickBot="1" x14ac:dyDescent="0.3">
      <c r="E239" s="1"/>
      <c r="F239" s="1" t="s">
        <v>66</v>
      </c>
      <c r="G239" s="1"/>
      <c r="H239" s="345" t="s">
        <v>110</v>
      </c>
      <c r="I239" s="346"/>
      <c r="J239" s="346"/>
      <c r="K239" s="347"/>
    </row>
    <row r="240" spans="3:11" ht="28" thickBot="1" x14ac:dyDescent="0.4">
      <c r="C240" s="125" t="s">
        <v>123</v>
      </c>
      <c r="D240" s="126"/>
      <c r="E240" s="1"/>
      <c r="F240" s="1"/>
      <c r="G240" s="1"/>
      <c r="H240" s="199" t="s">
        <v>106</v>
      </c>
      <c r="I240" s="199" t="s">
        <v>107</v>
      </c>
      <c r="J240" s="199" t="s">
        <v>108</v>
      </c>
      <c r="K240" s="199" t="s">
        <v>109</v>
      </c>
    </row>
    <row r="244" spans="3:10" ht="20" thickBot="1" x14ac:dyDescent="0.25">
      <c r="D244" s="348"/>
      <c r="E244" s="348"/>
    </row>
    <row r="245" spans="3:10" ht="20" thickBot="1" x14ac:dyDescent="0.25">
      <c r="D245" s="343" t="s">
        <v>118</v>
      </c>
      <c r="E245" s="344"/>
    </row>
    <row r="246" spans="3:10" ht="20" thickBot="1" x14ac:dyDescent="0.3">
      <c r="D246" s="176" t="s">
        <v>117</v>
      </c>
      <c r="E246" s="205" t="s">
        <v>115</v>
      </c>
    </row>
    <row r="247" spans="3:10" ht="19" x14ac:dyDescent="0.25">
      <c r="C247" s="65" t="s">
        <v>45</v>
      </c>
      <c r="D247" s="334">
        <f>$R23</f>
        <v>45.1</v>
      </c>
      <c r="E247" s="131">
        <f>D247*4.184</f>
        <v>188.69840000000002</v>
      </c>
    </row>
    <row r="248" spans="3:10" ht="19" x14ac:dyDescent="0.25">
      <c r="C248" s="66" t="s">
        <v>46</v>
      </c>
      <c r="D248" s="335">
        <f t="shared" ref="D248:D251" si="28">$R24</f>
        <v>0</v>
      </c>
      <c r="E248" s="132">
        <f t="shared" ref="E248:E251" si="29">D248*4.184</f>
        <v>0</v>
      </c>
    </row>
    <row r="249" spans="3:10" ht="19" x14ac:dyDescent="0.25">
      <c r="C249" s="66" t="s">
        <v>47</v>
      </c>
      <c r="D249" s="335">
        <f t="shared" si="28"/>
        <v>34.607999999999997</v>
      </c>
      <c r="E249" s="132">
        <f t="shared" si="29"/>
        <v>144.79987199999999</v>
      </c>
    </row>
    <row r="250" spans="3:10" ht="19" x14ac:dyDescent="0.25">
      <c r="C250" s="66" t="s">
        <v>48</v>
      </c>
      <c r="D250" s="335">
        <f t="shared" si="28"/>
        <v>10.484</v>
      </c>
      <c r="E250" s="132">
        <f t="shared" si="29"/>
        <v>43.865056000000003</v>
      </c>
    </row>
    <row r="251" spans="3:10" ht="20" thickBot="1" x14ac:dyDescent="0.3">
      <c r="C251" s="67" t="s">
        <v>49</v>
      </c>
      <c r="D251" s="336">
        <f t="shared" si="28"/>
        <v>8.0000000000000002E-3</v>
      </c>
      <c r="E251" s="133">
        <f t="shared" si="29"/>
        <v>3.3472000000000002E-2</v>
      </c>
    </row>
    <row r="253" spans="3:10" ht="17" thickBot="1" x14ac:dyDescent="0.25"/>
    <row r="254" spans="3:10" ht="20" thickBot="1" x14ac:dyDescent="0.3">
      <c r="C254" s="82" t="s">
        <v>26</v>
      </c>
      <c r="D254" s="210"/>
      <c r="E254" s="210"/>
      <c r="F254" s="210"/>
      <c r="G254" s="211"/>
      <c r="I254" s="115" t="s">
        <v>121</v>
      </c>
      <c r="J254" s="212">
        <f>($B$14^2)/(8*PI()*PI()*$G$258*$B$8)</f>
        <v>1.8865535129982716</v>
      </c>
    </row>
    <row r="255" spans="3:10" ht="20" thickBot="1" x14ac:dyDescent="0.3">
      <c r="C255" s="207"/>
      <c r="D255" s="105" t="s">
        <v>36</v>
      </c>
      <c r="E255" s="106" t="s">
        <v>37</v>
      </c>
      <c r="F255" s="107" t="s">
        <v>38</v>
      </c>
      <c r="G255" s="121" t="s">
        <v>116</v>
      </c>
      <c r="I255" s="104"/>
      <c r="J255" s="104"/>
    </row>
    <row r="256" spans="3:10" ht="22" thickBot="1" x14ac:dyDescent="0.3">
      <c r="C256" s="46" t="s">
        <v>31</v>
      </c>
      <c r="D256" s="339">
        <f>D$23</f>
        <v>2.16805</v>
      </c>
      <c r="E256" s="55">
        <f t="shared" ref="E256:F256" si="30">E$23</f>
        <v>4.2622499999999999</v>
      </c>
      <c r="F256" s="340">
        <f t="shared" si="30"/>
        <v>6.4302999999999999</v>
      </c>
      <c r="G256" s="53">
        <f>F256 + E256 + D256</f>
        <v>12.860600000000002</v>
      </c>
      <c r="J256" s="104"/>
    </row>
    <row r="257" spans="1:18" ht="22" thickBot="1" x14ac:dyDescent="0.3">
      <c r="C257" s="47" t="s">
        <v>29</v>
      </c>
      <c r="D257" s="208">
        <f>D256*$U$9</f>
        <v>3.5989629999999997E-27</v>
      </c>
      <c r="E257" s="58">
        <f t="shared" ref="E257:F257" si="31">E256*$U$9</f>
        <v>7.0753349999999999E-27</v>
      </c>
      <c r="F257" s="341">
        <f t="shared" si="31"/>
        <v>1.0674298E-26</v>
      </c>
      <c r="G257" s="53">
        <f t="shared" ref="G257:G258" si="32">F257 + E257 + D257</f>
        <v>2.1348595999999999E-26</v>
      </c>
    </row>
    <row r="258" spans="1:18" ht="22" thickBot="1" x14ac:dyDescent="0.3">
      <c r="C258" s="48" t="s">
        <v>30</v>
      </c>
      <c r="D258" s="59">
        <f>D257*($Q$8)^2</f>
        <v>3.5989630000000002E-47</v>
      </c>
      <c r="E258" s="60">
        <f>E257*($Q$8)^2</f>
        <v>7.0753350000000009E-47</v>
      </c>
      <c r="F258" s="204">
        <f t="shared" ref="F258" si="33">F257*($Q$8)^2</f>
        <v>1.0674298000000001E-46</v>
      </c>
      <c r="G258" s="53">
        <f t="shared" si="32"/>
        <v>2.1348596000000002E-46</v>
      </c>
    </row>
    <row r="259" spans="1:18" ht="17" thickBot="1" x14ac:dyDescent="0.25"/>
    <row r="260" spans="1:18" ht="20" thickBot="1" x14ac:dyDescent="0.3">
      <c r="F260" s="353" t="s">
        <v>115</v>
      </c>
      <c r="G260" s="354"/>
      <c r="H260" s="354"/>
      <c r="I260" s="354"/>
      <c r="J260" s="355"/>
    </row>
    <row r="261" spans="1:18" ht="23" thickBot="1" x14ac:dyDescent="0.35">
      <c r="C261" s="189" t="s">
        <v>68</v>
      </c>
      <c r="D261" s="206" t="s">
        <v>122</v>
      </c>
      <c r="E261" s="173" t="s">
        <v>120</v>
      </c>
      <c r="F261" s="233" t="s">
        <v>114</v>
      </c>
      <c r="G261" s="209" t="s">
        <v>111</v>
      </c>
      <c r="H261" s="209" t="s">
        <v>112</v>
      </c>
      <c r="I261" s="234" t="s">
        <v>113</v>
      </c>
      <c r="J261" s="121" t="s">
        <v>116</v>
      </c>
      <c r="L261" s="162" t="s">
        <v>83</v>
      </c>
      <c r="M261" s="163"/>
      <c r="N261" s="163"/>
      <c r="O261" s="163"/>
      <c r="P261" s="163"/>
      <c r="Q261" s="163"/>
    </row>
    <row r="262" spans="1:18" ht="20" thickBot="1" x14ac:dyDescent="0.3">
      <c r="C262" s="173">
        <v>298.14999999999998</v>
      </c>
      <c r="D262" s="213">
        <f>$B$7*C262/$B$16</f>
        <v>2.4465219442388352E-2</v>
      </c>
      <c r="E262" s="230">
        <f>((2*PI()*$A$28*$U$9*$B$8*$C262)/($B$14*$B$14))^(3/2)</f>
        <v>7.3915021943171691E+31</v>
      </c>
      <c r="F262" s="305">
        <f t="shared" ref="F262:F280" si="34">$B$7*LN(($D262/$B$6)*EXP(5/2)*E262)</f>
        <v>144.79582699251688</v>
      </c>
      <c r="G262" s="261" cm="1">
        <f t="array" ref="G262">$B$7*SUM((($D$42:$D$44)/$C262)/(EXP($D$42:$D$44/$C262)-1)-LN(1-EXP(-$D$42:$D$44/$C262)))</f>
        <v>3.1752886289064121E-2</v>
      </c>
      <c r="H262" s="306">
        <f t="shared" ref="H262:H280" si="35">$B$7*(LN((SQRT(PI())/$A$31)*($C262^(3/2)/SQRT(C$29*D$29*E$29)))+3/2)</f>
        <v>43.864677098069521</v>
      </c>
      <c r="I262" s="263">
        <v>0</v>
      </c>
      <c r="J262" s="203">
        <f>SUM(F262:I262)</f>
        <v>188.69225697687546</v>
      </c>
      <c r="L262" s="1"/>
      <c r="M262" s="1"/>
      <c r="N262" s="1"/>
      <c r="O262" s="1"/>
      <c r="P262" s="1"/>
      <c r="Q262" s="1"/>
    </row>
    <row r="263" spans="1:18" ht="20" thickBot="1" x14ac:dyDescent="0.3">
      <c r="C263" s="150">
        <v>300</v>
      </c>
      <c r="D263" s="213">
        <f>$B$7*C263/$B$16</f>
        <v>2.4617024426350848E-2</v>
      </c>
      <c r="E263" s="230">
        <f>((2*PI()*$A$28*$U$9*$B$8*$C263)/($B$14*$B$14))^(3/2)</f>
        <v>7.4604044372889914E+31</v>
      </c>
      <c r="F263" s="216">
        <f t="shared" si="34"/>
        <v>144.92440418090109</v>
      </c>
      <c r="G263" s="225" cm="1">
        <f t="array" ref="G263">$B$7*SUM((($D$42:$D$44)/$C263)/(EXP($D$42:$D$44/$C263)-1)-LN(1-EXP(-$D$42:$D$44/$C263)))</f>
        <v>3.3123297866383815E-2</v>
      </c>
      <c r="H263" s="235">
        <f t="shared" si="35"/>
        <v>43.941823411100032</v>
      </c>
      <c r="I263" s="219">
        <v>0</v>
      </c>
      <c r="J263" s="203">
        <f>SUM(F263:I263)</f>
        <v>188.89935088986749</v>
      </c>
      <c r="N263" s="200" t="s">
        <v>114</v>
      </c>
      <c r="O263" s="201" t="s">
        <v>111</v>
      </c>
      <c r="P263" s="201" t="s">
        <v>112</v>
      </c>
      <c r="Q263" s="202" t="s">
        <v>113</v>
      </c>
      <c r="R263" s="121" t="s">
        <v>116</v>
      </c>
    </row>
    <row r="264" spans="1:18" ht="20" thickBot="1" x14ac:dyDescent="0.3">
      <c r="C264" s="151">
        <f>C263+100</f>
        <v>400</v>
      </c>
      <c r="D264" s="214">
        <f t="shared" ref="D264:D280" si="36">$B$7*C264/$B$16</f>
        <v>3.2822699235134464E-2</v>
      </c>
      <c r="E264" s="231">
        <f t="shared" ref="E264:E280" si="37">(2*PI()*$A$28*$U$9*$B$8*$C264/($B$14)^2)^(3/2)</f>
        <v>1.1486044027019348E+32</v>
      </c>
      <c r="F264" s="236">
        <f t="shared" si="34"/>
        <v>150.90416373888377</v>
      </c>
      <c r="G264" s="217" cm="1">
        <f t="array" ref="G264">$B$7*SUM((($D$42:$D$44)/$C264)/(EXP($D$42:$D$44/$C264)-1)-LN(1-EXP(-$D$42:$D$44/$C264)))</f>
        <v>0.17695004925508748</v>
      </c>
      <c r="H264" s="218">
        <f t="shared" si="35"/>
        <v>47.529679145889659</v>
      </c>
      <c r="I264" s="221">
        <v>0</v>
      </c>
      <c r="J264" s="330">
        <f t="shared" ref="J264:J280" si="38">SUM(F264:I264)</f>
        <v>198.6107929340285</v>
      </c>
      <c r="M264" s="71" t="s">
        <v>79</v>
      </c>
      <c r="N264" s="239">
        <f>F$262</f>
        <v>144.79582699251688</v>
      </c>
      <c r="O264" s="239">
        <f t="shared" ref="O264:R264" si="39">G$262</f>
        <v>3.1752886289064121E-2</v>
      </c>
      <c r="P264" s="239">
        <f t="shared" si="39"/>
        <v>43.864677098069521</v>
      </c>
      <c r="Q264" s="239">
        <f t="shared" si="39"/>
        <v>0</v>
      </c>
      <c r="R264" s="239">
        <f t="shared" si="39"/>
        <v>188.69225697687546</v>
      </c>
    </row>
    <row r="265" spans="1:18" ht="20" thickBot="1" x14ac:dyDescent="0.3">
      <c r="C265" s="151">
        <f t="shared" ref="C265:C280" si="40">C264+100</f>
        <v>500</v>
      </c>
      <c r="D265" s="214">
        <f t="shared" si="36"/>
        <v>4.1028374043918084E-2</v>
      </c>
      <c r="E265" s="231">
        <f t="shared" si="37"/>
        <v>1.6052234523106776E+32</v>
      </c>
      <c r="F265" s="236">
        <f t="shared" si="34"/>
        <v>155.54242559650098</v>
      </c>
      <c r="G265" s="217" cm="1">
        <f t="array" ref="G265">$B$7*SUM((($D$42:$D$44)/$C265)/(EXP($D$42:$D$44/$C265)-1)-LN(1-EXP(-$D$42:$D$44/$C265)))</f>
        <v>0.47033140820045105</v>
      </c>
      <c r="H265" s="218">
        <f t="shared" si="35"/>
        <v>50.312636260459961</v>
      </c>
      <c r="I265" s="221">
        <v>0</v>
      </c>
      <c r="J265" s="330">
        <f t="shared" si="38"/>
        <v>206.32539326516138</v>
      </c>
      <c r="M265" s="72" t="s">
        <v>80</v>
      </c>
      <c r="N265" s="239">
        <f>E249</f>
        <v>144.79987199999999</v>
      </c>
      <c r="O265" s="239">
        <f>E251</f>
        <v>3.3472000000000002E-2</v>
      </c>
      <c r="P265" s="239">
        <f>E250</f>
        <v>43.865056000000003</v>
      </c>
      <c r="Q265" s="239">
        <f>E248</f>
        <v>0</v>
      </c>
      <c r="R265" s="239">
        <f>E247</f>
        <v>188.69840000000002</v>
      </c>
    </row>
    <row r="266" spans="1:18" ht="22" x14ac:dyDescent="0.3">
      <c r="C266" s="151">
        <f t="shared" si="40"/>
        <v>600</v>
      </c>
      <c r="D266" s="214">
        <f t="shared" si="36"/>
        <v>4.9234048852701696E-2</v>
      </c>
      <c r="E266" s="231">
        <f t="shared" si="37"/>
        <v>2.1101210272005078E+32</v>
      </c>
      <c r="F266" s="236">
        <f t="shared" si="34"/>
        <v>159.33216147602013</v>
      </c>
      <c r="G266" s="217" cm="1">
        <f t="array" ref="G266">$B$7*SUM((($D$42:$D$44)/$C266)/(EXP($D$42:$D$44/$C266)-1)-LN(1-EXP(-$D$42:$D$44/$C266)))</f>
        <v>0.89516253850976324</v>
      </c>
      <c r="H266" s="218">
        <f t="shared" si="35"/>
        <v>52.586477788171436</v>
      </c>
      <c r="I266" s="221">
        <v>0</v>
      </c>
      <c r="J266" s="330">
        <f t="shared" si="38"/>
        <v>212.81380180270133</v>
      </c>
      <c r="L266" s="1"/>
      <c r="M266" s="17" t="s">
        <v>81</v>
      </c>
      <c r="N266" s="164">
        <f>IFERROR(ABS(N264-N265)/N264,0)</f>
        <v>2.7935939640879654E-5</v>
      </c>
      <c r="O266" s="164">
        <f t="shared" ref="O266:R266" si="41">IFERROR(ABS(O264-O265)/O264,0)</f>
        <v>5.4140392003606728E-2</v>
      </c>
      <c r="P266" s="164">
        <f t="shared" si="41"/>
        <v>8.637973776365055E-6</v>
      </c>
      <c r="Q266" s="164">
        <f t="shared" si="41"/>
        <v>0</v>
      </c>
      <c r="R266" s="164">
        <f t="shared" si="41"/>
        <v>3.2555777449405353E-5</v>
      </c>
    </row>
    <row r="267" spans="1:18" ht="19" x14ac:dyDescent="0.25">
      <c r="A267" s="16"/>
      <c r="C267" s="151">
        <f t="shared" si="40"/>
        <v>700</v>
      </c>
      <c r="D267" s="214">
        <f t="shared" si="36"/>
        <v>5.7439723661485309E-2</v>
      </c>
      <c r="E267" s="231">
        <f t="shared" si="37"/>
        <v>2.6590564038002879E+32</v>
      </c>
      <c r="F267" s="236">
        <f t="shared" si="34"/>
        <v>162.53633750690943</v>
      </c>
      <c r="G267" s="217" cm="1">
        <f t="array" ref="G267">$B$7*SUM((($D$42:$D$44)/$C267)/(EXP($D$42:$D$44/$C267)-1)-LN(1-EXP(-$D$42:$D$44/$C267)))</f>
        <v>1.4213718108773707</v>
      </c>
      <c r="H267" s="218">
        <f>$B$7*(LN((SQRT(PI())/$A$31)*($C267^(3/2)/SQRT(C$29*D$29*E$29)))+3/2)</f>
        <v>54.50898340670507</v>
      </c>
      <c r="I267" s="221">
        <v>0</v>
      </c>
      <c r="J267" s="330">
        <f t="shared" si="38"/>
        <v>218.46669272449185</v>
      </c>
    </row>
    <row r="268" spans="1:18" ht="19" x14ac:dyDescent="0.25">
      <c r="A268" s="16"/>
      <c r="C268" s="151">
        <f t="shared" si="40"/>
        <v>800</v>
      </c>
      <c r="D268" s="214">
        <f t="shared" si="36"/>
        <v>6.5645398470268929E-2</v>
      </c>
      <c r="E268" s="231">
        <f t="shared" si="37"/>
        <v>3.2487438482050577E+32</v>
      </c>
      <c r="F268" s="236">
        <f t="shared" si="34"/>
        <v>165.31192103400284</v>
      </c>
      <c r="G268" s="217" cm="1">
        <f t="array" ref="G268">$B$7*SUM((($D$42:$D$44)/$C268)/(EXP($D$42:$D$44/$C268)-1)-LN(1-EXP(-$D$42:$D$44/$C268)))</f>
        <v>2.0260809348117741</v>
      </c>
      <c r="H268" s="218">
        <f t="shared" si="35"/>
        <v>56.174333522961071</v>
      </c>
      <c r="I268" s="221">
        <v>0</v>
      </c>
      <c r="J268" s="330">
        <f t="shared" si="38"/>
        <v>223.51233549177567</v>
      </c>
    </row>
    <row r="269" spans="1:18" ht="19" x14ac:dyDescent="0.25">
      <c r="C269" s="151">
        <f t="shared" si="40"/>
        <v>900</v>
      </c>
      <c r="D269" s="214">
        <f t="shared" si="36"/>
        <v>7.3851073279052548E-2</v>
      </c>
      <c r="E269" s="231">
        <f t="shared" si="37"/>
        <v>3.876539859119036E+32</v>
      </c>
      <c r="F269" s="236">
        <f t="shared" si="34"/>
        <v>167.76015921315638</v>
      </c>
      <c r="G269" s="217" cm="1">
        <f t="array" ref="G269">$B$7*SUM((($D$42:$D$44)/$C269)/(EXP($D$42:$D$44/$C269)-1)-LN(1-EXP(-$D$42:$D$44/$C269)))</f>
        <v>2.6938945201845699</v>
      </c>
      <c r="H269" s="218">
        <f t="shared" si="35"/>
        <v>57.643276430453227</v>
      </c>
      <c r="I269" s="221">
        <v>0</v>
      </c>
      <c r="J269" s="330">
        <f t="shared" si="38"/>
        <v>228.09733016379417</v>
      </c>
    </row>
    <row r="270" spans="1:18" ht="19" x14ac:dyDescent="0.25">
      <c r="C270" s="151">
        <f t="shared" si="40"/>
        <v>1000</v>
      </c>
      <c r="D270" s="214">
        <f t="shared" si="36"/>
        <v>8.2056748087836168E-2</v>
      </c>
      <c r="E270" s="231">
        <f t="shared" si="37"/>
        <v>4.5402575537942556E+32</v>
      </c>
      <c r="F270" s="236">
        <f t="shared" si="34"/>
        <v>169.95018289162005</v>
      </c>
      <c r="G270" s="217" cm="1">
        <f t="array" ref="G270">$B$7*SUM((($D$42:$D$44)/$C270)/(EXP($D$42:$D$44/$C270)-1)-LN(1-EXP(-$D$42:$D$44/$C270)))</f>
        <v>3.4133647581314568</v>
      </c>
      <c r="H270" s="218">
        <f t="shared" si="35"/>
        <v>58.957290637531372</v>
      </c>
      <c r="I270" s="221">
        <v>0</v>
      </c>
      <c r="J270" s="330">
        <f t="shared" si="38"/>
        <v>232.32083828728287</v>
      </c>
    </row>
    <row r="271" spans="1:18" ht="19" x14ac:dyDescent="0.25">
      <c r="C271" s="151">
        <f t="shared" si="40"/>
        <v>1100</v>
      </c>
      <c r="D271" s="214">
        <f t="shared" si="36"/>
        <v>9.0262422896619773E-2</v>
      </c>
      <c r="E271" s="231">
        <f t="shared" si="37"/>
        <v>5.238048524929821E+32</v>
      </c>
      <c r="F271" s="236">
        <f t="shared" si="34"/>
        <v>171.93130028903266</v>
      </c>
      <c r="G271" s="217" cm="1">
        <f t="array" ref="G271">$B$7*SUM((($D$42:$D$44)/$C271)/(EXP($D$42:$D$44/$C271)-1)-LN(1-EXP(-$D$42:$D$44/$C271)))</f>
        <v>4.1746759522715005</v>
      </c>
      <c r="H271" s="218">
        <f t="shared" si="35"/>
        <v>60.145961075978981</v>
      </c>
      <c r="I271" s="221">
        <v>0</v>
      </c>
      <c r="J271" s="330">
        <f t="shared" si="38"/>
        <v>236.25193731728316</v>
      </c>
    </row>
    <row r="272" spans="1:18" ht="19" x14ac:dyDescent="0.25">
      <c r="C272" s="151">
        <f t="shared" si="40"/>
        <v>1200</v>
      </c>
      <c r="D272" s="214">
        <f t="shared" si="36"/>
        <v>9.8468097705403393E-2</v>
      </c>
      <c r="E272" s="231">
        <f t="shared" si="37"/>
        <v>5.9683235498311419E+32</v>
      </c>
      <c r="F272" s="236">
        <f t="shared" si="34"/>
        <v>173.73991877113909</v>
      </c>
      <c r="G272" s="217" cm="1">
        <f t="array" ref="G272">$B$7*SUM((($D$42:$D$44)/$C272)/(EXP($D$42:$D$44/$C272)-1)-LN(1-EXP(-$D$42:$D$44/$C272)))</f>
        <v>4.9687905517921909</v>
      </c>
      <c r="H272" s="218">
        <f t="shared" si="35"/>
        <v>61.231132165242855</v>
      </c>
      <c r="I272" s="221">
        <v>0</v>
      </c>
      <c r="J272" s="330">
        <f t="shared" si="38"/>
        <v>239.93984148817412</v>
      </c>
    </row>
    <row r="273" spans="3:10" ht="19" x14ac:dyDescent="0.25">
      <c r="C273" s="151">
        <f t="shared" si="40"/>
        <v>1300</v>
      </c>
      <c r="D273" s="214">
        <f t="shared" si="36"/>
        <v>0.10667377251418701</v>
      </c>
      <c r="E273" s="231">
        <f t="shared" si="37"/>
        <v>6.7296971123939431E+32</v>
      </c>
      <c r="F273" s="236">
        <f t="shared" si="34"/>
        <v>175.40368649284119</v>
      </c>
      <c r="G273" s="217" cm="1">
        <f t="array" ref="G273">$B$7*SUM((($D$42:$D$44)/$C273)/(EXP($D$42:$D$44/$C273)-1)-LN(1-EXP(-$D$42:$D$44/$C273)))</f>
        <v>5.7873484283634919</v>
      </c>
      <c r="H273" s="218">
        <f t="shared" si="35"/>
        <v>62.229392798264129</v>
      </c>
      <c r="I273" s="221">
        <v>0</v>
      </c>
      <c r="J273" s="330">
        <f t="shared" si="38"/>
        <v>243.42042771946882</v>
      </c>
    </row>
    <row r="274" spans="3:10" ht="19" x14ac:dyDescent="0.25">
      <c r="C274" s="151">
        <f t="shared" si="40"/>
        <v>1400</v>
      </c>
      <c r="D274" s="214">
        <f t="shared" si="36"/>
        <v>0.11487944732297062</v>
      </c>
      <c r="E274" s="231">
        <f t="shared" si="37"/>
        <v>7.520947258738813E+32</v>
      </c>
      <c r="F274" s="236">
        <f t="shared" si="34"/>
        <v>176.94409480202845</v>
      </c>
      <c r="G274" s="217" cm="1">
        <f t="array" ref="G274">$B$7*SUM((($D$42:$D$44)/$C274)/(EXP($D$42:$D$44/$C274)-1)-LN(1-EXP(-$D$42:$D$44/$C274)))</f>
        <v>6.6227972350525546</v>
      </c>
      <c r="H274" s="218">
        <f t="shared" si="35"/>
        <v>63.153637783776496</v>
      </c>
      <c r="I274" s="221">
        <v>0</v>
      </c>
      <c r="J274" s="330">
        <f t="shared" si="38"/>
        <v>246.72052982085751</v>
      </c>
    </row>
    <row r="275" spans="3:10" ht="19" x14ac:dyDescent="0.25">
      <c r="C275" s="151">
        <f t="shared" si="40"/>
        <v>1500</v>
      </c>
      <c r="D275" s="214">
        <f t="shared" si="36"/>
        <v>0.12308512213175424</v>
      </c>
      <c r="E275" s="231">
        <f t="shared" si="37"/>
        <v>8.3409857307096011E+32</v>
      </c>
      <c r="F275" s="236">
        <f t="shared" si="34"/>
        <v>178.37818062875627</v>
      </c>
      <c r="G275" s="217" cm="1">
        <f t="array" ref="G275">$B$7*SUM((($D$42:$D$44)/$C275)/(EXP($D$42:$D$44/$C275)-1)-LN(1-EXP(-$D$42:$D$44/$C275)))</f>
        <v>7.4685154623184529</v>
      </c>
      <c r="H275" s="218">
        <f t="shared" si="35"/>
        <v>64.014089279813163</v>
      </c>
      <c r="I275" s="221">
        <v>0</v>
      </c>
      <c r="J275" s="330">
        <f t="shared" si="38"/>
        <v>249.8607853708879</v>
      </c>
    </row>
    <row r="276" spans="3:10" ht="19" x14ac:dyDescent="0.25">
      <c r="C276" s="151">
        <f t="shared" si="40"/>
        <v>1600</v>
      </c>
      <c r="D276" s="214">
        <f t="shared" si="36"/>
        <v>0.13129079694053786</v>
      </c>
      <c r="E276" s="231">
        <f t="shared" si="37"/>
        <v>9.1888352216153993E+32</v>
      </c>
      <c r="F276" s="236">
        <f t="shared" si="34"/>
        <v>179.71967832912173</v>
      </c>
      <c r="G276" s="217" cm="1">
        <f t="array" ref="G276">$B$7*SUM((($D$42:$D$44)/$C276)/(EXP($D$42:$D$44/$C276)-1)-LN(1-EXP(-$D$42:$D$44/$C276)))</f>
        <v>8.3188589809738858</v>
      </c>
      <c r="H276" s="218">
        <f t="shared" si="35"/>
        <v>64.818987900032496</v>
      </c>
      <c r="I276" s="221">
        <v>0</v>
      </c>
      <c r="J276" s="330">
        <f t="shared" si="38"/>
        <v>252.85752521012813</v>
      </c>
    </row>
    <row r="277" spans="3:10" ht="19" x14ac:dyDescent="0.25">
      <c r="C277" s="151">
        <f t="shared" si="40"/>
        <v>1700</v>
      </c>
      <c r="D277" s="214">
        <f t="shared" si="36"/>
        <v>0.13949647174932148</v>
      </c>
      <c r="E277" s="231">
        <f t="shared" si="37"/>
        <v>1.0063611708077801E+33</v>
      </c>
      <c r="F277" s="236">
        <f t="shared" si="34"/>
        <v>180.9798217181982</v>
      </c>
      <c r="G277" s="217" cm="1">
        <f t="array" ref="G277">$B$7*SUM((($D$42:$D$44)/$C277)/(EXP($D$42:$D$44/$C277)-1)-LN(1-EXP(-$D$42:$D$44/$C277)))</f>
        <v>9.1691341787796183</v>
      </c>
      <c r="H277" s="218">
        <f t="shared" si="35"/>
        <v>65.575073933478336</v>
      </c>
      <c r="I277" s="221">
        <v>0</v>
      </c>
      <c r="J277" s="330">
        <f t="shared" si="38"/>
        <v>255.72402983045615</v>
      </c>
    </row>
    <row r="278" spans="3:10" ht="19" x14ac:dyDescent="0.25">
      <c r="C278" s="151">
        <f t="shared" si="40"/>
        <v>1800</v>
      </c>
      <c r="D278" s="214">
        <f t="shared" si="36"/>
        <v>0.1477021465581051</v>
      </c>
      <c r="E278" s="231">
        <f t="shared" si="37"/>
        <v>1.0964510487692086E+33</v>
      </c>
      <c r="F278" s="236">
        <f t="shared" si="34"/>
        <v>182.16791650827543</v>
      </c>
      <c r="G278" s="217" cm="1">
        <f t="array" ref="G278">$B$7*SUM((($D$42:$D$44)/$C278)/(EXP($D$42:$D$44/$C278)-1)-LN(1-EXP(-$D$42:$D$44/$C278)))</f>
        <v>10.015521809786376</v>
      </c>
      <c r="H278" s="218">
        <f t="shared" si="35"/>
        <v>66.287930807524646</v>
      </c>
      <c r="I278" s="221">
        <v>0</v>
      </c>
      <c r="J278" s="330">
        <f t="shared" si="38"/>
        <v>258.47136912558642</v>
      </c>
    </row>
    <row r="279" spans="3:10" ht="19" x14ac:dyDescent="0.25">
      <c r="C279" s="151">
        <f t="shared" si="40"/>
        <v>1900</v>
      </c>
      <c r="D279" s="214">
        <f t="shared" si="36"/>
        <v>0.15590782136688872</v>
      </c>
      <c r="E279" s="231">
        <f t="shared" si="37"/>
        <v>1.1890794979023541E+33</v>
      </c>
      <c r="F279" s="236">
        <f t="shared" si="34"/>
        <v>183.29175776959931</v>
      </c>
      <c r="G279" s="217" cm="1">
        <f t="array" ref="G279">$B$7*SUM((($D$42:$D$44)/$C279)/(EXP($D$42:$D$44/$C279)-1)-LN(1-EXP(-$D$42:$D$44/$C279)))</f>
        <v>10.85497557570368</v>
      </c>
      <c r="H279" s="218">
        <f t="shared" si="35"/>
        <v>66.962235564319002</v>
      </c>
      <c r="I279" s="221">
        <v>0</v>
      </c>
      <c r="J279" s="330">
        <f t="shared" si="38"/>
        <v>261.10896890962204</v>
      </c>
    </row>
    <row r="280" spans="3:10" ht="20" thickBot="1" x14ac:dyDescent="0.3">
      <c r="C280" s="152">
        <f t="shared" si="40"/>
        <v>2000</v>
      </c>
      <c r="D280" s="215">
        <f t="shared" si="36"/>
        <v>0.16411349617567234</v>
      </c>
      <c r="E280" s="232">
        <f t="shared" si="37"/>
        <v>1.2841787618485493E+33</v>
      </c>
      <c r="F280" s="237">
        <f t="shared" si="34"/>
        <v>184.35794018673906</v>
      </c>
      <c r="G280" s="228" cm="1">
        <f t="array" ref="G280">$B$7*SUM((($D$42:$D$44)/$C280)/(EXP($D$42:$D$44/$C280)-1)-LN(1-EXP(-$D$42:$D$44/$C280)))</f>
        <v>11.685113102002392</v>
      </c>
      <c r="H280" s="238">
        <f t="shared" si="35"/>
        <v>67.601945014602791</v>
      </c>
      <c r="I280" s="223">
        <v>0</v>
      </c>
      <c r="J280" s="331">
        <f t="shared" si="38"/>
        <v>263.64499830334421</v>
      </c>
    </row>
  </sheetData>
  <mergeCells count="9">
    <mergeCell ref="D244:E244"/>
    <mergeCell ref="D245:E245"/>
    <mergeCell ref="F260:J260"/>
    <mergeCell ref="A18:V18"/>
    <mergeCell ref="A53:V53"/>
    <mergeCell ref="H198:K198"/>
    <mergeCell ref="D203:E203"/>
    <mergeCell ref="D212:H212"/>
    <mergeCell ref="H239:K23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78F0-B428-9B40-BE78-74776C340692}">
  <dimension ref="A3:AA280"/>
  <sheetViews>
    <sheetView tabSelected="1" topLeftCell="C241" zoomScaleNormal="82" workbookViewId="0">
      <selection activeCell="O265" sqref="O265"/>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4.16406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47" t="s">
        <v>0</v>
      </c>
      <c r="B5" s="148"/>
      <c r="D5" s="8" t="s">
        <v>13</v>
      </c>
      <c r="E5" s="9"/>
      <c r="F5" s="9"/>
      <c r="G5" s="9"/>
      <c r="H5" s="9"/>
      <c r="I5" s="9"/>
      <c r="J5" s="9"/>
      <c r="K5" s="9"/>
      <c r="L5" s="10"/>
      <c r="N5" s="21" t="s">
        <v>17</v>
      </c>
      <c r="O5" s="22"/>
      <c r="P5" s="22"/>
      <c r="Q5" s="23"/>
      <c r="S5" s="33" t="s">
        <v>34</v>
      </c>
      <c r="T5" s="34"/>
      <c r="U5" s="34"/>
      <c r="V5" s="35"/>
    </row>
    <row r="6" spans="1:22" ht="32" customHeight="1" x14ac:dyDescent="0.3">
      <c r="A6" s="139" t="s">
        <v>1</v>
      </c>
      <c r="B6" s="146">
        <v>6.0221399999999997E+23</v>
      </c>
      <c r="D6" s="15" t="s">
        <v>21</v>
      </c>
      <c r="E6" s="5" t="s">
        <v>7</v>
      </c>
      <c r="F6" s="5" t="s">
        <v>8</v>
      </c>
      <c r="G6" s="5" t="s">
        <v>14</v>
      </c>
      <c r="H6" s="5" t="s">
        <v>9</v>
      </c>
      <c r="I6" s="5" t="s">
        <v>10</v>
      </c>
      <c r="J6" s="6" t="s">
        <v>15</v>
      </c>
      <c r="K6" s="5" t="s">
        <v>11</v>
      </c>
      <c r="L6" s="12" t="s">
        <v>12</v>
      </c>
      <c r="N6" s="32" t="s">
        <v>32</v>
      </c>
      <c r="O6" s="18" t="s">
        <v>18</v>
      </c>
      <c r="P6" s="18" t="s">
        <v>19</v>
      </c>
      <c r="Q6" s="24" t="s">
        <v>20</v>
      </c>
      <c r="S6" s="36" t="s">
        <v>32</v>
      </c>
      <c r="T6" s="37" t="s">
        <v>33</v>
      </c>
      <c r="U6" s="37" t="s">
        <v>35</v>
      </c>
      <c r="V6" s="38" t="s">
        <v>78</v>
      </c>
    </row>
    <row r="7" spans="1:22" ht="22" x14ac:dyDescent="0.3">
      <c r="A7" s="142" t="s">
        <v>2</v>
      </c>
      <c r="B7" s="143">
        <v>8.3143999999999991</v>
      </c>
      <c r="D7" s="11" t="s">
        <v>7</v>
      </c>
      <c r="E7" s="317">
        <v>1</v>
      </c>
      <c r="F7" s="318">
        <v>27.210699999999999</v>
      </c>
      <c r="G7" s="318">
        <v>219474.63</v>
      </c>
      <c r="H7" s="318">
        <v>627.50300000000004</v>
      </c>
      <c r="I7" s="318">
        <v>2625.5</v>
      </c>
      <c r="J7" s="318">
        <v>315777</v>
      </c>
      <c r="K7" s="318">
        <v>4.3599999999999999E-18</v>
      </c>
      <c r="L7" s="319">
        <v>6579660000000000</v>
      </c>
      <c r="N7" s="25" t="s">
        <v>18</v>
      </c>
      <c r="O7" s="19">
        <v>1</v>
      </c>
      <c r="P7" s="19">
        <v>0.52917999956390005</v>
      </c>
      <c r="Q7" s="26">
        <v>5.2917999999999999E-11</v>
      </c>
      <c r="S7" s="39" t="s">
        <v>33</v>
      </c>
      <c r="T7" s="40">
        <v>1</v>
      </c>
      <c r="U7" s="41">
        <v>9.1093800000000005E-31</v>
      </c>
      <c r="V7" s="42">
        <f>U7*V8</f>
        <v>5.4875783132530122E-4</v>
      </c>
    </row>
    <row r="8" spans="1:22" ht="22" x14ac:dyDescent="0.3">
      <c r="A8" s="136" t="s">
        <v>3</v>
      </c>
      <c r="B8" s="137">
        <v>1.38065E-23</v>
      </c>
      <c r="D8" s="11" t="s">
        <v>8</v>
      </c>
      <c r="E8" s="320">
        <v>3.6750199999999997E-2</v>
      </c>
      <c r="F8" s="321">
        <v>1</v>
      </c>
      <c r="G8" s="321">
        <v>8065.73</v>
      </c>
      <c r="H8" s="321">
        <v>23.0609</v>
      </c>
      <c r="I8" s="321">
        <v>96.486900000000006</v>
      </c>
      <c r="J8" s="321">
        <v>11604.9</v>
      </c>
      <c r="K8" s="322">
        <v>1.5999999999999999E-19</v>
      </c>
      <c r="L8" s="323">
        <v>241804000000000</v>
      </c>
      <c r="N8" s="25" t="s">
        <v>19</v>
      </c>
      <c r="O8" s="20">
        <v>1.8897299999999999</v>
      </c>
      <c r="P8" s="19">
        <v>1</v>
      </c>
      <c r="Q8" s="26">
        <v>1E-10</v>
      </c>
      <c r="S8" s="39" t="s">
        <v>35</v>
      </c>
      <c r="T8" s="41">
        <v>1.098E+30</v>
      </c>
      <c r="U8" s="40">
        <v>1</v>
      </c>
      <c r="V8" s="42">
        <f>1/U9</f>
        <v>6.0240963855421691E+26</v>
      </c>
    </row>
    <row r="9" spans="1:22" ht="22" thickBot="1" x14ac:dyDescent="0.3">
      <c r="A9" s="142" t="s">
        <v>4</v>
      </c>
      <c r="B9" s="144">
        <v>1.6021760000000001E-16</v>
      </c>
      <c r="D9" s="11" t="s">
        <v>14</v>
      </c>
      <c r="E9" s="320">
        <v>4.5563300000000003E-6</v>
      </c>
      <c r="F9" s="321">
        <v>1.23981E-4</v>
      </c>
      <c r="G9" s="321">
        <v>1</v>
      </c>
      <c r="H9" s="321">
        <v>2.8590999999999998E-3</v>
      </c>
      <c r="I9" s="321">
        <v>1.1963E-2</v>
      </c>
      <c r="J9" s="321">
        <v>1.42879</v>
      </c>
      <c r="K9" s="321">
        <v>1.9863000000000001E-23</v>
      </c>
      <c r="L9" s="323">
        <v>29979300000</v>
      </c>
      <c r="N9" s="27" t="s">
        <v>20</v>
      </c>
      <c r="O9" s="28">
        <v>18900000000</v>
      </c>
      <c r="P9" s="28">
        <v>10000000000</v>
      </c>
      <c r="Q9" s="29">
        <v>1</v>
      </c>
      <c r="S9" s="43" t="s">
        <v>78</v>
      </c>
      <c r="T9" s="44">
        <f>U9*T8</f>
        <v>1822.6799999999998</v>
      </c>
      <c r="U9" s="44">
        <v>1.6599999999999999E-27</v>
      </c>
      <c r="V9" s="45">
        <v>1</v>
      </c>
    </row>
    <row r="10" spans="1:22" ht="21" x14ac:dyDescent="0.3">
      <c r="A10" s="135" t="s">
        <v>5</v>
      </c>
      <c r="B10" s="138">
        <v>9.1092999999999998E-31</v>
      </c>
      <c r="D10" s="11" t="s">
        <v>9</v>
      </c>
      <c r="E10" s="320">
        <v>1.59362E-3</v>
      </c>
      <c r="F10" s="321">
        <v>4.3363400000000003E-2</v>
      </c>
      <c r="G10" s="321">
        <v>349.75700000000001</v>
      </c>
      <c r="H10" s="321">
        <v>1</v>
      </c>
      <c r="I10" s="321">
        <v>4.1840000000000002</v>
      </c>
      <c r="J10" s="321">
        <v>503.22800000000001</v>
      </c>
      <c r="K10" s="321">
        <v>6.9500000000000005E-21</v>
      </c>
      <c r="L10" s="323">
        <v>10485400000000</v>
      </c>
    </row>
    <row r="11" spans="1:22" ht="22" x14ac:dyDescent="0.3">
      <c r="A11" s="142" t="s">
        <v>16</v>
      </c>
      <c r="B11" s="149">
        <v>8.8541799999999997E-12</v>
      </c>
      <c r="D11" s="11" t="s">
        <v>10</v>
      </c>
      <c r="E11" s="320">
        <v>3.8088E-4</v>
      </c>
      <c r="F11" s="321">
        <v>1.0364099999999999E-2</v>
      </c>
      <c r="G11" s="321">
        <v>83.593000000000004</v>
      </c>
      <c r="H11" s="321">
        <v>0.23900099999999999</v>
      </c>
      <c r="I11" s="321">
        <v>1</v>
      </c>
      <c r="J11" s="321">
        <v>120.274</v>
      </c>
      <c r="K11" s="321">
        <v>1.6599999999999999E-21</v>
      </c>
      <c r="L11" s="323">
        <v>2506070000000</v>
      </c>
    </row>
    <row r="12" spans="1:22" ht="22" x14ac:dyDescent="0.3">
      <c r="A12" s="135" t="s">
        <v>6</v>
      </c>
      <c r="B12" s="138">
        <v>5.2917700000000002E-12</v>
      </c>
      <c r="D12" s="13" t="s">
        <v>15</v>
      </c>
      <c r="E12" s="320">
        <v>3.1667800000000002E-6</v>
      </c>
      <c r="F12" s="321">
        <v>8.6170500000000004E-5</v>
      </c>
      <c r="G12" s="321">
        <v>0.69502799999999998</v>
      </c>
      <c r="H12" s="321">
        <v>1.9872000000000002E-3</v>
      </c>
      <c r="I12" s="321">
        <v>8.3140000000000002E-3</v>
      </c>
      <c r="J12" s="321">
        <v>1</v>
      </c>
      <c r="K12" s="321">
        <v>1.38054E-23</v>
      </c>
      <c r="L12" s="323">
        <v>20836400000</v>
      </c>
    </row>
    <row r="13" spans="1:22" ht="19" x14ac:dyDescent="0.25">
      <c r="A13" s="142" t="s">
        <v>71</v>
      </c>
      <c r="B13" s="145">
        <f>298.15</f>
        <v>298.14999999999998</v>
      </c>
      <c r="D13" s="11" t="s">
        <v>11</v>
      </c>
      <c r="E13" s="320">
        <v>2.294E+17</v>
      </c>
      <c r="F13" s="321">
        <v>6.24181E+18</v>
      </c>
      <c r="G13" s="321">
        <v>5.0344500000000003E+22</v>
      </c>
      <c r="H13" s="321">
        <v>1.44E+20</v>
      </c>
      <c r="I13" s="321">
        <v>6.02E+20</v>
      </c>
      <c r="J13" s="321">
        <v>7.2435399999999999E+22</v>
      </c>
      <c r="K13" s="321">
        <v>1</v>
      </c>
      <c r="L13" s="323">
        <v>1.5093E+33</v>
      </c>
    </row>
    <row r="14" spans="1:22" ht="20" thickBot="1" x14ac:dyDescent="0.3">
      <c r="A14" s="142" t="s">
        <v>76</v>
      </c>
      <c r="B14" s="158">
        <v>6.626068E-34</v>
      </c>
      <c r="D14" s="14" t="s">
        <v>12</v>
      </c>
      <c r="E14" s="324">
        <v>1.5198300000000001E-16</v>
      </c>
      <c r="F14" s="325">
        <v>4.13558E-15</v>
      </c>
      <c r="G14" s="325">
        <v>3.3356499999999997E-11</v>
      </c>
      <c r="H14" s="325">
        <v>9.5370000000000002E-14</v>
      </c>
      <c r="I14" s="325"/>
      <c r="J14" s="325">
        <v>4.7993E-11</v>
      </c>
      <c r="K14" s="325">
        <v>6.62561E-34</v>
      </c>
      <c r="L14" s="326">
        <v>1</v>
      </c>
    </row>
    <row r="15" spans="1:22" ht="19" x14ac:dyDescent="0.25">
      <c r="A15" s="135" t="s">
        <v>72</v>
      </c>
      <c r="B15" s="140">
        <v>1</v>
      </c>
    </row>
    <row r="16" spans="1:22" ht="19" x14ac:dyDescent="0.25">
      <c r="A16" s="142" t="s">
        <v>74</v>
      </c>
      <c r="B16" s="145">
        <v>101325</v>
      </c>
    </row>
    <row r="17" spans="1:27" ht="21" x14ac:dyDescent="0.25">
      <c r="A17" s="139" t="s">
        <v>73</v>
      </c>
      <c r="B17" s="141">
        <v>299792459</v>
      </c>
    </row>
    <row r="18" spans="1:27" ht="30" thickBot="1" x14ac:dyDescent="0.4">
      <c r="A18" s="349" t="s">
        <v>140</v>
      </c>
      <c r="B18" s="349"/>
      <c r="C18" s="349"/>
      <c r="D18" s="349"/>
      <c r="E18" s="349"/>
      <c r="F18" s="349"/>
      <c r="G18" s="349"/>
      <c r="H18" s="349"/>
      <c r="I18" s="349"/>
      <c r="J18" s="349"/>
      <c r="K18" s="349"/>
      <c r="L18" s="349"/>
      <c r="M18" s="349"/>
      <c r="N18" s="349"/>
      <c r="O18" s="349"/>
      <c r="P18" s="349"/>
      <c r="Q18" s="349"/>
      <c r="R18" s="349"/>
      <c r="S18" s="349"/>
      <c r="T18" s="349"/>
      <c r="U18" s="349"/>
      <c r="V18" s="349"/>
    </row>
    <row r="19" spans="1:27" ht="17" thickTop="1" x14ac:dyDescent="0.2"/>
    <row r="20" spans="1:27" ht="17" thickBot="1" x14ac:dyDescent="0.25"/>
    <row r="21" spans="1:27" ht="20" thickBot="1" x14ac:dyDescent="0.3">
      <c r="A21" s="31" t="s">
        <v>23</v>
      </c>
      <c r="B21" s="1"/>
      <c r="C21" s="82" t="s">
        <v>26</v>
      </c>
      <c r="D21" s="63"/>
      <c r="E21" s="63"/>
      <c r="F21" s="64"/>
      <c r="G21" s="1"/>
      <c r="H21" s="31" t="s">
        <v>39</v>
      </c>
      <c r="I21" s="1"/>
      <c r="J21" s="1"/>
      <c r="M21" s="1"/>
      <c r="N21" s="1"/>
      <c r="O21" s="62" t="s">
        <v>57</v>
      </c>
      <c r="P21" s="63"/>
      <c r="Q21" s="63"/>
      <c r="R21" s="64"/>
      <c r="S21" s="1"/>
      <c r="T21" s="1"/>
      <c r="U21" s="1"/>
      <c r="V21" s="1"/>
      <c r="W21" s="1"/>
      <c r="X21" s="1"/>
      <c r="Y21" s="1"/>
      <c r="Z21" s="1"/>
      <c r="AA21" s="1"/>
    </row>
    <row r="22" spans="1:27" ht="20" thickBot="1" x14ac:dyDescent="0.3">
      <c r="A22" s="30">
        <v>298.14999999999998</v>
      </c>
      <c r="B22" s="1"/>
      <c r="C22" s="83"/>
      <c r="D22" s="105" t="s">
        <v>36</v>
      </c>
      <c r="E22" s="106" t="s">
        <v>37</v>
      </c>
      <c r="F22" s="107" t="s">
        <v>38</v>
      </c>
      <c r="G22" s="1"/>
      <c r="H22" s="115" t="s">
        <v>65</v>
      </c>
      <c r="I22" s="116" t="s">
        <v>9</v>
      </c>
      <c r="J22" s="116" t="s">
        <v>10</v>
      </c>
      <c r="K22" s="194" t="s">
        <v>8</v>
      </c>
      <c r="L22" s="117" t="s">
        <v>11</v>
      </c>
      <c r="M22" s="1"/>
      <c r="N22" s="1"/>
      <c r="O22" s="80"/>
      <c r="P22" s="73" t="s">
        <v>43</v>
      </c>
      <c r="Q22" s="74" t="s">
        <v>58</v>
      </c>
      <c r="R22" s="75" t="s">
        <v>44</v>
      </c>
      <c r="S22" s="1"/>
      <c r="T22" s="1"/>
      <c r="U22" s="1"/>
      <c r="V22" s="1"/>
      <c r="W22" s="1"/>
      <c r="X22" s="1"/>
      <c r="Y22" s="1"/>
      <c r="Z22" s="1"/>
      <c r="AA22" s="1"/>
    </row>
    <row r="23" spans="1:27" ht="22" thickBot="1" x14ac:dyDescent="0.3">
      <c r="A23" s="1"/>
      <c r="B23" s="1"/>
      <c r="C23" s="46" t="s">
        <v>31</v>
      </c>
      <c r="D23" s="54">
        <v>0</v>
      </c>
      <c r="E23" s="55">
        <v>31.66677</v>
      </c>
      <c r="F23" s="56">
        <v>31.66677</v>
      </c>
      <c r="G23" s="1"/>
      <c r="H23" s="118">
        <v>5.0169999999999998E-3</v>
      </c>
      <c r="I23" s="119">
        <f>H23*$H$7</f>
        <v>3.1481825510000001</v>
      </c>
      <c r="J23" s="119">
        <f>H23*$I$7</f>
        <v>13.172133499999999</v>
      </c>
      <c r="K23" s="195">
        <f>H23*$F$7</f>
        <v>0.1365160819</v>
      </c>
      <c r="L23" s="246">
        <f>H23*$K$7</f>
        <v>2.187412E-20</v>
      </c>
      <c r="M23" s="1"/>
      <c r="N23" s="1"/>
      <c r="O23" s="65" t="s">
        <v>45</v>
      </c>
      <c r="P23" s="84">
        <v>4.63</v>
      </c>
      <c r="Q23" s="76">
        <v>4.9729999999999999</v>
      </c>
      <c r="R23" s="77">
        <v>47.234000000000002</v>
      </c>
      <c r="S23" s="1"/>
      <c r="T23" s="1"/>
      <c r="U23" s="1"/>
      <c r="V23" s="1"/>
      <c r="W23" s="1"/>
      <c r="X23" s="1"/>
      <c r="Y23" s="1"/>
      <c r="Z23" s="1"/>
      <c r="AA23" s="1"/>
    </row>
    <row r="24" spans="1:27" ht="22" thickBot="1" x14ac:dyDescent="0.3">
      <c r="A24" s="31" t="s">
        <v>24</v>
      </c>
      <c r="B24" s="1"/>
      <c r="C24" s="47" t="s">
        <v>29</v>
      </c>
      <c r="D24" s="208">
        <f>D23*$U$9</f>
        <v>0</v>
      </c>
      <c r="E24" s="58">
        <f t="shared" ref="E24:F24" si="0">E23*$U$9</f>
        <v>5.2566838199999999E-26</v>
      </c>
      <c r="F24" s="338">
        <f t="shared" si="0"/>
        <v>5.2566838199999999E-26</v>
      </c>
      <c r="G24" s="1"/>
      <c r="M24" s="1"/>
      <c r="N24" s="1"/>
      <c r="O24" s="66" t="s">
        <v>46</v>
      </c>
      <c r="P24" s="84">
        <v>0</v>
      </c>
      <c r="Q24" s="76">
        <v>0</v>
      </c>
      <c r="R24" s="77">
        <v>0</v>
      </c>
      <c r="S24" s="1"/>
      <c r="T24" s="1"/>
      <c r="U24" s="1"/>
      <c r="V24" s="1"/>
      <c r="W24" s="1"/>
      <c r="X24" s="1"/>
      <c r="Y24" s="1"/>
      <c r="Z24" s="1"/>
      <c r="AA24" s="1"/>
    </row>
    <row r="25" spans="1:27" ht="22" thickBot="1" x14ac:dyDescent="0.3">
      <c r="A25" s="30">
        <v>1</v>
      </c>
      <c r="B25" s="1"/>
      <c r="C25" s="48" t="s">
        <v>30</v>
      </c>
      <c r="D25" s="59">
        <f>D24*($Q$8)^2</f>
        <v>0</v>
      </c>
      <c r="E25" s="60">
        <f>E24*($Q$8)^2</f>
        <v>5.2566838200000004E-46</v>
      </c>
      <c r="F25" s="61">
        <f t="shared" ref="F25" si="1">F24*($Q$8)^2</f>
        <v>5.2566838200000004E-46</v>
      </c>
      <c r="G25" s="1"/>
      <c r="M25" s="1"/>
      <c r="N25" s="1"/>
      <c r="O25" s="66" t="s">
        <v>47</v>
      </c>
      <c r="P25" s="84">
        <v>0.88900000000000001</v>
      </c>
      <c r="Q25" s="76">
        <v>2.9809999999999999</v>
      </c>
      <c r="R25" s="77">
        <v>35.923000000000002</v>
      </c>
      <c r="S25" s="1"/>
      <c r="T25" s="1"/>
      <c r="U25" s="1"/>
      <c r="V25" s="1"/>
      <c r="W25" s="1"/>
      <c r="X25" s="1"/>
      <c r="Y25" s="1"/>
      <c r="Z25" s="1"/>
      <c r="AA25" s="1"/>
    </row>
    <row r="26" spans="1:27" ht="20" thickBot="1" x14ac:dyDescent="0.3">
      <c r="A26" s="1"/>
      <c r="B26" s="1"/>
      <c r="C26" s="1"/>
      <c r="D26" s="1"/>
      <c r="E26" s="1"/>
      <c r="F26" s="1"/>
      <c r="G26" s="1"/>
      <c r="H26" s="31" t="s">
        <v>40</v>
      </c>
      <c r="I26" s="1"/>
      <c r="J26" s="1"/>
      <c r="K26" s="1"/>
      <c r="M26" s="1"/>
      <c r="N26" s="1"/>
      <c r="O26" s="66" t="s">
        <v>48</v>
      </c>
      <c r="P26" s="84">
        <v>0.59199999999999997</v>
      </c>
      <c r="Q26" s="76">
        <v>1.9870000000000001</v>
      </c>
      <c r="R26" s="77">
        <v>11.31</v>
      </c>
      <c r="S26" s="1"/>
      <c r="T26" s="1"/>
      <c r="U26" s="1"/>
      <c r="V26" s="1"/>
      <c r="W26" s="1"/>
      <c r="X26" s="1"/>
      <c r="Y26" s="1"/>
      <c r="Z26" s="1"/>
      <c r="AA26" s="1"/>
    </row>
    <row r="27" spans="1:27" ht="20" thickBot="1" x14ac:dyDescent="0.3">
      <c r="A27" s="31" t="s">
        <v>25</v>
      </c>
      <c r="B27" s="1"/>
      <c r="C27" s="31" t="s">
        <v>141</v>
      </c>
      <c r="D27" s="1"/>
      <c r="E27" s="1"/>
      <c r="F27" s="1"/>
      <c r="G27" s="1"/>
      <c r="H27" s="115" t="s">
        <v>65</v>
      </c>
      <c r="I27" s="116" t="s">
        <v>9</v>
      </c>
      <c r="J27" s="116" t="s">
        <v>10</v>
      </c>
      <c r="K27" s="194" t="s">
        <v>8</v>
      </c>
      <c r="L27" s="117" t="s">
        <v>11</v>
      </c>
      <c r="M27" s="1"/>
      <c r="N27" s="1"/>
      <c r="O27" s="67" t="s">
        <v>49</v>
      </c>
      <c r="P27" s="96">
        <v>3.149</v>
      </c>
      <c r="Q27" s="78">
        <v>5.0000000000000001E-3</v>
      </c>
      <c r="R27" s="79">
        <v>1E-3</v>
      </c>
      <c r="S27" s="1"/>
      <c r="T27" s="1"/>
      <c r="U27" s="1"/>
      <c r="V27" s="1"/>
      <c r="W27" s="1"/>
      <c r="X27" s="1"/>
      <c r="Y27" s="1"/>
      <c r="Z27" s="1"/>
      <c r="AA27" s="1"/>
    </row>
    <row r="28" spans="1:27" ht="20" thickBot="1" x14ac:dyDescent="0.3">
      <c r="A28" s="30">
        <v>27.994910000000001</v>
      </c>
      <c r="B28" s="1"/>
      <c r="C28" s="293">
        <v>2.73516</v>
      </c>
      <c r="D28" s="104"/>
      <c r="E28" s="104"/>
      <c r="F28" s="1"/>
      <c r="G28" s="1"/>
      <c r="H28" s="111">
        <v>7.378E-3</v>
      </c>
      <c r="I28" s="119">
        <f>H28*$H$7</f>
        <v>4.6297171340000007</v>
      </c>
      <c r="J28" s="119">
        <f>H28*$I$7</f>
        <v>19.370939</v>
      </c>
      <c r="K28" s="120">
        <f>H28*$F$7</f>
        <v>0.20076054460000001</v>
      </c>
      <c r="L28" s="246">
        <f>H28*$K$7</f>
        <v>3.2168079999999997E-20</v>
      </c>
      <c r="M28" s="1"/>
      <c r="N28" s="1"/>
      <c r="O28" s="1"/>
      <c r="P28" s="1"/>
      <c r="Q28" s="1"/>
      <c r="R28" s="1"/>
      <c r="S28" s="1"/>
      <c r="T28" s="1"/>
      <c r="U28" s="1"/>
      <c r="V28" s="1"/>
      <c r="W28" s="1"/>
      <c r="X28" s="1"/>
      <c r="Y28" s="1"/>
      <c r="Z28" s="1"/>
      <c r="AA28" s="1"/>
    </row>
    <row r="29" spans="1:27" ht="20" thickBot="1" x14ac:dyDescent="0.3">
      <c r="A29" s="1"/>
      <c r="B29" s="1"/>
      <c r="C29" s="1"/>
      <c r="D29" s="1"/>
      <c r="E29" s="1"/>
      <c r="F29" s="1"/>
      <c r="G29" s="1"/>
      <c r="L29" s="1"/>
      <c r="M29" s="1"/>
      <c r="N29" s="1"/>
      <c r="O29" s="1"/>
      <c r="P29" s="1"/>
      <c r="Q29" s="1"/>
      <c r="R29" s="1"/>
      <c r="S29" s="1"/>
      <c r="T29" s="1"/>
      <c r="U29" s="1"/>
      <c r="V29" s="1"/>
      <c r="W29" s="1"/>
      <c r="X29" s="1"/>
      <c r="Y29" s="1"/>
      <c r="Z29" s="1"/>
      <c r="AA29" s="1"/>
    </row>
    <row r="30" spans="1:27" ht="20" thickBot="1" x14ac:dyDescent="0.3">
      <c r="A30" s="31" t="s">
        <v>22</v>
      </c>
      <c r="B30" s="1"/>
      <c r="F30" s="1"/>
      <c r="G30" s="1"/>
      <c r="M30" s="1"/>
      <c r="O30" s="90" t="s">
        <v>59</v>
      </c>
      <c r="P30" s="88"/>
      <c r="Q30" s="88"/>
      <c r="R30" s="89"/>
      <c r="S30" s="1"/>
      <c r="T30" s="1"/>
      <c r="U30" s="1"/>
      <c r="V30" s="1"/>
      <c r="W30" s="1"/>
      <c r="X30" s="1"/>
      <c r="Y30" s="1"/>
      <c r="Z30" s="1"/>
      <c r="AA30" s="1"/>
    </row>
    <row r="31" spans="1:27" ht="20" thickBot="1" x14ac:dyDescent="0.3">
      <c r="A31" s="30">
        <v>1</v>
      </c>
      <c r="B31" s="1"/>
      <c r="C31" s="31" t="s">
        <v>28</v>
      </c>
      <c r="D31" s="1"/>
      <c r="E31" s="1"/>
      <c r="F31" s="1"/>
      <c r="G31" s="1"/>
      <c r="H31" s="31" t="s">
        <v>41</v>
      </c>
      <c r="I31" s="1"/>
      <c r="J31" s="1"/>
      <c r="K31" s="1"/>
      <c r="L31" s="1"/>
      <c r="M31" s="1"/>
      <c r="N31" s="1"/>
      <c r="O31" s="87"/>
      <c r="P31" s="68" t="s">
        <v>50</v>
      </c>
      <c r="Q31" s="69" t="s">
        <v>51</v>
      </c>
      <c r="R31" s="70" t="s">
        <v>52</v>
      </c>
      <c r="S31" s="1"/>
      <c r="T31" s="1"/>
      <c r="U31" s="1"/>
      <c r="V31" s="1"/>
      <c r="W31" s="1"/>
      <c r="X31" s="1"/>
      <c r="Y31" s="1"/>
      <c r="Z31" s="1"/>
      <c r="AA31" s="1"/>
    </row>
    <row r="32" spans="1:27" ht="20" thickBot="1" x14ac:dyDescent="0.3">
      <c r="A32" s="1"/>
      <c r="B32" s="1"/>
      <c r="C32" s="104" t="s">
        <v>36</v>
      </c>
      <c r="D32" s="104" t="s">
        <v>37</v>
      </c>
      <c r="E32" s="104" t="s">
        <v>38</v>
      </c>
      <c r="F32" s="1"/>
      <c r="G32" s="1"/>
      <c r="H32" s="115" t="s">
        <v>65</v>
      </c>
      <c r="I32" s="116" t="s">
        <v>9</v>
      </c>
      <c r="J32" s="116" t="s">
        <v>10</v>
      </c>
      <c r="K32" s="194" t="s">
        <v>8</v>
      </c>
      <c r="L32" s="117" t="s">
        <v>11</v>
      </c>
      <c r="M32" s="1"/>
      <c r="N32" s="1"/>
      <c r="O32" s="65" t="s">
        <v>46</v>
      </c>
      <c r="P32" s="85">
        <v>1</v>
      </c>
      <c r="Q32" s="86">
        <v>0</v>
      </c>
      <c r="R32" s="86">
        <v>0</v>
      </c>
      <c r="S32" s="1"/>
      <c r="T32" s="1"/>
      <c r="U32" s="1"/>
      <c r="V32" s="1"/>
      <c r="W32" s="1"/>
      <c r="X32" s="1"/>
      <c r="Y32" s="1"/>
      <c r="Z32" s="1"/>
      <c r="AA32" s="1"/>
    </row>
    <row r="33" spans="1:27" ht="20" thickBot="1" x14ac:dyDescent="0.3">
      <c r="A33" s="1"/>
      <c r="B33" s="1"/>
      <c r="C33" s="49">
        <v>0</v>
      </c>
      <c r="D33" s="50">
        <v>56.991635299999999</v>
      </c>
      <c r="E33" s="51">
        <v>56.991635299999999</v>
      </c>
      <c r="F33" s="1"/>
      <c r="G33" s="1"/>
      <c r="H33" s="111">
        <v>8.3219999999999995E-3</v>
      </c>
      <c r="I33" s="119">
        <f>H33*$H$7</f>
        <v>5.2220799659999999</v>
      </c>
      <c r="J33" s="119">
        <f>H33*$I$7</f>
        <v>21.849411</v>
      </c>
      <c r="K33" s="120">
        <f>H33*$F$7</f>
        <v>0.22644744539999997</v>
      </c>
      <c r="L33" s="246">
        <f>H33*$K$7</f>
        <v>3.6283919999999999E-20</v>
      </c>
      <c r="M33" s="1"/>
      <c r="N33" s="1"/>
      <c r="O33" s="66" t="s">
        <v>47</v>
      </c>
      <c r="P33" s="84">
        <v>5822020</v>
      </c>
      <c r="Q33" s="76">
        <v>6.7650740000000003</v>
      </c>
      <c r="R33" s="76">
        <v>15.577158000000001</v>
      </c>
      <c r="S33" s="1"/>
      <c r="T33" s="1"/>
      <c r="U33" s="1"/>
      <c r="V33" s="1"/>
      <c r="W33" s="1"/>
      <c r="X33" s="1"/>
      <c r="Y33" s="1"/>
      <c r="Z33" s="1"/>
      <c r="AA33" s="1"/>
    </row>
    <row r="34" spans="1:27" ht="19" x14ac:dyDescent="0.25">
      <c r="A34" s="1"/>
      <c r="B34" s="1"/>
      <c r="E34" s="1"/>
      <c r="F34" s="1"/>
      <c r="G34" s="1"/>
      <c r="M34" s="1"/>
      <c r="N34" s="1"/>
      <c r="O34" s="66" t="s">
        <v>48</v>
      </c>
      <c r="P34" s="84">
        <v>109.006</v>
      </c>
      <c r="Q34" s="76">
        <v>2.0374509999999999</v>
      </c>
      <c r="R34" s="76">
        <v>4.6914049999999996</v>
      </c>
      <c r="S34" s="1"/>
      <c r="T34" s="1"/>
      <c r="U34" s="1"/>
      <c r="V34" s="1"/>
      <c r="W34" s="1"/>
      <c r="X34" s="1"/>
      <c r="Y34" s="1"/>
      <c r="Z34" s="1"/>
      <c r="AA34" s="1"/>
    </row>
    <row r="35" spans="1:27" ht="19" x14ac:dyDescent="0.25">
      <c r="A35" s="1"/>
      <c r="B35" s="1"/>
      <c r="E35" s="1"/>
      <c r="F35" s="1"/>
      <c r="H35" s="1"/>
      <c r="I35" s="1"/>
      <c r="J35" s="1"/>
      <c r="K35" s="1"/>
      <c r="L35" s="1"/>
      <c r="M35" s="1"/>
      <c r="N35" s="1"/>
      <c r="O35" s="66" t="s">
        <v>53</v>
      </c>
      <c r="P35" s="84">
        <v>3124440</v>
      </c>
      <c r="Q35" s="76">
        <v>6.4947730000000004</v>
      </c>
      <c r="R35" s="76">
        <v>14.954767</v>
      </c>
      <c r="S35" s="1"/>
      <c r="T35" s="1"/>
      <c r="U35" s="1"/>
      <c r="V35" s="1"/>
      <c r="W35" s="1"/>
      <c r="X35" s="1"/>
      <c r="Y35" s="1"/>
      <c r="Z35" s="1"/>
      <c r="AA35" s="1"/>
    </row>
    <row r="36" spans="1:27" ht="20" thickBot="1" x14ac:dyDescent="0.3">
      <c r="A36" s="1"/>
      <c r="B36" s="1"/>
      <c r="C36" s="31" t="s">
        <v>62</v>
      </c>
      <c r="D36" s="1"/>
      <c r="E36" s="1"/>
      <c r="F36" s="1"/>
      <c r="H36" s="31" t="s">
        <v>42</v>
      </c>
      <c r="I36" s="1"/>
      <c r="J36" s="1"/>
      <c r="K36" s="1"/>
      <c r="L36" s="1"/>
      <c r="M36" s="1"/>
      <c r="N36" s="1"/>
      <c r="O36" s="66" t="s">
        <v>54</v>
      </c>
      <c r="P36" s="84">
        <v>634652000</v>
      </c>
      <c r="Q36" s="76">
        <v>8.8025359999999999</v>
      </c>
      <c r="R36" s="76">
        <v>20.268588000000001</v>
      </c>
      <c r="S36" s="1"/>
      <c r="T36" s="1"/>
      <c r="U36" s="1"/>
      <c r="V36" s="1"/>
      <c r="W36" s="1"/>
      <c r="X36" s="1"/>
      <c r="Y36" s="1"/>
      <c r="Z36" s="1"/>
      <c r="AA36" s="1"/>
    </row>
    <row r="37" spans="1:27" ht="20" thickBot="1" x14ac:dyDescent="0.3">
      <c r="A37" s="1"/>
      <c r="B37" s="1"/>
      <c r="C37" s="102" t="s">
        <v>63</v>
      </c>
      <c r="D37" s="53">
        <v>13172.7</v>
      </c>
      <c r="E37" s="1"/>
      <c r="F37" s="1"/>
      <c r="H37" s="115" t="s">
        <v>65</v>
      </c>
      <c r="I37" s="116" t="s">
        <v>9</v>
      </c>
      <c r="J37" s="116" t="s">
        <v>10</v>
      </c>
      <c r="K37" s="117" t="s">
        <v>8</v>
      </c>
      <c r="L37" s="117" t="s">
        <v>11</v>
      </c>
      <c r="M37" s="1"/>
      <c r="N37" s="1"/>
      <c r="O37" s="66" t="s">
        <v>55</v>
      </c>
      <c r="P37" s="84">
        <v>4.9232E-3</v>
      </c>
      <c r="Q37" s="76">
        <v>-2.3077529999999999</v>
      </c>
      <c r="R37" s="76">
        <v>-5.3137970000000001</v>
      </c>
      <c r="S37" s="1"/>
      <c r="T37" s="1"/>
      <c r="U37" s="1"/>
      <c r="V37" s="1"/>
      <c r="W37" s="1"/>
      <c r="X37" s="1"/>
      <c r="Y37" s="1"/>
      <c r="Z37" s="1"/>
      <c r="AA37" s="1"/>
    </row>
    <row r="38" spans="1:27" ht="20" thickBot="1" x14ac:dyDescent="0.3">
      <c r="A38" s="1"/>
      <c r="B38" s="1"/>
      <c r="C38" s="103" t="s">
        <v>64</v>
      </c>
      <c r="D38" s="114">
        <v>3.1483599999999998</v>
      </c>
      <c r="E38" s="1"/>
      <c r="F38" s="1"/>
      <c r="H38" s="111">
        <v>-1.4120000000000001E-2</v>
      </c>
      <c r="I38" s="119">
        <f>H38*$H$7</f>
        <v>-8.8603423600000006</v>
      </c>
      <c r="J38" s="119">
        <f>H38*$I$7</f>
        <v>-37.07206</v>
      </c>
      <c r="K38" s="120">
        <f>H38*$F$7</f>
        <v>-0.38421508399999998</v>
      </c>
      <c r="L38" s="246">
        <f>H38*$K$7</f>
        <v>-6.1563200000000002E-20</v>
      </c>
      <c r="M38" s="1"/>
      <c r="N38" s="1"/>
      <c r="O38" s="67" t="s">
        <v>56</v>
      </c>
      <c r="P38" s="84">
        <v>1.0000199999999999</v>
      </c>
      <c r="Q38" s="76">
        <v>1.1E-5</v>
      </c>
      <c r="R38" s="76">
        <v>2.4000000000000001E-5</v>
      </c>
      <c r="S38" s="1"/>
      <c r="T38" s="1"/>
      <c r="U38" s="1"/>
      <c r="V38" s="1"/>
      <c r="W38" s="1"/>
      <c r="X38" s="1"/>
      <c r="Y38" s="1"/>
      <c r="Z38" s="1"/>
      <c r="AA38" s="1"/>
    </row>
    <row r="39" spans="1:27" ht="19" x14ac:dyDescent="0.25">
      <c r="A39" s="1"/>
      <c r="B39" s="1"/>
      <c r="C39" s="1"/>
      <c r="D39" s="1"/>
      <c r="E39" s="1"/>
      <c r="F39" s="1"/>
      <c r="J39" s="1"/>
      <c r="K39" s="1"/>
      <c r="L39" s="1"/>
      <c r="M39" s="1"/>
      <c r="N39" s="1"/>
      <c r="O39" s="101"/>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1"/>
      <c r="P40" s="1"/>
      <c r="Q40" s="1"/>
      <c r="R40" s="1"/>
      <c r="S40" s="1"/>
      <c r="T40" s="1"/>
      <c r="U40" s="1"/>
      <c r="V40" s="1"/>
      <c r="W40" s="1"/>
      <c r="X40" s="1"/>
      <c r="Y40" s="1"/>
      <c r="Z40" s="1"/>
      <c r="AA40" s="1"/>
    </row>
    <row r="41" spans="1:27" ht="64" customHeight="1" thickBot="1" x14ac:dyDescent="0.3">
      <c r="A41" s="1"/>
      <c r="B41" s="1"/>
      <c r="D41" s="99" t="s">
        <v>60</v>
      </c>
      <c r="E41" s="100" t="s">
        <v>61</v>
      </c>
      <c r="F41" s="130" t="s">
        <v>69</v>
      </c>
      <c r="G41" s="134" t="s">
        <v>70</v>
      </c>
      <c r="I41" s="1"/>
      <c r="J41" s="1"/>
      <c r="K41" s="1"/>
      <c r="L41" s="1"/>
      <c r="M41" s="1"/>
      <c r="N41" s="1"/>
      <c r="O41" s="1"/>
      <c r="P41" s="1"/>
      <c r="Q41" s="1"/>
      <c r="R41" s="1"/>
      <c r="S41" s="1"/>
      <c r="T41" s="1"/>
      <c r="U41" s="1"/>
      <c r="V41" s="1"/>
      <c r="W41" s="1"/>
      <c r="X41" s="1"/>
      <c r="Y41" s="1"/>
      <c r="Z41" s="1"/>
      <c r="AA41" s="1"/>
    </row>
    <row r="42" spans="1:27" ht="20" thickBot="1" x14ac:dyDescent="0.3">
      <c r="A42" s="1"/>
      <c r="B42" s="1"/>
      <c r="C42" s="199">
        <v>1</v>
      </c>
      <c r="D42" s="294">
        <v>3168.63</v>
      </c>
      <c r="E42" s="295">
        <v>2202.3117000000002</v>
      </c>
      <c r="F42" s="239">
        <f>E42*$L$9</f>
        <v>66023763147810.008</v>
      </c>
      <c r="G42" s="114">
        <v>13.438800000000001</v>
      </c>
      <c r="H42" s="97"/>
      <c r="K42" s="1"/>
      <c r="L42" s="1"/>
      <c r="M42" s="1"/>
      <c r="N42" s="1"/>
      <c r="O42" s="1"/>
      <c r="P42" s="1"/>
      <c r="Q42" s="1"/>
      <c r="R42" s="1"/>
      <c r="S42" s="1"/>
      <c r="T42" s="1"/>
      <c r="U42" s="1"/>
      <c r="V42" s="1"/>
      <c r="W42" s="1"/>
      <c r="X42" s="1"/>
      <c r="Y42" s="1"/>
      <c r="Z42" s="1"/>
      <c r="AA42" s="1"/>
    </row>
    <row r="43" spans="1:27" ht="19" x14ac:dyDescent="0.25">
      <c r="A43" s="1"/>
      <c r="B43" s="1"/>
      <c r="C43" s="97"/>
      <c r="D43" s="1"/>
      <c r="E43" s="1"/>
      <c r="F43" s="4"/>
      <c r="G43" s="1"/>
      <c r="H43" s="97"/>
      <c r="K43" s="1"/>
      <c r="L43" s="1"/>
      <c r="M43" s="1"/>
      <c r="N43" s="1"/>
      <c r="O43" s="1"/>
      <c r="P43" s="1"/>
      <c r="Q43" s="1"/>
      <c r="R43" s="1"/>
      <c r="S43" s="1"/>
      <c r="T43" s="1"/>
      <c r="U43" s="1"/>
      <c r="V43" s="1"/>
      <c r="W43" s="1"/>
      <c r="X43" s="1"/>
      <c r="Y43" s="1"/>
      <c r="Z43" s="1"/>
      <c r="AA43" s="1"/>
    </row>
    <row r="44" spans="1:27" ht="20" thickBot="1" x14ac:dyDescent="0.3">
      <c r="A44" s="1"/>
      <c r="B44" s="1"/>
      <c r="C44" s="97"/>
      <c r="D44" s="1"/>
      <c r="E44" s="1"/>
      <c r="F44" s="4"/>
      <c r="G44" s="1"/>
      <c r="H44" s="97"/>
      <c r="J44" s="191" t="s">
        <v>98</v>
      </c>
      <c r="M44" s="1"/>
      <c r="N44" s="1"/>
      <c r="O44" s="1"/>
      <c r="P44" s="1"/>
      <c r="Q44" s="1"/>
      <c r="R44" s="1"/>
      <c r="S44" s="1"/>
      <c r="T44" s="1"/>
      <c r="U44" s="1"/>
      <c r="V44" s="1"/>
      <c r="W44" s="1"/>
      <c r="X44" s="1"/>
      <c r="Y44" s="1"/>
      <c r="Z44" s="1"/>
      <c r="AA44" s="1"/>
    </row>
    <row r="45" spans="1:27" ht="20" thickBot="1" x14ac:dyDescent="0.3">
      <c r="A45" s="1"/>
      <c r="B45" s="1"/>
      <c r="C45" s="97"/>
      <c r="D45" s="1"/>
      <c r="E45" s="1"/>
      <c r="F45" s="4"/>
      <c r="G45" s="1"/>
      <c r="H45" s="97"/>
      <c r="J45" s="167">
        <v>1</v>
      </c>
      <c r="K45" s="168">
        <f>J45+1</f>
        <v>2</v>
      </c>
      <c r="L45" s="169">
        <f>K45+1</f>
        <v>3</v>
      </c>
      <c r="M45" s="169">
        <f>L45+1</f>
        <v>4</v>
      </c>
      <c r="N45" s="1"/>
      <c r="O45" s="1"/>
      <c r="P45" s="1"/>
      <c r="Q45" s="1"/>
      <c r="R45" s="1"/>
      <c r="S45" s="1"/>
      <c r="T45" s="1"/>
      <c r="U45" s="1"/>
      <c r="V45" s="1"/>
      <c r="W45" s="1"/>
      <c r="X45" s="1"/>
      <c r="Y45" s="1"/>
      <c r="Z45" s="1"/>
      <c r="AA45" s="1"/>
    </row>
    <row r="46" spans="1:27" ht="19" x14ac:dyDescent="0.25">
      <c r="A46" s="1"/>
      <c r="B46" s="1"/>
      <c r="C46" s="97"/>
      <c r="D46" s="1"/>
      <c r="E46" s="1"/>
      <c r="F46" s="4"/>
      <c r="G46" s="1"/>
      <c r="H46" s="97"/>
      <c r="J46" s="76">
        <v>-113.317126082</v>
      </c>
      <c r="K46" s="76">
        <v>-113.317319316</v>
      </c>
      <c r="L46" s="76">
        <v>-113.317323135</v>
      </c>
      <c r="M46" s="76">
        <v>-113.317323135</v>
      </c>
      <c r="N46" s="1"/>
      <c r="O46" s="1"/>
      <c r="P46" s="1"/>
      <c r="Q46" s="1"/>
      <c r="R46" s="1"/>
      <c r="S46" s="1"/>
      <c r="T46" s="1"/>
      <c r="U46" s="1"/>
      <c r="V46" s="1"/>
      <c r="W46" s="1"/>
      <c r="X46" s="1"/>
      <c r="Y46" s="1"/>
      <c r="Z46" s="1"/>
      <c r="AA46" s="1"/>
    </row>
    <row r="47" spans="1:27" ht="19" x14ac:dyDescent="0.25">
      <c r="A47" s="1"/>
      <c r="B47" s="1"/>
      <c r="C47" s="97"/>
      <c r="D47" s="1"/>
      <c r="E47" s="1"/>
      <c r="F47" s="4"/>
      <c r="G47" s="1"/>
      <c r="H47" s="97"/>
      <c r="K47" s="1"/>
      <c r="L47" s="1"/>
      <c r="M47" s="1"/>
      <c r="N47" s="1"/>
      <c r="O47" s="1"/>
      <c r="P47" s="1"/>
      <c r="Q47" s="1"/>
      <c r="R47" s="1"/>
      <c r="S47" s="1"/>
      <c r="T47" s="1"/>
      <c r="U47" s="1"/>
      <c r="V47" s="1"/>
      <c r="W47" s="1"/>
      <c r="X47" s="1"/>
      <c r="Y47" s="1"/>
      <c r="Z47" s="1"/>
      <c r="AA47" s="1"/>
    </row>
    <row r="48" spans="1:27" ht="19" x14ac:dyDescent="0.25">
      <c r="A48" s="1"/>
      <c r="B48" s="1"/>
      <c r="C48" s="97"/>
      <c r="D48" s="1"/>
      <c r="E48" s="1"/>
      <c r="F48" s="4"/>
      <c r="G48" s="1"/>
      <c r="H48" s="97"/>
      <c r="N48" s="1"/>
      <c r="O48" s="1"/>
      <c r="P48" s="1"/>
      <c r="Q48" s="1"/>
      <c r="R48" s="1"/>
      <c r="S48" s="1"/>
      <c r="T48" s="1"/>
      <c r="U48" s="1"/>
      <c r="V48" s="1"/>
      <c r="W48" s="1"/>
      <c r="X48" s="1"/>
      <c r="Y48" s="1"/>
      <c r="Z48" s="1"/>
      <c r="AA48" s="1"/>
    </row>
    <row r="49" spans="1:27" ht="19" x14ac:dyDescent="0.25">
      <c r="A49" s="1"/>
      <c r="B49" s="1"/>
      <c r="C49" s="97"/>
      <c r="D49" s="1"/>
      <c r="E49" s="1"/>
      <c r="F49" s="4"/>
      <c r="G49" s="1"/>
      <c r="H49" s="97"/>
      <c r="K49" s="1"/>
      <c r="L49" s="1"/>
      <c r="M49" s="1"/>
      <c r="N49" s="1"/>
      <c r="O49" s="1"/>
      <c r="P49" s="1"/>
      <c r="Q49" s="1"/>
      <c r="R49" s="1"/>
      <c r="S49" s="1"/>
      <c r="T49" s="1"/>
      <c r="U49" s="1"/>
      <c r="V49" s="1"/>
      <c r="W49" s="1"/>
      <c r="X49" s="1"/>
      <c r="Y49" s="1"/>
      <c r="Z49" s="1"/>
      <c r="AA49" s="1"/>
    </row>
    <row r="50" spans="1:27" ht="19" x14ac:dyDescent="0.25">
      <c r="A50" s="1"/>
      <c r="B50" s="1"/>
      <c r="C50" s="97"/>
      <c r="D50" s="1"/>
      <c r="E50" s="1"/>
      <c r="F50" s="4"/>
      <c r="G50" s="1"/>
      <c r="H50" s="97"/>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0" thickBot="1" x14ac:dyDescent="0.4">
      <c r="A53" s="349" t="s">
        <v>142</v>
      </c>
      <c r="B53" s="349"/>
      <c r="C53" s="349"/>
      <c r="D53" s="349"/>
      <c r="E53" s="349"/>
      <c r="F53" s="349"/>
      <c r="G53" s="349"/>
      <c r="H53" s="349"/>
      <c r="I53" s="349"/>
      <c r="J53" s="349"/>
      <c r="K53" s="349"/>
      <c r="L53" s="349"/>
      <c r="M53" s="349"/>
      <c r="N53" s="349"/>
      <c r="O53" s="349"/>
      <c r="P53" s="349"/>
      <c r="Q53" s="349"/>
      <c r="R53" s="349"/>
      <c r="S53" s="349"/>
      <c r="T53" s="349"/>
      <c r="U53" s="349"/>
      <c r="V53" s="349"/>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25" t="s">
        <v>75</v>
      </c>
      <c r="D56" s="126"/>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57" t="s">
        <v>68</v>
      </c>
      <c r="D64" s="153" t="s">
        <v>67</v>
      </c>
      <c r="E64" s="157" t="s">
        <v>77</v>
      </c>
      <c r="F64" s="1"/>
      <c r="G64" s="1"/>
      <c r="H64" s="162" t="s">
        <v>83</v>
      </c>
      <c r="I64" s="163"/>
      <c r="J64" s="163"/>
      <c r="K64" s="163"/>
      <c r="L64" s="163"/>
      <c r="M64" s="163"/>
      <c r="N64" s="163"/>
      <c r="O64" s="1"/>
      <c r="Q64" s="1"/>
      <c r="R64" s="1"/>
      <c r="S64" s="1"/>
      <c r="T64" s="1"/>
      <c r="U64" s="1"/>
      <c r="V64" s="1"/>
      <c r="W64" s="1"/>
      <c r="X64" s="1"/>
      <c r="Y64" s="1"/>
      <c r="Z64" s="1"/>
      <c r="AA64" s="1"/>
    </row>
    <row r="65" spans="2:27" ht="20" thickBot="1" x14ac:dyDescent="0.3">
      <c r="B65" s="1"/>
      <c r="C65" s="150">
        <v>298.14999999999998</v>
      </c>
      <c r="D65" s="159">
        <f t="shared" ref="D65:D83" si="2">C65*$B$8/$B$16</f>
        <v>4.0625788058228471E-26</v>
      </c>
      <c r="E65" s="154">
        <f xml:space="preserve"> (2*PI()*$A$28*$U$9*$B$8*C65/($B$14^2))^(3/2)*D65</f>
        <v>5819186.7840345129</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0">
        <v>300</v>
      </c>
      <c r="D66" s="159">
        <f t="shared" si="2"/>
        <v>4.0877868245743891E-26</v>
      </c>
      <c r="E66" s="154">
        <f xml:space="preserve"> (2*PI()*$A$28*$U$9*$B$8*C66/($B$14^2))^(3/2)*D66</f>
        <v>5909876.4258579137</v>
      </c>
      <c r="F66" s="1"/>
      <c r="G66" s="1"/>
      <c r="L66" s="157" t="s">
        <v>82</v>
      </c>
      <c r="M66" s="1"/>
      <c r="N66" s="1"/>
      <c r="O66" s="1"/>
      <c r="Q66" s="1"/>
      <c r="R66" s="1"/>
      <c r="S66" s="1"/>
      <c r="T66" s="1"/>
      <c r="U66" s="1"/>
      <c r="V66" s="1"/>
      <c r="W66" s="1"/>
      <c r="X66" s="1"/>
      <c r="Y66" s="1"/>
      <c r="Z66" s="1"/>
      <c r="AA66" s="1"/>
    </row>
    <row r="67" spans="2:27" ht="19" x14ac:dyDescent="0.25">
      <c r="B67" s="1"/>
      <c r="C67" s="151">
        <f>C66+100</f>
        <v>400</v>
      </c>
      <c r="D67" s="160">
        <f t="shared" si="2"/>
        <v>5.4503824327658529E-26</v>
      </c>
      <c r="E67" s="155">
        <f t="shared" ref="E67:E83" si="3" xml:space="preserve"> (2*PI()*$A$28*$U$9*$B$8*C67/($B$14^2))^(3/2)*D67</f>
        <v>12131799.983454125</v>
      </c>
      <c r="F67" s="1"/>
      <c r="G67" s="1"/>
      <c r="K67" s="71" t="s">
        <v>79</v>
      </c>
      <c r="L67" s="131">
        <f>$E$65</f>
        <v>5819186.7840345129</v>
      </c>
      <c r="M67" s="1"/>
      <c r="N67" s="1"/>
      <c r="O67" s="1"/>
      <c r="Q67" s="1"/>
      <c r="R67" s="1"/>
      <c r="S67" s="1"/>
      <c r="T67" s="1"/>
      <c r="U67" s="1"/>
      <c r="V67" s="1"/>
      <c r="W67" s="1"/>
      <c r="X67" s="1"/>
      <c r="Y67" s="1"/>
      <c r="Z67" s="1"/>
      <c r="AA67" s="1"/>
    </row>
    <row r="68" spans="2:27" ht="20" thickBot="1" x14ac:dyDescent="0.3">
      <c r="B68" s="1"/>
      <c r="C68" s="151">
        <f t="shared" ref="C68:C83" si="4">C67+100</f>
        <v>500</v>
      </c>
      <c r="D68" s="160">
        <f t="shared" si="2"/>
        <v>6.812978040957315E-26</v>
      </c>
      <c r="E68" s="155">
        <f t="shared" si="3"/>
        <v>21193382.384714074</v>
      </c>
      <c r="F68" s="1"/>
      <c r="G68" s="1"/>
      <c r="K68" s="72" t="s">
        <v>80</v>
      </c>
      <c r="L68" s="133">
        <f>P33</f>
        <v>5822020</v>
      </c>
      <c r="M68" s="1"/>
      <c r="N68" s="1"/>
      <c r="O68" s="1"/>
      <c r="Q68" s="1"/>
      <c r="R68" s="1"/>
      <c r="S68" s="1"/>
      <c r="T68" s="1"/>
      <c r="U68" s="1"/>
      <c r="V68" s="1"/>
      <c r="W68" s="1"/>
      <c r="X68" s="1"/>
      <c r="Y68" s="1"/>
      <c r="Z68" s="1"/>
      <c r="AA68" s="1"/>
    </row>
    <row r="69" spans="2:27" ht="22" x14ac:dyDescent="0.3">
      <c r="B69" s="1"/>
      <c r="C69" s="151">
        <f t="shared" si="4"/>
        <v>600</v>
      </c>
      <c r="D69" s="160">
        <f t="shared" si="2"/>
        <v>8.1755736491487783E-26</v>
      </c>
      <c r="E69" s="155">
        <f t="shared" si="3"/>
        <v>33431309.573589273</v>
      </c>
      <c r="F69" s="1"/>
      <c r="G69" s="1"/>
      <c r="H69" s="1"/>
      <c r="I69" s="1"/>
      <c r="K69" s="17" t="s">
        <v>81</v>
      </c>
      <c r="L69" s="164">
        <f>ABS(L67-L68)/L67</f>
        <v>4.868748968945726E-4</v>
      </c>
      <c r="M69" s="1"/>
      <c r="N69" s="1"/>
      <c r="O69" s="1"/>
      <c r="Q69" s="1"/>
      <c r="R69" s="1"/>
      <c r="S69" s="1"/>
      <c r="T69" s="1"/>
      <c r="U69" s="1"/>
      <c r="V69" s="1"/>
      <c r="W69" s="1"/>
      <c r="X69" s="1"/>
      <c r="Y69" s="1"/>
      <c r="Z69" s="1"/>
      <c r="AA69" s="1"/>
    </row>
    <row r="70" spans="2:27" ht="19" x14ac:dyDescent="0.25">
      <c r="B70" s="1"/>
      <c r="C70" s="151">
        <f t="shared" si="4"/>
        <v>700</v>
      </c>
      <c r="D70" s="160">
        <f t="shared" si="2"/>
        <v>9.5381692573402415E-26</v>
      </c>
      <c r="E70" s="155">
        <f t="shared" si="3"/>
        <v>49149642.49618905</v>
      </c>
      <c r="F70" s="1"/>
      <c r="G70" s="1"/>
      <c r="Q70" s="1"/>
      <c r="R70" s="1"/>
      <c r="S70" s="1"/>
      <c r="T70" s="1"/>
      <c r="U70" s="1"/>
      <c r="V70" s="1"/>
      <c r="W70" s="1"/>
      <c r="X70" s="1"/>
      <c r="Y70" s="1"/>
      <c r="Z70" s="1"/>
      <c r="AA70" s="1"/>
    </row>
    <row r="71" spans="2:27" ht="19" x14ac:dyDescent="0.25">
      <c r="B71" s="1"/>
      <c r="C71" s="151">
        <f t="shared" si="4"/>
        <v>800</v>
      </c>
      <c r="D71" s="160">
        <f t="shared" si="2"/>
        <v>1.0900764865531706E-25</v>
      </c>
      <c r="E71" s="155">
        <f t="shared" si="3"/>
        <v>68627824.290394261</v>
      </c>
      <c r="F71" s="1"/>
      <c r="G71" s="1"/>
      <c r="Q71" s="1"/>
      <c r="R71" s="1"/>
      <c r="S71" s="1"/>
      <c r="T71" s="1"/>
      <c r="U71" s="1"/>
      <c r="V71" s="1"/>
      <c r="W71" s="1"/>
      <c r="X71" s="1"/>
      <c r="Y71" s="1"/>
      <c r="Z71" s="1"/>
      <c r="AA71" s="1"/>
    </row>
    <row r="72" spans="2:27" ht="19" x14ac:dyDescent="0.25">
      <c r="B72" s="1"/>
      <c r="C72" s="151">
        <f t="shared" si="4"/>
        <v>900</v>
      </c>
      <c r="D72" s="160">
        <f t="shared" si="2"/>
        <v>1.2263360473723168E-25</v>
      </c>
      <c r="E72" s="155">
        <f t="shared" si="3"/>
        <v>92125856.124354914</v>
      </c>
      <c r="F72" s="1"/>
      <c r="G72" s="1"/>
      <c r="Q72" s="1"/>
      <c r="R72" s="1"/>
      <c r="S72" s="1"/>
      <c r="T72" s="1"/>
      <c r="U72" s="1"/>
      <c r="V72" s="1"/>
      <c r="W72" s="1"/>
      <c r="X72" s="1"/>
      <c r="Y72" s="1"/>
      <c r="Z72" s="1"/>
      <c r="AA72" s="1"/>
    </row>
    <row r="73" spans="2:27" ht="19" x14ac:dyDescent="0.25">
      <c r="C73" s="151">
        <f t="shared" si="4"/>
        <v>1000</v>
      </c>
      <c r="D73" s="160">
        <f t="shared" si="2"/>
        <v>1.362595608191463E-25</v>
      </c>
      <c r="E73" s="155">
        <f t="shared" si="3"/>
        <v>119887875.20408711</v>
      </c>
    </row>
    <row r="74" spans="2:27" ht="19" x14ac:dyDescent="0.25">
      <c r="C74" s="151">
        <f t="shared" si="4"/>
        <v>1100</v>
      </c>
      <c r="D74" s="160">
        <f t="shared" si="2"/>
        <v>1.4988551690106094E-25</v>
      </c>
      <c r="E74" s="155">
        <f t="shared" si="3"/>
        <v>152144751.80586106</v>
      </c>
    </row>
    <row r="75" spans="2:27" ht="19" x14ac:dyDescent="0.25">
      <c r="C75" s="151">
        <f t="shared" si="4"/>
        <v>1200</v>
      </c>
      <c r="D75" s="160">
        <f t="shared" si="2"/>
        <v>1.6351147298297557E-25</v>
      </c>
      <c r="E75" s="155">
        <f t="shared" si="3"/>
        <v>189116045.6274516</v>
      </c>
    </row>
    <row r="76" spans="2:27" ht="19" x14ac:dyDescent="0.25">
      <c r="C76" s="151">
        <f t="shared" si="4"/>
        <v>1300</v>
      </c>
      <c r="D76" s="160">
        <f t="shared" si="2"/>
        <v>1.7713742906489019E-25</v>
      </c>
      <c r="E76" s="155">
        <f t="shared" si="3"/>
        <v>231011523.33683923</v>
      </c>
    </row>
    <row r="77" spans="2:27" ht="19" x14ac:dyDescent="0.25">
      <c r="C77" s="151">
        <f t="shared" si="4"/>
        <v>1400</v>
      </c>
      <c r="D77" s="160">
        <f t="shared" si="2"/>
        <v>1.9076338514680483E-25</v>
      </c>
      <c r="E77" s="155">
        <f t="shared" si="3"/>
        <v>278032364.01559907</v>
      </c>
    </row>
    <row r="78" spans="2:27" ht="19" x14ac:dyDescent="0.25">
      <c r="C78" s="151">
        <f t="shared" si="4"/>
        <v>1500</v>
      </c>
      <c r="D78" s="160">
        <f t="shared" si="2"/>
        <v>2.043893412287195E-25</v>
      </c>
      <c r="E78" s="155">
        <f t="shared" si="3"/>
        <v>330372135.67103916</v>
      </c>
    </row>
    <row r="79" spans="2:27" ht="19" x14ac:dyDescent="0.25">
      <c r="C79" s="151">
        <f t="shared" si="4"/>
        <v>1600</v>
      </c>
      <c r="D79" s="160">
        <f t="shared" si="2"/>
        <v>2.1801529731063412E-25</v>
      </c>
      <c r="E79" s="155">
        <f t="shared" si="3"/>
        <v>388217599.47052866</v>
      </c>
    </row>
    <row r="80" spans="2:27" ht="19" x14ac:dyDescent="0.25">
      <c r="C80" s="151">
        <f t="shared" si="4"/>
        <v>1700</v>
      </c>
      <c r="D80" s="160">
        <f t="shared" si="2"/>
        <v>2.3164125339254876E-25</v>
      </c>
      <c r="E80" s="155">
        <f t="shared" si="3"/>
        <v>451749381.49460119</v>
      </c>
    </row>
    <row r="81" spans="3:7" ht="19" x14ac:dyDescent="0.25">
      <c r="C81" s="151">
        <f t="shared" si="4"/>
        <v>1800</v>
      </c>
      <c r="D81" s="160">
        <f t="shared" si="2"/>
        <v>2.4526720947446336E-25</v>
      </c>
      <c r="E81" s="155">
        <f t="shared" si="3"/>
        <v>521142540.70518214</v>
      </c>
    </row>
    <row r="82" spans="3:7" ht="19" x14ac:dyDescent="0.25">
      <c r="C82" s="151">
        <f t="shared" si="4"/>
        <v>1900</v>
      </c>
      <c r="D82" s="160">
        <f t="shared" si="2"/>
        <v>2.58893165556378E-25</v>
      </c>
      <c r="E82" s="155">
        <f t="shared" si="3"/>
        <v>596567054.29174936</v>
      </c>
    </row>
    <row r="83" spans="3:7" ht="20" thickBot="1" x14ac:dyDescent="0.3">
      <c r="C83" s="152">
        <f t="shared" si="4"/>
        <v>2000</v>
      </c>
      <c r="D83" s="161">
        <f t="shared" si="2"/>
        <v>2.725191216382926E-25</v>
      </c>
      <c r="E83" s="156">
        <f t="shared" si="3"/>
        <v>678188236.3108542</v>
      </c>
    </row>
    <row r="92" spans="3:7" ht="22" customHeight="1" x14ac:dyDescent="0.25">
      <c r="F92" s="1" t="s">
        <v>66</v>
      </c>
    </row>
    <row r="93" spans="3:7" ht="27" x14ac:dyDescent="0.35">
      <c r="C93" s="125" t="s">
        <v>84</v>
      </c>
      <c r="D93" s="165"/>
      <c r="E93" s="1"/>
      <c r="F93" s="1"/>
      <c r="G93" s="1"/>
    </row>
    <row r="94" spans="3:7" ht="19" x14ac:dyDescent="0.25">
      <c r="E94" s="1"/>
      <c r="G94" s="1"/>
    </row>
    <row r="95" spans="3:7" ht="20" thickBot="1" x14ac:dyDescent="0.3">
      <c r="E95" s="1"/>
      <c r="F95" s="1"/>
      <c r="G95" s="1"/>
    </row>
    <row r="96" spans="3:7" ht="20" thickBot="1" x14ac:dyDescent="0.3">
      <c r="C96" s="174" t="s">
        <v>86</v>
      </c>
      <c r="E96" s="1"/>
      <c r="F96" s="1"/>
      <c r="G96" s="1"/>
    </row>
    <row r="97" spans="3:22" ht="22" thickBot="1" x14ac:dyDescent="0.3">
      <c r="C97" s="175" t="s">
        <v>87</v>
      </c>
      <c r="D97" s="266" cm="1">
        <f t="array" ref="D97">INDEX($E:$E,(COLUMN(D97)-4)*1+42)</f>
        <v>2202.3117000000002</v>
      </c>
      <c r="E97" s="1"/>
      <c r="F97" s="1"/>
      <c r="G97" s="1"/>
      <c r="H97" s="1"/>
      <c r="I97" s="1"/>
      <c r="J97" s="1"/>
      <c r="K97" s="1"/>
      <c r="L97" s="1"/>
    </row>
    <row r="98" spans="3:22" ht="20" thickBot="1" x14ac:dyDescent="0.3">
      <c r="C98" s="176" t="s">
        <v>88</v>
      </c>
      <c r="D98" s="239">
        <f>D97*$L$9</f>
        <v>66023763147810.008</v>
      </c>
      <c r="E98" s="4"/>
      <c r="F98" s="4"/>
      <c r="G98" s="4"/>
      <c r="H98" s="4"/>
      <c r="I98" s="4"/>
      <c r="J98" s="4"/>
      <c r="K98" s="4"/>
      <c r="L98" s="4"/>
    </row>
    <row r="99" spans="3:22" ht="17" thickBot="1" x14ac:dyDescent="0.25"/>
    <row r="100" spans="3:22" ht="30" customHeight="1" thickBot="1" x14ac:dyDescent="0.5">
      <c r="C100" s="350" t="s">
        <v>89</v>
      </c>
      <c r="D100" s="360"/>
      <c r="E100" s="187" t="s">
        <v>90</v>
      </c>
    </row>
    <row r="101" spans="3:22" ht="38" customHeight="1" thickBot="1" x14ac:dyDescent="0.35">
      <c r="C101" s="166" t="s">
        <v>85</v>
      </c>
      <c r="D101" s="297">
        <v>1</v>
      </c>
      <c r="E101" s="268"/>
      <c r="F101" s="280"/>
      <c r="G101" s="162" t="s">
        <v>83</v>
      </c>
      <c r="H101" s="163"/>
      <c r="I101" s="163"/>
      <c r="J101" s="163"/>
      <c r="K101" s="163"/>
      <c r="L101" s="1"/>
      <c r="V101" s="1"/>
    </row>
    <row r="102" spans="3:22" ht="20" thickBot="1" x14ac:dyDescent="0.3">
      <c r="C102" s="173">
        <v>298.14999999999998</v>
      </c>
      <c r="D102" s="307">
        <f>EXP(-($B$14*D$98)/(2*$B$8*$C102))/(1-EXP(-($B$14*D$98)/($B$8*$C102)))</f>
        <v>4.9231486510156811E-3</v>
      </c>
      <c r="E102" s="269">
        <f xml:space="preserve"> PRODUCT(D102)</f>
        <v>4.9231486510156811E-3</v>
      </c>
      <c r="F102" s="16"/>
    </row>
    <row r="103" spans="3:22" ht="20" thickBot="1" x14ac:dyDescent="0.3">
      <c r="C103" s="122">
        <v>300</v>
      </c>
      <c r="D103" s="308">
        <f t="shared" ref="D103:D120" si="5">EXP(-($B$14*D$98)/(2*$B$8*$C103))/(1-EXP(-($B$14*D$98)/($B$8*$C103)))</f>
        <v>5.0871541240202732E-3</v>
      </c>
      <c r="E103" s="270">
        <f t="shared" ref="E103:E120" si="6" xml:space="preserve"> PRODUCT(D103)</f>
        <v>5.0871541240202732E-3</v>
      </c>
      <c r="F103" s="16"/>
      <c r="I103" s="157" t="s">
        <v>82</v>
      </c>
    </row>
    <row r="104" spans="3:22" ht="19" x14ac:dyDescent="0.25">
      <c r="C104" s="123">
        <f>C103+100</f>
        <v>400</v>
      </c>
      <c r="D104" s="308">
        <f t="shared" si="5"/>
        <v>1.9054841624569847E-2</v>
      </c>
      <c r="E104" s="270">
        <f t="shared" si="6"/>
        <v>1.9054841624569847E-2</v>
      </c>
      <c r="F104" s="16"/>
      <c r="H104" s="71" t="s">
        <v>79</v>
      </c>
      <c r="I104" s="131">
        <f>E102</f>
        <v>4.9231486510156811E-3</v>
      </c>
    </row>
    <row r="105" spans="3:22" ht="20" thickBot="1" x14ac:dyDescent="0.3">
      <c r="C105" s="123">
        <f t="shared" ref="C105:C120" si="7">C104+100</f>
        <v>500</v>
      </c>
      <c r="D105" s="308">
        <f t="shared" si="5"/>
        <v>4.2135406872049391E-2</v>
      </c>
      <c r="E105" s="270">
        <f t="shared" si="6"/>
        <v>4.2135406872049391E-2</v>
      </c>
      <c r="F105" s="16"/>
      <c r="H105" s="72" t="s">
        <v>80</v>
      </c>
      <c r="I105" s="133">
        <f>P37</f>
        <v>4.9232E-3</v>
      </c>
    </row>
    <row r="106" spans="3:22" ht="22" x14ac:dyDescent="0.3">
      <c r="C106" s="123">
        <f t="shared" si="7"/>
        <v>600</v>
      </c>
      <c r="D106" s="308">
        <f t="shared" si="5"/>
        <v>7.1688044286948749E-2</v>
      </c>
      <c r="E106" s="270">
        <f t="shared" si="6"/>
        <v>7.1688044286948749E-2</v>
      </c>
      <c r="F106" s="16"/>
      <c r="H106" s="17" t="s">
        <v>81</v>
      </c>
      <c r="I106" s="164">
        <f>ABS(I104-I105)/I104</f>
        <v>1.0430110475807803E-5</v>
      </c>
    </row>
    <row r="107" spans="3:22" ht="19" x14ac:dyDescent="0.25">
      <c r="C107" s="123">
        <f t="shared" si="7"/>
        <v>700</v>
      </c>
      <c r="D107" s="308">
        <f t="shared" si="5"/>
        <v>0.10514273316292055</v>
      </c>
      <c r="E107" s="270">
        <f t="shared" si="6"/>
        <v>0.10514273316292055</v>
      </c>
      <c r="F107" s="16"/>
    </row>
    <row r="108" spans="3:22" ht="19" x14ac:dyDescent="0.25">
      <c r="C108" s="123">
        <f t="shared" si="7"/>
        <v>800</v>
      </c>
      <c r="D108" s="308">
        <f t="shared" si="5"/>
        <v>0.14069416374876173</v>
      </c>
      <c r="E108" s="270">
        <f t="shared" si="6"/>
        <v>0.14069416374876173</v>
      </c>
      <c r="F108" s="16"/>
    </row>
    <row r="109" spans="3:22" ht="19" x14ac:dyDescent="0.25">
      <c r="C109" s="123">
        <f t="shared" si="7"/>
        <v>900</v>
      </c>
      <c r="D109" s="308">
        <f t="shared" si="5"/>
        <v>0.1772260117240739</v>
      </c>
      <c r="E109" s="270">
        <f t="shared" si="6"/>
        <v>0.1772260117240739</v>
      </c>
      <c r="F109" s="16"/>
    </row>
    <row r="110" spans="3:22" ht="19" x14ac:dyDescent="0.25">
      <c r="C110" s="123">
        <f t="shared" si="7"/>
        <v>1000</v>
      </c>
      <c r="D110" s="308">
        <f t="shared" si="5"/>
        <v>0.21409236554383554</v>
      </c>
      <c r="E110" s="270">
        <f t="shared" si="6"/>
        <v>0.21409236554383554</v>
      </c>
      <c r="F110" s="16"/>
    </row>
    <row r="111" spans="3:22" ht="19" x14ac:dyDescent="0.25">
      <c r="C111" s="123">
        <f t="shared" si="7"/>
        <v>1100</v>
      </c>
      <c r="D111" s="308">
        <f t="shared" si="5"/>
        <v>0.25093724825300529</v>
      </c>
      <c r="E111" s="270">
        <f t="shared" si="6"/>
        <v>0.25093724825300529</v>
      </c>
      <c r="F111" s="16"/>
    </row>
    <row r="112" spans="3:22" ht="19" x14ac:dyDescent="0.25">
      <c r="C112" s="123">
        <f t="shared" si="7"/>
        <v>1200</v>
      </c>
      <c r="D112" s="308">
        <f t="shared" si="5"/>
        <v>0.2875751767591051</v>
      </c>
      <c r="E112" s="270">
        <f t="shared" si="6"/>
        <v>0.2875751767591051</v>
      </c>
      <c r="F112" s="16"/>
    </row>
    <row r="113" spans="2:15" ht="19" x14ac:dyDescent="0.25">
      <c r="C113" s="123">
        <f t="shared" si="7"/>
        <v>1300</v>
      </c>
      <c r="D113" s="308">
        <f t="shared" si="5"/>
        <v>0.32391833665024211</v>
      </c>
      <c r="E113" s="270">
        <f t="shared" si="6"/>
        <v>0.32391833665024211</v>
      </c>
      <c r="F113" s="16"/>
    </row>
    <row r="114" spans="2:15" ht="19" x14ac:dyDescent="0.25">
      <c r="C114" s="123">
        <f t="shared" si="7"/>
        <v>1400</v>
      </c>
      <c r="D114" s="308">
        <f t="shared" si="5"/>
        <v>0.3599337159308883</v>
      </c>
      <c r="E114" s="270">
        <f t="shared" si="6"/>
        <v>0.3599337159308883</v>
      </c>
      <c r="F114" s="16"/>
    </row>
    <row r="115" spans="2:15" ht="19" x14ac:dyDescent="0.25">
      <c r="C115" s="123">
        <f t="shared" si="7"/>
        <v>1500</v>
      </c>
      <c r="D115" s="308">
        <f t="shared" si="5"/>
        <v>0.39561827494920127</v>
      </c>
      <c r="E115" s="270">
        <f t="shared" si="6"/>
        <v>0.39561827494920127</v>
      </c>
      <c r="F115" s="16"/>
    </row>
    <row r="116" spans="2:15" ht="19" x14ac:dyDescent="0.25">
      <c r="C116" s="123">
        <f t="shared" si="7"/>
        <v>1600</v>
      </c>
      <c r="D116" s="308">
        <f t="shared" si="5"/>
        <v>0.43098468715454891</v>
      </c>
      <c r="E116" s="270">
        <f t="shared" si="6"/>
        <v>0.43098468715454891</v>
      </c>
      <c r="F116" s="16"/>
    </row>
    <row r="117" spans="2:15" ht="19" x14ac:dyDescent="0.25">
      <c r="C117" s="123">
        <f t="shared" si="7"/>
        <v>1700</v>
      </c>
      <c r="D117" s="308">
        <f t="shared" si="5"/>
        <v>0.4660532126807474</v>
      </c>
      <c r="E117" s="270">
        <f t="shared" si="6"/>
        <v>0.4660532126807474</v>
      </c>
      <c r="F117" s="16"/>
    </row>
    <row r="118" spans="2:15" ht="19" x14ac:dyDescent="0.25">
      <c r="C118" s="123">
        <f t="shared" si="7"/>
        <v>1800</v>
      </c>
      <c r="D118" s="308">
        <f t="shared" si="5"/>
        <v>0.50084711988216657</v>
      </c>
      <c r="E118" s="270">
        <f t="shared" si="6"/>
        <v>0.50084711988216657</v>
      </c>
      <c r="F118" s="16"/>
    </row>
    <row r="119" spans="2:15" ht="19" x14ac:dyDescent="0.25">
      <c r="C119" s="123">
        <f t="shared" si="7"/>
        <v>1900</v>
      </c>
      <c r="D119" s="308">
        <f t="shared" si="5"/>
        <v>0.53539015862716988</v>
      </c>
      <c r="E119" s="270">
        <f t="shared" si="6"/>
        <v>0.53539015862716988</v>
      </c>
      <c r="F119" s="16"/>
    </row>
    <row r="120" spans="2:15" ht="20" thickBot="1" x14ac:dyDescent="0.3">
      <c r="C120" s="124">
        <f t="shared" si="7"/>
        <v>2000</v>
      </c>
      <c r="D120" s="309">
        <f t="shared" si="5"/>
        <v>0.56970521891876702</v>
      </c>
      <c r="E120" s="292">
        <f t="shared" si="6"/>
        <v>0.56970521891876702</v>
      </c>
      <c r="F120" s="16"/>
    </row>
    <row r="127" spans="2:15" ht="19" x14ac:dyDescent="0.25">
      <c r="B127" s="1"/>
      <c r="C127" s="1"/>
      <c r="D127" s="1"/>
      <c r="E127" s="1"/>
      <c r="F127" s="1" t="s">
        <v>66</v>
      </c>
      <c r="G127" s="1"/>
      <c r="H127" s="1"/>
      <c r="I127" s="1"/>
      <c r="J127" s="1"/>
      <c r="K127" s="1"/>
      <c r="L127" s="1"/>
      <c r="M127" s="1"/>
      <c r="N127" s="1"/>
      <c r="O127" s="1"/>
    </row>
    <row r="128" spans="2:15" ht="27" x14ac:dyDescent="0.35">
      <c r="B128" s="1"/>
      <c r="C128" s="125" t="s">
        <v>91</v>
      </c>
      <c r="D128" s="126"/>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1" x14ac:dyDescent="0.25">
      <c r="B130" s="1"/>
      <c r="C130" s="345" t="s">
        <v>143</v>
      </c>
      <c r="D130" s="347"/>
      <c r="E130" s="1"/>
      <c r="F130" s="1"/>
      <c r="G130" s="1"/>
      <c r="H130" s="1"/>
      <c r="I130" s="1"/>
      <c r="J130" s="1"/>
      <c r="K130" s="1"/>
      <c r="L130" s="1"/>
      <c r="M130" s="1"/>
      <c r="N130" s="1"/>
      <c r="O130" s="1"/>
    </row>
    <row r="131" spans="2:15" ht="20" thickBot="1" x14ac:dyDescent="0.3">
      <c r="B131" s="1"/>
      <c r="C131" s="362">
        <f>(D132*D133)/(D132+D133)*(D134^2)</f>
        <v>1.4730485566210962E-46</v>
      </c>
      <c r="D131" s="363"/>
      <c r="E131" s="104"/>
      <c r="F131" s="104"/>
      <c r="G131" s="1"/>
      <c r="H131" s="1"/>
      <c r="I131" s="1"/>
      <c r="J131" s="1"/>
      <c r="K131" s="1"/>
      <c r="L131" s="1"/>
      <c r="M131" s="1"/>
      <c r="N131" s="1"/>
      <c r="O131" s="1"/>
    </row>
    <row r="132" spans="2:15" ht="22" thickBot="1" x14ac:dyDescent="0.35">
      <c r="B132" s="1"/>
      <c r="C132" s="298" t="s">
        <v>144</v>
      </c>
      <c r="D132" s="299">
        <f>12.011*$U$9</f>
        <v>1.9938259999999996E-26</v>
      </c>
      <c r="E132" s="4"/>
      <c r="F132" s="4"/>
      <c r="G132" s="1"/>
      <c r="H132" s="1"/>
      <c r="I132" s="1"/>
      <c r="J132" s="1"/>
      <c r="K132" s="1"/>
      <c r="L132" s="1"/>
      <c r="M132" s="1"/>
      <c r="N132" s="1"/>
      <c r="O132" s="1"/>
    </row>
    <row r="133" spans="2:15" ht="22" thickBot="1" x14ac:dyDescent="0.35">
      <c r="B133" s="1"/>
      <c r="C133" s="176" t="s">
        <v>145</v>
      </c>
      <c r="D133" s="299">
        <f>15.999*$U$9</f>
        <v>2.6558340000000001E-26</v>
      </c>
      <c r="E133" s="1"/>
      <c r="F133" s="1"/>
      <c r="G133" s="1"/>
      <c r="H133" s="1"/>
      <c r="I133" s="1"/>
      <c r="J133" s="1"/>
      <c r="K133" s="1"/>
      <c r="L133" s="1"/>
      <c r="M133" s="1"/>
      <c r="N133" s="1"/>
      <c r="O133" s="1"/>
    </row>
    <row r="134" spans="2:15" ht="22" thickBot="1" x14ac:dyDescent="0.35">
      <c r="B134" s="1"/>
      <c r="C134" s="176" t="s">
        <v>146</v>
      </c>
      <c r="D134" s="64">
        <f>1.1373*10^-10</f>
        <v>1.1373E-10</v>
      </c>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89" t="s">
        <v>68</v>
      </c>
      <c r="D136" s="157" t="s">
        <v>147</v>
      </c>
      <c r="E136" s="300"/>
      <c r="F136" s="1"/>
      <c r="G136" s="1"/>
      <c r="H136" s="162" t="s">
        <v>83</v>
      </c>
      <c r="I136" s="163"/>
      <c r="J136" s="163"/>
      <c r="K136" s="163"/>
      <c r="L136" s="163"/>
      <c r="M136" s="163"/>
      <c r="N136" s="163"/>
      <c r="O136" s="1"/>
    </row>
    <row r="137" spans="2:15" ht="20" thickBot="1" x14ac:dyDescent="0.3">
      <c r="B137" s="1"/>
      <c r="C137" s="150">
        <v>298.14999999999998</v>
      </c>
      <c r="D137" s="154">
        <f t="shared" ref="D137:D155" si="8">(8*PI()^2*$C137*$C$131*$B$8)/($H$139*$B$14^2)</f>
        <v>109.04692642538389</v>
      </c>
      <c r="E137" s="4"/>
      <c r="F137" s="4"/>
      <c r="G137" s="1"/>
      <c r="H137" s="1"/>
      <c r="I137" s="1"/>
      <c r="J137" s="1"/>
      <c r="K137" s="1"/>
      <c r="L137" s="1"/>
      <c r="M137" s="1"/>
      <c r="N137" s="1"/>
      <c r="O137" s="1"/>
    </row>
    <row r="138" spans="2:15" ht="20" thickBot="1" x14ac:dyDescent="0.3">
      <c r="B138" s="1"/>
      <c r="C138" s="150">
        <v>300</v>
      </c>
      <c r="D138" s="154">
        <f t="shared" si="8"/>
        <v>109.72355501464084</v>
      </c>
      <c r="E138" s="4"/>
      <c r="F138" s="1"/>
      <c r="G138" s="1"/>
      <c r="L138" s="157" t="s">
        <v>148</v>
      </c>
      <c r="M138" s="300"/>
      <c r="N138" s="1"/>
      <c r="O138" s="1"/>
    </row>
    <row r="139" spans="2:15" ht="20" thickBot="1" x14ac:dyDescent="0.3">
      <c r="B139" s="1"/>
      <c r="C139" s="151">
        <f>C138+100</f>
        <v>400</v>
      </c>
      <c r="D139" s="155">
        <f t="shared" si="8"/>
        <v>146.29807335285446</v>
      </c>
      <c r="E139" s="4"/>
      <c r="F139" s="1"/>
      <c r="G139" s="108" t="s">
        <v>124</v>
      </c>
      <c r="H139" s="113">
        <v>1</v>
      </c>
      <c r="K139" s="71" t="s">
        <v>79</v>
      </c>
      <c r="L139" s="131">
        <f>$D$137</f>
        <v>109.04692642538389</v>
      </c>
      <c r="M139" s="4"/>
      <c r="N139" s="1"/>
      <c r="O139" s="1"/>
    </row>
    <row r="140" spans="2:15" ht="20" thickBot="1" x14ac:dyDescent="0.3">
      <c r="B140" s="1"/>
      <c r="C140" s="151">
        <f t="shared" ref="C140:C155" si="9">C139+100</f>
        <v>500</v>
      </c>
      <c r="D140" s="155">
        <f t="shared" si="8"/>
        <v>182.87259169106807</v>
      </c>
      <c r="E140" s="4"/>
      <c r="F140" s="1"/>
      <c r="G140" s="1"/>
      <c r="K140" s="72" t="s">
        <v>80</v>
      </c>
      <c r="L140" s="133">
        <f>P34</f>
        <v>109.006</v>
      </c>
      <c r="M140" s="4"/>
      <c r="N140" s="1"/>
      <c r="O140" s="1"/>
    </row>
    <row r="141" spans="2:15" ht="22" x14ac:dyDescent="0.3">
      <c r="B141" s="1"/>
      <c r="C141" s="151">
        <f t="shared" si="9"/>
        <v>600</v>
      </c>
      <c r="D141" s="155">
        <f t="shared" si="8"/>
        <v>219.44711002928167</v>
      </c>
      <c r="E141" s="4"/>
      <c r="F141" s="1"/>
      <c r="G141" s="1"/>
      <c r="H141" s="1"/>
      <c r="I141" s="1"/>
      <c r="K141" s="17" t="s">
        <v>81</v>
      </c>
      <c r="L141" s="164">
        <f>ABS(L139-L140)/L139</f>
        <v>3.7531021483573141E-4</v>
      </c>
      <c r="M141" s="301"/>
      <c r="N141" s="1"/>
      <c r="O141" s="1"/>
    </row>
    <row r="142" spans="2:15" ht="19" x14ac:dyDescent="0.25">
      <c r="B142" s="1"/>
      <c r="C142" s="151">
        <f t="shared" si="9"/>
        <v>700</v>
      </c>
      <c r="D142" s="155">
        <f t="shared" si="8"/>
        <v>256.02162836749528</v>
      </c>
      <c r="E142" s="4"/>
      <c r="F142" s="1"/>
      <c r="G142" s="1"/>
    </row>
    <row r="143" spans="2:15" ht="19" x14ac:dyDescent="0.25">
      <c r="B143" s="1"/>
      <c r="C143" s="151">
        <f t="shared" si="9"/>
        <v>800</v>
      </c>
      <c r="D143" s="155">
        <f t="shared" si="8"/>
        <v>292.59614670570892</v>
      </c>
      <c r="E143" s="4"/>
      <c r="F143" s="1"/>
      <c r="G143" s="1"/>
    </row>
    <row r="144" spans="2:15" ht="19" x14ac:dyDescent="0.25">
      <c r="B144" s="1"/>
      <c r="C144" s="151">
        <f t="shared" si="9"/>
        <v>900</v>
      </c>
      <c r="D144" s="155">
        <f t="shared" si="8"/>
        <v>329.1706650439225</v>
      </c>
      <c r="E144" s="4"/>
      <c r="F144" s="1"/>
      <c r="G144" s="1"/>
    </row>
    <row r="145" spans="3:5" ht="19" x14ac:dyDescent="0.25">
      <c r="C145" s="151">
        <f t="shared" si="9"/>
        <v>1000</v>
      </c>
      <c r="D145" s="155">
        <f t="shared" si="8"/>
        <v>365.74518338213613</v>
      </c>
      <c r="E145" s="4"/>
    </row>
    <row r="146" spans="3:5" ht="19" x14ac:dyDescent="0.25">
      <c r="C146" s="151">
        <f t="shared" si="9"/>
        <v>1100</v>
      </c>
      <c r="D146" s="155">
        <f t="shared" si="8"/>
        <v>402.31970172034977</v>
      </c>
      <c r="E146" s="4"/>
    </row>
    <row r="147" spans="3:5" ht="19" x14ac:dyDescent="0.25">
      <c r="C147" s="151">
        <f t="shared" si="9"/>
        <v>1200</v>
      </c>
      <c r="D147" s="155">
        <f t="shared" si="8"/>
        <v>438.89422005856335</v>
      </c>
      <c r="E147" s="4"/>
    </row>
    <row r="148" spans="3:5" ht="19" x14ac:dyDescent="0.25">
      <c r="C148" s="151">
        <f t="shared" si="9"/>
        <v>1300</v>
      </c>
      <c r="D148" s="155">
        <f t="shared" si="8"/>
        <v>475.46873839677704</v>
      </c>
      <c r="E148" s="4"/>
    </row>
    <row r="149" spans="3:5" ht="19" x14ac:dyDescent="0.25">
      <c r="C149" s="151">
        <f t="shared" si="9"/>
        <v>1400</v>
      </c>
      <c r="D149" s="155">
        <f t="shared" si="8"/>
        <v>512.04325673499056</v>
      </c>
      <c r="E149" s="4"/>
    </row>
    <row r="150" spans="3:5" ht="19" x14ac:dyDescent="0.25">
      <c r="C150" s="151">
        <f t="shared" si="9"/>
        <v>1500</v>
      </c>
      <c r="D150" s="155">
        <f t="shared" si="8"/>
        <v>548.61777507320414</v>
      </c>
      <c r="E150" s="4"/>
    </row>
    <row r="151" spans="3:5" ht="19" x14ac:dyDescent="0.25">
      <c r="C151" s="151">
        <f t="shared" si="9"/>
        <v>1600</v>
      </c>
      <c r="D151" s="155">
        <f t="shared" si="8"/>
        <v>585.19229341141784</v>
      </c>
      <c r="E151" s="4"/>
    </row>
    <row r="152" spans="3:5" ht="19" x14ac:dyDescent="0.25">
      <c r="C152" s="151">
        <f t="shared" si="9"/>
        <v>1700</v>
      </c>
      <c r="D152" s="155">
        <f t="shared" si="8"/>
        <v>621.76681174963142</v>
      </c>
      <c r="E152" s="4"/>
    </row>
    <row r="153" spans="3:5" ht="19" x14ac:dyDescent="0.25">
      <c r="C153" s="151">
        <f t="shared" si="9"/>
        <v>1800</v>
      </c>
      <c r="D153" s="155">
        <f t="shared" si="8"/>
        <v>658.34133008784499</v>
      </c>
      <c r="E153" s="4"/>
    </row>
    <row r="154" spans="3:5" ht="19" x14ac:dyDescent="0.25">
      <c r="C154" s="151">
        <f t="shared" si="9"/>
        <v>1900</v>
      </c>
      <c r="D154" s="155">
        <f t="shared" si="8"/>
        <v>694.91584842605857</v>
      </c>
      <c r="E154" s="4"/>
    </row>
    <row r="155" spans="3:5" ht="20" thickBot="1" x14ac:dyDescent="0.3">
      <c r="C155" s="152">
        <f t="shared" si="9"/>
        <v>2000</v>
      </c>
      <c r="D155" s="156">
        <f t="shared" si="8"/>
        <v>731.49036676427227</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25" t="s">
        <v>97</v>
      </c>
      <c r="D164" s="126"/>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191" t="s">
        <v>100</v>
      </c>
      <c r="F166" s="1"/>
      <c r="G166" s="1"/>
      <c r="H166" s="1"/>
      <c r="I166" s="1"/>
      <c r="J166" s="1"/>
      <c r="K166" s="1"/>
      <c r="L166" s="1"/>
      <c r="M166" s="1"/>
      <c r="N166" s="1"/>
      <c r="O166" s="1"/>
    </row>
    <row r="167" spans="2:16" ht="20" thickBot="1" x14ac:dyDescent="0.3">
      <c r="B167" s="1"/>
      <c r="C167" s="81"/>
      <c r="D167" s="167">
        <v>1</v>
      </c>
      <c r="E167" s="168">
        <f>D167+1</f>
        <v>2</v>
      </c>
      <c r="F167" s="168">
        <f>E167+1</f>
        <v>3</v>
      </c>
      <c r="G167" s="169" t="s">
        <v>102</v>
      </c>
      <c r="H167" s="1"/>
      <c r="I167" s="1"/>
      <c r="J167" s="1"/>
      <c r="K167" s="1"/>
      <c r="L167" s="1"/>
      <c r="M167" s="1"/>
      <c r="N167" s="1"/>
      <c r="O167" s="1"/>
    </row>
    <row r="168" spans="2:16" ht="20" thickBot="1" x14ac:dyDescent="0.3">
      <c r="B168" s="1"/>
      <c r="C168" s="193" t="s">
        <v>101</v>
      </c>
      <c r="D168" s="197">
        <f>J$46</f>
        <v>-113.317126082</v>
      </c>
      <c r="E168" s="197">
        <f t="shared" ref="E168:G168" si="10">K$46</f>
        <v>-113.317319316</v>
      </c>
      <c r="F168" s="197">
        <f t="shared" si="10"/>
        <v>-113.317323135</v>
      </c>
      <c r="G168" s="197">
        <f t="shared" si="10"/>
        <v>-113.317323135</v>
      </c>
      <c r="H168" s="1"/>
      <c r="I168" s="1"/>
      <c r="J168" s="1"/>
      <c r="K168" s="1"/>
      <c r="L168" s="1"/>
      <c r="M168" s="1"/>
      <c r="N168" s="1"/>
      <c r="O168" s="1"/>
    </row>
    <row r="169" spans="2:16" ht="20" thickBot="1" x14ac:dyDescent="0.3">
      <c r="B169" s="1"/>
      <c r="C169" s="192" t="s">
        <v>103</v>
      </c>
      <c r="D169" s="198">
        <f>D168*$K$7</f>
        <v>-4.9406266971751995E-16</v>
      </c>
      <c r="E169" s="198">
        <f t="shared" ref="E169:G169" si="11">E168*$K$7</f>
        <v>-4.9406351221776001E-16</v>
      </c>
      <c r="F169" s="198">
        <f t="shared" si="11"/>
        <v>-4.9406352886859995E-16</v>
      </c>
      <c r="G169" s="198">
        <f t="shared" si="11"/>
        <v>-4.9406352886859995E-16</v>
      </c>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21" t="s">
        <v>104</v>
      </c>
      <c r="D171" s="1"/>
      <c r="E171" s="1"/>
      <c r="F171" s="1"/>
      <c r="G171" s="1"/>
      <c r="H171" s="1"/>
      <c r="I171" s="1"/>
      <c r="J171" s="1"/>
      <c r="K171" s="1"/>
      <c r="L171" s="1"/>
      <c r="M171" s="1"/>
      <c r="N171" s="1"/>
      <c r="O171" s="1"/>
    </row>
    <row r="172" spans="2:16" ht="23" thickBot="1" x14ac:dyDescent="0.35">
      <c r="B172" s="1"/>
      <c r="C172" s="196">
        <f>G169+L23</f>
        <v>-4.9404165474859992E-16</v>
      </c>
      <c r="F172" s="1"/>
      <c r="G172" s="1"/>
      <c r="H172" s="162" t="s">
        <v>83</v>
      </c>
      <c r="I172" s="163"/>
      <c r="J172" s="163"/>
      <c r="K172" s="163"/>
      <c r="L172" s="163"/>
      <c r="M172" s="163"/>
      <c r="N172" s="1"/>
      <c r="O172" s="1"/>
    </row>
    <row r="173" spans="2:16" ht="20" thickBot="1" x14ac:dyDescent="0.3">
      <c r="B173" s="1"/>
      <c r="F173" s="4"/>
      <c r="G173" s="1"/>
      <c r="H173" s="1"/>
      <c r="I173" s="1"/>
      <c r="J173" s="1"/>
      <c r="K173" s="1"/>
      <c r="L173" s="1"/>
      <c r="M173" s="1"/>
      <c r="N173" s="1"/>
      <c r="O173" s="1"/>
    </row>
    <row r="174" spans="2:16" ht="22" thickBot="1" x14ac:dyDescent="0.3">
      <c r="B174" s="1"/>
      <c r="C174" s="189" t="s">
        <v>68</v>
      </c>
      <c r="D174" s="190" t="s">
        <v>99</v>
      </c>
      <c r="F174" s="1"/>
      <c r="G174" s="1"/>
      <c r="L174" s="157" t="s">
        <v>82</v>
      </c>
      <c r="M174" s="1"/>
      <c r="N174" s="1"/>
      <c r="O174" s="1"/>
    </row>
    <row r="175" spans="2:16" ht="20" thickBot="1" x14ac:dyDescent="0.3">
      <c r="B175" s="1"/>
      <c r="C175" s="150">
        <v>298.14999999999998</v>
      </c>
      <c r="D175" s="154">
        <f>1</f>
        <v>1</v>
      </c>
      <c r="F175" s="1"/>
      <c r="G175" s="1"/>
      <c r="K175" s="71" t="s">
        <v>79</v>
      </c>
      <c r="L175" s="131">
        <f>1</f>
        <v>1</v>
      </c>
      <c r="M175" s="1"/>
      <c r="N175" s="1"/>
      <c r="O175" s="1"/>
    </row>
    <row r="176" spans="2:16" ht="20" thickBot="1" x14ac:dyDescent="0.3">
      <c r="B176" s="1"/>
      <c r="C176" s="150">
        <v>300</v>
      </c>
      <c r="D176" s="154">
        <f>1</f>
        <v>1</v>
      </c>
      <c r="F176" s="1"/>
      <c r="G176" s="1"/>
      <c r="K176" s="72" t="s">
        <v>80</v>
      </c>
      <c r="L176" s="133">
        <f>P32</f>
        <v>1</v>
      </c>
      <c r="M176" s="1"/>
      <c r="N176" s="1"/>
      <c r="O176" s="1"/>
    </row>
    <row r="177" spans="2:15" ht="22" x14ac:dyDescent="0.3">
      <c r="B177" s="1"/>
      <c r="C177" s="151">
        <f>C176+100</f>
        <v>400</v>
      </c>
      <c r="D177" s="155">
        <f>1</f>
        <v>1</v>
      </c>
      <c r="F177" s="1"/>
      <c r="G177" s="1"/>
      <c r="H177" s="1"/>
      <c r="I177" s="1"/>
      <c r="K177" s="17" t="s">
        <v>81</v>
      </c>
      <c r="L177" s="164">
        <f>ABS(L175-L176)/L175</f>
        <v>0</v>
      </c>
      <c r="M177" s="1"/>
      <c r="N177" s="1"/>
      <c r="O177" s="1"/>
    </row>
    <row r="178" spans="2:15" ht="19" x14ac:dyDescent="0.25">
      <c r="B178" s="1"/>
      <c r="C178" s="151">
        <f t="shared" ref="C178:C193" si="12">C177+100</f>
        <v>500</v>
      </c>
      <c r="D178" s="155">
        <f>1</f>
        <v>1</v>
      </c>
      <c r="F178" s="1"/>
      <c r="G178" s="1"/>
    </row>
    <row r="179" spans="2:15" ht="19" x14ac:dyDescent="0.25">
      <c r="B179" s="1"/>
      <c r="C179" s="151">
        <f t="shared" si="12"/>
        <v>600</v>
      </c>
      <c r="D179" s="155">
        <f>1</f>
        <v>1</v>
      </c>
      <c r="F179" s="1"/>
      <c r="G179" s="1"/>
    </row>
    <row r="180" spans="2:15" ht="19" x14ac:dyDescent="0.25">
      <c r="B180" s="1"/>
      <c r="C180" s="151">
        <f t="shared" si="12"/>
        <v>700</v>
      </c>
      <c r="D180" s="155">
        <f>1</f>
        <v>1</v>
      </c>
      <c r="F180" s="1"/>
      <c r="G180" s="1"/>
    </row>
    <row r="181" spans="2:15" ht="19" x14ac:dyDescent="0.25">
      <c r="C181" s="151">
        <f t="shared" si="12"/>
        <v>800</v>
      </c>
      <c r="D181" s="155">
        <f>1</f>
        <v>1</v>
      </c>
    </row>
    <row r="182" spans="2:15" ht="19" x14ac:dyDescent="0.25">
      <c r="C182" s="151">
        <f t="shared" si="12"/>
        <v>900</v>
      </c>
      <c r="D182" s="155">
        <f>1</f>
        <v>1</v>
      </c>
    </row>
    <row r="183" spans="2:15" ht="19" x14ac:dyDescent="0.25">
      <c r="C183" s="151">
        <f t="shared" si="12"/>
        <v>1000</v>
      </c>
      <c r="D183" s="155">
        <f>1</f>
        <v>1</v>
      </c>
    </row>
    <row r="184" spans="2:15" ht="19" x14ac:dyDescent="0.25">
      <c r="C184" s="151">
        <f t="shared" si="12"/>
        <v>1100</v>
      </c>
      <c r="D184" s="155">
        <f>1</f>
        <v>1</v>
      </c>
    </row>
    <row r="185" spans="2:15" ht="19" x14ac:dyDescent="0.25">
      <c r="C185" s="151">
        <f t="shared" si="12"/>
        <v>1200</v>
      </c>
      <c r="D185" s="155">
        <f>1</f>
        <v>1</v>
      </c>
    </row>
    <row r="186" spans="2:15" ht="19" x14ac:dyDescent="0.25">
      <c r="C186" s="151">
        <f t="shared" si="12"/>
        <v>1300</v>
      </c>
      <c r="D186" s="155">
        <f>1</f>
        <v>1</v>
      </c>
    </row>
    <row r="187" spans="2:15" ht="19" x14ac:dyDescent="0.25">
      <c r="C187" s="151">
        <f t="shared" si="12"/>
        <v>1400</v>
      </c>
      <c r="D187" s="155">
        <f>1</f>
        <v>1</v>
      </c>
    </row>
    <row r="188" spans="2:15" ht="19" x14ac:dyDescent="0.25">
      <c r="C188" s="151">
        <f t="shared" si="12"/>
        <v>1500</v>
      </c>
      <c r="D188" s="155">
        <f>1</f>
        <v>1</v>
      </c>
    </row>
    <row r="189" spans="2:15" ht="19" x14ac:dyDescent="0.25">
      <c r="C189" s="151">
        <f t="shared" si="12"/>
        <v>1600</v>
      </c>
      <c r="D189" s="155">
        <f>1</f>
        <v>1</v>
      </c>
    </row>
    <row r="190" spans="2:15" ht="19" x14ac:dyDescent="0.25">
      <c r="C190" s="151">
        <f t="shared" si="12"/>
        <v>1700</v>
      </c>
      <c r="D190" s="155">
        <f>1</f>
        <v>1</v>
      </c>
    </row>
    <row r="191" spans="2:15" ht="19" x14ac:dyDescent="0.25">
      <c r="C191" s="151">
        <f t="shared" si="12"/>
        <v>1800</v>
      </c>
      <c r="D191" s="155">
        <f>1</f>
        <v>1</v>
      </c>
    </row>
    <row r="192" spans="2:15" ht="19" x14ac:dyDescent="0.25">
      <c r="C192" s="151">
        <f t="shared" si="12"/>
        <v>1900</v>
      </c>
      <c r="D192" s="155">
        <f>1</f>
        <v>1</v>
      </c>
    </row>
    <row r="193" spans="3:11" ht="20" thickBot="1" x14ac:dyDescent="0.3">
      <c r="C193" s="152">
        <f t="shared" si="12"/>
        <v>2000</v>
      </c>
      <c r="D193" s="156">
        <f>1</f>
        <v>1</v>
      </c>
    </row>
    <row r="197" spans="3:11" ht="17" thickBot="1" x14ac:dyDescent="0.25"/>
    <row r="198" spans="3:11" ht="20" thickBot="1" x14ac:dyDescent="0.3">
      <c r="E198" s="1"/>
      <c r="F198" s="1" t="s">
        <v>66</v>
      </c>
      <c r="G198" s="1"/>
      <c r="H198" s="345" t="s">
        <v>110</v>
      </c>
      <c r="I198" s="346"/>
      <c r="J198" s="346"/>
      <c r="K198" s="347"/>
    </row>
    <row r="199" spans="3:11" ht="28" thickBot="1" x14ac:dyDescent="0.4">
      <c r="C199" s="125" t="s">
        <v>105</v>
      </c>
      <c r="D199" s="126"/>
      <c r="E199" s="1"/>
      <c r="F199" s="1"/>
      <c r="G199" s="1"/>
      <c r="H199" s="199" t="s">
        <v>106</v>
      </c>
      <c r="I199" s="199" t="s">
        <v>107</v>
      </c>
      <c r="J199" s="199" t="s">
        <v>108</v>
      </c>
      <c r="K199" s="199" t="s">
        <v>109</v>
      </c>
    </row>
    <row r="202" spans="3:11" ht="17" thickBot="1" x14ac:dyDescent="0.25"/>
    <row r="203" spans="3:11" ht="20" thickBot="1" x14ac:dyDescent="0.25">
      <c r="D203" s="343" t="s">
        <v>119</v>
      </c>
      <c r="E203" s="344"/>
    </row>
    <row r="204" spans="3:11" ht="20" thickBot="1" x14ac:dyDescent="0.3">
      <c r="D204" s="176" t="s">
        <v>117</v>
      </c>
      <c r="E204" s="205" t="s">
        <v>115</v>
      </c>
    </row>
    <row r="205" spans="3:11" ht="19" x14ac:dyDescent="0.25">
      <c r="C205" s="65" t="s">
        <v>45</v>
      </c>
      <c r="D205" s="337">
        <f>$Q23</f>
        <v>4.9729999999999999</v>
      </c>
      <c r="E205" s="131">
        <f>D205*4.184</f>
        <v>20.807032</v>
      </c>
    </row>
    <row r="206" spans="3:11" ht="19" x14ac:dyDescent="0.25">
      <c r="C206" s="66" t="s">
        <v>46</v>
      </c>
      <c r="D206" s="57">
        <f t="shared" ref="D206:D209" si="13">$Q24</f>
        <v>0</v>
      </c>
      <c r="E206" s="132">
        <f t="shared" ref="E206:E209" si="14">D206*4.184</f>
        <v>0</v>
      </c>
    </row>
    <row r="207" spans="3:11" ht="19" x14ac:dyDescent="0.25">
      <c r="C207" s="66" t="s">
        <v>47</v>
      </c>
      <c r="D207" s="57">
        <f t="shared" si="13"/>
        <v>2.9809999999999999</v>
      </c>
      <c r="E207" s="132">
        <f t="shared" si="14"/>
        <v>12.472504000000001</v>
      </c>
    </row>
    <row r="208" spans="3:11" ht="19" x14ac:dyDescent="0.25">
      <c r="C208" s="66" t="s">
        <v>48</v>
      </c>
      <c r="D208" s="57">
        <f t="shared" si="13"/>
        <v>1.9870000000000001</v>
      </c>
      <c r="E208" s="132">
        <f t="shared" si="14"/>
        <v>8.3136080000000003</v>
      </c>
    </row>
    <row r="209" spans="3:16" ht="20" thickBot="1" x14ac:dyDescent="0.3">
      <c r="C209" s="67" t="s">
        <v>49</v>
      </c>
      <c r="D209" s="59">
        <f t="shared" si="13"/>
        <v>5.0000000000000001E-3</v>
      </c>
      <c r="E209" s="133">
        <f t="shared" si="14"/>
        <v>2.0920000000000001E-2</v>
      </c>
    </row>
    <row r="210" spans="3:16" ht="24" customHeight="1" x14ac:dyDescent="0.2"/>
    <row r="211" spans="3:16" ht="17" thickBot="1" x14ac:dyDescent="0.25"/>
    <row r="212" spans="3:16" ht="23" thickBot="1" x14ac:dyDescent="0.35">
      <c r="D212" s="353" t="s">
        <v>115</v>
      </c>
      <c r="E212" s="354"/>
      <c r="F212" s="354"/>
      <c r="G212" s="354"/>
      <c r="H212" s="355"/>
      <c r="J212" s="162" t="s">
        <v>83</v>
      </c>
      <c r="K212" s="163"/>
      <c r="L212" s="163"/>
      <c r="M212" s="163"/>
      <c r="N212" s="163"/>
      <c r="O212" s="163"/>
      <c r="P212" s="1"/>
    </row>
    <row r="213" spans="3:16" ht="20" thickBot="1" x14ac:dyDescent="0.3">
      <c r="C213" s="189" t="s">
        <v>68</v>
      </c>
      <c r="D213" s="200" t="s">
        <v>114</v>
      </c>
      <c r="E213" s="201" t="s">
        <v>111</v>
      </c>
      <c r="F213" s="201" t="s">
        <v>112</v>
      </c>
      <c r="G213" s="202" t="s">
        <v>113</v>
      </c>
      <c r="H213" s="121" t="s">
        <v>116</v>
      </c>
      <c r="J213" s="1"/>
      <c r="K213" s="1"/>
      <c r="L213" s="1"/>
      <c r="M213" s="1"/>
      <c r="N213" s="1"/>
      <c r="O213" s="1"/>
      <c r="P213" s="1"/>
    </row>
    <row r="214" spans="3:16" ht="20" thickBot="1" x14ac:dyDescent="0.3">
      <c r="C214" s="173">
        <v>298.14999999999998</v>
      </c>
      <c r="D214" s="260">
        <f>3*$B$7/2</f>
        <v>12.471599999999999</v>
      </c>
      <c r="E214" s="261">
        <f>$B$7*SUM(($D$42*$D$42)*EXP($D$42/$C214)/($C214^2*(EXP($D$42/$C214)-1)^2))</f>
        <v>2.2761519560843217E-2</v>
      </c>
      <c r="F214" s="261">
        <f>$B$7</f>
        <v>8.3143999999999991</v>
      </c>
      <c r="G214" s="263">
        <v>0</v>
      </c>
      <c r="H214" s="227">
        <f t="shared" ref="H214:H232" si="15">SUM(D214:G214)</f>
        <v>20.808761519560839</v>
      </c>
      <c r="K214" s="200" t="s">
        <v>114</v>
      </c>
      <c r="L214" s="201" t="s">
        <v>111</v>
      </c>
      <c r="M214" s="201" t="s">
        <v>112</v>
      </c>
      <c r="N214" s="202" t="s">
        <v>113</v>
      </c>
      <c r="O214" s="121" t="s">
        <v>116</v>
      </c>
      <c r="P214" s="1"/>
    </row>
    <row r="215" spans="3:16" ht="19" x14ac:dyDescent="0.25">
      <c r="C215" s="150">
        <v>300</v>
      </c>
      <c r="D215" s="224">
        <f>3*$B$7/2</f>
        <v>12.471599999999999</v>
      </c>
      <c r="E215" s="225" cm="1">
        <f t="array" ref="E215">$B$7*SUM(($D$42:$D$42*$D$42:$D$42)*EXP($D$42:$D$42/$C215)/($C215^2*(EXP($D$42:$D$42/$C215)-1)^2))</f>
        <v>2.4004474059753179E-2</v>
      </c>
      <c r="F215" s="225">
        <f t="shared" ref="F215:F232" si="16">$B$7</f>
        <v>8.3143999999999991</v>
      </c>
      <c r="G215" s="219">
        <v>0</v>
      </c>
      <c r="H215" s="227">
        <f t="shared" si="15"/>
        <v>20.810004474059753</v>
      </c>
      <c r="J215" s="71" t="s">
        <v>79</v>
      </c>
      <c r="K215" s="131">
        <f>D$214</f>
        <v>12.471599999999999</v>
      </c>
      <c r="L215" s="131">
        <f t="shared" ref="L215:O215" si="17">E$214</f>
        <v>2.2761519560843217E-2</v>
      </c>
      <c r="M215" s="131">
        <f t="shared" si="17"/>
        <v>8.3143999999999991</v>
      </c>
      <c r="N215" s="131">
        <f t="shared" si="17"/>
        <v>0</v>
      </c>
      <c r="O215" s="131">
        <f t="shared" si="17"/>
        <v>20.808761519560839</v>
      </c>
      <c r="P215" s="1"/>
    </row>
    <row r="216" spans="3:16" ht="20" thickBot="1" x14ac:dyDescent="0.3">
      <c r="C216" s="151">
        <f>C215+100</f>
        <v>400</v>
      </c>
      <c r="D216" s="220">
        <f t="shared" ref="D216:D232" si="18">3*$B$7/2</f>
        <v>12.471599999999999</v>
      </c>
      <c r="E216" s="217" cm="1">
        <f t="array" ref="E216">$B$7*SUM(($D$42:$D$42*$D$42:$D$42)*EXP($D$42:$D$42/$C216)/($C216^2*(EXP($D$42:$D$42/$C216)-1)^2))</f>
        <v>0.18944052483986734</v>
      </c>
      <c r="F216" s="217">
        <f t="shared" si="16"/>
        <v>8.3143999999999991</v>
      </c>
      <c r="G216" s="221">
        <v>0</v>
      </c>
      <c r="H216" s="328">
        <f t="shared" si="15"/>
        <v>20.975440524839865</v>
      </c>
      <c r="J216" s="72" t="s">
        <v>80</v>
      </c>
      <c r="K216" s="133">
        <f>E207</f>
        <v>12.472504000000001</v>
      </c>
      <c r="L216" s="133">
        <f>E209</f>
        <v>2.0920000000000001E-2</v>
      </c>
      <c r="M216" s="133">
        <f>E208</f>
        <v>8.3136080000000003</v>
      </c>
      <c r="N216" s="133">
        <f>E206</f>
        <v>0</v>
      </c>
      <c r="O216" s="133">
        <f>E205</f>
        <v>20.807032</v>
      </c>
      <c r="P216" s="1"/>
    </row>
    <row r="217" spans="3:16" ht="22" x14ac:dyDescent="0.3">
      <c r="C217" s="151">
        <f t="shared" ref="C217:C232" si="19">C216+100</f>
        <v>500</v>
      </c>
      <c r="D217" s="220">
        <f t="shared" si="18"/>
        <v>12.471599999999999</v>
      </c>
      <c r="E217" s="217" cm="1">
        <f t="array" ref="E217">$B$7*SUM(($D$42:$D$42*$D$42:$D$42)*EXP($D$42:$D$42/$C217)/($C217^2*(EXP($D$42:$D$42/$C217)-1)^2))</f>
        <v>0.59283650143156996</v>
      </c>
      <c r="F217" s="217">
        <f t="shared" si="16"/>
        <v>8.3143999999999991</v>
      </c>
      <c r="G217" s="221">
        <v>0</v>
      </c>
      <c r="H217" s="328">
        <f t="shared" si="15"/>
        <v>21.378836501431568</v>
      </c>
      <c r="J217" s="17" t="s">
        <v>81</v>
      </c>
      <c r="K217" s="164">
        <f>IFERROR(ABS(K215-K216)/K215,0)</f>
        <v>7.2484685204946797E-5</v>
      </c>
      <c r="L217" s="164">
        <f t="shared" ref="L217:O217" si="20">IFERROR(ABS(L215-L216)/L215,0)</f>
        <v>8.0904948192087892E-2</v>
      </c>
      <c r="M217" s="164">
        <f t="shared" si="20"/>
        <v>9.5256422591984244E-5</v>
      </c>
      <c r="N217" s="164">
        <f t="shared" si="20"/>
        <v>0</v>
      </c>
      <c r="O217" s="164">
        <f t="shared" si="20"/>
        <v>8.311496862578668E-5</v>
      </c>
      <c r="P217" s="1"/>
    </row>
    <row r="218" spans="3:16" ht="19" x14ac:dyDescent="0.25">
      <c r="C218" s="151">
        <f t="shared" si="19"/>
        <v>600</v>
      </c>
      <c r="D218" s="220">
        <f t="shared" si="18"/>
        <v>12.471599999999999</v>
      </c>
      <c r="E218" s="217" cm="1">
        <f t="array" ref="E218">$B$7*SUM(($D$42:$D$42*$D$42:$D$42)*EXP($D$42:$D$42/$C218)/($C218^2*(EXP($D$42:$D$42/$C218)-1)^2))</f>
        <v>1.1917096706702937</v>
      </c>
      <c r="F218" s="217">
        <f t="shared" si="16"/>
        <v>8.3143999999999991</v>
      </c>
      <c r="G218" s="221">
        <v>0</v>
      </c>
      <c r="H218" s="328">
        <f t="shared" si="15"/>
        <v>21.977709670670293</v>
      </c>
    </row>
    <row r="219" spans="3:16" ht="19" x14ac:dyDescent="0.25">
      <c r="C219" s="151">
        <f t="shared" si="19"/>
        <v>700</v>
      </c>
      <c r="D219" s="220">
        <f t="shared" si="18"/>
        <v>12.471599999999999</v>
      </c>
      <c r="E219" s="217" cm="1">
        <f t="array" ref="E219">$B$7*SUM(($D$42:$D$42*$D$42:$D$42)*EXP($D$42:$D$42/$C219)/($C219^2*(EXP($D$42:$D$42/$C219)-1)^2))</f>
        <v>1.8833941140524633</v>
      </c>
      <c r="F219" s="217">
        <f t="shared" si="16"/>
        <v>8.3143999999999991</v>
      </c>
      <c r="G219" s="221">
        <v>0</v>
      </c>
      <c r="H219" s="328">
        <f t="shared" si="15"/>
        <v>22.669394114052459</v>
      </c>
    </row>
    <row r="220" spans="3:16" ht="19" x14ac:dyDescent="0.25">
      <c r="C220" s="151">
        <f t="shared" si="19"/>
        <v>800</v>
      </c>
      <c r="D220" s="220">
        <f t="shared" si="18"/>
        <v>12.471599999999999</v>
      </c>
      <c r="E220" s="217" cm="1">
        <f t="array" ref="E220">$B$7*SUM(($D$42:$D$42*$D$42:$D$42)*EXP($D$42:$D$42/$C220)/($C220^2*(EXP($D$42:$D$42/$C220)-1)^2))</f>
        <v>2.5819654475922409</v>
      </c>
      <c r="F220" s="217">
        <f t="shared" si="16"/>
        <v>8.3143999999999991</v>
      </c>
      <c r="G220" s="221">
        <v>0</v>
      </c>
      <c r="H220" s="328">
        <f t="shared" si="15"/>
        <v>23.36796544759224</v>
      </c>
    </row>
    <row r="221" spans="3:16" ht="19" x14ac:dyDescent="0.25">
      <c r="C221" s="151">
        <f t="shared" si="19"/>
        <v>900</v>
      </c>
      <c r="D221" s="220">
        <f t="shared" si="18"/>
        <v>12.471599999999999</v>
      </c>
      <c r="E221" s="217" cm="1">
        <f t="array" ref="E221">$B$7*SUM(($D$42:$D$42*$D$42:$D$42)*EXP($D$42:$D$42/$C221)/($C221^2*(EXP($D$42:$D$42/$C221)-1)^2))</f>
        <v>3.2370376597368984</v>
      </c>
      <c r="F221" s="217">
        <f t="shared" si="16"/>
        <v>8.3143999999999991</v>
      </c>
      <c r="G221" s="221">
        <v>0</v>
      </c>
      <c r="H221" s="328">
        <f t="shared" si="15"/>
        <v>24.023037659736897</v>
      </c>
    </row>
    <row r="222" spans="3:16" ht="19" x14ac:dyDescent="0.25">
      <c r="C222" s="151">
        <f t="shared" si="19"/>
        <v>1000</v>
      </c>
      <c r="D222" s="220">
        <f t="shared" si="18"/>
        <v>12.471599999999999</v>
      </c>
      <c r="E222" s="217" cm="1">
        <f t="array" ref="E222">$B$7*SUM(($D$42:$D$42*$D$42:$D$42)*EXP($D$42:$D$42/$C222)/($C222^2*(EXP($D$42:$D$42/$C222)-1)^2))</f>
        <v>3.8263078185720105</v>
      </c>
      <c r="F222" s="217">
        <f t="shared" si="16"/>
        <v>8.3143999999999991</v>
      </c>
      <c r="G222" s="221">
        <v>0</v>
      </c>
      <c r="H222" s="328">
        <f t="shared" si="15"/>
        <v>24.61230781857201</v>
      </c>
    </row>
    <row r="223" spans="3:16" ht="19" x14ac:dyDescent="0.25">
      <c r="C223" s="151">
        <f t="shared" si="19"/>
        <v>1100</v>
      </c>
      <c r="D223" s="220">
        <f t="shared" si="18"/>
        <v>12.471599999999999</v>
      </c>
      <c r="E223" s="217" cm="1">
        <f t="array" ref="E223">$B$7*SUM(($D$42:$D$42*$D$42:$D$42)*EXP($D$42:$D$42/$C223)/($C223^2*(EXP($D$42:$D$42/$C223)-1)^2))</f>
        <v>4.3443239644553051</v>
      </c>
      <c r="F223" s="217">
        <f t="shared" si="16"/>
        <v>8.3143999999999991</v>
      </c>
      <c r="G223" s="221">
        <v>0</v>
      </c>
      <c r="H223" s="328">
        <f t="shared" si="15"/>
        <v>25.130323964455304</v>
      </c>
    </row>
    <row r="224" spans="3:16" ht="19" x14ac:dyDescent="0.25">
      <c r="C224" s="151">
        <f t="shared" si="19"/>
        <v>1200</v>
      </c>
      <c r="D224" s="220">
        <f t="shared" si="18"/>
        <v>12.471599999999999</v>
      </c>
      <c r="E224" s="217" cm="1">
        <f t="array" ref="E224">$B$7*SUM(($D$42:$D$42*$D$42:$D$42)*EXP($D$42:$D$42/$C224)/($C224^2*(EXP($D$42:$D$42/$C224)-1)^2))</f>
        <v>4.7942141265533387</v>
      </c>
      <c r="F224" s="217">
        <f t="shared" si="16"/>
        <v>8.3143999999999991</v>
      </c>
      <c r="G224" s="221">
        <v>0</v>
      </c>
      <c r="H224" s="328">
        <f t="shared" si="15"/>
        <v>25.580214126553336</v>
      </c>
    </row>
    <row r="225" spans="3:11" ht="19" x14ac:dyDescent="0.25">
      <c r="C225" s="151">
        <f t="shared" si="19"/>
        <v>1300</v>
      </c>
      <c r="D225" s="220">
        <f t="shared" si="18"/>
        <v>12.471599999999999</v>
      </c>
      <c r="E225" s="217" cm="1">
        <f t="array" ref="E225">$B$7*SUM(($D$42:$D$42*$D$42:$D$42)*EXP($D$42:$D$42/$C225)/($C225^2*(EXP($D$42:$D$42/$C225)-1)^2))</f>
        <v>5.182762934785881</v>
      </c>
      <c r="F225" s="217">
        <f t="shared" si="16"/>
        <v>8.3143999999999991</v>
      </c>
      <c r="G225" s="221">
        <v>0</v>
      </c>
      <c r="H225" s="328">
        <f t="shared" si="15"/>
        <v>25.968762934785879</v>
      </c>
    </row>
    <row r="226" spans="3:11" ht="19" x14ac:dyDescent="0.25">
      <c r="C226" s="151">
        <f t="shared" si="19"/>
        <v>1400</v>
      </c>
      <c r="D226" s="220">
        <f t="shared" si="18"/>
        <v>12.471599999999999</v>
      </c>
      <c r="E226" s="217" cm="1">
        <f t="array" ref="E226">$B$7*SUM(($D$42:$D$42*$D$42:$D$42)*EXP($D$42:$D$42/$C226)/($C226^2*(EXP($D$42:$D$42/$C226)-1)^2))</f>
        <v>5.5177986773939924</v>
      </c>
      <c r="F226" s="217">
        <f t="shared" si="16"/>
        <v>8.3143999999999991</v>
      </c>
      <c r="G226" s="221">
        <v>0</v>
      </c>
      <c r="H226" s="328">
        <f t="shared" si="15"/>
        <v>26.303798677393992</v>
      </c>
    </row>
    <row r="227" spans="3:11" ht="19" x14ac:dyDescent="0.25">
      <c r="C227" s="151">
        <f t="shared" si="19"/>
        <v>1500</v>
      </c>
      <c r="D227" s="220">
        <f t="shared" si="18"/>
        <v>12.471599999999999</v>
      </c>
      <c r="E227" s="217" cm="1">
        <f t="array" ref="E227">$B$7*SUM(($D$42:$D$42*$D$42:$D$42)*EXP($D$42:$D$42/$C227)/($C227^2*(EXP($D$42:$D$42/$C227)-1)^2))</f>
        <v>5.8069346055152318</v>
      </c>
      <c r="F227" s="217">
        <f t="shared" si="16"/>
        <v>8.3143999999999991</v>
      </c>
      <c r="G227" s="221">
        <v>0</v>
      </c>
      <c r="H227" s="328">
        <f t="shared" si="15"/>
        <v>26.592934605515229</v>
      </c>
    </row>
    <row r="228" spans="3:11" ht="19" x14ac:dyDescent="0.25">
      <c r="C228" s="151">
        <f t="shared" si="19"/>
        <v>1600</v>
      </c>
      <c r="D228" s="220">
        <f t="shared" si="18"/>
        <v>12.471599999999999</v>
      </c>
      <c r="E228" s="217" cm="1">
        <f t="array" ref="E228">$B$7*SUM(($D$42:$D$42*$D$42:$D$42)*EXP($D$42:$D$42/$C228)/($C228^2*(EXP($D$42:$D$42/$C228)-1)^2))</f>
        <v>6.0570393662412449</v>
      </c>
      <c r="F228" s="217">
        <f t="shared" si="16"/>
        <v>8.3143999999999991</v>
      </c>
      <c r="G228" s="221">
        <v>0</v>
      </c>
      <c r="H228" s="328">
        <f t="shared" si="15"/>
        <v>26.843039366241243</v>
      </c>
    </row>
    <row r="229" spans="3:11" ht="19" x14ac:dyDescent="0.25">
      <c r="C229" s="151">
        <f t="shared" si="19"/>
        <v>1700</v>
      </c>
      <c r="D229" s="220">
        <f t="shared" si="18"/>
        <v>12.471599999999999</v>
      </c>
      <c r="E229" s="217" cm="1">
        <f t="array" ref="E229">$B$7*SUM(($D$42:$D$42*$D$42:$D$42)*EXP($D$42:$D$42/$C229)/($C229^2*(EXP($D$42:$D$42/$C229)-1)^2))</f>
        <v>6.2740761002867353</v>
      </c>
      <c r="F229" s="217">
        <f t="shared" si="16"/>
        <v>8.3143999999999991</v>
      </c>
      <c r="G229" s="221">
        <v>0</v>
      </c>
      <c r="H229" s="328">
        <f t="shared" si="15"/>
        <v>27.060076100286732</v>
      </c>
    </row>
    <row r="230" spans="3:11" ht="19" x14ac:dyDescent="0.25">
      <c r="C230" s="151">
        <f t="shared" si="19"/>
        <v>1800</v>
      </c>
      <c r="D230" s="220">
        <f t="shared" si="18"/>
        <v>12.471599999999999</v>
      </c>
      <c r="E230" s="217" cm="1">
        <f t="array" ref="E230">$B$7*SUM(($D$42:$D$42*$D$42:$D$42)*EXP($D$42:$D$42/$C230)/($C230^2*(EXP($D$42:$D$42/$C230)-1)^2))</f>
        <v>6.4631153267764168</v>
      </c>
      <c r="F230" s="217">
        <f t="shared" si="16"/>
        <v>8.3143999999999991</v>
      </c>
      <c r="G230" s="221">
        <v>0</v>
      </c>
      <c r="H230" s="328">
        <f t="shared" si="15"/>
        <v>27.249115326776415</v>
      </c>
    </row>
    <row r="231" spans="3:11" ht="19" x14ac:dyDescent="0.25">
      <c r="C231" s="151">
        <f t="shared" si="19"/>
        <v>1900</v>
      </c>
      <c r="D231" s="220">
        <f t="shared" si="18"/>
        <v>12.471599999999999</v>
      </c>
      <c r="E231" s="217" cm="1">
        <f t="array" ref="E231">$B$7*SUM(($D$42:$D$42*$D$42:$D$42)*EXP($D$42:$D$42/$C231)/($C231^2*(EXP($D$42:$D$42/$C231)-1)^2))</f>
        <v>6.6284207793534424</v>
      </c>
      <c r="F231" s="217">
        <f t="shared" si="16"/>
        <v>8.3143999999999991</v>
      </c>
      <c r="G231" s="221">
        <v>0</v>
      </c>
      <c r="H231" s="328">
        <f t="shared" si="15"/>
        <v>27.414420779353442</v>
      </c>
    </row>
    <row r="232" spans="3:11" ht="20" thickBot="1" x14ac:dyDescent="0.3">
      <c r="C232" s="152">
        <f t="shared" si="19"/>
        <v>2000</v>
      </c>
      <c r="D232" s="222">
        <f t="shared" si="18"/>
        <v>12.471599999999999</v>
      </c>
      <c r="E232" s="228" cm="1">
        <f t="array" ref="E232">$B$7*SUM(($D$42:$D$42*$D$42:$D$42)*EXP($D$42:$D$42/$C232)/($C232^2*(EXP($D$42:$D$42/$C232)-1)^2))</f>
        <v>6.773558185544446</v>
      </c>
      <c r="F232" s="228">
        <f t="shared" si="16"/>
        <v>8.3143999999999991</v>
      </c>
      <c r="G232" s="223">
        <v>0</v>
      </c>
      <c r="H232" s="329">
        <f t="shared" si="15"/>
        <v>27.559558185544443</v>
      </c>
    </row>
    <row r="238" spans="3:11" ht="17" thickBot="1" x14ac:dyDescent="0.25"/>
    <row r="239" spans="3:11" ht="20" thickBot="1" x14ac:dyDescent="0.3">
      <c r="E239" s="1"/>
      <c r="F239" s="1" t="s">
        <v>66</v>
      </c>
      <c r="G239" s="1"/>
      <c r="H239" s="345" t="s">
        <v>110</v>
      </c>
      <c r="I239" s="346"/>
      <c r="J239" s="346"/>
      <c r="K239" s="347"/>
    </row>
    <row r="240" spans="3:11" ht="28" thickBot="1" x14ac:dyDescent="0.4">
      <c r="C240" s="125" t="s">
        <v>123</v>
      </c>
      <c r="D240" s="126"/>
      <c r="E240" s="1"/>
      <c r="F240" s="1"/>
      <c r="G240" s="1"/>
      <c r="H240" s="199" t="s">
        <v>106</v>
      </c>
      <c r="I240" s="199" t="s">
        <v>107</v>
      </c>
      <c r="J240" s="199" t="s">
        <v>108</v>
      </c>
      <c r="K240" s="199" t="s">
        <v>109</v>
      </c>
    </row>
    <row r="244" spans="3:10" ht="20" thickBot="1" x14ac:dyDescent="0.25">
      <c r="D244" s="348"/>
      <c r="E244" s="348"/>
    </row>
    <row r="245" spans="3:10" ht="20" thickBot="1" x14ac:dyDescent="0.25">
      <c r="D245" s="343" t="s">
        <v>118</v>
      </c>
      <c r="E245" s="344"/>
    </row>
    <row r="246" spans="3:10" ht="20" thickBot="1" x14ac:dyDescent="0.3">
      <c r="D246" s="176" t="s">
        <v>117</v>
      </c>
      <c r="E246" s="205" t="s">
        <v>115</v>
      </c>
    </row>
    <row r="247" spans="3:10" ht="19" x14ac:dyDescent="0.25">
      <c r="C247" s="65" t="s">
        <v>45</v>
      </c>
      <c r="D247" s="334">
        <f>$R23</f>
        <v>47.234000000000002</v>
      </c>
      <c r="E247" s="131">
        <f>D247*4.184</f>
        <v>197.62705600000001</v>
      </c>
    </row>
    <row r="248" spans="3:10" ht="19" x14ac:dyDescent="0.25">
      <c r="C248" s="66" t="s">
        <v>46</v>
      </c>
      <c r="D248" s="335">
        <f t="shared" ref="D248:D251" si="21">$R24</f>
        <v>0</v>
      </c>
      <c r="E248" s="132">
        <f t="shared" ref="E248:E251" si="22">D248*4.184</f>
        <v>0</v>
      </c>
    </row>
    <row r="249" spans="3:10" ht="19" x14ac:dyDescent="0.25">
      <c r="C249" s="66" t="s">
        <v>47</v>
      </c>
      <c r="D249" s="335">
        <f t="shared" si="21"/>
        <v>35.923000000000002</v>
      </c>
      <c r="E249" s="132">
        <f t="shared" si="22"/>
        <v>150.30183200000002</v>
      </c>
    </row>
    <row r="250" spans="3:10" ht="19" x14ac:dyDescent="0.25">
      <c r="C250" s="66" t="s">
        <v>48</v>
      </c>
      <c r="D250" s="335">
        <f t="shared" si="21"/>
        <v>11.31</v>
      </c>
      <c r="E250" s="132">
        <f t="shared" si="22"/>
        <v>47.321040000000004</v>
      </c>
    </row>
    <row r="251" spans="3:10" ht="20" thickBot="1" x14ac:dyDescent="0.3">
      <c r="C251" s="67" t="s">
        <v>49</v>
      </c>
      <c r="D251" s="336">
        <f t="shared" si="21"/>
        <v>1E-3</v>
      </c>
      <c r="E251" s="133">
        <f t="shared" si="22"/>
        <v>4.1840000000000002E-3</v>
      </c>
    </row>
    <row r="253" spans="3:10" ht="17" thickBot="1" x14ac:dyDescent="0.25"/>
    <row r="254" spans="3:10" ht="20" thickBot="1" x14ac:dyDescent="0.3">
      <c r="C254" s="82" t="s">
        <v>26</v>
      </c>
      <c r="D254" s="210"/>
      <c r="E254" s="210"/>
      <c r="F254" s="210"/>
      <c r="G254" s="211"/>
      <c r="I254" s="115" t="s">
        <v>121</v>
      </c>
      <c r="J254" s="212">
        <f>($B$14^2)/(8*PI()*PI()*C131*$B$8)</f>
        <v>2.734144003627752</v>
      </c>
    </row>
    <row r="255" spans="3:10" ht="20" thickBot="1" x14ac:dyDescent="0.3">
      <c r="C255" s="207"/>
      <c r="D255" s="105" t="s">
        <v>36</v>
      </c>
      <c r="E255" s="106" t="s">
        <v>37</v>
      </c>
      <c r="F255" s="107" t="s">
        <v>38</v>
      </c>
      <c r="G255" s="121"/>
      <c r="I255" s="104"/>
      <c r="J255" s="104"/>
    </row>
    <row r="256" spans="3:10" ht="22" thickBot="1" x14ac:dyDescent="0.3">
      <c r="C256" s="46" t="s">
        <v>31</v>
      </c>
      <c r="D256" s="54">
        <f>D$23</f>
        <v>0</v>
      </c>
      <c r="E256" s="55">
        <f t="shared" ref="E256:F256" si="23">E$23</f>
        <v>31.66677</v>
      </c>
      <c r="F256" s="56">
        <f t="shared" si="23"/>
        <v>31.66677</v>
      </c>
      <c r="G256" s="52"/>
      <c r="J256" s="104"/>
    </row>
    <row r="257" spans="1:18" ht="22" thickBot="1" x14ac:dyDescent="0.3">
      <c r="C257" s="47" t="s">
        <v>29</v>
      </c>
      <c r="D257" s="57">
        <f>D256*$U$9</f>
        <v>0</v>
      </c>
      <c r="E257" s="58">
        <f t="shared" ref="E257:F257" si="24">E256*$U$9</f>
        <v>5.2566838199999999E-26</v>
      </c>
      <c r="F257" s="333">
        <f t="shared" si="24"/>
        <v>5.2566838199999999E-26</v>
      </c>
      <c r="G257" s="52"/>
    </row>
    <row r="258" spans="1:18" ht="22" thickBot="1" x14ac:dyDescent="0.3">
      <c r="C258" s="48" t="s">
        <v>30</v>
      </c>
      <c r="D258" s="59">
        <f>D257*($Q$8)^2</f>
        <v>0</v>
      </c>
      <c r="E258" s="60">
        <f>E257*($Q$8)^2</f>
        <v>5.2566838200000004E-46</v>
      </c>
      <c r="F258" s="204">
        <f t="shared" ref="F258" si="25">F257*($Q$8)^2</f>
        <v>5.2566838200000004E-46</v>
      </c>
      <c r="G258" s="53"/>
    </row>
    <row r="259" spans="1:18" ht="17" thickBot="1" x14ac:dyDescent="0.25"/>
    <row r="260" spans="1:18" ht="20" thickBot="1" x14ac:dyDescent="0.3">
      <c r="F260" s="353" t="s">
        <v>115</v>
      </c>
      <c r="G260" s="354"/>
      <c r="H260" s="354"/>
      <c r="I260" s="354"/>
      <c r="J260" s="355"/>
    </row>
    <row r="261" spans="1:18" ht="23" thickBot="1" x14ac:dyDescent="0.35">
      <c r="C261" s="189" t="s">
        <v>68</v>
      </c>
      <c r="D261" s="206" t="s">
        <v>122</v>
      </c>
      <c r="E261" s="173" t="s">
        <v>120</v>
      </c>
      <c r="F261" s="233" t="s">
        <v>114</v>
      </c>
      <c r="G261" s="209" t="s">
        <v>111</v>
      </c>
      <c r="H261" s="209" t="s">
        <v>112</v>
      </c>
      <c r="I261" s="234" t="s">
        <v>113</v>
      </c>
      <c r="J261" s="121" t="s">
        <v>116</v>
      </c>
      <c r="L261" s="162" t="s">
        <v>83</v>
      </c>
      <c r="M261" s="163"/>
      <c r="N261" s="163"/>
      <c r="O261" s="163"/>
      <c r="P261" s="163"/>
      <c r="Q261" s="163"/>
    </row>
    <row r="262" spans="1:18" ht="20" thickBot="1" x14ac:dyDescent="0.3">
      <c r="C262" s="173">
        <v>298.14999999999998</v>
      </c>
      <c r="D262" s="213">
        <f>$B$7*C262/$B$16</f>
        <v>2.4465219442388352E-2</v>
      </c>
      <c r="E262" s="230">
        <f>((2*PI()*$A$28*$U$9*$B$8*$C262)/($B$14*$B$14))^(3/2)</f>
        <v>1.4323874224160131E+32</v>
      </c>
      <c r="F262" s="216">
        <f t="shared" ref="F262:F280" si="26">$B$7*LN(($D262/$B$6)*EXP(5/2)*E262)</f>
        <v>150.29660645441712</v>
      </c>
      <c r="G262" s="225" cm="1">
        <f t="array" ref="G262">$B$7*SUM((($D$42:$D$42)/$C262)/(EXP($D$42:$D$42/$C262)-1)-LN(1-EXP(-$D$42:$D$42/$C262)))</f>
        <v>2.3431943432770095E-3</v>
      </c>
      <c r="H262" s="235">
        <f t="shared" ref="H262:H280" si="27">$B$7*LN(EXP(1)*$C262/($A$31*$J$254))</f>
        <v>47.32372155777508</v>
      </c>
      <c r="I262" s="219">
        <v>0</v>
      </c>
      <c r="J262" s="203">
        <f>SUM(F262:I262)</f>
        <v>197.62267120653547</v>
      </c>
      <c r="L262" s="1"/>
      <c r="M262" s="1"/>
      <c r="N262" s="1"/>
      <c r="O262" s="1"/>
      <c r="P262" s="1"/>
      <c r="Q262" s="1"/>
    </row>
    <row r="263" spans="1:18" ht="20" thickBot="1" x14ac:dyDescent="0.3">
      <c r="C263" s="150">
        <v>300</v>
      </c>
      <c r="D263" s="213">
        <f>$B$7*C263/$B$16</f>
        <v>2.4617024426350848E-2</v>
      </c>
      <c r="E263" s="230">
        <f>((2*PI()*$A$28*$U$9*$B$8*$C263)/($B$14*$B$14))^(3/2)</f>
        <v>1.4457398781975956E+32</v>
      </c>
      <c r="F263" s="216">
        <f t="shared" si="26"/>
        <v>150.42518364280136</v>
      </c>
      <c r="G263" s="225" cm="1">
        <f t="array" ref="G263">$B$7*SUM((($D$42:$D$42)/$C263)/(EXP($D$42:$D$42/$C263)-1)-LN(1-EXP(-$D$42:$D$42/$C263)))</f>
        <v>2.4878067464088756E-3</v>
      </c>
      <c r="H263" s="235">
        <f t="shared" si="27"/>
        <v>47.375152433128754</v>
      </c>
      <c r="I263" s="219">
        <v>0</v>
      </c>
      <c r="J263" s="203">
        <f>SUM(F263:I263)</f>
        <v>197.80282388267653</v>
      </c>
      <c r="N263" s="200" t="s">
        <v>114</v>
      </c>
      <c r="O263" s="201" t="s">
        <v>111</v>
      </c>
      <c r="P263" s="201" t="s">
        <v>112</v>
      </c>
      <c r="Q263" s="202" t="s">
        <v>113</v>
      </c>
      <c r="R263" s="121" t="s">
        <v>116</v>
      </c>
    </row>
    <row r="264" spans="1:18" ht="20" thickBot="1" x14ac:dyDescent="0.3">
      <c r="C264" s="151">
        <f>C263+100</f>
        <v>400</v>
      </c>
      <c r="D264" s="214">
        <f t="shared" ref="D264:D280" si="28">$B$7*C264/$B$16</f>
        <v>3.2822699235134464E-2</v>
      </c>
      <c r="E264" s="231">
        <f t="shared" ref="E264:E280" si="29">(2*PI()*$A$28*$U$9*$B$8*$C264/($B$14)^2)^(3/2)</f>
        <v>2.2258621542814782E+32</v>
      </c>
      <c r="F264" s="236">
        <f t="shared" si="26"/>
        <v>156.404943200784</v>
      </c>
      <c r="G264" s="217" cm="1">
        <f t="array" ref="G264">$B$7*SUM((($D$42:$D$42)/$C264)/(EXP($D$42:$D$42/$C264)-1)-LN(1-EXP(-$D$42:$D$42/$C264)))</f>
        <v>2.6923090193936884E-2</v>
      </c>
      <c r="H264" s="218">
        <f t="shared" si="27"/>
        <v>49.767056256321837</v>
      </c>
      <c r="I264" s="221">
        <v>0</v>
      </c>
      <c r="J264" s="330">
        <f t="shared" ref="J264:J280" si="30">SUM(F264:I264)</f>
        <v>206.19892254729979</v>
      </c>
      <c r="M264" s="71" t="s">
        <v>79</v>
      </c>
      <c r="N264" s="239">
        <f>F$262</f>
        <v>150.29660645441712</v>
      </c>
      <c r="O264" s="239">
        <f t="shared" ref="O264:R264" si="31">G$262</f>
        <v>2.3431943432770095E-3</v>
      </c>
      <c r="P264" s="239">
        <f t="shared" si="31"/>
        <v>47.32372155777508</v>
      </c>
      <c r="Q264" s="239">
        <f t="shared" si="31"/>
        <v>0</v>
      </c>
      <c r="R264" s="239">
        <f t="shared" si="31"/>
        <v>197.62267120653547</v>
      </c>
    </row>
    <row r="265" spans="1:18" ht="20" thickBot="1" x14ac:dyDescent="0.3">
      <c r="C265" s="151">
        <f t="shared" ref="C265:C280" si="32">C264+100</f>
        <v>500</v>
      </c>
      <c r="D265" s="214">
        <f t="shared" si="28"/>
        <v>4.1028374043918084E-2</v>
      </c>
      <c r="E265" s="231">
        <f t="shared" si="29"/>
        <v>3.1107369284484175E+32</v>
      </c>
      <c r="F265" s="236">
        <f t="shared" si="26"/>
        <v>161.0432050584011</v>
      </c>
      <c r="G265" s="217" cm="1">
        <f t="array" ref="G265">$B$7*SUM((($D$42:$D$42)/$C265)/(EXP($D$42:$D$42/$C265)-1)-LN(1-EXP(-$D$42:$D$42/$C265)))</f>
        <v>0.10810465425108372</v>
      </c>
      <c r="H265" s="218">
        <f t="shared" si="27"/>
        <v>51.622360999368709</v>
      </c>
      <c r="I265" s="221">
        <v>0</v>
      </c>
      <c r="J265" s="330">
        <f t="shared" si="30"/>
        <v>212.7736707120209</v>
      </c>
      <c r="M265" s="72" t="s">
        <v>80</v>
      </c>
      <c r="N265" s="239">
        <f>E249</f>
        <v>150.30183200000002</v>
      </c>
      <c r="O265" s="239">
        <f>E251</f>
        <v>4.1840000000000002E-3</v>
      </c>
      <c r="P265" s="239">
        <f>E250</f>
        <v>47.321040000000004</v>
      </c>
      <c r="Q265" s="239">
        <f>E248</f>
        <v>0</v>
      </c>
      <c r="R265" s="239">
        <f>E247</f>
        <v>197.62705600000001</v>
      </c>
    </row>
    <row r="266" spans="1:18" ht="22" x14ac:dyDescent="0.3">
      <c r="C266" s="151">
        <f t="shared" si="32"/>
        <v>600</v>
      </c>
      <c r="D266" s="214">
        <f t="shared" si="28"/>
        <v>4.9234048852701696E-2</v>
      </c>
      <c r="E266" s="231">
        <f t="shared" si="29"/>
        <v>4.089169886821344E+32</v>
      </c>
      <c r="F266" s="236">
        <f t="shared" si="26"/>
        <v>164.83294093792037</v>
      </c>
      <c r="G266" s="217" cm="1">
        <f t="array" ref="G266">$B$7*SUM((($D$42:$D$42)/$C266)/(EXP($D$42:$D$42/$C266)-1)-LN(1-EXP(-$D$42:$D$42/$C266)))</f>
        <v>0.26691379423066131</v>
      </c>
      <c r="H266" s="218">
        <f t="shared" si="27"/>
        <v>53.138255351176362</v>
      </c>
      <c r="I266" s="221">
        <v>0</v>
      </c>
      <c r="J266" s="330">
        <f t="shared" si="30"/>
        <v>218.2381100833274</v>
      </c>
      <c r="L266" s="1"/>
      <c r="M266" s="17" t="s">
        <v>81</v>
      </c>
      <c r="N266" s="164">
        <f>IFERROR(ABS(N264-N265)/N264,0)</f>
        <v>3.4768220694906404E-5</v>
      </c>
      <c r="O266" s="164">
        <f t="shared" ref="O266:R266" si="33">IFERROR(ABS(O264-O265)/O264,0)</f>
        <v>0.78559666295053565</v>
      </c>
      <c r="P266" s="164">
        <f t="shared" si="33"/>
        <v>5.6664135592188185E-5</v>
      </c>
      <c r="Q266" s="164">
        <f t="shared" si="33"/>
        <v>0</v>
      </c>
      <c r="R266" s="164">
        <f t="shared" si="33"/>
        <v>2.2187704668539336E-5</v>
      </c>
    </row>
    <row r="267" spans="1:18" ht="19" x14ac:dyDescent="0.25">
      <c r="A267" s="16"/>
      <c r="C267" s="151">
        <f t="shared" si="32"/>
        <v>700</v>
      </c>
      <c r="D267" s="214">
        <f t="shared" si="28"/>
        <v>5.7439723661485309E-2</v>
      </c>
      <c r="E267" s="231">
        <f t="shared" si="29"/>
        <v>5.1529429988218338E+32</v>
      </c>
      <c r="F267" s="236">
        <f t="shared" si="26"/>
        <v>168.03711696880967</v>
      </c>
      <c r="G267" s="217" cm="1">
        <f t="array" ref="G267">$B$7*SUM((($D$42:$D$42)/$C267)/(EXP($D$42:$D$42/$C267)-1)-LN(1-EXP(-$D$42:$D$42/$C267)))</f>
        <v>0.50199934621035802</v>
      </c>
      <c r="H267" s="218">
        <f t="shared" si="27"/>
        <v>54.419925763532113</v>
      </c>
      <c r="I267" s="221">
        <v>0</v>
      </c>
      <c r="J267" s="330">
        <f t="shared" si="30"/>
        <v>222.95904207855216</v>
      </c>
    </row>
    <row r="268" spans="1:18" ht="19" x14ac:dyDescent="0.25">
      <c r="A268" s="16"/>
      <c r="C268" s="151">
        <f t="shared" si="32"/>
        <v>800</v>
      </c>
      <c r="D268" s="214">
        <f t="shared" si="28"/>
        <v>6.5645398470268929E-2</v>
      </c>
      <c r="E268" s="231">
        <f t="shared" si="29"/>
        <v>6.2956888931157401E+32</v>
      </c>
      <c r="F268" s="236">
        <f t="shared" si="26"/>
        <v>170.81270049590307</v>
      </c>
      <c r="G268" s="217" cm="1">
        <f t="array" ref="G268">$B$7*SUM((($D$42:$D$42)/$C268)/(EXP($D$42:$D$42/$C268)-1)-LN(1-EXP(-$D$42:$D$42/$C268)))</f>
        <v>0.79936610524716301</v>
      </c>
      <c r="H268" s="218">
        <f t="shared" si="27"/>
        <v>55.530159174369444</v>
      </c>
      <c r="I268" s="221">
        <v>0</v>
      </c>
      <c r="J268" s="330">
        <f t="shared" si="30"/>
        <v>227.14222577551971</v>
      </c>
    </row>
    <row r="269" spans="1:18" ht="19" x14ac:dyDescent="0.25">
      <c r="C269" s="151">
        <f t="shared" si="32"/>
        <v>900</v>
      </c>
      <c r="D269" s="214">
        <f t="shared" si="28"/>
        <v>7.3851073279052548E-2</v>
      </c>
      <c r="E269" s="231">
        <f t="shared" si="29"/>
        <v>7.5122847707000013E+32</v>
      </c>
      <c r="F269" s="236">
        <f t="shared" si="26"/>
        <v>173.26093867505662</v>
      </c>
      <c r="G269" s="217" cm="1">
        <f t="array" ref="G269">$B$7*SUM((($D$42:$D$42)/$C269)/(EXP($D$42:$D$42/$C269)-1)-LN(1-EXP(-$D$42:$D$42/$C269)))</f>
        <v>1.1418743830017353</v>
      </c>
      <c r="H269" s="218">
        <f t="shared" si="27"/>
        <v>56.509454446030887</v>
      </c>
      <c r="I269" s="221">
        <v>0</v>
      </c>
      <c r="J269" s="330">
        <f t="shared" si="30"/>
        <v>230.91226750408924</v>
      </c>
    </row>
    <row r="270" spans="1:18" ht="19" x14ac:dyDescent="0.25">
      <c r="C270" s="151">
        <f t="shared" si="32"/>
        <v>1000</v>
      </c>
      <c r="D270" s="214">
        <f t="shared" si="28"/>
        <v>8.2056748087836168E-2</v>
      </c>
      <c r="E270" s="231">
        <f t="shared" si="29"/>
        <v>8.7984927063731771E+32</v>
      </c>
      <c r="F270" s="236">
        <f t="shared" si="26"/>
        <v>175.45096235352017</v>
      </c>
      <c r="G270" s="217" cm="1">
        <f t="array" ref="G270">$B$7*SUM((($D$42:$D$42)/$C270)/(EXP($D$42:$D$42/$C270)-1)-LN(1-EXP(-$D$42:$D$42/$C270)))</f>
        <v>1.5140488234954543</v>
      </c>
      <c r="H270" s="218">
        <f t="shared" si="27"/>
        <v>57.38546391741631</v>
      </c>
      <c r="I270" s="221">
        <v>0</v>
      </c>
      <c r="J270" s="330">
        <f t="shared" si="30"/>
        <v>234.35047509443191</v>
      </c>
    </row>
    <row r="271" spans="1:18" ht="19" x14ac:dyDescent="0.25">
      <c r="C271" s="151">
        <f t="shared" si="32"/>
        <v>1100</v>
      </c>
      <c r="D271" s="214">
        <f t="shared" si="28"/>
        <v>9.0262422896619773E-2</v>
      </c>
      <c r="E271" s="231">
        <f t="shared" si="29"/>
        <v>1.0150730701105125E+33</v>
      </c>
      <c r="F271" s="236">
        <f t="shared" si="26"/>
        <v>177.43207975093279</v>
      </c>
      <c r="G271" s="217" cm="1">
        <f t="array" ref="G271">$B$7*SUM((($D$42:$D$42)/$C271)/(EXP($D$42:$D$42/$C271)-1)-LN(1-EXP(-$D$42:$D$42/$C271)))</f>
        <v>1.9035903681047774</v>
      </c>
      <c r="H271" s="218">
        <f t="shared" si="27"/>
        <v>58.177910876381389</v>
      </c>
      <c r="I271" s="221">
        <v>0</v>
      </c>
      <c r="J271" s="330">
        <f t="shared" si="30"/>
        <v>237.51358099541895</v>
      </c>
    </row>
    <row r="272" spans="1:18" ht="19" x14ac:dyDescent="0.25">
      <c r="C272" s="151">
        <f t="shared" si="32"/>
        <v>1200</v>
      </c>
      <c r="D272" s="214">
        <f t="shared" si="28"/>
        <v>9.8468097705403393E-2</v>
      </c>
      <c r="E272" s="231">
        <f t="shared" si="29"/>
        <v>1.1565919025580665E+33</v>
      </c>
      <c r="F272" s="236">
        <f t="shared" si="26"/>
        <v>179.24069823303932</v>
      </c>
      <c r="G272" s="217" cm="1">
        <f t="array" ref="G272">$B$7*SUM((($D$42:$D$42)/$C272)/(EXP($D$42:$D$42/$C272)-1)-LN(1-EXP(-$D$42:$D$42/$C272)))</f>
        <v>2.3013569289373237</v>
      </c>
      <c r="H272" s="218">
        <f t="shared" si="27"/>
        <v>58.901358269223969</v>
      </c>
      <c r="I272" s="221">
        <v>0</v>
      </c>
      <c r="J272" s="330">
        <f t="shared" si="30"/>
        <v>240.44341343120061</v>
      </c>
    </row>
    <row r="273" spans="3:10" ht="19" x14ac:dyDescent="0.25">
      <c r="C273" s="151">
        <f t="shared" si="32"/>
        <v>1300</v>
      </c>
      <c r="D273" s="214">
        <f t="shared" si="28"/>
        <v>0.10667377251418701</v>
      </c>
      <c r="E273" s="231">
        <f t="shared" si="29"/>
        <v>1.304137271023695E+33</v>
      </c>
      <c r="F273" s="236">
        <f t="shared" si="26"/>
        <v>180.90446595474143</v>
      </c>
      <c r="G273" s="217" cm="1">
        <f t="array" ref="G273">$B$7*SUM((($D$42:$D$42)/$C273)/(EXP($D$42:$D$42/$C273)-1)-LN(1-EXP(-$D$42:$D$42/$C273)))</f>
        <v>2.7008249351754476</v>
      </c>
      <c r="H273" s="218">
        <f t="shared" si="27"/>
        <v>59.566865357904824</v>
      </c>
      <c r="I273" s="221">
        <v>0</v>
      </c>
      <c r="J273" s="330">
        <f t="shared" si="30"/>
        <v>243.1721562478217</v>
      </c>
    </row>
    <row r="274" spans="3:10" ht="19" x14ac:dyDescent="0.25">
      <c r="C274" s="151">
        <f t="shared" si="32"/>
        <v>1400</v>
      </c>
      <c r="D274" s="214">
        <f t="shared" si="28"/>
        <v>0.11487944732297062</v>
      </c>
      <c r="E274" s="231">
        <f t="shared" si="29"/>
        <v>1.4574723750138691E+33</v>
      </c>
      <c r="F274" s="236">
        <f t="shared" si="26"/>
        <v>182.44487426392871</v>
      </c>
      <c r="G274" s="217" cm="1">
        <f t="array" ref="G274">$B$7*SUM((($D$42:$D$42)/$C274)/(EXP($D$42:$D$42/$C274)-1)-LN(1-EXP(-$D$42:$D$42/$C274)))</f>
        <v>3.0974763874374225</v>
      </c>
      <c r="H274" s="218">
        <f t="shared" si="27"/>
        <v>60.183028681579721</v>
      </c>
      <c r="I274" s="221">
        <v>0</v>
      </c>
      <c r="J274" s="330">
        <f t="shared" si="30"/>
        <v>245.72537933294583</v>
      </c>
    </row>
    <row r="275" spans="3:10" ht="19" x14ac:dyDescent="0.25">
      <c r="C275" s="151">
        <f t="shared" si="32"/>
        <v>1500</v>
      </c>
      <c r="D275" s="214">
        <f t="shared" si="28"/>
        <v>0.12308512213175424</v>
      </c>
      <c r="E275" s="231">
        <f t="shared" si="29"/>
        <v>1.6163863227160172E+33</v>
      </c>
      <c r="F275" s="236">
        <f t="shared" si="26"/>
        <v>183.87896009065639</v>
      </c>
      <c r="G275" s="217" cm="1">
        <f t="array" ref="G275">$B$7*SUM((($D$42:$D$42)/$C275)/(EXP($D$42:$D$42/$C275)-1)-LN(1-EXP(-$D$42:$D$42/$C275)))</f>
        <v>3.4882678748839373</v>
      </c>
      <c r="H275" s="218">
        <f t="shared" si="27"/>
        <v>60.756663012270835</v>
      </c>
      <c r="I275" s="221">
        <v>0</v>
      </c>
      <c r="J275" s="330">
        <f t="shared" si="30"/>
        <v>248.12389097781119</v>
      </c>
    </row>
    <row r="276" spans="3:10" ht="19" x14ac:dyDescent="0.25">
      <c r="C276" s="151">
        <f t="shared" si="32"/>
        <v>1600</v>
      </c>
      <c r="D276" s="214">
        <f t="shared" si="28"/>
        <v>0.13129079694053786</v>
      </c>
      <c r="E276" s="231">
        <f t="shared" si="29"/>
        <v>1.7806897234251673E+33</v>
      </c>
      <c r="F276" s="236">
        <f t="shared" si="26"/>
        <v>185.22045779102197</v>
      </c>
      <c r="G276" s="217" cm="1">
        <f t="array" ref="G276">$B$7*SUM((($D$42:$D$42)/$C276)/(EXP($D$42:$D$42/$C276)-1)-LN(1-EXP(-$D$42:$D$42/$C276)))</f>
        <v>3.8712157179400979</v>
      </c>
      <c r="H276" s="218">
        <f t="shared" si="27"/>
        <v>61.293262092417059</v>
      </c>
      <c r="I276" s="221">
        <v>0</v>
      </c>
      <c r="J276" s="330">
        <f t="shared" si="30"/>
        <v>250.38493560137911</v>
      </c>
    </row>
    <row r="277" spans="3:10" ht="19" x14ac:dyDescent="0.25">
      <c r="C277" s="151">
        <f t="shared" si="32"/>
        <v>1700</v>
      </c>
      <c r="D277" s="214">
        <f t="shared" si="28"/>
        <v>0.13949647174932148</v>
      </c>
      <c r="E277" s="231">
        <f t="shared" si="29"/>
        <v>1.9502112636605715E+33</v>
      </c>
      <c r="F277" s="236">
        <f t="shared" si="26"/>
        <v>186.48060118009846</v>
      </c>
      <c r="G277" s="217" cm="1">
        <f t="array" ref="G277">$B$7*SUM((($D$42:$D$42)/$C277)/(EXP($D$42:$D$42/$C277)-1)-LN(1-EXP(-$D$42:$D$42/$C277)))</f>
        <v>4.2450873195944956</v>
      </c>
      <c r="H277" s="218">
        <f t="shared" si="27"/>
        <v>61.797319448047624</v>
      </c>
      <c r="I277" s="221">
        <v>0</v>
      </c>
      <c r="J277" s="330">
        <f t="shared" si="30"/>
        <v>252.52300794774058</v>
      </c>
    </row>
    <row r="278" spans="3:10" ht="19" x14ac:dyDescent="0.25">
      <c r="C278" s="151">
        <f t="shared" si="32"/>
        <v>1800</v>
      </c>
      <c r="D278" s="214">
        <f t="shared" si="28"/>
        <v>0.1477021465581051</v>
      </c>
      <c r="E278" s="231">
        <f t="shared" si="29"/>
        <v>2.1247950014265655E+33</v>
      </c>
      <c r="F278" s="236">
        <f t="shared" si="26"/>
        <v>187.66869597017569</v>
      </c>
      <c r="G278" s="217" cm="1">
        <f t="array" ref="G278">$B$7*SUM((($D$42:$D$42)/$C278)/(EXP($D$42:$D$42/$C278)-1)-LN(1-EXP(-$D$42:$D$42/$C278)))</f>
        <v>4.6091772353671541</v>
      </c>
      <c r="H278" s="218">
        <f t="shared" si="27"/>
        <v>62.272557364078494</v>
      </c>
      <c r="I278" s="221">
        <v>0</v>
      </c>
      <c r="J278" s="330">
        <f t="shared" si="30"/>
        <v>254.55043056962134</v>
      </c>
    </row>
    <row r="279" spans="3:10" ht="19" x14ac:dyDescent="0.25">
      <c r="C279" s="151">
        <f t="shared" si="32"/>
        <v>1900</v>
      </c>
      <c r="D279" s="214">
        <f t="shared" si="28"/>
        <v>0.15590782136688872</v>
      </c>
      <c r="E279" s="231">
        <f t="shared" si="29"/>
        <v>2.3042981957816015E+33</v>
      </c>
      <c r="F279" s="236">
        <f t="shared" si="26"/>
        <v>188.79253723149955</v>
      </c>
      <c r="G279" s="217" cm="1">
        <f t="array" ref="G279">$B$7*SUM((($D$42:$D$42)/$C279)/(EXP($D$42:$D$42/$C279)-1)-LN(1-EXP(-$D$42:$D$42/$C279)))</f>
        <v>4.9631468340724529</v>
      </c>
      <c r="H279" s="218">
        <f t="shared" si="27"/>
        <v>62.722093868608077</v>
      </c>
      <c r="I279" s="221">
        <v>0</v>
      </c>
      <c r="J279" s="330">
        <f t="shared" si="30"/>
        <v>256.4777779341801</v>
      </c>
    </row>
    <row r="280" spans="3:10" ht="20" thickBot="1" x14ac:dyDescent="0.3">
      <c r="C280" s="152">
        <f t="shared" si="32"/>
        <v>2000</v>
      </c>
      <c r="D280" s="215">
        <f t="shared" si="28"/>
        <v>0.16411349617567234</v>
      </c>
      <c r="E280" s="232">
        <f t="shared" si="29"/>
        <v>2.4885895427587478E+33</v>
      </c>
      <c r="F280" s="237">
        <f t="shared" si="26"/>
        <v>189.85871964863918</v>
      </c>
      <c r="G280" s="228" cm="1">
        <f t="array" ref="G280">$B$7*SUM((($D$42:$D$42)/$C280)/(EXP($D$42:$D$42/$C280)-1)-LN(1-EXP(-$D$42:$D$42/$C280)))</f>
        <v>5.3069102691943222</v>
      </c>
      <c r="H280" s="238">
        <f t="shared" si="27"/>
        <v>63.148566835463924</v>
      </c>
      <c r="I280" s="223">
        <v>0</v>
      </c>
      <c r="J280" s="331">
        <f t="shared" si="30"/>
        <v>258.31419675329744</v>
      </c>
    </row>
  </sheetData>
  <mergeCells count="12">
    <mergeCell ref="F260:J260"/>
    <mergeCell ref="A18:V18"/>
    <mergeCell ref="A53:V53"/>
    <mergeCell ref="C100:D100"/>
    <mergeCell ref="C130:D130"/>
    <mergeCell ref="C131:D131"/>
    <mergeCell ref="H198:K198"/>
    <mergeCell ref="D203:E203"/>
    <mergeCell ref="D212:H212"/>
    <mergeCell ref="H239:K239"/>
    <mergeCell ref="D244:E244"/>
    <mergeCell ref="D245:E2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CH4</vt:lpstr>
      <vt:lpstr>C2H6</vt:lpstr>
      <vt:lpstr>NO2</vt:lpstr>
      <vt:lpstr>H2O</vt:lpstr>
      <vt:lpstr>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2024-08-14T21:56:07Z</dcterms:created>
  <dcterms:modified xsi:type="dcterms:W3CDTF">2024-09-14T15:56:04Z</dcterms:modified>
</cp:coreProperties>
</file>