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cabiati/Desktop/Cose_brutte_PoliMI/V_anno/II_semestre/Molecular_Modeling_for_Process_Engineering/MMfP/Project6/"/>
    </mc:Choice>
  </mc:AlternateContent>
  <xr:revisionPtr revIDLastSave="0" documentId="13_ncr:1_{CD8F2329-8332-EB43-AF0F-59DF7C7A08FB}" xr6:coauthVersionLast="47" xr6:coauthVersionMax="47" xr10:uidLastSave="{00000000-0000-0000-0000-000000000000}"/>
  <bookViews>
    <workbookView xWindow="1100" yWindow="820" windowWidth="28040" windowHeight="17440" xr2:uid="{358C3946-A9E6-BD49-9D1D-BD2010FE3E32}"/>
  </bookViews>
  <sheets>
    <sheet name="CH4-&gt;CH3 + H" sheetId="1" r:id="rId1"/>
    <sheet name="H2-&gt;2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" i="2" l="1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H67" i="2"/>
  <c r="I67" i="2"/>
  <c r="J67" i="2"/>
  <c r="G67" i="2"/>
  <c r="C68" i="2"/>
  <c r="K68" i="2" s="1"/>
  <c r="O68" i="2" s="1"/>
  <c r="D68" i="2"/>
  <c r="L68" i="2" s="1"/>
  <c r="P68" i="2" s="1"/>
  <c r="E68" i="2"/>
  <c r="M68" i="2" s="1"/>
  <c r="Q68" i="2" s="1"/>
  <c r="F68" i="2"/>
  <c r="N68" i="2" s="1"/>
  <c r="R68" i="2" s="1"/>
  <c r="C69" i="2"/>
  <c r="K69" i="2" s="1"/>
  <c r="O69" i="2" s="1"/>
  <c r="D69" i="2"/>
  <c r="L69" i="2" s="1"/>
  <c r="P69" i="2" s="1"/>
  <c r="E69" i="2"/>
  <c r="M69" i="2" s="1"/>
  <c r="Q69" i="2" s="1"/>
  <c r="F69" i="2"/>
  <c r="N69" i="2" s="1"/>
  <c r="R69" i="2" s="1"/>
  <c r="C70" i="2"/>
  <c r="K70" i="2" s="1"/>
  <c r="O70" i="2" s="1"/>
  <c r="D70" i="2"/>
  <c r="L70" i="2" s="1"/>
  <c r="P70" i="2" s="1"/>
  <c r="E70" i="2"/>
  <c r="M70" i="2" s="1"/>
  <c r="Q70" i="2" s="1"/>
  <c r="F70" i="2"/>
  <c r="N70" i="2" s="1"/>
  <c r="R70" i="2" s="1"/>
  <c r="C71" i="2"/>
  <c r="K71" i="2" s="1"/>
  <c r="O71" i="2" s="1"/>
  <c r="D71" i="2"/>
  <c r="L71" i="2" s="1"/>
  <c r="P71" i="2" s="1"/>
  <c r="E71" i="2"/>
  <c r="M71" i="2" s="1"/>
  <c r="Q71" i="2" s="1"/>
  <c r="F71" i="2"/>
  <c r="N71" i="2" s="1"/>
  <c r="R71" i="2" s="1"/>
  <c r="C72" i="2"/>
  <c r="K72" i="2" s="1"/>
  <c r="O72" i="2" s="1"/>
  <c r="D72" i="2"/>
  <c r="L72" i="2" s="1"/>
  <c r="P72" i="2" s="1"/>
  <c r="E72" i="2"/>
  <c r="M72" i="2" s="1"/>
  <c r="Q72" i="2" s="1"/>
  <c r="F72" i="2"/>
  <c r="N72" i="2" s="1"/>
  <c r="R72" i="2" s="1"/>
  <c r="C73" i="2"/>
  <c r="K73" i="2" s="1"/>
  <c r="O73" i="2" s="1"/>
  <c r="D73" i="2"/>
  <c r="L73" i="2" s="1"/>
  <c r="P73" i="2" s="1"/>
  <c r="E73" i="2"/>
  <c r="M73" i="2" s="1"/>
  <c r="Q73" i="2" s="1"/>
  <c r="F73" i="2"/>
  <c r="N73" i="2" s="1"/>
  <c r="R73" i="2" s="1"/>
  <c r="D67" i="2"/>
  <c r="L67" i="2" s="1"/>
  <c r="P67" i="2" s="1"/>
  <c r="E67" i="2"/>
  <c r="M67" i="2" s="1"/>
  <c r="Q67" i="2" s="1"/>
  <c r="F67" i="2"/>
  <c r="N67" i="2" s="1"/>
  <c r="R67" i="2" s="1"/>
  <c r="C67" i="2"/>
  <c r="K67" i="2" s="1"/>
  <c r="O67" i="2" s="1"/>
  <c r="N46" i="1"/>
  <c r="O46" i="1"/>
  <c r="P46" i="1"/>
  <c r="Q46" i="1"/>
  <c r="N47" i="1"/>
  <c r="Z47" i="1" s="1"/>
  <c r="AD47" i="1" s="1"/>
  <c r="O47" i="1"/>
  <c r="AA47" i="1" s="1"/>
  <c r="AE47" i="1" s="1"/>
  <c r="P47" i="1"/>
  <c r="AB47" i="1" s="1"/>
  <c r="AF47" i="1" s="1"/>
  <c r="Q47" i="1"/>
  <c r="AC47" i="1" s="1"/>
  <c r="AG47" i="1" s="1"/>
  <c r="N48" i="1"/>
  <c r="O48" i="1"/>
  <c r="P48" i="1"/>
  <c r="Q48" i="1"/>
  <c r="N49" i="1"/>
  <c r="Z49" i="1" s="1"/>
  <c r="AD49" i="1" s="1"/>
  <c r="O49" i="1"/>
  <c r="AA49" i="1" s="1"/>
  <c r="AE49" i="1" s="1"/>
  <c r="P49" i="1"/>
  <c r="AB49" i="1" s="1"/>
  <c r="AF49" i="1" s="1"/>
  <c r="Q49" i="1"/>
  <c r="AC49" i="1" s="1"/>
  <c r="AG49" i="1" s="1"/>
  <c r="N50" i="1"/>
  <c r="O50" i="1"/>
  <c r="P50" i="1"/>
  <c r="Q50" i="1"/>
  <c r="N51" i="1"/>
  <c r="Z51" i="1" s="1"/>
  <c r="AD51" i="1" s="1"/>
  <c r="O51" i="1"/>
  <c r="AA51" i="1" s="1"/>
  <c r="AE51" i="1" s="1"/>
  <c r="P51" i="1"/>
  <c r="AB51" i="1" s="1"/>
  <c r="AF51" i="1" s="1"/>
  <c r="Q51" i="1"/>
  <c r="AC51" i="1" s="1"/>
  <c r="AG51" i="1" s="1"/>
  <c r="O45" i="1"/>
  <c r="P45" i="1"/>
  <c r="Q45" i="1"/>
  <c r="N45" i="1"/>
  <c r="V46" i="1"/>
  <c r="Z46" i="1" s="1"/>
  <c r="AD46" i="1" s="1"/>
  <c r="W46" i="1"/>
  <c r="AA46" i="1" s="1"/>
  <c r="AE46" i="1" s="1"/>
  <c r="X46" i="1"/>
  <c r="AB46" i="1" s="1"/>
  <c r="AF46" i="1" s="1"/>
  <c r="Y46" i="1"/>
  <c r="AC46" i="1" s="1"/>
  <c r="AG46" i="1" s="1"/>
  <c r="V47" i="1"/>
  <c r="W47" i="1"/>
  <c r="X47" i="1"/>
  <c r="Y47" i="1"/>
  <c r="V48" i="1"/>
  <c r="Z48" i="1" s="1"/>
  <c r="AD48" i="1" s="1"/>
  <c r="W48" i="1"/>
  <c r="AA48" i="1" s="1"/>
  <c r="AE48" i="1" s="1"/>
  <c r="X48" i="1"/>
  <c r="AB48" i="1" s="1"/>
  <c r="AF48" i="1" s="1"/>
  <c r="Y48" i="1"/>
  <c r="AC48" i="1" s="1"/>
  <c r="AG48" i="1" s="1"/>
  <c r="V49" i="1"/>
  <c r="W49" i="1"/>
  <c r="X49" i="1"/>
  <c r="Y49" i="1"/>
  <c r="V50" i="1"/>
  <c r="Z50" i="1" s="1"/>
  <c r="AD50" i="1" s="1"/>
  <c r="W50" i="1"/>
  <c r="AA50" i="1" s="1"/>
  <c r="AE50" i="1" s="1"/>
  <c r="X50" i="1"/>
  <c r="AB50" i="1" s="1"/>
  <c r="AF50" i="1" s="1"/>
  <c r="Y50" i="1"/>
  <c r="AC50" i="1" s="1"/>
  <c r="AG50" i="1" s="1"/>
  <c r="V51" i="1"/>
  <c r="W51" i="1"/>
  <c r="X51" i="1"/>
  <c r="Y51" i="1"/>
  <c r="W45" i="1"/>
  <c r="AA45" i="1" s="1"/>
  <c r="AE45" i="1" s="1"/>
  <c r="X45" i="1"/>
  <c r="AB45" i="1" s="1"/>
  <c r="AF45" i="1" s="1"/>
  <c r="Y45" i="1"/>
  <c r="AC45" i="1" s="1"/>
  <c r="AG45" i="1" s="1"/>
  <c r="V45" i="1"/>
  <c r="Z45" i="1" s="1"/>
  <c r="AD45" i="1" s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S45" i="1"/>
  <c r="T45" i="1"/>
  <c r="U45" i="1"/>
  <c r="R45" i="1"/>
  <c r="F15" i="2" l="1"/>
  <c r="H8" i="2"/>
  <c r="I14" i="2"/>
  <c r="I11" i="2"/>
  <c r="I10" i="2"/>
  <c r="I9" i="2"/>
  <c r="I8" i="2"/>
  <c r="H14" i="2"/>
  <c r="H11" i="2"/>
  <c r="H10" i="2"/>
  <c r="H9" i="2"/>
  <c r="G14" i="2"/>
  <c r="G11" i="2"/>
  <c r="G10" i="2"/>
  <c r="G9" i="2"/>
  <c r="G8" i="2"/>
  <c r="I14" i="1"/>
  <c r="I11" i="1"/>
  <c r="I10" i="1"/>
  <c r="I9" i="1"/>
  <c r="I8" i="1"/>
  <c r="H14" i="1"/>
  <c r="H11" i="1"/>
  <c r="H10" i="1"/>
  <c r="H9" i="1"/>
  <c r="H8" i="1"/>
  <c r="D8" i="1"/>
  <c r="G14" i="1"/>
  <c r="G10" i="1"/>
  <c r="G11" i="1"/>
  <c r="G9" i="1"/>
  <c r="G8" i="1"/>
</calcChain>
</file>

<file path=xl/sharedStrings.xml><?xml version="1.0" encoding="utf-8"?>
<sst xmlns="http://schemas.openxmlformats.org/spreadsheetml/2006/main" count="260" uniqueCount="34">
  <si>
    <t>H</t>
  </si>
  <si>
    <t>g09</t>
  </si>
  <si>
    <t>HF</t>
  </si>
  <si>
    <t xml:space="preserve"> MP2</t>
  </si>
  <si>
    <t>DFT</t>
  </si>
  <si>
    <t>B3LYP</t>
  </si>
  <si>
    <t>B3PW91</t>
  </si>
  <si>
    <t>STO-3G</t>
  </si>
  <si>
    <t>6-31G</t>
  </si>
  <si>
    <t>6-31+G</t>
  </si>
  <si>
    <t>6-31++G</t>
  </si>
  <si>
    <t>cc-pVDZ</t>
  </si>
  <si>
    <t>cc-pVTZ</t>
  </si>
  <si>
    <t>aug-cc-pVDZ</t>
  </si>
  <si>
    <t>H2</t>
  </si>
  <si>
    <t>CH4</t>
  </si>
  <si>
    <t>CH3</t>
  </si>
  <si>
    <t>molpro</t>
  </si>
  <si>
    <t>-</t>
  </si>
  <si>
    <t>cc-pVQZ</t>
  </si>
  <si>
    <t>kcal/mol</t>
  </si>
  <si>
    <t>TABLE OF CONVERSIONS (ENERGY)</t>
  </si>
  <si>
    <t>hartree</t>
  </si>
  <si>
    <t>eV</t>
  </si>
  <si>
    <r>
      <t>cm</t>
    </r>
    <r>
      <rPr>
        <b/>
        <vertAlign val="superscript"/>
        <sz val="14"/>
        <color theme="1"/>
        <rFont val="Aptos Narrow"/>
        <scheme val="minor"/>
      </rPr>
      <t>-1</t>
    </r>
  </si>
  <si>
    <t>kJ/mol</t>
  </si>
  <si>
    <r>
      <t>o</t>
    </r>
    <r>
      <rPr>
        <b/>
        <sz val="14"/>
        <color theme="1"/>
        <rFont val="Aptos Narrow"/>
        <scheme val="minor"/>
      </rPr>
      <t>K</t>
    </r>
  </si>
  <si>
    <t>J</t>
  </si>
  <si>
    <t>Hz</t>
  </si>
  <si>
    <t>                      out
in</t>
  </si>
  <si>
    <t>Units:
Hartees</t>
  </si>
  <si>
    <t>epxerimental bond energy [kcal/mol]</t>
  </si>
  <si>
    <t>Units:
kcal/mol</t>
  </si>
  <si>
    <t>∆E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</si>
</sst>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Aptos Narrow"/>
      <scheme val="minor"/>
    </font>
    <font>
      <b/>
      <sz val="10"/>
      <color theme="1"/>
      <name val="Aptos Narrow"/>
      <scheme val="minor"/>
    </font>
    <font>
      <b/>
      <vertAlign val="superscript"/>
      <sz val="14"/>
      <color theme="1"/>
      <name val="Aptos Narrow"/>
      <scheme val="minor"/>
    </font>
    <font>
      <sz val="14"/>
      <color theme="1"/>
      <name val="Aptos Narrow"/>
      <family val="2"/>
      <scheme val="minor"/>
    </font>
    <font>
      <b/>
      <sz val="14"/>
      <color rgb="FFFF0000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sz val="14"/>
      <color rgb="FF00000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D93D9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ck">
        <color auto="1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ck">
        <color auto="1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8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2" borderId="8" xfId="0" applyFont="1" applyFill="1" applyBorder="1"/>
    <xf numFmtId="0" fontId="8" fillId="2" borderId="8" xfId="0" applyFont="1" applyFill="1" applyBorder="1"/>
    <xf numFmtId="0" fontId="5" fillId="2" borderId="9" xfId="0" applyFont="1" applyFill="1" applyBorder="1"/>
    <xf numFmtId="0" fontId="9" fillId="0" borderId="0" xfId="0" applyFont="1"/>
    <xf numFmtId="0" fontId="9" fillId="0" borderId="12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3" xfId="0" applyFont="1" applyBorder="1"/>
    <xf numFmtId="0" fontId="9" fillId="0" borderId="3" xfId="0" applyFont="1" applyBorder="1"/>
    <xf numFmtId="0" fontId="9" fillId="0" borderId="10" xfId="0" applyFont="1" applyBorder="1"/>
    <xf numFmtId="0" fontId="9" fillId="0" borderId="5" xfId="0" applyFont="1" applyBorder="1"/>
    <xf numFmtId="0" fontId="9" fillId="0" borderId="1" xfId="0" applyFont="1" applyBorder="1"/>
    <xf numFmtId="0" fontId="4" fillId="5" borderId="13" xfId="0" applyFont="1" applyFill="1" applyBorder="1"/>
    <xf numFmtId="0" fontId="4" fillId="5" borderId="14" xfId="0" applyFont="1" applyFill="1" applyBorder="1"/>
    <xf numFmtId="0" fontId="9" fillId="5" borderId="14" xfId="0" applyFont="1" applyFill="1" applyBorder="1"/>
    <xf numFmtId="0" fontId="9" fillId="5" borderId="17" xfId="0" applyFont="1" applyFill="1" applyBorder="1"/>
    <xf numFmtId="0" fontId="9" fillId="5" borderId="16" xfId="0" applyFont="1" applyFill="1" applyBorder="1"/>
    <xf numFmtId="0" fontId="9" fillId="0" borderId="2" xfId="0" applyFont="1" applyBorder="1"/>
    <xf numFmtId="0" fontId="9" fillId="0" borderId="4" xfId="0" applyFont="1" applyBorder="1"/>
    <xf numFmtId="0" fontId="9" fillId="0" borderId="18" xfId="0" applyFont="1" applyBorder="1"/>
    <xf numFmtId="0" fontId="9" fillId="0" borderId="19" xfId="0" applyFont="1" applyBorder="1"/>
    <xf numFmtId="0" fontId="9" fillId="5" borderId="13" xfId="0" applyFont="1" applyFill="1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1" xfId="0" applyBorder="1"/>
    <xf numFmtId="0" fontId="0" fillId="5" borderId="13" xfId="0" applyFill="1" applyBorder="1"/>
    <xf numFmtId="0" fontId="0" fillId="5" borderId="14" xfId="0" applyFill="1" applyBorder="1"/>
    <xf numFmtId="0" fontId="0" fillId="5" borderId="17" xfId="0" applyFill="1" applyBorder="1"/>
    <xf numFmtId="0" fontId="0" fillId="5" borderId="16" xfId="0" applyFill="1" applyBorder="1"/>
    <xf numFmtId="0" fontId="12" fillId="0" borderId="0" xfId="0" applyFont="1"/>
    <xf numFmtId="10" fontId="9" fillId="0" borderId="8" xfId="0" applyNumberFormat="1" applyFont="1" applyBorder="1"/>
    <xf numFmtId="10" fontId="9" fillId="0" borderId="12" xfId="0" applyNumberFormat="1" applyFont="1" applyBorder="1"/>
    <xf numFmtId="10" fontId="9" fillId="0" borderId="9" xfId="0" applyNumberFormat="1" applyFont="1" applyBorder="1"/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13" fillId="6" borderId="11" xfId="0" applyFont="1" applyFill="1" applyBorder="1"/>
    <xf numFmtId="0" fontId="13" fillId="6" borderId="20" xfId="0" applyFont="1" applyFill="1" applyBorder="1"/>
    <xf numFmtId="0" fontId="13" fillId="6" borderId="21" xfId="0" applyFont="1" applyFill="1" applyBorder="1"/>
    <xf numFmtId="0" fontId="13" fillId="6" borderId="22" xfId="0" applyFont="1" applyFill="1" applyBorder="1"/>
    <xf numFmtId="0" fontId="13" fillId="6" borderId="23" xfId="0" applyFont="1" applyFill="1" applyBorder="1"/>
    <xf numFmtId="11" fontId="13" fillId="6" borderId="23" xfId="0" applyNumberFormat="1" applyFont="1" applyFill="1" applyBorder="1"/>
    <xf numFmtId="0" fontId="13" fillId="6" borderId="24" xfId="0" applyFont="1" applyFill="1" applyBorder="1"/>
    <xf numFmtId="0" fontId="13" fillId="6" borderId="25" xfId="0" applyFont="1" applyFill="1" applyBorder="1"/>
    <xf numFmtId="0" fontId="13" fillId="6" borderId="26" xfId="0" applyFont="1" applyFill="1" applyBorder="1"/>
    <xf numFmtId="0" fontId="13" fillId="6" borderId="5" xfId="0" applyFont="1" applyFill="1" applyBorder="1"/>
    <xf numFmtId="0" fontId="5" fillId="2" borderId="2" xfId="0" applyFont="1" applyFill="1" applyBorder="1"/>
    <xf numFmtId="0" fontId="5" fillId="2" borderId="4" xfId="0" applyFont="1" applyFill="1" applyBorder="1"/>
    <xf numFmtId="0" fontId="5" fillId="2" borderId="3" xfId="0" applyFont="1" applyFill="1" applyBorder="1"/>
    <xf numFmtId="0" fontId="5" fillId="2" borderId="5" xfId="0" applyFont="1" applyFill="1" applyBorder="1"/>
    <xf numFmtId="0" fontId="3" fillId="0" borderId="0" xfId="0" applyFont="1" applyAlignment="1">
      <alignment horizontal="center"/>
    </xf>
    <xf numFmtId="0" fontId="7" fillId="2" borderId="6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8" fillId="2" borderId="4" xfId="0" applyFont="1" applyFill="1" applyBorder="1"/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13" xfId="1" applyNumberFormat="1" applyFont="1" applyBorder="1" applyAlignment="1">
      <alignment horizontal="center" vertical="center"/>
    </xf>
    <xf numFmtId="0" fontId="11" fillId="0" borderId="2" xfId="1" applyNumberFormat="1" applyFont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0" fontId="11" fillId="0" borderId="15" xfId="1" applyNumberFormat="1" applyFont="1" applyBorder="1" applyAlignment="1">
      <alignment horizontal="center" vertical="center"/>
    </xf>
    <xf numFmtId="0" fontId="11" fillId="0" borderId="4" xfId="1" applyNumberFormat="1" applyFont="1" applyBorder="1" applyAlignment="1">
      <alignment horizontal="center" vertical="center"/>
    </xf>
    <xf numFmtId="0" fontId="11" fillId="0" borderId="5" xfId="1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19</xdr:row>
      <xdr:rowOff>88900</xdr:rowOff>
    </xdr:from>
    <xdr:to>
      <xdr:col>16</xdr:col>
      <xdr:colOff>469900</xdr:colOff>
      <xdr:row>23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DE779A-9BDA-478E-0659-A0178C14C967}"/>
            </a:ext>
          </a:extLst>
        </xdr:cNvPr>
        <xdr:cNvSpPr txBox="1"/>
      </xdr:nvSpPr>
      <xdr:spPr>
        <a:xfrm>
          <a:off x="10172700" y="4419600"/>
          <a:ext cx="3505200" cy="8255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OSS</a:t>
          </a:r>
          <a:r>
            <a:rPr lang="en-US" sz="1200"/>
            <a:t>: Differenlty from</a:t>
          </a:r>
          <a:r>
            <a:rPr lang="en-US" sz="1200" baseline="0"/>
            <a:t> the hydrogen system, here chosing 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6-31+G</a:t>
          </a:r>
          <a:r>
            <a:rPr lang="en-US" sz="1200"/>
            <a:t>  with respect to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6-31G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allows to get to a lower energy, even if the change is relatively small</a:t>
          </a:r>
          <a:endParaRPr lang="en-US" sz="1200"/>
        </a:p>
      </xdr:txBody>
    </xdr:sp>
    <xdr:clientData/>
  </xdr:twoCellAnchor>
  <xdr:twoCellAnchor>
    <xdr:from>
      <xdr:col>1</xdr:col>
      <xdr:colOff>12700</xdr:colOff>
      <xdr:row>8</xdr:row>
      <xdr:rowOff>25400</xdr:rowOff>
    </xdr:from>
    <xdr:to>
      <xdr:col>9</xdr:col>
      <xdr:colOff>12700</xdr:colOff>
      <xdr:row>9</xdr:row>
      <xdr:rowOff>228600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F841B35-89BC-B149-AFCB-06EFDF34E76A}"/>
            </a:ext>
          </a:extLst>
        </xdr:cNvPr>
        <xdr:cNvSpPr/>
      </xdr:nvSpPr>
      <xdr:spPr>
        <a:xfrm>
          <a:off x="838200" y="2044700"/>
          <a:ext cx="6858000" cy="4699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25400</xdr:colOff>
      <xdr:row>27</xdr:row>
      <xdr:rowOff>12700</xdr:rowOff>
    </xdr:from>
    <xdr:to>
      <xdr:col>9</xdr:col>
      <xdr:colOff>0</xdr:colOff>
      <xdr:row>29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3243A57-D659-8D45-9431-1C01879AE1D6}"/>
            </a:ext>
          </a:extLst>
        </xdr:cNvPr>
        <xdr:cNvSpPr/>
      </xdr:nvSpPr>
      <xdr:spPr>
        <a:xfrm>
          <a:off x="850900" y="6718300"/>
          <a:ext cx="6832600" cy="4699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12700</xdr:colOff>
      <xdr:row>8</xdr:row>
      <xdr:rowOff>260350</xdr:rowOff>
    </xdr:from>
    <xdr:to>
      <xdr:col>12</xdr:col>
      <xdr:colOff>266700</xdr:colOff>
      <xdr:row>21</xdr:row>
      <xdr:rowOff>88900</xdr:rowOff>
    </xdr:to>
    <xdr:cxnSp macro="">
      <xdr:nvCxnSpPr>
        <xdr:cNvPr id="7" name="Curved Connector 6">
          <a:extLst>
            <a:ext uri="{FF2B5EF4-FFF2-40B4-BE49-F238E27FC236}">
              <a16:creationId xmlns:a16="http://schemas.microsoft.com/office/drawing/2014/main" id="{D9878690-FEED-4DDA-17F7-F2A7CC0A0935}"/>
            </a:ext>
          </a:extLst>
        </xdr:cNvPr>
        <xdr:cNvCxnSpPr>
          <a:stCxn id="2" idx="1"/>
          <a:endCxn id="3" idx="3"/>
        </xdr:cNvCxnSpPr>
      </xdr:nvCxnSpPr>
      <xdr:spPr>
        <a:xfrm rot="10800000">
          <a:off x="7696200" y="2279650"/>
          <a:ext cx="2730500" cy="3041650"/>
        </a:xfrm>
        <a:prstGeom prst="curvedConnector3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21</xdr:row>
      <xdr:rowOff>88900</xdr:rowOff>
    </xdr:from>
    <xdr:to>
      <xdr:col>12</xdr:col>
      <xdr:colOff>266700</xdr:colOff>
      <xdr:row>28</xdr:row>
      <xdr:rowOff>6350</xdr:rowOff>
    </xdr:to>
    <xdr:cxnSp macro="">
      <xdr:nvCxnSpPr>
        <xdr:cNvPr id="9" name="Curved Connector 8">
          <a:extLst>
            <a:ext uri="{FF2B5EF4-FFF2-40B4-BE49-F238E27FC236}">
              <a16:creationId xmlns:a16="http://schemas.microsoft.com/office/drawing/2014/main" id="{0A4DD011-CB69-D013-0190-D01FD6A133DE}"/>
            </a:ext>
          </a:extLst>
        </xdr:cNvPr>
        <xdr:cNvCxnSpPr>
          <a:stCxn id="2" idx="1"/>
          <a:endCxn id="5" idx="3"/>
        </xdr:cNvCxnSpPr>
      </xdr:nvCxnSpPr>
      <xdr:spPr>
        <a:xfrm rot="10800000" flipV="1">
          <a:off x="7683500" y="5321300"/>
          <a:ext cx="2743200" cy="1631950"/>
        </a:xfrm>
        <a:prstGeom prst="curvedConnector3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45</xdr:row>
      <xdr:rowOff>25400</xdr:rowOff>
    </xdr:from>
    <xdr:to>
      <xdr:col>9</xdr:col>
      <xdr:colOff>0</xdr:colOff>
      <xdr:row>47</xdr:row>
      <xdr:rowOff>12700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201765C-8877-6542-A520-573E30A9C256}"/>
            </a:ext>
          </a:extLst>
        </xdr:cNvPr>
        <xdr:cNvSpPr/>
      </xdr:nvSpPr>
      <xdr:spPr>
        <a:xfrm>
          <a:off x="825500" y="11125200"/>
          <a:ext cx="6858000" cy="4699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21</xdr:row>
      <xdr:rowOff>88900</xdr:rowOff>
    </xdr:from>
    <xdr:to>
      <xdr:col>12</xdr:col>
      <xdr:colOff>266700</xdr:colOff>
      <xdr:row>46</xdr:row>
      <xdr:rowOff>19050</xdr:rowOff>
    </xdr:to>
    <xdr:cxnSp macro="">
      <xdr:nvCxnSpPr>
        <xdr:cNvPr id="15" name="Curved Connector 14">
          <a:extLst>
            <a:ext uri="{FF2B5EF4-FFF2-40B4-BE49-F238E27FC236}">
              <a16:creationId xmlns:a16="http://schemas.microsoft.com/office/drawing/2014/main" id="{492F42BF-30C0-DA4E-BE58-9DC5A31D1C8B}"/>
            </a:ext>
          </a:extLst>
        </xdr:cNvPr>
        <xdr:cNvCxnSpPr>
          <a:stCxn id="2" idx="1"/>
          <a:endCxn id="14" idx="3"/>
        </xdr:cNvCxnSpPr>
      </xdr:nvCxnSpPr>
      <xdr:spPr>
        <a:xfrm rot="10800000" flipV="1">
          <a:off x="7683500" y="5321300"/>
          <a:ext cx="2743200" cy="6038850"/>
        </a:xfrm>
        <a:prstGeom prst="curvedConnector3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603398</xdr:colOff>
      <xdr:row>15</xdr:row>
      <xdr:rowOff>4135</xdr:rowOff>
    </xdr:from>
    <xdr:to>
      <xdr:col>7</xdr:col>
      <xdr:colOff>88604</xdr:colOff>
      <xdr:row>19</xdr:row>
      <xdr:rowOff>147674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616142D-C3A0-584D-BB7B-53E35EB0051C}"/>
                </a:ext>
              </a:extLst>
            </xdr:cNvPr>
            <xdr:cNvSpPr txBox="1"/>
          </xdr:nvSpPr>
          <xdr:spPr>
            <a:xfrm>
              <a:off x="2508398" y="3725530"/>
              <a:ext cx="3620090" cy="1088656"/>
            </a:xfrm>
            <a:prstGeom prst="rect">
              <a:avLst/>
            </a:prstGeom>
            <a:solidFill>
              <a:schemeClr val="accent2">
                <a:lumMod val="60000"/>
                <a:lumOff val="40000"/>
              </a:schemeClr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/>
                <a:t>OSS</a:t>
              </a:r>
              <a:r>
                <a:rPr lang="en-US" sz="1200"/>
                <a:t>: As</a:t>
              </a:r>
              <a:r>
                <a:rPr lang="en-US" sz="1200" baseline="0"/>
                <a:t> expected, the general trend is:</a:t>
              </a:r>
            </a:p>
            <a:p>
              <a:r>
                <a:rPr lang="en-US" sz="1200" baseline="0"/>
                <a:t>- more complete  basis set </a:t>
              </a:r>
              <a14:m>
                <m:oMath xmlns:m="http://schemas.openxmlformats.org/officeDocument/2006/math">
                  <m:r>
                    <a:rPr lang="en-US" sz="12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n-US" sz="1200" baseline="0"/>
                <a:t> lower energy</a:t>
              </a:r>
            </a:p>
            <a:p>
              <a:r>
                <a:rPr lang="en-US" sz="1200" baseline="0"/>
                <a:t>- electron correlation aware methods </a:t>
              </a:r>
              <a14:m>
                <m:oMath xmlns:m="http://schemas.openxmlformats.org/officeDocument/2006/math">
                  <m:r>
                    <a:rPr lang="en-US" sz="12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n-US" sz="1200" baseline="0"/>
                <a:t> lower energy</a:t>
              </a:r>
            </a:p>
            <a:p>
              <a:r>
                <a:rPr lang="en-US" sz="1200" baseline="0"/>
                <a:t>This allows to 'describe' a bigger percentage of exact electron density, leading to better physical insights </a:t>
              </a: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616142D-C3A0-584D-BB7B-53E35EB0051C}"/>
                </a:ext>
              </a:extLst>
            </xdr:cNvPr>
            <xdr:cNvSpPr txBox="1"/>
          </xdr:nvSpPr>
          <xdr:spPr>
            <a:xfrm>
              <a:off x="2508398" y="3725530"/>
              <a:ext cx="3620090" cy="1088656"/>
            </a:xfrm>
            <a:prstGeom prst="rect">
              <a:avLst/>
            </a:prstGeom>
            <a:solidFill>
              <a:schemeClr val="accent2">
                <a:lumMod val="60000"/>
                <a:lumOff val="40000"/>
              </a:schemeClr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/>
                <a:t>OSS</a:t>
              </a:r>
              <a:r>
                <a:rPr lang="en-US" sz="1200"/>
                <a:t>: As</a:t>
              </a:r>
              <a:r>
                <a:rPr lang="en-US" sz="1200" baseline="0"/>
                <a:t> expected, the general trend is:</a:t>
              </a:r>
            </a:p>
            <a:p>
              <a:r>
                <a:rPr lang="en-US" sz="1200" baseline="0"/>
                <a:t>- more complete  basis set </a:t>
              </a:r>
              <a:r>
                <a:rPr lang="en-US" sz="12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n-US" sz="1200" baseline="0"/>
                <a:t> lower energy</a:t>
              </a:r>
            </a:p>
            <a:p>
              <a:r>
                <a:rPr lang="en-US" sz="1200" baseline="0"/>
                <a:t>- electron correlation aware methods </a:t>
              </a:r>
              <a:r>
                <a:rPr lang="en-US" sz="12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n-US" sz="1200" baseline="0"/>
                <a:t> lower energy</a:t>
              </a:r>
            </a:p>
            <a:p>
              <a:r>
                <a:rPr lang="en-US" sz="1200" baseline="0"/>
                <a:t>This allows to 'describe' a bigger percentage of exact electron density, leading to better physical insights </a:t>
              </a:r>
            </a:p>
          </xdr:txBody>
        </xdr:sp>
      </mc:Fallback>
    </mc:AlternateContent>
    <xdr:clientData/>
  </xdr:twoCellAnchor>
  <xdr:oneCellAnchor>
    <xdr:from>
      <xdr:col>11</xdr:col>
      <xdr:colOff>182000</xdr:colOff>
      <xdr:row>26</xdr:row>
      <xdr:rowOff>137849</xdr:rowOff>
    </xdr:from>
    <xdr:ext cx="7138493" cy="11167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86F6762-8FFC-FFFC-3318-1DD3014404C7}"/>
                </a:ext>
              </a:extLst>
            </xdr:cNvPr>
            <xdr:cNvSpPr txBox="1"/>
          </xdr:nvSpPr>
          <xdr:spPr>
            <a:xfrm>
              <a:off x="9506188" y="6563832"/>
              <a:ext cx="7138493" cy="1116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000" b="0" i="1">
                        <a:latin typeface="Cambria Math" panose="02040503050406030204" pitchFamily="18" charset="0"/>
                      </a:rPr>
                      <m:t>𝐵𝑂𝑈𝑁𝐷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𝐸𝑁𝐸𝑅𝐺𝑌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𝑑𝑒𝑓𝑖𝑛𝑒𝑑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𝑎𝑠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𝑚𝑒𝑎𝑛𝑠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𝑅𝐸𝐴𝐶𝑇𝐼𝑂𝑁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𝐸𝑁𝐸𝑅𝐺𝑌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20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𝑎𝑠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l-G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𝑟𝑒𝑎𝑐𝑡𝑎𝑛𝑐𝑠</m:t>
                            </m:r>
                          </m:sub>
                        </m:sSub>
                      </m:sub>
                      <m:sup/>
                      <m:e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𝑏𝑜𝑛𝑑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e>
                    </m:nary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pHide m:val="on"/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𝑗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𝑝𝑟𝑜𝑑𝑢𝑐𝑡𝑠</m:t>
                            </m:r>
                          </m:sub>
                        </m:sSub>
                      </m:sub>
                      <m:sup/>
                      <m:e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𝑏𝑜𝑛𝑑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e>
                    </m:nary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𝐶𝐻</m:t>
                        </m:r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𝐶𝐻</m:t>
                        </m:r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86F6762-8FFC-FFFC-3318-1DD3014404C7}"/>
                </a:ext>
              </a:extLst>
            </xdr:cNvPr>
            <xdr:cNvSpPr txBox="1"/>
          </xdr:nvSpPr>
          <xdr:spPr>
            <a:xfrm>
              <a:off x="9506188" y="6563832"/>
              <a:ext cx="7138493" cy="1116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2000" b="0" i="0">
                  <a:latin typeface="Cambria Math" panose="02040503050406030204" pitchFamily="18" charset="0"/>
                </a:rPr>
                <a:t>𝐵𝑂𝑈𝑁𝐷 𝐸𝑁𝐸𝑅𝐺𝑌 𝑑𝑒𝑓𝑖𝑛𝑒𝑑 𝑎𝑠 𝑚𝑒𝑎𝑛𝑠 𝑜𝑓 𝑅𝐸𝐴𝐶𝑇𝐼𝑂𝑁 𝐸𝑁𝐸𝑅𝐺𝑌 </a:t>
              </a:r>
              <a:endParaRPr lang="it-IT" sz="2000" b="0" i="1">
                <a:latin typeface="Cambria Math" panose="02040503050406030204" pitchFamily="18" charset="0"/>
              </a:endParaRPr>
            </a:p>
            <a:p>
              <a:r>
                <a:rPr lang="it-IT" sz="2000" b="0" i="0">
                  <a:latin typeface="Cambria Math" panose="02040503050406030204" pitchFamily="18" charset="0"/>
                </a:rPr>
                <a:t> 𝑎𝑠 </a:t>
              </a:r>
              <a:r>
                <a:rPr lang="el-G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it-IT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𝐸=∑8_(𝑖_𝑟𝑒𝑎𝑐𝑡𝑎𝑛𝑐𝑠)▒〖𝐸_(𝑏𝑜𝑛𝑑,𝑖)  〗−∑_(𝑗_𝑝𝑟𝑜𝑑𝑢𝑐𝑡𝑠)▒〖𝐸_(𝑏𝑜𝑛𝑑,𝑗)  〗=𝐸_𝐶𝐻4−𝐸_𝐻−𝐸_𝐶𝐻3  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23</xdr:col>
      <xdr:colOff>411176</xdr:colOff>
      <xdr:row>44</xdr:row>
      <xdr:rowOff>36688</xdr:rowOff>
    </xdr:from>
    <xdr:ext cx="65" cy="17209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D179AC8-3C2B-A0F6-5CF2-500DADF6C9B9}"/>
            </a:ext>
          </a:extLst>
        </xdr:cNvPr>
        <xdr:cNvSpPr txBox="1"/>
      </xdr:nvSpPr>
      <xdr:spPr>
        <a:xfrm>
          <a:off x="19634851" y="10826261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231943</xdr:colOff>
      <xdr:row>40</xdr:row>
      <xdr:rowOff>157480</xdr:rowOff>
    </xdr:from>
    <xdr:to>
      <xdr:col>16</xdr:col>
      <xdr:colOff>638343</xdr:colOff>
      <xdr:row>47</xdr:row>
      <xdr:rowOff>12254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777BDF-FB77-54FE-534C-1BD6F86B60E1}"/>
            </a:ext>
          </a:extLst>
        </xdr:cNvPr>
        <xdr:cNvSpPr txBox="1"/>
      </xdr:nvSpPr>
      <xdr:spPr>
        <a:xfrm>
          <a:off x="9300189" y="8356778"/>
          <a:ext cx="4528329" cy="125845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OSS</a:t>
          </a:r>
          <a:r>
            <a:rPr lang="en-US" sz="1400"/>
            <a:t>: as would be expected, for</a:t>
          </a:r>
          <a:r>
            <a:rPr lang="en-US" sz="1400" baseline="0"/>
            <a:t> the H2/H systems, changing the basis from 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6-31G</a:t>
          </a:r>
          <a:r>
            <a:rPr lang="en-US" sz="1400"/>
            <a:t>  to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6-31+G does not increase the accuracy of the results: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difference between the basis sets it the addition of diffuse s- and p-type functions of 2nd row atoms, which, for these systems, are not present</a:t>
          </a:r>
          <a:r>
            <a:rPr lang="en-US" sz="1400"/>
            <a:t> </a:t>
          </a:r>
        </a:p>
      </xdr:txBody>
    </xdr:sp>
    <xdr:clientData/>
  </xdr:twoCellAnchor>
  <xdr:twoCellAnchor>
    <xdr:from>
      <xdr:col>1</xdr:col>
      <xdr:colOff>12700</xdr:colOff>
      <xdr:row>8</xdr:row>
      <xdr:rowOff>30480</xdr:rowOff>
    </xdr:from>
    <xdr:to>
      <xdr:col>9</xdr:col>
      <xdr:colOff>0</xdr:colOff>
      <xdr:row>9</xdr:row>
      <xdr:rowOff>182880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E175AB6-1D92-7F2C-5C31-2534B12219B3}"/>
            </a:ext>
          </a:extLst>
        </xdr:cNvPr>
        <xdr:cNvSpPr/>
      </xdr:nvSpPr>
      <xdr:spPr>
        <a:xfrm>
          <a:off x="838200" y="1694180"/>
          <a:ext cx="6591300" cy="3556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7620</xdr:colOff>
      <xdr:row>27</xdr:row>
      <xdr:rowOff>30480</xdr:rowOff>
    </xdr:from>
    <xdr:to>
      <xdr:col>8</xdr:col>
      <xdr:colOff>812800</xdr:colOff>
      <xdr:row>28</xdr:row>
      <xdr:rowOff>182880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5D2B63F-ED40-054F-A25D-BB5F7F8942B9}"/>
            </a:ext>
          </a:extLst>
        </xdr:cNvPr>
        <xdr:cNvSpPr/>
      </xdr:nvSpPr>
      <xdr:spPr>
        <a:xfrm>
          <a:off x="833120" y="5605780"/>
          <a:ext cx="6583680" cy="3556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812801</xdr:colOff>
      <xdr:row>28</xdr:row>
      <xdr:rowOff>6417</xdr:rowOff>
    </xdr:from>
    <xdr:to>
      <xdr:col>11</xdr:col>
      <xdr:colOff>231944</xdr:colOff>
      <xdr:row>43</xdr:row>
      <xdr:rowOff>185130</xdr:rowOff>
    </xdr:to>
    <xdr:cxnSp macro="">
      <xdr:nvCxnSpPr>
        <xdr:cNvPr id="25" name="Curved Connector 24">
          <a:extLst>
            <a:ext uri="{FF2B5EF4-FFF2-40B4-BE49-F238E27FC236}">
              <a16:creationId xmlns:a16="http://schemas.microsoft.com/office/drawing/2014/main" id="{4B94F56D-1A1A-02EA-EF7E-F6F28EB4A236}"/>
            </a:ext>
          </a:extLst>
        </xdr:cNvPr>
        <xdr:cNvCxnSpPr>
          <a:stCxn id="2" idx="1"/>
          <a:endCxn id="20" idx="3"/>
        </xdr:cNvCxnSpPr>
      </xdr:nvCxnSpPr>
      <xdr:spPr>
        <a:xfrm rot="10800000">
          <a:off x="7407889" y="5777119"/>
          <a:ext cx="1892301" cy="3208888"/>
        </a:xfrm>
        <a:prstGeom prst="curvedConnector3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</xdr:colOff>
      <xdr:row>36</xdr:row>
      <xdr:rowOff>88900</xdr:rowOff>
    </xdr:from>
    <xdr:to>
      <xdr:col>7</xdr:col>
      <xdr:colOff>457200</xdr:colOff>
      <xdr:row>42</xdr:row>
      <xdr:rowOff>134620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F41B1CC-8E82-6F4D-9465-1038FDFA0B97}"/>
            </a:ext>
          </a:extLst>
        </xdr:cNvPr>
        <xdr:cNvSpPr txBox="1"/>
      </xdr:nvSpPr>
      <xdr:spPr>
        <a:xfrm>
          <a:off x="1701800" y="7505700"/>
          <a:ext cx="4533900" cy="12649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OSS</a:t>
          </a:r>
          <a:r>
            <a:rPr lang="en-US" sz="1400"/>
            <a:t>: for</a:t>
          </a:r>
          <a:r>
            <a:rPr lang="en-US" sz="1400" baseline="0"/>
            <a:t> a single hydrogen atom, moving form HF to MP2 does not lead to lower energies: since the H atom only has 1 electron, there should be no e-e correlation for the MP computation to pick up</a:t>
          </a:r>
          <a:endParaRPr lang="en-US" sz="1400"/>
        </a:p>
      </xdr:txBody>
    </xdr:sp>
    <xdr:clientData/>
  </xdr:twoCellAnchor>
  <xdr:twoCellAnchor>
    <xdr:from>
      <xdr:col>2</xdr:col>
      <xdr:colOff>30480</xdr:colOff>
      <xdr:row>24</xdr:row>
      <xdr:rowOff>38100</xdr:rowOff>
    </xdr:from>
    <xdr:to>
      <xdr:col>3</xdr:col>
      <xdr:colOff>774700</xdr:colOff>
      <xdr:row>33</xdr:row>
      <xdr:rowOff>177800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652BEED-19D1-D246-947F-8DE9C6F89F76}"/>
            </a:ext>
          </a:extLst>
        </xdr:cNvPr>
        <xdr:cNvSpPr/>
      </xdr:nvSpPr>
      <xdr:spPr>
        <a:xfrm>
          <a:off x="1681480" y="4991100"/>
          <a:ext cx="1569720" cy="19812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815340</xdr:colOff>
      <xdr:row>33</xdr:row>
      <xdr:rowOff>177800</xdr:rowOff>
    </xdr:from>
    <xdr:to>
      <xdr:col>4</xdr:col>
      <xdr:colOff>666750</xdr:colOff>
      <xdr:row>36</xdr:row>
      <xdr:rowOff>88900</xdr:rowOff>
    </xdr:to>
    <xdr:cxnSp macro="">
      <xdr:nvCxnSpPr>
        <xdr:cNvPr id="38" name="Curved Connector 37">
          <a:extLst>
            <a:ext uri="{FF2B5EF4-FFF2-40B4-BE49-F238E27FC236}">
              <a16:creationId xmlns:a16="http://schemas.microsoft.com/office/drawing/2014/main" id="{52C02D4F-543B-DA43-B5F4-96F1852F4199}"/>
            </a:ext>
          </a:extLst>
        </xdr:cNvPr>
        <xdr:cNvCxnSpPr>
          <a:stCxn id="32" idx="0"/>
          <a:endCxn id="33" idx="2"/>
        </xdr:cNvCxnSpPr>
      </xdr:nvCxnSpPr>
      <xdr:spPr>
        <a:xfrm rot="16200000" flipV="1">
          <a:off x="2950845" y="6487795"/>
          <a:ext cx="533400" cy="1502410"/>
        </a:xfrm>
        <a:prstGeom prst="curvedConnector3">
          <a:avLst>
            <a:gd name="adj1" fmla="val 50000"/>
          </a:avLst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203646</xdr:colOff>
      <xdr:row>1</xdr:row>
      <xdr:rowOff>44561</xdr:rowOff>
    </xdr:from>
    <xdr:to>
      <xdr:col>21</xdr:col>
      <xdr:colOff>317946</xdr:colOff>
      <xdr:row>39</xdr:row>
      <xdr:rowOff>60157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AA225D16-54A1-B40E-50C8-7524B29AF811}"/>
                </a:ext>
              </a:extLst>
            </xdr:cNvPr>
            <xdr:cNvSpPr txBox="1"/>
          </xdr:nvSpPr>
          <xdr:spPr>
            <a:xfrm>
              <a:off x="9271892" y="267368"/>
              <a:ext cx="8358159" cy="7791561"/>
            </a:xfrm>
            <a:prstGeom prst="rect">
              <a:avLst/>
            </a:prstGeom>
            <a:solidFill>
              <a:schemeClr val="lt1"/>
            </a:solidFill>
            <a:ln w="1587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300" baseline="0"/>
                <a:t>BASIS AND GAUSSIAN FUNCTIONS COUNT:</a:t>
              </a:r>
            </a:p>
            <a:p>
              <a:endParaRPr lang="en-US" sz="1300" baseline="0"/>
            </a:p>
            <a:p>
              <a:r>
                <a:rPr lang="en-US" sz="1300" baseline="0"/>
                <a:t>-  </a:t>
              </a:r>
              <a:r>
                <a:rPr lang="en-US" sz="1300" b="1" baseline="0"/>
                <a:t>6-31G</a:t>
              </a:r>
              <a:r>
                <a:rPr lang="en-US" sz="1300" baseline="0"/>
                <a:t> : 1 contracted gaussian, 6 primitive gaussians for inner shell; 2 contracted gaussian, 3+1 primitive gaussians for valence shell</a:t>
              </a:r>
            </a:p>
            <a:p>
              <a:endParaRPr lang="en-US" sz="1300" baseline="0"/>
            </a:p>
            <a:p>
              <a:r>
                <a:rPr lang="en-US" sz="1300" baseline="0"/>
                <a:t>	es. </a:t>
              </a:r>
              <a:r>
                <a:rPr lang="en-US" sz="1300" b="1" baseline="0"/>
                <a:t>CH4</a:t>
              </a:r>
            </a:p>
            <a:p>
              <a:r>
                <a:rPr lang="en-US" sz="1300" baseline="0"/>
                <a:t>	         C </a:t>
              </a:r>
              <a14:m>
                <m:oMath xmlns:m="http://schemas.openxmlformats.org/officeDocument/2006/math">
                  <m:r>
                    <a:rPr lang="en-US" sz="13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n-US" sz="1300" baseline="0"/>
                <a:t> 1s2s2px2py2pz,</a:t>
              </a:r>
            </a:p>
            <a:p>
              <a:r>
                <a:rPr lang="en-US" sz="1300" baseline="0"/>
                <a:t>	  contracted gaussians: 1(1s) + 2(2s) + (2 + 2 +2) (2p)= 9</a:t>
              </a:r>
            </a:p>
            <a:p>
              <a:r>
                <a:rPr lang="en-US" sz="1300" baseline="0"/>
                <a:t>	  primitive gaussians: 1*6 + 4*(3+1) = 22</a:t>
              </a:r>
            </a:p>
            <a:p>
              <a:r>
                <a:rPr lang="en-US" sz="1300" baseline="0"/>
                <a:t>	         H </a:t>
              </a:r>
              <a14:m>
                <m:oMath xmlns:m="http://schemas.openxmlformats.org/officeDocument/2006/math">
                  <m:r>
                    <a:rPr lang="en-US" sz="13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n-US" sz="1300" baseline="0"/>
                <a:t> 1s,</a:t>
              </a:r>
            </a:p>
            <a:p>
              <a:r>
                <a:rPr lang="en-US" sz="1300" baseline="0"/>
                <a:t>	   contracted gaussians: 2(1s) = 2</a:t>
              </a:r>
            </a:p>
            <a:p>
              <a:r>
                <a:rPr lang="en-US" sz="1300" baseline="0"/>
                <a:t>	   primitive gaussians: (3+1)=4</a:t>
              </a:r>
            </a:p>
            <a:p>
              <a:r>
                <a:rPr lang="en-US" sz="1300" baseline="0"/>
                <a:t>	        TOT</a:t>
              </a:r>
            </a:p>
            <a:p>
              <a:r>
                <a:rPr lang="en-US" sz="1300" baseline="0"/>
                <a:t>	    contracted gaussians =  9 +2*4 = 17</a:t>
              </a:r>
            </a:p>
            <a:p>
              <a:r>
                <a:rPr lang="en-US" sz="1300" baseline="0"/>
                <a:t>	    primitive gaussians = 4*4 + 22 = 38</a:t>
              </a:r>
            </a:p>
            <a:p>
              <a:endParaRPr lang="en-US" sz="1300" baseline="0"/>
            </a:p>
            <a:p>
              <a:r>
                <a:rPr lang="en-US" sz="1300" baseline="0"/>
                <a:t>- </a:t>
              </a:r>
              <a:r>
                <a:rPr lang="en-US" sz="1300" b="1" baseline="0"/>
                <a:t>6-31+G</a:t>
              </a:r>
              <a:r>
                <a:rPr lang="en-US" sz="1300" baseline="0"/>
                <a:t>: 6-31G + s- and p-type diffuse orbital on heavy atoms</a:t>
              </a:r>
            </a:p>
            <a:p>
              <a:r>
                <a:rPr lang="en-US" sz="1300" baseline="0"/>
                <a:t>	</a:t>
              </a:r>
            </a:p>
            <a:p>
              <a:r>
                <a:rPr lang="en-US" sz="1300" baseline="0"/>
                <a:t>	es. </a:t>
              </a:r>
              <a:r>
                <a:rPr lang="en-US" sz="1300" b="1" baseline="0"/>
                <a:t>CH3</a:t>
              </a:r>
            </a:p>
            <a:p>
              <a:r>
                <a:rPr lang="en-US" sz="1300" baseline="0"/>
                <a:t>	        for C: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1(1s) + 2(2s) + (2 + 2 +2) (2p) + 1(diff. s func.) +1*3(diff. p func.) = 13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22 + 4 = 26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for H: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2(1s) = 2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(3+1)=4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 TOT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 13 + 2*3 = 19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4*3 + 26 = 38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-  </a:t>
              </a:r>
              <a:r>
                <a:rPr lang="en-US" sz="1300" b="1" baseline="0"/>
                <a:t>6-31++G</a:t>
              </a:r>
              <a:r>
                <a:rPr lang="en-US" sz="1300" baseline="0"/>
                <a:t>: 6-31+G + s-type diffuse function on H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es. </a:t>
              </a:r>
              <a:r>
                <a:rPr lang="en-US" sz="1300" b="1" baseline="0"/>
                <a:t>H2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for H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2(1s) + 1 (s-type diffuse) = 3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(3+1) + 1 = 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 TOT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 3*2= 6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5*2= 10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r>
                <a:rPr lang="en-US" sz="1300" baseline="0"/>
                <a:t>	       </a:t>
              </a:r>
            </a:p>
            <a:p>
              <a:r>
                <a:rPr lang="en-US" sz="1300" baseline="0"/>
                <a:t>	          </a:t>
              </a: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AA225D16-54A1-B40E-50C8-7524B29AF811}"/>
                </a:ext>
              </a:extLst>
            </xdr:cNvPr>
            <xdr:cNvSpPr txBox="1"/>
          </xdr:nvSpPr>
          <xdr:spPr>
            <a:xfrm>
              <a:off x="9271892" y="267368"/>
              <a:ext cx="8358159" cy="7791561"/>
            </a:xfrm>
            <a:prstGeom prst="rect">
              <a:avLst/>
            </a:prstGeom>
            <a:solidFill>
              <a:schemeClr val="lt1"/>
            </a:solidFill>
            <a:ln w="1587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300" baseline="0"/>
                <a:t>BASIS AND GAUSSIAN FUNCTIONS COUNT:</a:t>
              </a:r>
            </a:p>
            <a:p>
              <a:endParaRPr lang="en-US" sz="1300" baseline="0"/>
            </a:p>
            <a:p>
              <a:r>
                <a:rPr lang="en-US" sz="1300" baseline="0"/>
                <a:t>-  </a:t>
              </a:r>
              <a:r>
                <a:rPr lang="en-US" sz="1300" b="1" baseline="0"/>
                <a:t>6-31G</a:t>
              </a:r>
              <a:r>
                <a:rPr lang="en-US" sz="1300" baseline="0"/>
                <a:t> : 1 contracted gaussian, 6 primitive gaussians for inner shell; 2 contracted gaussian, 3+1 primitive gaussians for valence shell</a:t>
              </a:r>
            </a:p>
            <a:p>
              <a:endParaRPr lang="en-US" sz="1300" baseline="0"/>
            </a:p>
            <a:p>
              <a:r>
                <a:rPr lang="en-US" sz="1300" baseline="0"/>
                <a:t>	es. </a:t>
              </a:r>
              <a:r>
                <a:rPr lang="en-US" sz="1300" b="1" baseline="0"/>
                <a:t>CH4</a:t>
              </a:r>
            </a:p>
            <a:p>
              <a:r>
                <a:rPr lang="en-US" sz="1300" baseline="0"/>
                <a:t>	         C </a:t>
              </a:r>
              <a:r>
                <a:rPr lang="en-US" sz="13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n-US" sz="1300" baseline="0"/>
                <a:t> 1s2s2px2py2pz,</a:t>
              </a:r>
            </a:p>
            <a:p>
              <a:r>
                <a:rPr lang="en-US" sz="1300" baseline="0"/>
                <a:t>	  contracted gaussians: 1(1s) + 2(2s) + (2 + 2 +2) (2p)= 9</a:t>
              </a:r>
            </a:p>
            <a:p>
              <a:r>
                <a:rPr lang="en-US" sz="1300" baseline="0"/>
                <a:t>	  primitive gaussians: 1*6 + 4*(3+1) = 22</a:t>
              </a:r>
            </a:p>
            <a:p>
              <a:r>
                <a:rPr lang="en-US" sz="1300" baseline="0"/>
                <a:t>	         H </a:t>
              </a:r>
              <a:r>
                <a:rPr lang="en-US" sz="13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n-US" sz="1300" baseline="0"/>
                <a:t> 1s,</a:t>
              </a:r>
            </a:p>
            <a:p>
              <a:r>
                <a:rPr lang="en-US" sz="1300" baseline="0"/>
                <a:t>	   contracted gaussians: 2(1s) = 2</a:t>
              </a:r>
            </a:p>
            <a:p>
              <a:r>
                <a:rPr lang="en-US" sz="1300" baseline="0"/>
                <a:t>	   primitive gaussians: (3+1)=4</a:t>
              </a:r>
            </a:p>
            <a:p>
              <a:r>
                <a:rPr lang="en-US" sz="1300" baseline="0"/>
                <a:t>	        TOT</a:t>
              </a:r>
            </a:p>
            <a:p>
              <a:r>
                <a:rPr lang="en-US" sz="1300" baseline="0"/>
                <a:t>	    contracted gaussians =  9 +2*4 = 17</a:t>
              </a:r>
            </a:p>
            <a:p>
              <a:r>
                <a:rPr lang="en-US" sz="1300" baseline="0"/>
                <a:t>	    primitive gaussians = 4*4 + 22 = 38</a:t>
              </a:r>
            </a:p>
            <a:p>
              <a:endParaRPr lang="en-US" sz="1300" baseline="0"/>
            </a:p>
            <a:p>
              <a:r>
                <a:rPr lang="en-US" sz="1300" baseline="0"/>
                <a:t>- </a:t>
              </a:r>
              <a:r>
                <a:rPr lang="en-US" sz="1300" b="1" baseline="0"/>
                <a:t>6-31+G</a:t>
              </a:r>
              <a:r>
                <a:rPr lang="en-US" sz="1300" baseline="0"/>
                <a:t>: 6-31G + s- and p-type diffuse orbital on heavy atoms</a:t>
              </a:r>
            </a:p>
            <a:p>
              <a:r>
                <a:rPr lang="en-US" sz="1300" baseline="0"/>
                <a:t>	</a:t>
              </a:r>
            </a:p>
            <a:p>
              <a:r>
                <a:rPr lang="en-US" sz="1300" baseline="0"/>
                <a:t>	es. </a:t>
              </a:r>
              <a:r>
                <a:rPr lang="en-US" sz="1300" b="1" baseline="0"/>
                <a:t>CH3</a:t>
              </a:r>
            </a:p>
            <a:p>
              <a:r>
                <a:rPr lang="en-US" sz="1300" baseline="0"/>
                <a:t>	        for C: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1(1s) + 2(2s) + (2 + 2 +2) (2p) + 1(diff. s func.) +1*3(diff. p func.) = 13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22 + 4 = 26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for H: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2(1s) = 2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(3+1)=4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 TOT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 13 + 2*3 = 19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4*3 + 26 = 38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-  </a:t>
              </a:r>
              <a:r>
                <a:rPr lang="en-US" sz="1300" b="1" baseline="0"/>
                <a:t>6-31++G</a:t>
              </a:r>
              <a:r>
                <a:rPr lang="en-US" sz="1300" baseline="0"/>
                <a:t>: 6-31+G + s-type diffuse function on H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es. </a:t>
              </a:r>
              <a:r>
                <a:rPr lang="en-US" sz="1300" b="1" baseline="0"/>
                <a:t>H2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for H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2(1s) + 1 (s-type diffuse) = 3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(3+1) + 1 = 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 TOT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 3*2= 6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5*2= 10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r>
                <a:rPr lang="en-US" sz="1300" baseline="0"/>
                <a:t>	       </a:t>
              </a:r>
            </a:p>
            <a:p>
              <a:r>
                <a:rPr lang="en-US" sz="1300" baseline="0"/>
                <a:t>	          </a:t>
              </a:r>
            </a:p>
          </xdr:txBody>
        </xdr:sp>
      </mc:Fallback>
    </mc:AlternateContent>
    <xdr:clientData/>
  </xdr:twoCellAnchor>
  <xdr:oneCellAnchor>
    <xdr:from>
      <xdr:col>1</xdr:col>
      <xdr:colOff>89123</xdr:colOff>
      <xdr:row>48</xdr:row>
      <xdr:rowOff>22279</xdr:rowOff>
    </xdr:from>
    <xdr:ext cx="7138493" cy="11167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CB614B5-E155-0645-B8B3-F0BB8E0B781B}"/>
                </a:ext>
              </a:extLst>
            </xdr:cNvPr>
            <xdr:cNvSpPr txBox="1"/>
          </xdr:nvSpPr>
          <xdr:spPr>
            <a:xfrm>
              <a:off x="913509" y="9825788"/>
              <a:ext cx="7138493" cy="1116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000" b="0" i="1">
                        <a:latin typeface="Cambria Math" panose="02040503050406030204" pitchFamily="18" charset="0"/>
                      </a:rPr>
                      <m:t>𝐵𝑂𝑈𝑁𝐷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𝐸𝑁𝐸𝑅𝐺𝑌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𝑑𝑒𝑓𝑖𝑛𝑒𝑑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𝑎𝑠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𝑚𝑒𝑎𝑛𝑠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𝑅𝐸𝐴𝐶𝑇𝐼𝑂𝑁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𝐸𝑁𝐸𝑅𝐺𝑌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20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𝑎𝑠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l-G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𝑟𝑒𝑎𝑐𝑡𝑎𝑛𝑐𝑠</m:t>
                            </m:r>
                          </m:sub>
                        </m:sSub>
                      </m:sub>
                      <m:sup/>
                      <m:e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𝑏𝑜𝑛𝑑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e>
                    </m:nary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pHide m:val="on"/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𝑗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𝑝𝑟𝑜𝑑𝑢𝑐𝑡𝑠</m:t>
                            </m:r>
                          </m:sub>
                        </m:sSub>
                      </m:sub>
                      <m:sup/>
                      <m:e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𝑏𝑜𝑛𝑑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e>
                    </m:nary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CB614B5-E155-0645-B8B3-F0BB8E0B781B}"/>
                </a:ext>
              </a:extLst>
            </xdr:cNvPr>
            <xdr:cNvSpPr txBox="1"/>
          </xdr:nvSpPr>
          <xdr:spPr>
            <a:xfrm>
              <a:off x="913509" y="9825788"/>
              <a:ext cx="7138493" cy="1116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2000" b="0" i="0">
                  <a:latin typeface="Cambria Math" panose="02040503050406030204" pitchFamily="18" charset="0"/>
                </a:rPr>
                <a:t>𝐵𝑂𝑈𝑁𝐷 𝐸𝑁𝐸𝑅𝐺𝑌 𝑑𝑒𝑓𝑖𝑛𝑒𝑑 𝑎𝑠 𝑚𝑒𝑎𝑛𝑠 𝑜𝑓 𝑅𝐸𝐴𝐶𝑇𝐼𝑂𝑁 𝐸𝑁𝐸𝑅𝐺𝑌 </a:t>
              </a:r>
              <a:endParaRPr lang="it-IT" sz="2000" b="0" i="1">
                <a:latin typeface="Cambria Math" panose="02040503050406030204" pitchFamily="18" charset="0"/>
              </a:endParaRPr>
            </a:p>
            <a:p>
              <a:r>
                <a:rPr lang="it-IT" sz="2000" b="0" i="0">
                  <a:latin typeface="Cambria Math" panose="02040503050406030204" pitchFamily="18" charset="0"/>
                </a:rPr>
                <a:t> 𝑎𝑠 </a:t>
              </a:r>
              <a:r>
                <a:rPr lang="el-G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it-IT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𝐸=∑8_(𝑖_𝑟𝑒𝑎𝑐𝑡𝑎𝑛𝑐𝑠)▒〖𝐸_(𝑏𝑜𝑛𝑑,𝑖)  〗−∑_(𝑗_𝑝𝑟𝑜𝑑𝑢𝑐𝑡𝑠)▒〖𝐸_(𝑏𝑜𝑛𝑑,𝑗)  〗=𝐸_𝐻2+〖2𝐸〗_𝐻  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9</xdr:col>
      <xdr:colOff>1</xdr:colOff>
      <xdr:row>9</xdr:row>
      <xdr:rowOff>6418</xdr:rowOff>
    </xdr:from>
    <xdr:to>
      <xdr:col>11</xdr:col>
      <xdr:colOff>231944</xdr:colOff>
      <xdr:row>43</xdr:row>
      <xdr:rowOff>185131</xdr:rowOff>
    </xdr:to>
    <xdr:cxnSp macro="">
      <xdr:nvCxnSpPr>
        <xdr:cNvPr id="46" name="Curved Connector 45">
          <a:extLst>
            <a:ext uri="{FF2B5EF4-FFF2-40B4-BE49-F238E27FC236}">
              <a16:creationId xmlns:a16="http://schemas.microsoft.com/office/drawing/2014/main" id="{24D3F914-96F8-CA41-9117-BEEA69F0EE13}"/>
            </a:ext>
          </a:extLst>
        </xdr:cNvPr>
        <xdr:cNvCxnSpPr>
          <a:stCxn id="2" idx="1"/>
          <a:endCxn id="19" idx="3"/>
        </xdr:cNvCxnSpPr>
      </xdr:nvCxnSpPr>
      <xdr:spPr>
        <a:xfrm rot="10800000">
          <a:off x="7419475" y="1877997"/>
          <a:ext cx="1880715" cy="7108011"/>
        </a:xfrm>
        <a:prstGeom prst="curvedConnector3">
          <a:avLst>
            <a:gd name="adj1" fmla="val 50000"/>
          </a:avLst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411176</xdr:colOff>
      <xdr:row>66</xdr:row>
      <xdr:rowOff>36688</xdr:rowOff>
    </xdr:from>
    <xdr:ext cx="65" cy="172098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8AE51BC-2B7E-E145-8F21-1B4104EB68A7}"/>
            </a:ext>
          </a:extLst>
        </xdr:cNvPr>
        <xdr:cNvSpPr txBox="1"/>
      </xdr:nvSpPr>
      <xdr:spPr>
        <a:xfrm>
          <a:off x="19651676" y="10945988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67</xdr:row>
      <xdr:rowOff>36688</xdr:rowOff>
    </xdr:from>
    <xdr:ext cx="65" cy="172098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CBE06C5-A937-C74C-BE50-FC0C1FD5922C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68</xdr:row>
      <xdr:rowOff>36688</xdr:rowOff>
    </xdr:from>
    <xdr:ext cx="65" cy="172098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C3A89B-55BA-044A-BE97-B7183D9DC603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69</xdr:row>
      <xdr:rowOff>36688</xdr:rowOff>
    </xdr:from>
    <xdr:ext cx="65" cy="172098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86E7CECB-77EA-A647-8DA2-F45EA3FA2CF4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70</xdr:row>
      <xdr:rowOff>36688</xdr:rowOff>
    </xdr:from>
    <xdr:ext cx="65" cy="172098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DB22562-3CD3-6147-B182-7C02CD261229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71</xdr:row>
      <xdr:rowOff>36688</xdr:rowOff>
    </xdr:from>
    <xdr:ext cx="65" cy="172098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871AC351-0DF1-9242-9D3D-A1B525B60A2B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72</xdr:row>
      <xdr:rowOff>36688</xdr:rowOff>
    </xdr:from>
    <xdr:ext cx="65" cy="172098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238E5902-D212-5C40-B5BE-16D32B3F68C6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D6CF-1DE0-4C4D-8BCA-BE74FEDBED15}">
  <dimension ref="A1:AG57"/>
  <sheetViews>
    <sheetView tabSelected="1" topLeftCell="A2" zoomScale="108" workbookViewId="0">
      <selection activeCell="X5" sqref="X5"/>
    </sheetView>
  </sheetViews>
  <sheetFormatPr baseColWidth="10" defaultRowHeight="16" x14ac:dyDescent="0.2"/>
  <cols>
    <col min="2" max="2" width="14.1640625" customWidth="1"/>
  </cols>
  <sheetData>
    <row r="1" spans="1:21" ht="20" thickBot="1" x14ac:dyDescent="0.3">
      <c r="B1" s="3"/>
      <c r="C1" s="3"/>
      <c r="D1" s="3"/>
      <c r="E1" s="3"/>
      <c r="F1" s="3"/>
      <c r="G1" s="3"/>
      <c r="H1" s="3"/>
      <c r="I1" s="3"/>
      <c r="J1" s="3"/>
    </row>
    <row r="2" spans="1:21" ht="19" x14ac:dyDescent="0.25">
      <c r="A2" s="7"/>
      <c r="B2" s="16"/>
      <c r="C2" s="67" t="s">
        <v>15</v>
      </c>
      <c r="D2" s="67"/>
      <c r="E2" s="67"/>
      <c r="F2" s="67"/>
      <c r="G2" s="67"/>
      <c r="H2" s="67"/>
      <c r="I2" s="68"/>
      <c r="J2" s="3"/>
    </row>
    <row r="3" spans="1:21" ht="19" x14ac:dyDescent="0.25">
      <c r="B3" s="17"/>
      <c r="C3" s="69"/>
      <c r="D3" s="69"/>
      <c r="E3" s="69"/>
      <c r="F3" s="69"/>
      <c r="G3" s="69"/>
      <c r="H3" s="69"/>
      <c r="I3" s="70"/>
      <c r="J3" s="3"/>
    </row>
    <row r="4" spans="1:21" ht="23" thickBot="1" x14ac:dyDescent="0.35">
      <c r="B4" s="18"/>
      <c r="C4" s="59" t="s">
        <v>1</v>
      </c>
      <c r="D4" s="59"/>
      <c r="E4" s="59"/>
      <c r="F4" s="59"/>
      <c r="G4" s="61" t="s">
        <v>17</v>
      </c>
      <c r="H4" s="61"/>
      <c r="I4" s="62"/>
      <c r="M4" s="56" t="s">
        <v>21</v>
      </c>
      <c r="N4" s="56"/>
      <c r="O4" s="56"/>
      <c r="P4" s="56"/>
      <c r="Q4" s="1"/>
      <c r="R4" s="1"/>
      <c r="S4" s="1"/>
      <c r="T4" s="1"/>
      <c r="U4" s="2"/>
    </row>
    <row r="5" spans="1:21" ht="20" thickBot="1" x14ac:dyDescent="0.3">
      <c r="B5" s="18"/>
      <c r="C5" s="60"/>
      <c r="D5" s="60"/>
      <c r="E5" s="60"/>
      <c r="F5" s="60"/>
      <c r="G5" s="63"/>
      <c r="H5" s="63"/>
      <c r="I5" s="64"/>
      <c r="M5" s="57" t="s">
        <v>29</v>
      </c>
      <c r="N5" s="52" t="s">
        <v>22</v>
      </c>
      <c r="O5" s="52" t="s">
        <v>23</v>
      </c>
      <c r="P5" s="52" t="s">
        <v>24</v>
      </c>
      <c r="Q5" s="52" t="s">
        <v>20</v>
      </c>
      <c r="R5" s="52" t="s">
        <v>25</v>
      </c>
      <c r="S5" s="65" t="s">
        <v>26</v>
      </c>
      <c r="T5" s="52" t="s">
        <v>27</v>
      </c>
      <c r="U5" s="54" t="s">
        <v>28</v>
      </c>
    </row>
    <row r="6" spans="1:21" ht="20" thickBot="1" x14ac:dyDescent="0.3">
      <c r="B6" s="18"/>
      <c r="C6" s="8" t="s">
        <v>2</v>
      </c>
      <c r="D6" s="8" t="s">
        <v>3</v>
      </c>
      <c r="E6" s="11" t="s">
        <v>4</v>
      </c>
      <c r="F6" s="12"/>
      <c r="G6" s="8" t="s">
        <v>2</v>
      </c>
      <c r="H6" s="8" t="s">
        <v>3</v>
      </c>
      <c r="I6" s="15" t="s">
        <v>4</v>
      </c>
      <c r="M6" s="58"/>
      <c r="N6" s="53"/>
      <c r="O6" s="53"/>
      <c r="P6" s="53"/>
      <c r="Q6" s="53"/>
      <c r="R6" s="53"/>
      <c r="S6" s="66"/>
      <c r="T6" s="53"/>
      <c r="U6" s="55"/>
    </row>
    <row r="7" spans="1:21" ht="20" thickBot="1" x14ac:dyDescent="0.3">
      <c r="B7" s="18"/>
      <c r="C7" s="9"/>
      <c r="D7" s="9"/>
      <c r="E7" s="8" t="s">
        <v>5</v>
      </c>
      <c r="F7" s="8" t="s">
        <v>6</v>
      </c>
      <c r="G7" s="9"/>
      <c r="H7" s="9"/>
      <c r="I7" s="9" t="s">
        <v>5</v>
      </c>
      <c r="M7" s="4" t="s">
        <v>22</v>
      </c>
      <c r="N7" s="42">
        <v>1</v>
      </c>
      <c r="O7" s="43">
        <v>27.210699999999999</v>
      </c>
      <c r="P7" s="43">
        <v>219474.63</v>
      </c>
      <c r="Q7" s="43">
        <v>627.50300000000004</v>
      </c>
      <c r="R7" s="43">
        <v>2625.5</v>
      </c>
      <c r="S7" s="43">
        <v>315777</v>
      </c>
      <c r="T7" s="43">
        <v>4.3599999999999999E-18</v>
      </c>
      <c r="U7" s="44">
        <v>6579660000000000</v>
      </c>
    </row>
    <row r="8" spans="1:21" ht="19" x14ac:dyDescent="0.25">
      <c r="A8" s="71" t="s">
        <v>30</v>
      </c>
      <c r="B8" s="19" t="s">
        <v>7</v>
      </c>
      <c r="C8" s="9">
        <v>-39.672823999999999</v>
      </c>
      <c r="D8" s="9">
        <f>-39.731818</f>
        <v>-39.731817999999997</v>
      </c>
      <c r="E8" s="9">
        <v>-39.988836999999997</v>
      </c>
      <c r="F8" s="9">
        <v>-39.979565000000001</v>
      </c>
      <c r="G8" s="9">
        <f>-39.72686368+0.05403474</f>
        <v>-39.672828940000002</v>
      </c>
      <c r="H8" s="9">
        <f>-39.78306863+0.05124605</f>
        <v>-39.731822579999999</v>
      </c>
      <c r="I8" s="9">
        <f>-40.03891726+0.05007144</f>
        <v>-39.988845819999995</v>
      </c>
      <c r="M8" s="4" t="s">
        <v>23</v>
      </c>
      <c r="N8" s="45">
        <v>3.6750199999999997E-2</v>
      </c>
      <c r="O8" s="46">
        <v>1</v>
      </c>
      <c r="P8" s="46">
        <v>8065.73</v>
      </c>
      <c r="Q8" s="46">
        <v>23.0609</v>
      </c>
      <c r="R8" s="46">
        <v>96.486900000000006</v>
      </c>
      <c r="S8" s="46">
        <v>11604.9</v>
      </c>
      <c r="T8" s="47">
        <v>1.5999999999999999E-19</v>
      </c>
      <c r="U8" s="48">
        <v>241804000000000</v>
      </c>
    </row>
    <row r="9" spans="1:21" ht="21" x14ac:dyDescent="0.25">
      <c r="A9" s="72"/>
      <c r="B9" s="19" t="s">
        <v>8</v>
      </c>
      <c r="C9" s="9">
        <v>-40.132621999999998</v>
      </c>
      <c r="D9" s="9">
        <v>-40.233103</v>
      </c>
      <c r="E9" s="9">
        <v>-40.465164999999999</v>
      </c>
      <c r="F9" s="9">
        <v>-40.450519999999997</v>
      </c>
      <c r="G9" s="9">
        <f>-40.18055417+0.0479287</f>
        <v>-40.132625470000001</v>
      </c>
      <c r="H9" s="9">
        <f>-40.27912911+0.04603855</f>
        <v>-40.233090560000001</v>
      </c>
      <c r="I9" s="9">
        <f xml:space="preserve"> -40.51061105+0.04546992</f>
        <v>-40.465141129999999</v>
      </c>
      <c r="M9" s="4" t="s">
        <v>24</v>
      </c>
      <c r="N9" s="45">
        <v>4.5563300000000003E-6</v>
      </c>
      <c r="O9" s="46">
        <v>1.23981E-4</v>
      </c>
      <c r="P9" s="46">
        <v>1</v>
      </c>
      <c r="Q9" s="46">
        <v>2.8590999999999998E-3</v>
      </c>
      <c r="R9" s="46">
        <v>1.1963E-2</v>
      </c>
      <c r="S9" s="46">
        <v>1.42879</v>
      </c>
      <c r="T9" s="46">
        <v>1.9863000000000001E-23</v>
      </c>
      <c r="U9" s="48">
        <v>29979300000</v>
      </c>
    </row>
    <row r="10" spans="1:21" ht="19" x14ac:dyDescent="0.25">
      <c r="A10" s="72"/>
      <c r="B10" s="19" t="s">
        <v>9</v>
      </c>
      <c r="C10" s="9">
        <v>-40.133391000000003</v>
      </c>
      <c r="D10" s="9">
        <v>-40.235066000000003</v>
      </c>
      <c r="E10" s="9">
        <v>-40.467669000000001</v>
      </c>
      <c r="F10" s="9">
        <v>-40.452173000000002</v>
      </c>
      <c r="G10" s="9">
        <f>-40.18119233+0.0477973</f>
        <v>-40.133395030000003</v>
      </c>
      <c r="H10" s="9">
        <f>-40.28079954+0.04574613</f>
        <v>-40.235053409999999</v>
      </c>
      <c r="I10" s="9">
        <f>-40.51295684+0.04529383</f>
        <v>-40.467663010000003</v>
      </c>
      <c r="M10" s="4" t="s">
        <v>20</v>
      </c>
      <c r="N10" s="45">
        <v>1.59362E-3</v>
      </c>
      <c r="O10" s="46">
        <v>4.3363400000000003E-2</v>
      </c>
      <c r="P10" s="46">
        <v>349.75700000000001</v>
      </c>
      <c r="Q10" s="46">
        <v>1</v>
      </c>
      <c r="R10" s="46">
        <v>4.1840000000000002</v>
      </c>
      <c r="S10" s="46">
        <v>503.22800000000001</v>
      </c>
      <c r="T10" s="46">
        <v>6.9500000000000005E-21</v>
      </c>
      <c r="U10" s="48">
        <v>10485400000000</v>
      </c>
    </row>
    <row r="11" spans="1:21" ht="19" x14ac:dyDescent="0.25">
      <c r="A11" s="72"/>
      <c r="B11" s="19" t="s">
        <v>10</v>
      </c>
      <c r="C11" s="9">
        <v>-40.133434000000001</v>
      </c>
      <c r="D11" s="9">
        <v>-40.235318999999997</v>
      </c>
      <c r="E11" s="9">
        <v>-40.467695999999997</v>
      </c>
      <c r="F11" s="9">
        <v>-40.452191999999997</v>
      </c>
      <c r="G11" s="9">
        <f>-40.18122083+0.04778305</f>
        <v>-40.133437780000001</v>
      </c>
      <c r="H11" s="9">
        <f>-40.28100727+0.04570028</f>
        <v>-40.235306990000005</v>
      </c>
      <c r="I11" s="9">
        <f>-40.51291095+0.04527898</f>
        <v>-40.467631969999999</v>
      </c>
      <c r="M11" s="4" t="s">
        <v>25</v>
      </c>
      <c r="N11" s="45">
        <v>3.8088E-4</v>
      </c>
      <c r="O11" s="46">
        <v>1.0364099999999999E-2</v>
      </c>
      <c r="P11" s="46">
        <v>83.593000000000004</v>
      </c>
      <c r="Q11" s="46">
        <v>0.23900099999999999</v>
      </c>
      <c r="R11" s="46">
        <v>1</v>
      </c>
      <c r="S11" s="46">
        <v>120.274</v>
      </c>
      <c r="T11" s="46">
        <v>1.6599999999999999E-21</v>
      </c>
      <c r="U11" s="48">
        <v>2506070000000</v>
      </c>
    </row>
    <row r="12" spans="1:21" ht="21" x14ac:dyDescent="0.25">
      <c r="A12" s="72"/>
      <c r="B12" s="19" t="s">
        <v>11</v>
      </c>
      <c r="C12" s="9">
        <v>-40.151747999999998</v>
      </c>
      <c r="D12" s="9">
        <v>-40.314813000000001</v>
      </c>
      <c r="E12" s="9">
        <v>-40.472014999999999</v>
      </c>
      <c r="F12" s="9">
        <v>-40.458725000000001</v>
      </c>
      <c r="G12" s="9" t="s">
        <v>18</v>
      </c>
      <c r="H12" s="9" t="s">
        <v>18</v>
      </c>
      <c r="I12" s="9" t="s">
        <v>18</v>
      </c>
      <c r="M12" s="5" t="s">
        <v>26</v>
      </c>
      <c r="N12" s="45">
        <v>3.1667800000000002E-6</v>
      </c>
      <c r="O12" s="46">
        <v>8.6170500000000004E-5</v>
      </c>
      <c r="P12" s="46">
        <v>0.69502799999999998</v>
      </c>
      <c r="Q12" s="46">
        <v>1.9872000000000002E-3</v>
      </c>
      <c r="R12" s="46">
        <v>8.3140000000000002E-3</v>
      </c>
      <c r="S12" s="46">
        <v>1</v>
      </c>
      <c r="T12" s="46">
        <v>1.38054E-23</v>
      </c>
      <c r="U12" s="48">
        <v>20836400000</v>
      </c>
    </row>
    <row r="13" spans="1:21" ht="19" x14ac:dyDescent="0.25">
      <c r="A13" s="72"/>
      <c r="B13" s="19" t="s">
        <v>12</v>
      </c>
      <c r="C13" s="9">
        <v>-40.166545999999997</v>
      </c>
      <c r="D13" s="9">
        <v>-40.366247999999999</v>
      </c>
      <c r="E13" s="9">
        <v>-40.493653999999999</v>
      </c>
      <c r="F13" s="9">
        <v>-40.476664999999997</v>
      </c>
      <c r="G13" s="9" t="s">
        <v>18</v>
      </c>
      <c r="H13" s="9" t="s">
        <v>18</v>
      </c>
      <c r="I13" s="9" t="s">
        <v>18</v>
      </c>
      <c r="M13" s="4" t="s">
        <v>27</v>
      </c>
      <c r="N13" s="45">
        <v>2.294E+17</v>
      </c>
      <c r="O13" s="46">
        <v>6.24181E+18</v>
      </c>
      <c r="P13" s="46">
        <v>5.0344500000000003E+22</v>
      </c>
      <c r="Q13" s="46">
        <v>1.44E+20</v>
      </c>
      <c r="R13" s="46">
        <v>6.02E+20</v>
      </c>
      <c r="S13" s="46">
        <v>7.2435399999999999E+22</v>
      </c>
      <c r="T13" s="46">
        <v>1</v>
      </c>
      <c r="U13" s="48">
        <v>1.5093E+33</v>
      </c>
    </row>
    <row r="14" spans="1:21" ht="20" thickBot="1" x14ac:dyDescent="0.3">
      <c r="A14" s="73"/>
      <c r="B14" s="20" t="s">
        <v>13</v>
      </c>
      <c r="C14" s="10">
        <v>-40.152977</v>
      </c>
      <c r="D14" s="10">
        <v>-40.322744</v>
      </c>
      <c r="E14" s="10">
        <v>-40.476399999999998</v>
      </c>
      <c r="F14" s="10">
        <v>-40.461621999999998</v>
      </c>
      <c r="G14" s="10">
        <f>-40.19963317+0.04669112</f>
        <v>-40.15294205</v>
      </c>
      <c r="H14" s="10">
        <f>-40.36772651+0.0450044</f>
        <v>-40.322722109999994</v>
      </c>
      <c r="I14" s="10">
        <f>-40.52052964+0.04420393</f>
        <v>-40.476325709999998</v>
      </c>
      <c r="M14" s="6" t="s">
        <v>28</v>
      </c>
      <c r="N14" s="49">
        <v>1.5198300000000001E-16</v>
      </c>
      <c r="O14" s="50">
        <v>4.13558E-15</v>
      </c>
      <c r="P14" s="50">
        <v>3.3356499999999997E-11</v>
      </c>
      <c r="Q14" s="50">
        <v>9.5370000000000002E-14</v>
      </c>
      <c r="R14" s="50"/>
      <c r="S14" s="50">
        <v>4.7993E-11</v>
      </c>
      <c r="T14" s="50">
        <v>6.62561E-34</v>
      </c>
      <c r="U14" s="51">
        <v>1</v>
      </c>
    </row>
    <row r="15" spans="1:21" ht="19" x14ac:dyDescent="0.25">
      <c r="B15" s="7"/>
      <c r="C15" s="7"/>
      <c r="D15" s="7"/>
      <c r="E15" s="7"/>
      <c r="F15" s="7"/>
      <c r="G15" s="7"/>
      <c r="H15" s="7"/>
      <c r="I15" s="7"/>
    </row>
    <row r="16" spans="1:21" ht="19" x14ac:dyDescent="0.25">
      <c r="B16" s="7"/>
      <c r="C16" s="7"/>
      <c r="D16" s="7"/>
      <c r="E16" s="7"/>
      <c r="F16" s="7"/>
      <c r="G16" s="7"/>
      <c r="H16" s="7"/>
      <c r="I16" s="7"/>
    </row>
    <row r="17" spans="1:10" ht="19" x14ac:dyDescent="0.25">
      <c r="B17" s="7"/>
      <c r="C17" s="7"/>
      <c r="D17" s="7"/>
      <c r="E17" s="7"/>
      <c r="F17" s="7"/>
      <c r="G17" s="7"/>
      <c r="H17" s="7"/>
      <c r="I17" s="7"/>
    </row>
    <row r="18" spans="1:10" ht="19" x14ac:dyDescent="0.25">
      <c r="B18" s="7"/>
      <c r="C18" s="7"/>
      <c r="D18" s="7"/>
      <c r="E18" s="7"/>
      <c r="F18" s="7"/>
      <c r="G18" s="7"/>
      <c r="H18" s="7"/>
      <c r="I18" s="7"/>
    </row>
    <row r="19" spans="1:10" ht="19" x14ac:dyDescent="0.25">
      <c r="B19" s="7"/>
      <c r="C19" s="7"/>
      <c r="D19" s="7"/>
      <c r="E19" s="7"/>
      <c r="F19" s="7"/>
      <c r="G19" s="7"/>
      <c r="H19" s="7"/>
      <c r="I19" s="7"/>
    </row>
    <row r="20" spans="1:10" ht="20" thickBot="1" x14ac:dyDescent="0.3">
      <c r="B20" s="7"/>
      <c r="C20" s="7"/>
      <c r="D20" s="7"/>
      <c r="E20" s="7"/>
      <c r="F20" s="7"/>
      <c r="G20" s="7"/>
      <c r="H20" s="7"/>
      <c r="I20" s="7"/>
    </row>
    <row r="21" spans="1:10" ht="19" x14ac:dyDescent="0.25">
      <c r="B21" s="25"/>
      <c r="C21" s="67" t="s">
        <v>16</v>
      </c>
      <c r="D21" s="67"/>
      <c r="E21" s="67"/>
      <c r="F21" s="67"/>
      <c r="G21" s="67"/>
      <c r="H21" s="67"/>
      <c r="I21" s="68"/>
    </row>
    <row r="22" spans="1:10" ht="19" x14ac:dyDescent="0.25">
      <c r="B22" s="18"/>
      <c r="C22" s="69"/>
      <c r="D22" s="69"/>
      <c r="E22" s="69"/>
      <c r="F22" s="69"/>
      <c r="G22" s="69"/>
      <c r="H22" s="69"/>
      <c r="I22" s="70"/>
    </row>
    <row r="23" spans="1:10" ht="19" x14ac:dyDescent="0.25">
      <c r="B23" s="18"/>
      <c r="C23" s="59" t="s">
        <v>1</v>
      </c>
      <c r="D23" s="59"/>
      <c r="E23" s="59"/>
      <c r="F23" s="59"/>
      <c r="G23" s="61" t="s">
        <v>17</v>
      </c>
      <c r="H23" s="61"/>
      <c r="I23" s="62"/>
    </row>
    <row r="24" spans="1:10" ht="20" thickBot="1" x14ac:dyDescent="0.3">
      <c r="B24" s="18"/>
      <c r="C24" s="59"/>
      <c r="D24" s="59"/>
      <c r="E24" s="59"/>
      <c r="F24" s="59"/>
      <c r="G24" s="61"/>
      <c r="H24" s="61"/>
      <c r="I24" s="62"/>
    </row>
    <row r="25" spans="1:10" ht="20" thickBot="1" x14ac:dyDescent="0.3">
      <c r="B25" s="18"/>
      <c r="C25" s="8" t="s">
        <v>2</v>
      </c>
      <c r="D25" s="8" t="s">
        <v>3</v>
      </c>
      <c r="E25" s="23" t="s">
        <v>4</v>
      </c>
      <c r="F25" s="24"/>
      <c r="G25" s="8" t="s">
        <v>2</v>
      </c>
      <c r="H25" s="8" t="s">
        <v>3</v>
      </c>
      <c r="I25" s="15" t="s">
        <v>4</v>
      </c>
    </row>
    <row r="26" spans="1:10" ht="20" thickBot="1" x14ac:dyDescent="0.3">
      <c r="B26" s="18"/>
      <c r="C26" s="9"/>
      <c r="D26" s="9"/>
      <c r="E26" s="21" t="s">
        <v>5</v>
      </c>
      <c r="F26" s="12" t="s">
        <v>6</v>
      </c>
      <c r="G26" s="9"/>
      <c r="H26" s="9"/>
      <c r="I26" s="9" t="s">
        <v>5</v>
      </c>
    </row>
    <row r="27" spans="1:10" ht="19" x14ac:dyDescent="0.25">
      <c r="A27" s="71" t="s">
        <v>30</v>
      </c>
      <c r="B27" s="19" t="s">
        <v>7</v>
      </c>
      <c r="C27" s="9">
        <v>-39.043491000000003</v>
      </c>
      <c r="D27" s="9">
        <v>-39.083143999999997</v>
      </c>
      <c r="E27" s="7">
        <v>-39.313195999999998</v>
      </c>
      <c r="F27" s="13">
        <v>-39.302945999999999</v>
      </c>
      <c r="G27" s="9" t="s">
        <v>18</v>
      </c>
      <c r="H27" s="9" t="s">
        <v>18</v>
      </c>
      <c r="I27" s="9" t="s">
        <v>18</v>
      </c>
    </row>
    <row r="28" spans="1:10" ht="19" x14ac:dyDescent="0.25">
      <c r="A28" s="72"/>
      <c r="B28" s="19" t="s">
        <v>8</v>
      </c>
      <c r="C28" s="9">
        <v>-39.515365000000003</v>
      </c>
      <c r="D28" s="9">
        <v>-39.591605999999999</v>
      </c>
      <c r="E28" s="7">
        <v>-39.801091999999997</v>
      </c>
      <c r="F28" s="13">
        <v>-39.786034000000001</v>
      </c>
      <c r="G28" s="9" t="s">
        <v>18</v>
      </c>
      <c r="H28" s="9" t="s">
        <v>18</v>
      </c>
      <c r="I28" s="9" t="s">
        <v>18</v>
      </c>
    </row>
    <row r="29" spans="1:10" ht="19" x14ac:dyDescent="0.25">
      <c r="A29" s="72"/>
      <c r="B29" s="19" t="s">
        <v>9</v>
      </c>
      <c r="C29" s="9">
        <v>-39.517406000000001</v>
      </c>
      <c r="D29" s="9">
        <v>-39.595306999999998</v>
      </c>
      <c r="E29" s="7">
        <v>-39.805411999999997</v>
      </c>
      <c r="F29" s="13">
        <v>-39.789332000000002</v>
      </c>
      <c r="G29" s="9" t="s">
        <v>18</v>
      </c>
      <c r="H29" s="9" t="s">
        <v>18</v>
      </c>
      <c r="I29" s="9" t="s">
        <v>18</v>
      </c>
    </row>
    <row r="30" spans="1:10" ht="19" x14ac:dyDescent="0.25">
      <c r="A30" s="72"/>
      <c r="B30" s="19" t="s">
        <v>10</v>
      </c>
      <c r="C30" s="9">
        <v>-39.517507999999999</v>
      </c>
      <c r="D30" s="9">
        <v>-39.595511999999999</v>
      </c>
      <c r="E30" s="7">
        <v>-39.805484</v>
      </c>
      <c r="F30" s="13">
        <v>-39.789417</v>
      </c>
      <c r="G30" s="9" t="s">
        <v>18</v>
      </c>
      <c r="H30" s="9" t="s">
        <v>18</v>
      </c>
      <c r="I30" s="9" t="s">
        <v>18</v>
      </c>
      <c r="J30" s="7"/>
    </row>
    <row r="31" spans="1:10" ht="19" x14ac:dyDescent="0.25">
      <c r="A31" s="72"/>
      <c r="B31" s="19" t="s">
        <v>11</v>
      </c>
      <c r="C31" s="9">
        <v>-39.533228000000001</v>
      </c>
      <c r="D31" s="9">
        <v>-39.660615</v>
      </c>
      <c r="E31" s="7">
        <v>-39.809691999999998</v>
      </c>
      <c r="F31" s="13">
        <v>-39.795780999999998</v>
      </c>
      <c r="G31" s="9" t="s">
        <v>18</v>
      </c>
      <c r="H31" s="9" t="s">
        <v>18</v>
      </c>
      <c r="I31" s="9" t="s">
        <v>18</v>
      </c>
      <c r="J31" s="7"/>
    </row>
    <row r="32" spans="1:10" ht="19" x14ac:dyDescent="0.25">
      <c r="A32" s="72"/>
      <c r="B32" s="19" t="s">
        <v>12</v>
      </c>
      <c r="C32" s="9">
        <v>-39.546917999999998</v>
      </c>
      <c r="D32" s="9">
        <v>-39.705406000000004</v>
      </c>
      <c r="E32" s="7">
        <v>-39.828997000000001</v>
      </c>
      <c r="F32" s="13">
        <v>-39.811981000000003</v>
      </c>
      <c r="G32" s="9" t="s">
        <v>18</v>
      </c>
      <c r="H32" s="9" t="s">
        <v>18</v>
      </c>
      <c r="I32" s="9" t="s">
        <v>18</v>
      </c>
      <c r="J32" s="7"/>
    </row>
    <row r="33" spans="1:33" ht="20" thickBot="1" x14ac:dyDescent="0.3">
      <c r="A33" s="73"/>
      <c r="B33" s="20" t="s">
        <v>13</v>
      </c>
      <c r="C33" s="10">
        <v>-39.535083</v>
      </c>
      <c r="D33" s="10">
        <v>-39.668101</v>
      </c>
      <c r="E33" s="22">
        <v>-39.814700999999999</v>
      </c>
      <c r="F33" s="14">
        <v>-39.799382999999999</v>
      </c>
      <c r="G33" s="10" t="s">
        <v>18</v>
      </c>
      <c r="H33" s="10" t="s">
        <v>18</v>
      </c>
      <c r="I33" s="10" t="s">
        <v>18</v>
      </c>
      <c r="J33" s="7"/>
      <c r="M33" s="74" t="s">
        <v>31</v>
      </c>
      <c r="N33" s="74"/>
      <c r="O33" s="74"/>
      <c r="P33" s="74"/>
      <c r="Q33" s="36">
        <v>103.3</v>
      </c>
    </row>
    <row r="34" spans="1:33" ht="19" x14ac:dyDescent="0.25">
      <c r="B34" s="7"/>
      <c r="C34" s="7"/>
      <c r="D34" s="7"/>
      <c r="E34" s="7"/>
      <c r="F34" s="7"/>
      <c r="G34" s="7"/>
      <c r="H34" s="7"/>
      <c r="I34" s="7"/>
      <c r="J34" s="7"/>
    </row>
    <row r="35" spans="1:33" ht="19" x14ac:dyDescent="0.25">
      <c r="B35" s="7"/>
      <c r="C35" s="7"/>
      <c r="D35" s="7"/>
      <c r="E35" s="7"/>
      <c r="F35" s="7"/>
      <c r="G35" s="7"/>
      <c r="H35" s="7"/>
      <c r="I35" s="7"/>
      <c r="J35" s="7"/>
    </row>
    <row r="36" spans="1:33" ht="19" x14ac:dyDescent="0.25">
      <c r="B36" s="7"/>
      <c r="C36" s="7"/>
      <c r="D36" s="7"/>
      <c r="E36" s="7"/>
      <c r="F36" s="7"/>
      <c r="G36" s="7"/>
      <c r="H36" s="7"/>
      <c r="I36" s="7"/>
      <c r="J36" s="7"/>
    </row>
    <row r="37" spans="1:33" ht="19" x14ac:dyDescent="0.25">
      <c r="B37" s="7"/>
      <c r="C37" s="7"/>
      <c r="D37" s="7"/>
      <c r="E37" s="7"/>
      <c r="F37" s="7"/>
      <c r="G37" s="7"/>
      <c r="H37" s="7"/>
      <c r="I37" s="7"/>
      <c r="J37" s="7"/>
    </row>
    <row r="38" spans="1:33" ht="20" thickBot="1" x14ac:dyDescent="0.3">
      <c r="B38" s="7"/>
      <c r="C38" s="7"/>
      <c r="D38" s="7"/>
      <c r="E38" s="7"/>
      <c r="F38" s="7"/>
      <c r="G38" s="7"/>
      <c r="H38" s="7"/>
      <c r="I38" s="7"/>
      <c r="J38" s="7"/>
    </row>
    <row r="39" spans="1:33" ht="19" x14ac:dyDescent="0.25">
      <c r="B39" s="25"/>
      <c r="C39" s="67" t="s">
        <v>0</v>
      </c>
      <c r="D39" s="67"/>
      <c r="E39" s="67"/>
      <c r="F39" s="67"/>
      <c r="G39" s="67"/>
      <c r="H39" s="67"/>
      <c r="I39" s="68"/>
      <c r="J39" s="7"/>
      <c r="N39" s="59" t="s">
        <v>1</v>
      </c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 spans="1:33" ht="20" thickBot="1" x14ac:dyDescent="0.3">
      <c r="B40" s="18"/>
      <c r="C40" s="69"/>
      <c r="D40" s="69"/>
      <c r="E40" s="69"/>
      <c r="F40" s="69"/>
      <c r="G40" s="69"/>
      <c r="H40" s="69"/>
      <c r="I40" s="70"/>
      <c r="J40" s="7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spans="1:33" ht="19" customHeight="1" x14ac:dyDescent="0.25">
      <c r="B41" s="18"/>
      <c r="C41" s="59" t="s">
        <v>1</v>
      </c>
      <c r="D41" s="59"/>
      <c r="E41" s="59"/>
      <c r="F41" s="59"/>
      <c r="G41" s="61" t="s">
        <v>17</v>
      </c>
      <c r="H41" s="61"/>
      <c r="I41" s="62"/>
      <c r="J41" s="7"/>
      <c r="N41" s="81" t="s">
        <v>15</v>
      </c>
      <c r="O41" s="67"/>
      <c r="P41" s="67"/>
      <c r="Q41" s="68"/>
      <c r="R41" s="81" t="s">
        <v>16</v>
      </c>
      <c r="S41" s="67"/>
      <c r="T41" s="67"/>
      <c r="U41" s="68"/>
      <c r="V41" s="75" t="s">
        <v>0</v>
      </c>
      <c r="W41" s="76"/>
      <c r="X41" s="76"/>
      <c r="Y41" s="77"/>
      <c r="Z41" s="75" t="s">
        <v>33</v>
      </c>
      <c r="AA41" s="76"/>
      <c r="AB41" s="76"/>
      <c r="AC41" s="77"/>
      <c r="AD41" s="75" t="s">
        <v>33</v>
      </c>
      <c r="AE41" s="76"/>
      <c r="AF41" s="76"/>
      <c r="AG41" s="77"/>
    </row>
    <row r="42" spans="1:33" ht="20" customHeight="1" thickBot="1" x14ac:dyDescent="0.3">
      <c r="B42" s="18"/>
      <c r="C42" s="59"/>
      <c r="D42" s="59"/>
      <c r="E42" s="59"/>
      <c r="F42" s="59"/>
      <c r="G42" s="61"/>
      <c r="H42" s="61"/>
      <c r="I42" s="62"/>
      <c r="J42" s="7"/>
      <c r="N42" s="82"/>
      <c r="O42" s="83"/>
      <c r="P42" s="83"/>
      <c r="Q42" s="84"/>
      <c r="R42" s="82"/>
      <c r="S42" s="83"/>
      <c r="T42" s="83"/>
      <c r="U42" s="84"/>
      <c r="V42" s="78"/>
      <c r="W42" s="79"/>
      <c r="X42" s="79"/>
      <c r="Y42" s="80"/>
      <c r="Z42" s="78"/>
      <c r="AA42" s="79"/>
      <c r="AB42" s="79"/>
      <c r="AC42" s="80"/>
      <c r="AD42" s="78"/>
      <c r="AE42" s="79"/>
      <c r="AF42" s="79"/>
      <c r="AG42" s="80"/>
    </row>
    <row r="43" spans="1:33" ht="20" thickBot="1" x14ac:dyDescent="0.3">
      <c r="B43" s="18"/>
      <c r="C43" s="8" t="s">
        <v>2</v>
      </c>
      <c r="D43" s="8" t="s">
        <v>3</v>
      </c>
      <c r="E43" s="23" t="s">
        <v>4</v>
      </c>
      <c r="F43" s="24"/>
      <c r="G43" s="8" t="s">
        <v>2</v>
      </c>
      <c r="H43" s="8" t="s">
        <v>3</v>
      </c>
      <c r="I43" s="15" t="s">
        <v>4</v>
      </c>
      <c r="J43" s="7"/>
      <c r="N43" s="8" t="s">
        <v>2</v>
      </c>
      <c r="O43" s="8" t="s">
        <v>3</v>
      </c>
      <c r="P43" s="11" t="s">
        <v>4</v>
      </c>
      <c r="Q43" s="12"/>
      <c r="R43" s="8" t="s">
        <v>2</v>
      </c>
      <c r="S43" s="8" t="s">
        <v>3</v>
      </c>
      <c r="T43" s="23" t="s">
        <v>4</v>
      </c>
      <c r="U43" s="24"/>
      <c r="V43" s="8" t="s">
        <v>2</v>
      </c>
      <c r="W43" s="8" t="s">
        <v>3</v>
      </c>
      <c r="X43" s="23" t="s">
        <v>4</v>
      </c>
      <c r="Y43" s="24"/>
      <c r="Z43" s="8" t="s">
        <v>2</v>
      </c>
      <c r="AA43" s="8" t="s">
        <v>3</v>
      </c>
      <c r="AB43" s="23" t="s">
        <v>4</v>
      </c>
      <c r="AC43" s="24"/>
      <c r="AD43" s="8" t="s">
        <v>2</v>
      </c>
      <c r="AE43" s="8" t="s">
        <v>3</v>
      </c>
      <c r="AF43" s="23" t="s">
        <v>4</v>
      </c>
      <c r="AG43" s="24"/>
    </row>
    <row r="44" spans="1:33" ht="20" thickBot="1" x14ac:dyDescent="0.3">
      <c r="B44" s="18"/>
      <c r="C44" s="9"/>
      <c r="D44" s="9"/>
      <c r="E44" s="8" t="s">
        <v>5</v>
      </c>
      <c r="F44" s="8" t="s">
        <v>6</v>
      </c>
      <c r="G44" s="9"/>
      <c r="H44" s="9"/>
      <c r="I44" s="13" t="s">
        <v>5</v>
      </c>
      <c r="J44" s="7"/>
      <c r="N44" s="9"/>
      <c r="O44" s="9"/>
      <c r="P44" s="8" t="s">
        <v>5</v>
      </c>
      <c r="Q44" s="8" t="s">
        <v>6</v>
      </c>
      <c r="R44" s="9"/>
      <c r="S44" s="9"/>
      <c r="T44" s="21" t="s">
        <v>5</v>
      </c>
      <c r="U44" s="12" t="s">
        <v>6</v>
      </c>
      <c r="V44" s="9"/>
      <c r="W44" s="9"/>
      <c r="X44" s="8" t="s">
        <v>5</v>
      </c>
      <c r="Y44" s="8" t="s">
        <v>6</v>
      </c>
      <c r="Z44" s="9"/>
      <c r="AA44" s="9"/>
      <c r="AB44" s="8" t="s">
        <v>5</v>
      </c>
      <c r="AC44" s="8" t="s">
        <v>6</v>
      </c>
      <c r="AD44" s="9"/>
      <c r="AE44" s="9"/>
      <c r="AF44" s="8" t="s">
        <v>5</v>
      </c>
      <c r="AG44" s="8" t="s">
        <v>6</v>
      </c>
    </row>
    <row r="45" spans="1:33" ht="19" x14ac:dyDescent="0.25">
      <c r="A45" s="71" t="s">
        <v>30</v>
      </c>
      <c r="B45" s="19" t="s">
        <v>7</v>
      </c>
      <c r="C45" s="9">
        <v>-0.466582</v>
      </c>
      <c r="D45" s="9">
        <v>-0.46658185038400002</v>
      </c>
      <c r="E45" s="9">
        <v>-0.46753299999999998</v>
      </c>
      <c r="F45" s="9">
        <v>-0.469746</v>
      </c>
      <c r="G45" s="9" t="s">
        <v>18</v>
      </c>
      <c r="H45" s="9" t="s">
        <v>18</v>
      </c>
      <c r="I45" s="13" t="s">
        <v>18</v>
      </c>
      <c r="J45" s="7"/>
      <c r="M45" s="71" t="s">
        <v>32</v>
      </c>
      <c r="N45" s="8">
        <f>C8*$Q$7</f>
        <v>-24894.816078472002</v>
      </c>
      <c r="O45" s="8">
        <f t="shared" ref="O45:Q45" si="0">D8*$Q$7</f>
        <v>-24931.834990454001</v>
      </c>
      <c r="P45" s="8">
        <f t="shared" si="0"/>
        <v>-25093.115184011</v>
      </c>
      <c r="Q45" s="8">
        <f t="shared" si="0"/>
        <v>-25087.296976195001</v>
      </c>
      <c r="R45" s="8">
        <f>C27*$Q$7</f>
        <v>-24499.907732973003</v>
      </c>
      <c r="S45" s="8">
        <f t="shared" ref="S45:U45" si="1">D27*$Q$7</f>
        <v>-24524.790109432</v>
      </c>
      <c r="T45" s="8">
        <f t="shared" si="1"/>
        <v>-24669.148429588</v>
      </c>
      <c r="U45" s="8">
        <f t="shared" si="1"/>
        <v>-24662.716523838</v>
      </c>
      <c r="V45" s="8">
        <f>C45*$Q$7</f>
        <v>-292.78160474600003</v>
      </c>
      <c r="W45" s="8">
        <f t="shared" ref="W45:Y45" si="2">D45*$Q$7</f>
        <v>-292.78151086151121</v>
      </c>
      <c r="X45" s="8">
        <f t="shared" si="2"/>
        <v>-293.37836009900002</v>
      </c>
      <c r="Y45" s="8">
        <f t="shared" si="2"/>
        <v>-294.76702423800003</v>
      </c>
      <c r="Z45" s="8">
        <f>N45-R45-V45</f>
        <v>-102.12674075299952</v>
      </c>
      <c r="AA45" s="8">
        <f t="shared" ref="AA45:AC45" si="3">O45-S45-W45</f>
        <v>-114.26337016048927</v>
      </c>
      <c r="AB45" s="8">
        <f t="shared" si="3"/>
        <v>-130.58839432399964</v>
      </c>
      <c r="AC45" s="8">
        <f t="shared" si="3"/>
        <v>-129.81342811900043</v>
      </c>
      <c r="AD45" s="38">
        <f>ABS($Q$33+Z45)/$Q$33</f>
        <v>1.1357785546955211E-2</v>
      </c>
      <c r="AE45" s="38">
        <f t="shared" ref="AE45:AG45" si="4">ABS($Q$33+AA45)/$Q$33</f>
        <v>0.10613136651006076</v>
      </c>
      <c r="AF45" s="38">
        <f t="shared" si="4"/>
        <v>0.26416645037753766</v>
      </c>
      <c r="AG45" s="38">
        <f t="shared" si="4"/>
        <v>0.2566643573959384</v>
      </c>
    </row>
    <row r="46" spans="1:33" ht="19" x14ac:dyDescent="0.25">
      <c r="A46" s="72"/>
      <c r="B46" s="19" t="s">
        <v>8</v>
      </c>
      <c r="C46" s="9">
        <v>-0.49823299999999998</v>
      </c>
      <c r="D46" s="9">
        <v>-0.49823290920199997</v>
      </c>
      <c r="E46" s="9">
        <v>-0.50027299999999997</v>
      </c>
      <c r="F46" s="9">
        <v>-0.50217699999999998</v>
      </c>
      <c r="G46" s="9" t="s">
        <v>18</v>
      </c>
      <c r="H46" s="9" t="s">
        <v>18</v>
      </c>
      <c r="I46" s="13" t="s">
        <v>18</v>
      </c>
      <c r="J46" s="7"/>
      <c r="M46" s="72"/>
      <c r="N46" s="9">
        <f t="shared" ref="N46:N51" si="5">C9*$Q$7</f>
        <v>-25183.340702866</v>
      </c>
      <c r="O46" s="9">
        <f t="shared" ref="O46:O51" si="6">D9*$Q$7</f>
        <v>-25246.392831809</v>
      </c>
      <c r="P46" s="9">
        <f t="shared" ref="P46:P51" si="7">E9*$Q$7</f>
        <v>-25392.012432995001</v>
      </c>
      <c r="Q46" s="9">
        <f t="shared" ref="Q46:Q51" si="8">F9*$Q$7</f>
        <v>-25382.82265156</v>
      </c>
      <c r="R46" s="9">
        <f t="shared" ref="R46:R51" si="9">C28*$Q$7</f>
        <v>-24796.010083595003</v>
      </c>
      <c r="S46" s="9">
        <f t="shared" ref="S46:S51" si="10">D28*$Q$7</f>
        <v>-24843.851539818002</v>
      </c>
      <c r="T46" s="9">
        <f t="shared" ref="T46:T51" si="11">E28*$Q$7</f>
        <v>-24975.304633275999</v>
      </c>
      <c r="U46" s="9">
        <f t="shared" ref="U46:U51" si="12">F28*$Q$7</f>
        <v>-24965.855693102003</v>
      </c>
      <c r="V46" s="9">
        <f t="shared" ref="V46:V51" si="13">C46*$Q$7</f>
        <v>-312.64270219899998</v>
      </c>
      <c r="W46" s="9">
        <f t="shared" ref="W46:W51" si="14">D46*$Q$7</f>
        <v>-312.64264522298259</v>
      </c>
      <c r="X46" s="9">
        <f t="shared" ref="X46:X51" si="15">E46*$Q$7</f>
        <v>-313.92280831900001</v>
      </c>
      <c r="Y46" s="9">
        <f t="shared" ref="Y46:Y51" si="16">F46*$Q$7</f>
        <v>-315.117574031</v>
      </c>
      <c r="Z46" s="9">
        <f t="shared" ref="Z46:Z51" si="17">N46-R46-V46</f>
        <v>-74.687917071996992</v>
      </c>
      <c r="AA46" s="9">
        <f t="shared" ref="AA46:AA51" si="18">O46-S46-W46</f>
        <v>-89.898646768015112</v>
      </c>
      <c r="AB46" s="9">
        <f t="shared" ref="AB46:AB51" si="19">P46-T46-X46</f>
        <v>-102.78499140000264</v>
      </c>
      <c r="AC46" s="9">
        <f t="shared" ref="AC46:AC51" si="20">Q46-U46-Y46</f>
        <v>-101.84938442699695</v>
      </c>
      <c r="AD46" s="37">
        <f t="shared" ref="AD46:AD51" si="21">ABS($Q$33+Z46)/$Q$33</f>
        <v>0.27698047364959349</v>
      </c>
      <c r="AE46" s="37">
        <f t="shared" ref="AE46:AE51" si="22">ABS($Q$33+AA46)/$Q$33</f>
        <v>0.12973236429801438</v>
      </c>
      <c r="AF46" s="37">
        <f t="shared" ref="AF46:AF51" si="23">ABS($Q$33+AB46)/$Q$33</f>
        <v>4.9855624394710392E-3</v>
      </c>
      <c r="AG46" s="37">
        <f t="shared" ref="AG46:AG51" si="24">ABS($Q$33+AC46)/$Q$33</f>
        <v>1.4042745140397373E-2</v>
      </c>
    </row>
    <row r="47" spans="1:33" ht="19" x14ac:dyDescent="0.25">
      <c r="A47" s="72"/>
      <c r="B47" s="19" t="s">
        <v>9</v>
      </c>
      <c r="C47" s="9">
        <v>-0.49823299999999998</v>
      </c>
      <c r="D47" s="9">
        <v>-0.49823290920199997</v>
      </c>
      <c r="E47" s="9">
        <v>-0.50027299999999997</v>
      </c>
      <c r="F47" s="9">
        <v>-0.50217699999999998</v>
      </c>
      <c r="G47" s="9" t="s">
        <v>18</v>
      </c>
      <c r="H47" s="9" t="s">
        <v>18</v>
      </c>
      <c r="I47" s="13" t="s">
        <v>18</v>
      </c>
      <c r="J47" s="7"/>
      <c r="M47" s="72"/>
      <c r="N47" s="9">
        <f t="shared" si="5"/>
        <v>-25183.823252673003</v>
      </c>
      <c r="O47" s="9">
        <f t="shared" si="6"/>
        <v>-25247.624620198003</v>
      </c>
      <c r="P47" s="9">
        <f t="shared" si="7"/>
        <v>-25393.583700507003</v>
      </c>
      <c r="Q47" s="9">
        <f t="shared" si="8"/>
        <v>-25383.859914019002</v>
      </c>
      <c r="R47" s="9">
        <f t="shared" si="9"/>
        <v>-24797.290817218003</v>
      </c>
      <c r="S47" s="9">
        <f t="shared" si="10"/>
        <v>-24846.173928421002</v>
      </c>
      <c r="T47" s="9">
        <f t="shared" si="11"/>
        <v>-24978.015446236001</v>
      </c>
      <c r="U47" s="9">
        <f t="shared" si="12"/>
        <v>-24967.925197996003</v>
      </c>
      <c r="V47" s="9">
        <f t="shared" si="13"/>
        <v>-312.64270219899998</v>
      </c>
      <c r="W47" s="9">
        <f t="shared" si="14"/>
        <v>-312.64264522298259</v>
      </c>
      <c r="X47" s="9">
        <f t="shared" si="15"/>
        <v>-313.92280831900001</v>
      </c>
      <c r="Y47" s="9">
        <f t="shared" si="16"/>
        <v>-315.117574031</v>
      </c>
      <c r="Z47" s="9">
        <f t="shared" si="17"/>
        <v>-73.889733255999374</v>
      </c>
      <c r="AA47" s="9">
        <f t="shared" si="18"/>
        <v>-88.808046554018745</v>
      </c>
      <c r="AB47" s="9">
        <f t="shared" si="19"/>
        <v>-101.64544595200192</v>
      </c>
      <c r="AC47" s="9">
        <f t="shared" si="20"/>
        <v>-100.81714199199905</v>
      </c>
      <c r="AD47" s="37">
        <f t="shared" si="21"/>
        <v>0.28470732569216478</v>
      </c>
      <c r="AE47" s="37">
        <f t="shared" si="22"/>
        <v>0.14028996559517184</v>
      </c>
      <c r="AF47" s="37">
        <f t="shared" si="23"/>
        <v>1.6016980135508962E-2</v>
      </c>
      <c r="AG47" s="37">
        <f t="shared" si="24"/>
        <v>2.4035411500493185E-2</v>
      </c>
    </row>
    <row r="48" spans="1:33" ht="19" x14ac:dyDescent="0.25">
      <c r="A48" s="72"/>
      <c r="B48" s="19" t="s">
        <v>10</v>
      </c>
      <c r="C48" s="9">
        <v>-0.49880099999999999</v>
      </c>
      <c r="D48" s="9">
        <v>-0.49880110242300002</v>
      </c>
      <c r="E48" s="9">
        <v>-0.50166599999999995</v>
      </c>
      <c r="F48" s="9">
        <v>-0.50337600000000005</v>
      </c>
      <c r="G48" s="9" t="s">
        <v>18</v>
      </c>
      <c r="H48" s="9" t="s">
        <v>18</v>
      </c>
      <c r="I48" s="13" t="s">
        <v>18</v>
      </c>
      <c r="J48" s="7"/>
      <c r="M48" s="72"/>
      <c r="N48" s="9">
        <f t="shared" si="5"/>
        <v>-25183.850235302001</v>
      </c>
      <c r="O48" s="9">
        <f t="shared" si="6"/>
        <v>-25247.783378456999</v>
      </c>
      <c r="P48" s="9">
        <f t="shared" si="7"/>
        <v>-25393.600643088001</v>
      </c>
      <c r="Q48" s="9">
        <f t="shared" si="8"/>
        <v>-25383.871836576</v>
      </c>
      <c r="R48" s="9">
        <f t="shared" si="9"/>
        <v>-24797.354822524001</v>
      </c>
      <c r="S48" s="9">
        <f t="shared" si="10"/>
        <v>-24846.302566536</v>
      </c>
      <c r="T48" s="9">
        <f t="shared" si="11"/>
        <v>-24978.060626452003</v>
      </c>
      <c r="U48" s="9">
        <f t="shared" si="12"/>
        <v>-24967.978535751001</v>
      </c>
      <c r="V48" s="9">
        <f t="shared" si="13"/>
        <v>-312.999123903</v>
      </c>
      <c r="W48" s="9">
        <f t="shared" si="14"/>
        <v>-312.99918817373981</v>
      </c>
      <c r="X48" s="9">
        <f t="shared" si="15"/>
        <v>-314.79691999799996</v>
      </c>
      <c r="Y48" s="9">
        <f t="shared" si="16"/>
        <v>-315.86995012800003</v>
      </c>
      <c r="Z48" s="9">
        <f t="shared" si="17"/>
        <v>-73.496288875000175</v>
      </c>
      <c r="AA48" s="9">
        <f t="shared" si="18"/>
        <v>-88.481623747259448</v>
      </c>
      <c r="AB48" s="9">
        <f t="shared" si="19"/>
        <v>-100.74309663799778</v>
      </c>
      <c r="AC48" s="9">
        <f t="shared" si="20"/>
        <v>-100.0233506969987</v>
      </c>
      <c r="AD48" s="37">
        <f t="shared" si="21"/>
        <v>0.28851608059051137</v>
      </c>
      <c r="AE48" s="37">
        <f t="shared" si="22"/>
        <v>0.14344991532178655</v>
      </c>
      <c r="AF48" s="37">
        <f t="shared" si="23"/>
        <v>2.4752210667978867E-2</v>
      </c>
      <c r="AG48" s="37">
        <f t="shared" si="24"/>
        <v>3.1719741558579789E-2</v>
      </c>
    </row>
    <row r="49" spans="1:33" ht="19" x14ac:dyDescent="0.25">
      <c r="A49" s="72"/>
      <c r="B49" s="19" t="s">
        <v>11</v>
      </c>
      <c r="C49" s="9">
        <v>-0.499278</v>
      </c>
      <c r="D49" s="9">
        <v>-0.49927840342000002</v>
      </c>
      <c r="E49" s="9">
        <v>-0.50125799999999998</v>
      </c>
      <c r="F49" s="9">
        <v>-0.50323200000000001</v>
      </c>
      <c r="G49" s="9" t="s">
        <v>18</v>
      </c>
      <c r="H49" s="9" t="s">
        <v>18</v>
      </c>
      <c r="I49" s="13" t="s">
        <v>18</v>
      </c>
      <c r="J49" s="7"/>
      <c r="M49" s="72"/>
      <c r="N49" s="9">
        <f t="shared" si="5"/>
        <v>-25195.342325244001</v>
      </c>
      <c r="O49" s="9">
        <f t="shared" si="6"/>
        <v>-25297.666101939001</v>
      </c>
      <c r="P49" s="9">
        <f t="shared" si="7"/>
        <v>-25396.310828545</v>
      </c>
      <c r="Q49" s="9">
        <f t="shared" si="8"/>
        <v>-25387.971313675003</v>
      </c>
      <c r="R49" s="9">
        <f t="shared" si="9"/>
        <v>-24807.219169684002</v>
      </c>
      <c r="S49" s="9">
        <f t="shared" si="10"/>
        <v>-24887.154894345003</v>
      </c>
      <c r="T49" s="9">
        <f t="shared" si="11"/>
        <v>-24980.701159076001</v>
      </c>
      <c r="U49" s="9">
        <f t="shared" si="12"/>
        <v>-24971.971964843</v>
      </c>
      <c r="V49" s="9">
        <f t="shared" si="13"/>
        <v>-313.29844283400001</v>
      </c>
      <c r="W49" s="9">
        <f t="shared" si="14"/>
        <v>-313.29869598126027</v>
      </c>
      <c r="X49" s="9">
        <f t="shared" si="15"/>
        <v>-314.54089877400003</v>
      </c>
      <c r="Y49" s="9">
        <f t="shared" si="16"/>
        <v>-315.77958969600002</v>
      </c>
      <c r="Z49" s="9">
        <f t="shared" si="17"/>
        <v>-74.824712725998836</v>
      </c>
      <c r="AA49" s="9">
        <f t="shared" si="18"/>
        <v>-97.212511612737558</v>
      </c>
      <c r="AB49" s="9">
        <f t="shared" si="19"/>
        <v>-101.06877069499859</v>
      </c>
      <c r="AC49" s="9">
        <f t="shared" si="20"/>
        <v>-100.21975913600329</v>
      </c>
      <c r="AD49" s="37">
        <f t="shared" si="21"/>
        <v>0.27565621756051462</v>
      </c>
      <c r="AE49" s="37">
        <f t="shared" si="22"/>
        <v>5.8930187679210454E-2</v>
      </c>
      <c r="AF49" s="37">
        <f t="shared" si="23"/>
        <v>2.1599509244931328E-2</v>
      </c>
      <c r="AG49" s="37">
        <f t="shared" si="24"/>
        <v>2.9818401393966187E-2</v>
      </c>
    </row>
    <row r="50" spans="1:33" ht="19" x14ac:dyDescent="0.25">
      <c r="A50" s="72"/>
      <c r="B50" s="19" t="s">
        <v>12</v>
      </c>
      <c r="C50" s="9">
        <v>-0.49980999999999998</v>
      </c>
      <c r="D50" s="9">
        <v>-0.49980981130199997</v>
      </c>
      <c r="E50" s="9">
        <v>-0.50215600000000005</v>
      </c>
      <c r="F50" s="9">
        <v>-0.50397899999999995</v>
      </c>
      <c r="G50" s="9" t="s">
        <v>18</v>
      </c>
      <c r="H50" s="9" t="s">
        <v>18</v>
      </c>
      <c r="I50" s="13" t="s">
        <v>18</v>
      </c>
      <c r="J50" s="7"/>
      <c r="M50" s="72"/>
      <c r="N50" s="9">
        <f t="shared" si="5"/>
        <v>-25204.628114637999</v>
      </c>
      <c r="O50" s="9">
        <f t="shared" si="6"/>
        <v>-25329.941718744001</v>
      </c>
      <c r="P50" s="9">
        <f t="shared" si="7"/>
        <v>-25409.889365962001</v>
      </c>
      <c r="Q50" s="9">
        <f t="shared" si="8"/>
        <v>-25399.228717495</v>
      </c>
      <c r="R50" s="9">
        <f t="shared" si="9"/>
        <v>-24815.809685754</v>
      </c>
      <c r="S50" s="9">
        <f t="shared" si="10"/>
        <v>-24915.261381218002</v>
      </c>
      <c r="T50" s="9">
        <f t="shared" si="11"/>
        <v>-24992.815104491001</v>
      </c>
      <c r="U50" s="9">
        <f t="shared" si="12"/>
        <v>-24982.137513443002</v>
      </c>
      <c r="V50" s="9">
        <f t="shared" si="13"/>
        <v>-313.63227443</v>
      </c>
      <c r="W50" s="9">
        <f t="shared" si="14"/>
        <v>-313.6321560214389</v>
      </c>
      <c r="X50" s="9">
        <f t="shared" si="15"/>
        <v>-315.10439646800006</v>
      </c>
      <c r="Y50" s="9">
        <f t="shared" si="16"/>
        <v>-316.24833443699998</v>
      </c>
      <c r="Z50" s="9">
        <f t="shared" si="17"/>
        <v>-75.186154453998427</v>
      </c>
      <c r="AA50" s="9">
        <f t="shared" si="18"/>
        <v>-101.04818150455986</v>
      </c>
      <c r="AB50" s="9">
        <f t="shared" si="19"/>
        <v>-101.96986500299971</v>
      </c>
      <c r="AC50" s="9">
        <f t="shared" si="20"/>
        <v>-100.84286961499794</v>
      </c>
      <c r="AD50" s="37">
        <f t="shared" si="21"/>
        <v>0.27215726569217397</v>
      </c>
      <c r="AE50" s="37">
        <f t="shared" si="22"/>
        <v>2.1798823769991611E-2</v>
      </c>
      <c r="AF50" s="37">
        <f t="shared" si="23"/>
        <v>1.287642785092242E-2</v>
      </c>
      <c r="AG50" s="37">
        <f t="shared" si="24"/>
        <v>2.378635416265305E-2</v>
      </c>
    </row>
    <row r="51" spans="1:33" ht="20" thickBot="1" x14ac:dyDescent="0.3">
      <c r="A51" s="73"/>
      <c r="B51" s="20" t="s">
        <v>13</v>
      </c>
      <c r="C51" s="10">
        <v>-0.499334</v>
      </c>
      <c r="D51" s="10">
        <v>-0.49933431544000001</v>
      </c>
      <c r="E51" s="10">
        <v>-0.50165700000000002</v>
      </c>
      <c r="F51" s="10">
        <v>-0.50354600000000005</v>
      </c>
      <c r="G51" s="10" t="s">
        <v>18</v>
      </c>
      <c r="H51" s="10" t="s">
        <v>18</v>
      </c>
      <c r="I51" s="14" t="s">
        <v>18</v>
      </c>
      <c r="J51" s="7"/>
      <c r="M51" s="73"/>
      <c r="N51" s="10">
        <f t="shared" si="5"/>
        <v>-25196.113526431003</v>
      </c>
      <c r="O51" s="10">
        <f t="shared" si="6"/>
        <v>-25302.642828232001</v>
      </c>
      <c r="P51" s="10">
        <f t="shared" si="7"/>
        <v>-25399.062429199999</v>
      </c>
      <c r="Q51" s="10">
        <f t="shared" si="8"/>
        <v>-25389.789189866002</v>
      </c>
      <c r="R51" s="10">
        <f t="shared" si="9"/>
        <v>-24808.383187749001</v>
      </c>
      <c r="S51" s="10">
        <f t="shared" si="10"/>
        <v>-24891.852381803001</v>
      </c>
      <c r="T51" s="10">
        <f t="shared" si="11"/>
        <v>-24983.844321603003</v>
      </c>
      <c r="U51" s="10">
        <f t="shared" si="12"/>
        <v>-24974.232230649002</v>
      </c>
      <c r="V51" s="10">
        <f t="shared" si="13"/>
        <v>-313.33358300200001</v>
      </c>
      <c r="W51" s="10">
        <f t="shared" si="14"/>
        <v>-313.33378094154637</v>
      </c>
      <c r="X51" s="10">
        <f t="shared" si="15"/>
        <v>-314.79127247100001</v>
      </c>
      <c r="Y51" s="10">
        <f t="shared" si="16"/>
        <v>-315.97662563800003</v>
      </c>
      <c r="Z51" s="10">
        <f t="shared" si="17"/>
        <v>-74.396755680002173</v>
      </c>
      <c r="AA51" s="10">
        <f t="shared" si="18"/>
        <v>-97.456665487454075</v>
      </c>
      <c r="AB51" s="10">
        <f t="shared" si="19"/>
        <v>-100.42683512599655</v>
      </c>
      <c r="AC51" s="10">
        <f t="shared" si="20"/>
        <v>-99.5803335789995</v>
      </c>
      <c r="AD51" s="39">
        <f t="shared" si="21"/>
        <v>0.27979907376570984</v>
      </c>
      <c r="AE51" s="39">
        <f t="shared" si="22"/>
        <v>5.6566645813610095E-2</v>
      </c>
      <c r="AF51" s="39">
        <f t="shared" si="23"/>
        <v>2.7813793552792353E-2</v>
      </c>
      <c r="AG51" s="39">
        <f t="shared" si="24"/>
        <v>3.6008387424980609E-2</v>
      </c>
    </row>
    <row r="52" spans="1:33" ht="19" x14ac:dyDescent="0.25">
      <c r="B52" s="7"/>
      <c r="C52" s="7"/>
      <c r="D52" s="7"/>
      <c r="E52" s="7"/>
      <c r="F52" s="7"/>
      <c r="G52" s="7"/>
      <c r="H52" s="7"/>
      <c r="I52" s="7"/>
      <c r="J52" s="7"/>
    </row>
    <row r="53" spans="1:33" ht="19" x14ac:dyDescent="0.25">
      <c r="B53" s="7"/>
      <c r="C53" s="7"/>
      <c r="D53" s="7"/>
      <c r="E53" s="7"/>
      <c r="F53" s="7"/>
      <c r="G53" s="7"/>
      <c r="H53" s="7"/>
      <c r="I53" s="7"/>
      <c r="J53" s="7"/>
    </row>
    <row r="54" spans="1:33" ht="19" x14ac:dyDescent="0.25">
      <c r="B54" s="7"/>
      <c r="C54" s="7"/>
      <c r="D54" s="7"/>
      <c r="E54" s="7"/>
      <c r="F54" s="7"/>
      <c r="G54" s="7"/>
      <c r="H54" s="7"/>
      <c r="I54" s="7"/>
      <c r="J54" s="7"/>
    </row>
    <row r="55" spans="1:33" ht="19" x14ac:dyDescent="0.25">
      <c r="B55" s="7"/>
      <c r="C55" s="7"/>
      <c r="D55" s="7"/>
      <c r="E55" s="7"/>
      <c r="F55" s="7"/>
      <c r="G55" s="7"/>
      <c r="H55" s="7"/>
      <c r="I55" s="7"/>
      <c r="J55" s="7"/>
    </row>
    <row r="56" spans="1:33" ht="19" x14ac:dyDescent="0.25">
      <c r="B56" s="7"/>
      <c r="C56" s="7"/>
      <c r="D56" s="7"/>
      <c r="E56" s="7"/>
      <c r="F56" s="7"/>
      <c r="G56" s="7"/>
      <c r="H56" s="7"/>
      <c r="I56" s="7"/>
      <c r="J56" s="7"/>
    </row>
    <row r="57" spans="1:33" ht="19" x14ac:dyDescent="0.25">
      <c r="B57" s="7"/>
      <c r="C57" s="7"/>
      <c r="D57" s="7"/>
      <c r="E57" s="7"/>
      <c r="F57" s="7"/>
      <c r="G57" s="7"/>
      <c r="H57" s="7"/>
      <c r="I57" s="7"/>
      <c r="J57" s="7"/>
    </row>
  </sheetData>
  <mergeCells count="30">
    <mergeCell ref="AD41:AG42"/>
    <mergeCell ref="N41:Q42"/>
    <mergeCell ref="R41:U42"/>
    <mergeCell ref="V41:Y42"/>
    <mergeCell ref="Z41:AC42"/>
    <mergeCell ref="A27:A33"/>
    <mergeCell ref="A45:A51"/>
    <mergeCell ref="A8:A14"/>
    <mergeCell ref="M33:P33"/>
    <mergeCell ref="M45:M51"/>
    <mergeCell ref="C41:F42"/>
    <mergeCell ref="G41:I42"/>
    <mergeCell ref="N39:Y40"/>
    <mergeCell ref="C2:I3"/>
    <mergeCell ref="C21:I22"/>
    <mergeCell ref="C23:F24"/>
    <mergeCell ref="G23:I24"/>
    <mergeCell ref="C39:I40"/>
    <mergeCell ref="T5:T6"/>
    <mergeCell ref="U5:U6"/>
    <mergeCell ref="M4:P4"/>
    <mergeCell ref="M5:M6"/>
    <mergeCell ref="C4:F5"/>
    <mergeCell ref="G4:I5"/>
    <mergeCell ref="N5:N6"/>
    <mergeCell ref="O5:O6"/>
    <mergeCell ref="P5:P6"/>
    <mergeCell ref="Q5:Q6"/>
    <mergeCell ref="R5:R6"/>
    <mergeCell ref="S5:S6"/>
  </mergeCells>
  <conditionalFormatting sqref="C8:F14">
    <cfRule type="colorScale" priority="10">
      <colorScale>
        <cfvo type="min"/>
        <cfvo type="max"/>
        <color rgb="FF63BE7B"/>
        <color rgb="FFFFEF9C"/>
      </colorScale>
    </cfRule>
  </conditionalFormatting>
  <conditionalFormatting sqref="C27:F33">
    <cfRule type="colorScale" priority="8">
      <colorScale>
        <cfvo type="min"/>
        <cfvo type="max"/>
        <color rgb="FF63BE7B"/>
        <color rgb="FFFFEF9C"/>
      </colorScale>
    </cfRule>
  </conditionalFormatting>
  <conditionalFormatting sqref="C45:F51">
    <cfRule type="colorScale" priority="7">
      <colorScale>
        <cfvo type="min"/>
        <cfvo type="max"/>
        <color rgb="FF63BE7B"/>
        <color rgb="FFFFEF9C"/>
      </colorScale>
    </cfRule>
  </conditionalFormatting>
  <conditionalFormatting sqref="G8:I14">
    <cfRule type="colorScale" priority="9">
      <colorScale>
        <cfvo type="min"/>
        <cfvo type="max"/>
        <color rgb="FF63BE7B"/>
        <color rgb="FFFFEF9C"/>
      </colorScale>
    </cfRule>
  </conditionalFormatting>
  <conditionalFormatting sqref="N45:Q51">
    <cfRule type="colorScale" priority="6">
      <colorScale>
        <cfvo type="min"/>
        <cfvo type="max"/>
        <color rgb="FF63BE7B"/>
        <color rgb="FFFFEF9C"/>
      </colorScale>
    </cfRule>
  </conditionalFormatting>
  <conditionalFormatting sqref="R45:U51">
    <cfRule type="colorScale" priority="5">
      <colorScale>
        <cfvo type="min"/>
        <cfvo type="max"/>
        <color rgb="FF63BE7B"/>
        <color rgb="FFFFEF9C"/>
      </colorScale>
    </cfRule>
  </conditionalFormatting>
  <conditionalFormatting sqref="V45:Y51">
    <cfRule type="colorScale" priority="4">
      <colorScale>
        <cfvo type="min"/>
        <cfvo type="max"/>
        <color rgb="FF63BE7B"/>
        <color rgb="FFFFEF9C"/>
      </colorScale>
    </cfRule>
  </conditionalFormatting>
  <conditionalFormatting sqref="AD45:AG5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B575-9856-E34B-A8DE-9F65D85FFCD5}">
  <dimension ref="B1:R73"/>
  <sheetViews>
    <sheetView topLeftCell="D1" zoomScale="94" workbookViewId="0">
      <selection activeCell="L55" sqref="L55"/>
    </sheetView>
  </sheetViews>
  <sheetFormatPr baseColWidth="10" defaultRowHeight="16" x14ac:dyDescent="0.2"/>
  <sheetData>
    <row r="1" spans="2:9" ht="17" thickBot="1" x14ac:dyDescent="0.25"/>
    <row r="2" spans="2:9" x14ac:dyDescent="0.2">
      <c r="B2" s="32"/>
      <c r="C2" s="67" t="s">
        <v>14</v>
      </c>
      <c r="D2" s="67"/>
      <c r="E2" s="67"/>
      <c r="F2" s="67"/>
      <c r="G2" s="67"/>
      <c r="H2" s="67"/>
      <c r="I2" s="68"/>
    </row>
    <row r="3" spans="2:9" x14ac:dyDescent="0.2">
      <c r="B3" s="33"/>
      <c r="C3" s="69"/>
      <c r="D3" s="69"/>
      <c r="E3" s="69"/>
      <c r="F3" s="69"/>
      <c r="G3" s="69"/>
      <c r="H3" s="69"/>
      <c r="I3" s="70"/>
    </row>
    <row r="4" spans="2:9" x14ac:dyDescent="0.2">
      <c r="B4" s="33"/>
      <c r="C4" s="85" t="s">
        <v>1</v>
      </c>
      <c r="D4" s="85"/>
      <c r="E4" s="85"/>
      <c r="F4" s="85"/>
      <c r="G4" s="86" t="s">
        <v>17</v>
      </c>
      <c r="H4" s="86"/>
      <c r="I4" s="87"/>
    </row>
    <row r="5" spans="2:9" ht="17" thickBot="1" x14ac:dyDescent="0.25">
      <c r="B5" s="33"/>
      <c r="C5" s="85"/>
      <c r="D5" s="85"/>
      <c r="E5" s="85"/>
      <c r="F5" s="85"/>
      <c r="G5" s="86"/>
      <c r="H5" s="86"/>
      <c r="I5" s="87"/>
    </row>
    <row r="6" spans="2:9" ht="17" thickBot="1" x14ac:dyDescent="0.25">
      <c r="B6" s="33"/>
      <c r="C6" s="26" t="s">
        <v>2</v>
      </c>
      <c r="D6" s="26" t="s">
        <v>3</v>
      </c>
      <c r="E6" s="29" t="s">
        <v>4</v>
      </c>
      <c r="F6" s="30"/>
      <c r="G6" s="26" t="s">
        <v>2</v>
      </c>
      <c r="H6" s="26" t="s">
        <v>3</v>
      </c>
      <c r="I6" s="31" t="s">
        <v>4</v>
      </c>
    </row>
    <row r="7" spans="2:9" x14ac:dyDescent="0.2">
      <c r="B7" s="33"/>
      <c r="C7" s="27"/>
      <c r="D7" s="27"/>
      <c r="E7" s="26" t="s">
        <v>5</v>
      </c>
      <c r="F7" s="26" t="s">
        <v>6</v>
      </c>
      <c r="G7" s="27"/>
      <c r="H7" s="27"/>
      <c r="I7" s="26" t="s">
        <v>5</v>
      </c>
    </row>
    <row r="8" spans="2:9" x14ac:dyDescent="0.2">
      <c r="B8" s="34" t="s">
        <v>7</v>
      </c>
      <c r="C8" s="27">
        <v>-1.105019</v>
      </c>
      <c r="D8" s="27">
        <v>-1.118187</v>
      </c>
      <c r="E8" s="27">
        <v>-1.153899</v>
      </c>
      <c r="F8" s="27">
        <v>-1.153702</v>
      </c>
      <c r="G8" s="27">
        <f>-1.11750589+0.01248746</f>
        <v>-1.1050184299999999</v>
      </c>
      <c r="H8" s="27">
        <f>-1.13013688+0.01194992</f>
        <v>-1.1181869600000001</v>
      </c>
      <c r="I8" s="27">
        <f>-1.16553776+0.01164208</f>
        <v>-1.15389568</v>
      </c>
    </row>
    <row r="9" spans="2:9" x14ac:dyDescent="0.2">
      <c r="B9" s="34" t="s">
        <v>8</v>
      </c>
      <c r="C9" s="27">
        <v>-1.1162369999999999</v>
      </c>
      <c r="D9" s="27">
        <v>-1.133813</v>
      </c>
      <c r="E9" s="27">
        <v>-1.165335</v>
      </c>
      <c r="F9" s="27">
        <v>-1.1644289999999999</v>
      </c>
      <c r="G9" s="27">
        <f>-1.12682783+0.01058498</f>
        <v>-1.1162428500000001</v>
      </c>
      <c r="H9" s="27">
        <f>-1.14414085+0.01032854</f>
        <v>-1.1338123100000002</v>
      </c>
      <c r="I9" s="27">
        <f>-1.17548358+0.01014962</f>
        <v>-1.1653339600000001</v>
      </c>
    </row>
    <row r="10" spans="2:9" x14ac:dyDescent="0.2">
      <c r="B10" s="34" t="s">
        <v>9</v>
      </c>
      <c r="C10" s="27">
        <v>-1.1162369999999999</v>
      </c>
      <c r="D10" s="27">
        <v>-1.133813</v>
      </c>
      <c r="E10" s="27">
        <v>-1.165335</v>
      </c>
      <c r="F10" s="27">
        <v>-1.1644289999999999</v>
      </c>
      <c r="G10" s="27">
        <f>-1.12682783+ 0.01058498</f>
        <v>-1.1162428500000001</v>
      </c>
      <c r="H10" s="27">
        <f>-1.14414085+0.01032854</f>
        <v>-1.1338123100000002</v>
      </c>
      <c r="I10" s="27">
        <f>-1.17548358+0.01014962</f>
        <v>-1.1653339600000001</v>
      </c>
    </row>
    <row r="11" spans="2:9" x14ac:dyDescent="0.2">
      <c r="B11" s="34" t="s">
        <v>10</v>
      </c>
      <c r="C11" s="27">
        <v>-1.1163540000000001</v>
      </c>
      <c r="D11" s="27">
        <v>-1.134026</v>
      </c>
      <c r="E11" s="27">
        <v>-1.165834</v>
      </c>
      <c r="F11" s="27">
        <v>-1.164709</v>
      </c>
      <c r="G11" s="27">
        <f>-1.12692381+0.01056504</f>
        <v>-1.1163587700000002</v>
      </c>
      <c r="H11" s="27">
        <f>-1.14432764+0.0103024</f>
        <v>-1.1340252399999999</v>
      </c>
      <c r="I11" s="27">
        <f>-1.1759509+0.01011704</f>
        <v>-1.16583386</v>
      </c>
    </row>
    <row r="12" spans="2:9" x14ac:dyDescent="0.2">
      <c r="B12" s="34" t="s">
        <v>11</v>
      </c>
      <c r="C12" s="27">
        <v>-1.1183160000000001</v>
      </c>
      <c r="D12" s="27">
        <v>-1.1449640000000001</v>
      </c>
      <c r="E12" s="27">
        <v>-1.163646</v>
      </c>
      <c r="F12" s="27">
        <v>-1.163948</v>
      </c>
      <c r="G12" s="27" t="s">
        <v>18</v>
      </c>
      <c r="H12" s="27" t="s">
        <v>18</v>
      </c>
      <c r="I12" s="27" t="s">
        <v>18</v>
      </c>
    </row>
    <row r="13" spans="2:9" x14ac:dyDescent="0.2">
      <c r="B13" s="34" t="s">
        <v>12</v>
      </c>
      <c r="C13" s="27">
        <v>-1.122538</v>
      </c>
      <c r="D13" s="27">
        <v>-1.154339</v>
      </c>
      <c r="E13" s="27">
        <v>-1.169926</v>
      </c>
      <c r="F13" s="27">
        <v>-1.168882</v>
      </c>
      <c r="G13" s="27" t="s">
        <v>18</v>
      </c>
      <c r="H13" s="27" t="s">
        <v>18</v>
      </c>
      <c r="I13" s="27" t="s">
        <v>18</v>
      </c>
    </row>
    <row r="14" spans="2:9" x14ac:dyDescent="0.2">
      <c r="B14" s="34" t="s">
        <v>13</v>
      </c>
      <c r="C14" s="27">
        <v>-1.1184510000000001</v>
      </c>
      <c r="D14" s="27">
        <v>-1.146055</v>
      </c>
      <c r="E14" s="27">
        <v>-1.1640919999999999</v>
      </c>
      <c r="F14" s="27">
        <v>-1.164234</v>
      </c>
      <c r="G14" s="27">
        <f>-1.12882588+0.01038512</f>
        <v>-1.1184407599999999</v>
      </c>
      <c r="H14" s="27">
        <f>-1.15621648+0.01016906</f>
        <v>-1.1460474200000001</v>
      </c>
      <c r="I14" s="27">
        <f>-1.1740263+0.00992612</f>
        <v>-1.1641001799999999</v>
      </c>
    </row>
    <row r="15" spans="2:9" ht="17" thickBot="1" x14ac:dyDescent="0.25">
      <c r="B15" s="35" t="s">
        <v>19</v>
      </c>
      <c r="C15" s="28">
        <v>-1.1230549999999999</v>
      </c>
      <c r="D15" s="28">
        <v>-1.156293</v>
      </c>
      <c r="E15" s="28">
        <v>-1.1704749999999999</v>
      </c>
      <c r="F15" s="28">
        <f>-1.169376</f>
        <v>-1.169376</v>
      </c>
      <c r="G15" s="28" t="s">
        <v>18</v>
      </c>
      <c r="H15" s="28" t="s">
        <v>18</v>
      </c>
      <c r="I15" s="28" t="s">
        <v>18</v>
      </c>
    </row>
    <row r="20" spans="2:9" ht="17" thickBot="1" x14ac:dyDescent="0.25"/>
    <row r="21" spans="2:9" x14ac:dyDescent="0.2">
      <c r="B21" s="32"/>
      <c r="C21" s="67" t="s">
        <v>0</v>
      </c>
      <c r="D21" s="67"/>
      <c r="E21" s="67"/>
      <c r="F21" s="67"/>
      <c r="G21" s="67"/>
      <c r="H21" s="67"/>
      <c r="I21" s="68"/>
    </row>
    <row r="22" spans="2:9" x14ac:dyDescent="0.2">
      <c r="B22" s="33"/>
      <c r="C22" s="69"/>
      <c r="D22" s="69"/>
      <c r="E22" s="69"/>
      <c r="F22" s="69"/>
      <c r="G22" s="69"/>
      <c r="H22" s="69"/>
      <c r="I22" s="70"/>
    </row>
    <row r="23" spans="2:9" x14ac:dyDescent="0.2">
      <c r="B23" s="33"/>
      <c r="C23" s="85" t="s">
        <v>1</v>
      </c>
      <c r="D23" s="85"/>
      <c r="E23" s="85"/>
      <c r="F23" s="85"/>
      <c r="G23" s="86" t="s">
        <v>17</v>
      </c>
      <c r="H23" s="86"/>
      <c r="I23" s="87"/>
    </row>
    <row r="24" spans="2:9" ht="17" thickBot="1" x14ac:dyDescent="0.25">
      <c r="B24" s="33"/>
      <c r="C24" s="85"/>
      <c r="D24" s="85"/>
      <c r="E24" s="85"/>
      <c r="F24" s="85"/>
      <c r="G24" s="86"/>
      <c r="H24" s="86"/>
      <c r="I24" s="87"/>
    </row>
    <row r="25" spans="2:9" ht="17" thickBot="1" x14ac:dyDescent="0.25">
      <c r="B25" s="33"/>
      <c r="C25" s="26" t="s">
        <v>2</v>
      </c>
      <c r="D25" s="26" t="s">
        <v>3</v>
      </c>
      <c r="E25" s="29" t="s">
        <v>4</v>
      </c>
      <c r="F25" s="30"/>
      <c r="G25" s="26" t="s">
        <v>2</v>
      </c>
      <c r="H25" s="26" t="s">
        <v>3</v>
      </c>
      <c r="I25" s="31" t="s">
        <v>4</v>
      </c>
    </row>
    <row r="26" spans="2:9" x14ac:dyDescent="0.2">
      <c r="B26" s="33"/>
      <c r="C26" s="27"/>
      <c r="D26" s="27"/>
      <c r="E26" s="26" t="s">
        <v>5</v>
      </c>
      <c r="F26" s="26" t="s">
        <v>6</v>
      </c>
      <c r="G26" s="27"/>
      <c r="H26" s="27"/>
      <c r="I26" s="26" t="s">
        <v>5</v>
      </c>
    </row>
    <row r="27" spans="2:9" x14ac:dyDescent="0.2">
      <c r="B27" s="34" t="s">
        <v>7</v>
      </c>
      <c r="C27" s="27">
        <v>-0.466582</v>
      </c>
      <c r="D27" s="27">
        <v>-0.46658185038400002</v>
      </c>
      <c r="E27" s="27">
        <v>-0.46753299999999998</v>
      </c>
      <c r="F27" s="27">
        <v>-0.469746</v>
      </c>
      <c r="G27" s="27" t="s">
        <v>18</v>
      </c>
      <c r="H27" s="27" t="s">
        <v>18</v>
      </c>
      <c r="I27" s="27" t="s">
        <v>18</v>
      </c>
    </row>
    <row r="28" spans="2:9" x14ac:dyDescent="0.2">
      <c r="B28" s="34" t="s">
        <v>8</v>
      </c>
      <c r="C28" s="27">
        <v>-0.49823299999999998</v>
      </c>
      <c r="D28" s="27">
        <v>-0.49823290920199997</v>
      </c>
      <c r="E28" s="27">
        <v>-0.50027299999999997</v>
      </c>
      <c r="F28" s="27">
        <v>-0.50217699999999998</v>
      </c>
      <c r="G28" s="27" t="s">
        <v>18</v>
      </c>
      <c r="H28" s="27" t="s">
        <v>18</v>
      </c>
      <c r="I28" s="27" t="s">
        <v>18</v>
      </c>
    </row>
    <row r="29" spans="2:9" x14ac:dyDescent="0.2">
      <c r="B29" s="34" t="s">
        <v>9</v>
      </c>
      <c r="C29" s="27">
        <v>-0.49823299999999998</v>
      </c>
      <c r="D29" s="27">
        <v>-0.49823290920199997</v>
      </c>
      <c r="E29" s="27">
        <v>-0.50027299999999997</v>
      </c>
      <c r="F29" s="27">
        <v>-0.50217699999999998</v>
      </c>
      <c r="G29" s="27" t="s">
        <v>18</v>
      </c>
      <c r="H29" s="27" t="s">
        <v>18</v>
      </c>
      <c r="I29" s="27" t="s">
        <v>18</v>
      </c>
    </row>
    <row r="30" spans="2:9" x14ac:dyDescent="0.2">
      <c r="B30" s="34" t="s">
        <v>10</v>
      </c>
      <c r="C30" s="27">
        <v>-0.49880099999999999</v>
      </c>
      <c r="D30" s="27">
        <v>-0.49880110242300002</v>
      </c>
      <c r="E30" s="27">
        <v>-0.50166599999999995</v>
      </c>
      <c r="F30" s="27">
        <v>-0.50337600000000005</v>
      </c>
      <c r="G30" s="27" t="s">
        <v>18</v>
      </c>
      <c r="H30" s="27" t="s">
        <v>18</v>
      </c>
      <c r="I30" s="27" t="s">
        <v>18</v>
      </c>
    </row>
    <row r="31" spans="2:9" x14ac:dyDescent="0.2">
      <c r="B31" s="34" t="s">
        <v>11</v>
      </c>
      <c r="C31" s="27">
        <v>-0.499278</v>
      </c>
      <c r="D31" s="27">
        <v>-0.49927840342000002</v>
      </c>
      <c r="E31" s="27">
        <v>-0.50125799999999998</v>
      </c>
      <c r="F31" s="27">
        <v>-0.50323200000000001</v>
      </c>
      <c r="G31" s="27" t="s">
        <v>18</v>
      </c>
      <c r="H31" s="27" t="s">
        <v>18</v>
      </c>
      <c r="I31" s="27" t="s">
        <v>18</v>
      </c>
    </row>
    <row r="32" spans="2:9" x14ac:dyDescent="0.2">
      <c r="B32" s="34" t="s">
        <v>12</v>
      </c>
      <c r="C32" s="27">
        <v>-0.49980999999999998</v>
      </c>
      <c r="D32" s="27">
        <v>-0.49980981130199997</v>
      </c>
      <c r="E32" s="27">
        <v>-0.50215600000000005</v>
      </c>
      <c r="F32" s="27">
        <v>-0.50397899999999995</v>
      </c>
      <c r="G32" s="27" t="s">
        <v>18</v>
      </c>
      <c r="H32" s="27" t="s">
        <v>18</v>
      </c>
      <c r="I32" s="27" t="s">
        <v>18</v>
      </c>
    </row>
    <row r="33" spans="2:9" x14ac:dyDescent="0.2">
      <c r="B33" s="34" t="s">
        <v>13</v>
      </c>
      <c r="C33" s="27">
        <v>-0.499334</v>
      </c>
      <c r="D33" s="27">
        <v>-0.49933431544000001</v>
      </c>
      <c r="E33" s="27">
        <v>-0.50165700000000002</v>
      </c>
      <c r="F33" s="27">
        <v>-0.50354600000000005</v>
      </c>
      <c r="G33" s="27" t="s">
        <v>18</v>
      </c>
      <c r="H33" s="27" t="s">
        <v>18</v>
      </c>
      <c r="I33" s="27" t="s">
        <v>18</v>
      </c>
    </row>
    <row r="34" spans="2:9" ht="17" thickBot="1" x14ac:dyDescent="0.25">
      <c r="B34" s="35" t="s">
        <v>19</v>
      </c>
      <c r="C34" s="28">
        <v>-0.499946</v>
      </c>
      <c r="D34" s="28" t="s">
        <v>18</v>
      </c>
      <c r="E34" s="28">
        <v>-0.50234599999999996</v>
      </c>
      <c r="F34" s="28">
        <v>-0.50415399999999999</v>
      </c>
      <c r="G34" s="28" t="s">
        <v>18</v>
      </c>
      <c r="H34" s="28" t="s">
        <v>18</v>
      </c>
      <c r="I34" s="28" t="s">
        <v>18</v>
      </c>
    </row>
    <row r="57" spans="3:18" ht="19" x14ac:dyDescent="0.25">
      <c r="D57" s="74" t="s">
        <v>31</v>
      </c>
      <c r="E57" s="74"/>
      <c r="F57" s="74"/>
      <c r="G57" s="74"/>
      <c r="H57" s="36">
        <v>103.2</v>
      </c>
    </row>
    <row r="61" spans="3:18" ht="16" customHeight="1" x14ac:dyDescent="0.2">
      <c r="C61" s="59" t="s">
        <v>1</v>
      </c>
      <c r="D61" s="59"/>
      <c r="E61" s="59"/>
      <c r="F61" s="59"/>
      <c r="G61" s="59"/>
      <c r="H61" s="59"/>
      <c r="I61" s="59"/>
      <c r="J61" s="59"/>
      <c r="K61" s="40"/>
      <c r="L61" s="40"/>
      <c r="M61" s="40"/>
      <c r="N61" s="40"/>
    </row>
    <row r="62" spans="3:18" ht="17" customHeight="1" thickBot="1" x14ac:dyDescent="0.25">
      <c r="C62" s="60"/>
      <c r="D62" s="60"/>
      <c r="E62" s="60"/>
      <c r="F62" s="60"/>
      <c r="G62" s="60"/>
      <c r="H62" s="60"/>
      <c r="I62" s="60"/>
      <c r="J62" s="60"/>
      <c r="K62" s="41"/>
      <c r="L62" s="41"/>
      <c r="M62" s="41"/>
      <c r="N62" s="41"/>
    </row>
    <row r="63" spans="3:18" ht="16" customHeight="1" x14ac:dyDescent="0.2">
      <c r="C63" s="81" t="s">
        <v>15</v>
      </c>
      <c r="D63" s="67"/>
      <c r="E63" s="67"/>
      <c r="F63" s="68"/>
      <c r="G63" s="81" t="s">
        <v>16</v>
      </c>
      <c r="H63" s="67"/>
      <c r="I63" s="67"/>
      <c r="J63" s="68"/>
      <c r="K63" s="75" t="s">
        <v>33</v>
      </c>
      <c r="L63" s="76"/>
      <c r="M63" s="76"/>
      <c r="N63" s="77"/>
      <c r="O63" s="75" t="s">
        <v>33</v>
      </c>
      <c r="P63" s="76"/>
      <c r="Q63" s="76"/>
      <c r="R63" s="77"/>
    </row>
    <row r="64" spans="3:18" ht="17" customHeight="1" thickBot="1" x14ac:dyDescent="0.25">
      <c r="C64" s="82"/>
      <c r="D64" s="83"/>
      <c r="E64" s="83"/>
      <c r="F64" s="84"/>
      <c r="G64" s="82"/>
      <c r="H64" s="83"/>
      <c r="I64" s="83"/>
      <c r="J64" s="84"/>
      <c r="K64" s="78"/>
      <c r="L64" s="79"/>
      <c r="M64" s="79"/>
      <c r="N64" s="80"/>
      <c r="O64" s="78"/>
      <c r="P64" s="79"/>
      <c r="Q64" s="79"/>
      <c r="R64" s="80"/>
    </row>
    <row r="65" spans="2:18" ht="20" thickBot="1" x14ac:dyDescent="0.3">
      <c r="C65" s="8" t="s">
        <v>2</v>
      </c>
      <c r="D65" s="8" t="s">
        <v>3</v>
      </c>
      <c r="E65" s="11" t="s">
        <v>4</v>
      </c>
      <c r="F65" s="12"/>
      <c r="G65" s="8" t="s">
        <v>2</v>
      </c>
      <c r="H65" s="8" t="s">
        <v>3</v>
      </c>
      <c r="I65" s="23" t="s">
        <v>4</v>
      </c>
      <c r="J65" s="24"/>
      <c r="K65" s="8" t="s">
        <v>2</v>
      </c>
      <c r="L65" s="8" t="s">
        <v>3</v>
      </c>
      <c r="M65" s="23" t="s">
        <v>4</v>
      </c>
      <c r="N65" s="24"/>
      <c r="O65" s="8" t="s">
        <v>2</v>
      </c>
      <c r="P65" s="8" t="s">
        <v>3</v>
      </c>
      <c r="Q65" s="23" t="s">
        <v>4</v>
      </c>
      <c r="R65" s="24"/>
    </row>
    <row r="66" spans="2:18" ht="20" thickBot="1" x14ac:dyDescent="0.3">
      <c r="C66" s="9"/>
      <c r="D66" s="9"/>
      <c r="E66" s="8" t="s">
        <v>5</v>
      </c>
      <c r="F66" s="8" t="s">
        <v>6</v>
      </c>
      <c r="G66" s="9"/>
      <c r="H66" s="9"/>
      <c r="I66" s="21" t="s">
        <v>5</v>
      </c>
      <c r="J66" s="12" t="s">
        <v>6</v>
      </c>
      <c r="K66" s="9"/>
      <c r="L66" s="9"/>
      <c r="M66" s="8" t="s">
        <v>5</v>
      </c>
      <c r="N66" s="8" t="s">
        <v>6</v>
      </c>
      <c r="O66" s="9"/>
      <c r="P66" s="9"/>
      <c r="Q66" s="8" t="s">
        <v>5</v>
      </c>
      <c r="R66" s="8" t="s">
        <v>6</v>
      </c>
    </row>
    <row r="67" spans="2:18" ht="19" x14ac:dyDescent="0.25">
      <c r="B67" s="71" t="s">
        <v>32</v>
      </c>
      <c r="C67" s="8">
        <f>C8*'CH4-&gt;CH3 + H'!$Q$7</f>
        <v>-693.40273755700002</v>
      </c>
      <c r="D67" s="8">
        <f>D8*'CH4-&gt;CH3 + H'!$Q$7</f>
        <v>-701.66569706100006</v>
      </c>
      <c r="E67" s="8">
        <f>E8*'CH4-&gt;CH3 + H'!$Q$7</f>
        <v>-724.07508419700002</v>
      </c>
      <c r="F67" s="8">
        <f>F8*'CH4-&gt;CH3 + H'!$Q$7</f>
        <v>-723.951466106</v>
      </c>
      <c r="G67" s="8">
        <f>C27*'CH4-&gt;CH3 + H'!$Q$7</f>
        <v>-292.78160474600003</v>
      </c>
      <c r="H67" s="8">
        <f>D27*'CH4-&gt;CH3 + H'!$Q$7</f>
        <v>-292.78151086151121</v>
      </c>
      <c r="I67" s="8">
        <f>E27*'CH4-&gt;CH3 + H'!$Q$7</f>
        <v>-293.37836009900002</v>
      </c>
      <c r="J67" s="8">
        <f>F27*'CH4-&gt;CH3 + H'!$Q$7</f>
        <v>-294.76702423800003</v>
      </c>
      <c r="K67" s="8">
        <f>C67-2*G67</f>
        <v>-107.83952806499997</v>
      </c>
      <c r="L67" s="8">
        <f t="shared" ref="L67:N67" si="0">D67-2*H67</f>
        <v>-116.10267533797764</v>
      </c>
      <c r="M67" s="8">
        <f t="shared" si="0"/>
        <v>-137.31836399899998</v>
      </c>
      <c r="N67" s="8">
        <f t="shared" si="0"/>
        <v>-134.41741762999993</v>
      </c>
      <c r="O67" s="38">
        <f>ABS($H$57+K67)/$H$57</f>
        <v>4.4956667296511287E-2</v>
      </c>
      <c r="P67" s="38">
        <f t="shared" ref="P67:R67" si="1">ABS($H$57+L67)/$H$57</f>
        <v>0.12502592381761279</v>
      </c>
      <c r="Q67" s="38">
        <f t="shared" si="1"/>
        <v>0.33060430231589127</v>
      </c>
      <c r="R67" s="38">
        <f t="shared" si="1"/>
        <v>0.30249435687984427</v>
      </c>
    </row>
    <row r="68" spans="2:18" ht="19" x14ac:dyDescent="0.25">
      <c r="B68" s="72"/>
      <c r="C68" s="9">
        <f>C9*'CH4-&gt;CH3 + H'!$Q$7</f>
        <v>-700.442066211</v>
      </c>
      <c r="D68" s="9">
        <f>D9*'CH4-&gt;CH3 + H'!$Q$7</f>
        <v>-711.47105893900005</v>
      </c>
      <c r="E68" s="9">
        <f>E9*'CH4-&gt;CH3 + H'!$Q$7</f>
        <v>-731.25120850500002</v>
      </c>
      <c r="F68" s="9">
        <f>F9*'CH4-&gt;CH3 + H'!$Q$7</f>
        <v>-730.68269078699996</v>
      </c>
      <c r="G68" s="9">
        <f>C28*'CH4-&gt;CH3 + H'!$Q$7</f>
        <v>-312.64270219899998</v>
      </c>
      <c r="H68" s="9">
        <f>D28*'CH4-&gt;CH3 + H'!$Q$7</f>
        <v>-312.64264522298259</v>
      </c>
      <c r="I68" s="9">
        <f>E28*'CH4-&gt;CH3 + H'!$Q$7</f>
        <v>-313.92280831900001</v>
      </c>
      <c r="J68" s="9">
        <f>F28*'CH4-&gt;CH3 + H'!$Q$7</f>
        <v>-315.117574031</v>
      </c>
      <c r="K68" s="9">
        <f t="shared" ref="K68:K73" si="2">C68-2*G68</f>
        <v>-75.156661813000028</v>
      </c>
      <c r="L68" s="9">
        <f t="shared" ref="L68:L73" si="3">D68-2*H68</f>
        <v>-86.185768493034857</v>
      </c>
      <c r="M68" s="9">
        <f t="shared" ref="M68:M73" si="4">E68-2*I68</f>
        <v>-103.405591867</v>
      </c>
      <c r="N68" s="9">
        <f t="shared" ref="N68:N73" si="5">F68-2*J68</f>
        <v>-100.44754272499995</v>
      </c>
      <c r="O68" s="37">
        <f t="shared" ref="O68:O72" si="6">ABS($H$57+K68)/$H$57</f>
        <v>0.27173777312984471</v>
      </c>
      <c r="P68" s="37">
        <f t="shared" ref="P68:P73" si="7">ABS($H$57+L68)/$H$57</f>
        <v>0.1648665843698173</v>
      </c>
      <c r="Q68" s="37">
        <f t="shared" ref="Q68:Q73" si="8">ABS($H$57+M68)/$H$57</f>
        <v>1.9921692538759249E-3</v>
      </c>
      <c r="R68" s="37">
        <f t="shared" ref="R68:R73" si="9">ABS($H$57+N68)/$H$57</f>
        <v>2.6671097625969521E-2</v>
      </c>
    </row>
    <row r="69" spans="2:18" ht="19" x14ac:dyDescent="0.25">
      <c r="B69" s="72"/>
      <c r="C69" s="9">
        <f>C10*'CH4-&gt;CH3 + H'!$Q$7</f>
        <v>-700.442066211</v>
      </c>
      <c r="D69" s="9">
        <f>D10*'CH4-&gt;CH3 + H'!$Q$7</f>
        <v>-711.47105893900005</v>
      </c>
      <c r="E69" s="9">
        <f>E10*'CH4-&gt;CH3 + H'!$Q$7</f>
        <v>-731.25120850500002</v>
      </c>
      <c r="F69" s="9">
        <f>F10*'CH4-&gt;CH3 + H'!$Q$7</f>
        <v>-730.68269078699996</v>
      </c>
      <c r="G69" s="9">
        <f>C29*'CH4-&gt;CH3 + H'!$Q$7</f>
        <v>-312.64270219899998</v>
      </c>
      <c r="H69" s="9">
        <f>D29*'CH4-&gt;CH3 + H'!$Q$7</f>
        <v>-312.64264522298259</v>
      </c>
      <c r="I69" s="9">
        <f>E29*'CH4-&gt;CH3 + H'!$Q$7</f>
        <v>-313.92280831900001</v>
      </c>
      <c r="J69" s="9">
        <f>F29*'CH4-&gt;CH3 + H'!$Q$7</f>
        <v>-315.117574031</v>
      </c>
      <c r="K69" s="9">
        <f t="shared" si="2"/>
        <v>-75.156661813000028</v>
      </c>
      <c r="L69" s="9">
        <f t="shared" si="3"/>
        <v>-86.185768493034857</v>
      </c>
      <c r="M69" s="9">
        <f t="shared" si="4"/>
        <v>-103.405591867</v>
      </c>
      <c r="N69" s="9">
        <f t="shared" si="5"/>
        <v>-100.44754272499995</v>
      </c>
      <c r="O69" s="37">
        <f t="shared" si="6"/>
        <v>0.27173777312984471</v>
      </c>
      <c r="P69" s="37">
        <f t="shared" si="7"/>
        <v>0.1648665843698173</v>
      </c>
      <c r="Q69" s="37">
        <f t="shared" si="8"/>
        <v>1.9921692538759249E-3</v>
      </c>
      <c r="R69" s="37">
        <f t="shared" si="9"/>
        <v>2.6671097625969521E-2</v>
      </c>
    </row>
    <row r="70" spans="2:18" ht="19" x14ac:dyDescent="0.25">
      <c r="B70" s="72"/>
      <c r="C70" s="9">
        <f>C11*'CH4-&gt;CH3 + H'!$Q$7</f>
        <v>-700.51548406200004</v>
      </c>
      <c r="D70" s="9">
        <f>D11*'CH4-&gt;CH3 + H'!$Q$7</f>
        <v>-711.60471707800002</v>
      </c>
      <c r="E70" s="9">
        <f>E11*'CH4-&gt;CH3 + H'!$Q$7</f>
        <v>-731.56433250200007</v>
      </c>
      <c r="F70" s="9">
        <f>F11*'CH4-&gt;CH3 + H'!$Q$7</f>
        <v>-730.85839162700006</v>
      </c>
      <c r="G70" s="9">
        <f>C30*'CH4-&gt;CH3 + H'!$Q$7</f>
        <v>-312.999123903</v>
      </c>
      <c r="H70" s="9">
        <f>D30*'CH4-&gt;CH3 + H'!$Q$7</f>
        <v>-312.99918817373981</v>
      </c>
      <c r="I70" s="9">
        <f>E30*'CH4-&gt;CH3 + H'!$Q$7</f>
        <v>-314.79691999799996</v>
      </c>
      <c r="J70" s="9">
        <f>F30*'CH4-&gt;CH3 + H'!$Q$7</f>
        <v>-315.86995012800003</v>
      </c>
      <c r="K70" s="9">
        <f t="shared" si="2"/>
        <v>-74.517236256000047</v>
      </c>
      <c r="L70" s="9">
        <f t="shared" si="3"/>
        <v>-85.606340730520401</v>
      </c>
      <c r="M70" s="9">
        <f t="shared" si="4"/>
        <v>-101.97049250600014</v>
      </c>
      <c r="N70" s="9">
        <f t="shared" si="5"/>
        <v>-99.118491371000005</v>
      </c>
      <c r="O70" s="37">
        <f t="shared" si="6"/>
        <v>0.27793375720930191</v>
      </c>
      <c r="P70" s="37">
        <f t="shared" si="7"/>
        <v>0.17048119447170157</v>
      </c>
      <c r="Q70" s="37">
        <f t="shared" si="8"/>
        <v>1.1913832306200207E-2</v>
      </c>
      <c r="R70" s="37">
        <f t="shared" si="9"/>
        <v>3.9549502218992227E-2</v>
      </c>
    </row>
    <row r="71" spans="2:18" ht="19" x14ac:dyDescent="0.25">
      <c r="B71" s="72"/>
      <c r="C71" s="9">
        <f>C12*'CH4-&gt;CH3 + H'!$Q$7</f>
        <v>-701.74664494800015</v>
      </c>
      <c r="D71" s="9">
        <f>D12*'CH4-&gt;CH3 + H'!$Q$7</f>
        <v>-718.46834489200012</v>
      </c>
      <c r="E71" s="9">
        <f>E12*'CH4-&gt;CH3 + H'!$Q$7</f>
        <v>-730.19135593800002</v>
      </c>
      <c r="F71" s="9">
        <f>F12*'CH4-&gt;CH3 + H'!$Q$7</f>
        <v>-730.38086184400004</v>
      </c>
      <c r="G71" s="9">
        <f>C31*'CH4-&gt;CH3 + H'!$Q$7</f>
        <v>-313.29844283400001</v>
      </c>
      <c r="H71" s="9">
        <f>D31*'CH4-&gt;CH3 + H'!$Q$7</f>
        <v>-313.29869598126027</v>
      </c>
      <c r="I71" s="9">
        <f>E31*'CH4-&gt;CH3 + H'!$Q$7</f>
        <v>-314.54089877400003</v>
      </c>
      <c r="J71" s="9">
        <f>F31*'CH4-&gt;CH3 + H'!$Q$7</f>
        <v>-315.77958969600002</v>
      </c>
      <c r="K71" s="9">
        <f t="shared" si="2"/>
        <v>-75.149759280000126</v>
      </c>
      <c r="L71" s="9">
        <f t="shared" si="3"/>
        <v>-91.870952929479586</v>
      </c>
      <c r="M71" s="9">
        <f t="shared" si="4"/>
        <v>-101.10955838999996</v>
      </c>
      <c r="N71" s="9">
        <f t="shared" si="5"/>
        <v>-98.821682452000005</v>
      </c>
      <c r="O71" s="37">
        <f t="shared" si="6"/>
        <v>0.27180465813953369</v>
      </c>
      <c r="P71" s="37">
        <f t="shared" si="7"/>
        <v>0.10977758789263969</v>
      </c>
      <c r="Q71" s="37">
        <f t="shared" si="8"/>
        <v>2.0256217151163197E-2</v>
      </c>
      <c r="R71" s="37">
        <f t="shared" si="9"/>
        <v>4.2425557635658896E-2</v>
      </c>
    </row>
    <row r="72" spans="2:18" ht="19" x14ac:dyDescent="0.25">
      <c r="B72" s="72"/>
      <c r="C72" s="9">
        <f>C13*'CH4-&gt;CH3 + H'!$Q$7</f>
        <v>-704.39596261400004</v>
      </c>
      <c r="D72" s="9">
        <f>D13*'CH4-&gt;CH3 + H'!$Q$7</f>
        <v>-724.35118551700009</v>
      </c>
      <c r="E72" s="9">
        <f>E13*'CH4-&gt;CH3 + H'!$Q$7</f>
        <v>-734.13207477800006</v>
      </c>
      <c r="F72" s="9">
        <f>F13*'CH4-&gt;CH3 + H'!$Q$7</f>
        <v>-733.47696164600006</v>
      </c>
      <c r="G72" s="9">
        <f>C32*'CH4-&gt;CH3 + H'!$Q$7</f>
        <v>-313.63227443</v>
      </c>
      <c r="H72" s="9">
        <f>D32*'CH4-&gt;CH3 + H'!$Q$7</f>
        <v>-313.6321560214389</v>
      </c>
      <c r="I72" s="9">
        <f>E32*'CH4-&gt;CH3 + H'!$Q$7</f>
        <v>-315.10439646800006</v>
      </c>
      <c r="J72" s="9">
        <f>F32*'CH4-&gt;CH3 + H'!$Q$7</f>
        <v>-316.24833443699998</v>
      </c>
      <c r="K72" s="9">
        <f t="shared" si="2"/>
        <v>-77.13141375400005</v>
      </c>
      <c r="L72" s="9">
        <f t="shared" si="3"/>
        <v>-97.086873474122285</v>
      </c>
      <c r="M72" s="9">
        <f t="shared" si="4"/>
        <v>-103.92328184199994</v>
      </c>
      <c r="N72" s="9">
        <f t="shared" si="5"/>
        <v>-100.9802927720001</v>
      </c>
      <c r="O72" s="37">
        <f t="shared" si="6"/>
        <v>0.25260257990310031</v>
      </c>
      <c r="P72" s="37">
        <f t="shared" si="7"/>
        <v>5.9235722149977882E-2</v>
      </c>
      <c r="Q72" s="37">
        <f t="shared" si="8"/>
        <v>7.0085449806195224E-3</v>
      </c>
      <c r="R72" s="37">
        <f t="shared" si="9"/>
        <v>2.1508790968991325E-2</v>
      </c>
    </row>
    <row r="73" spans="2:18" ht="20" thickBot="1" x14ac:dyDescent="0.3">
      <c r="B73" s="73"/>
      <c r="C73" s="10">
        <f>C14*'CH4-&gt;CH3 + H'!$Q$7</f>
        <v>-701.8313578530001</v>
      </c>
      <c r="D73" s="10">
        <f>D14*'CH4-&gt;CH3 + H'!$Q$7</f>
        <v>-719.15295066500005</v>
      </c>
      <c r="E73" s="10">
        <f>E14*'CH4-&gt;CH3 + H'!$Q$7</f>
        <v>-730.47122227599993</v>
      </c>
      <c r="F73" s="10">
        <f>F14*'CH4-&gt;CH3 + H'!$Q$7</f>
        <v>-730.560327702</v>
      </c>
      <c r="G73" s="10">
        <f>C33*'CH4-&gt;CH3 + H'!$Q$7</f>
        <v>-313.33358300200001</v>
      </c>
      <c r="H73" s="10">
        <f>D33*'CH4-&gt;CH3 + H'!$Q$7</f>
        <v>-313.33378094154637</v>
      </c>
      <c r="I73" s="10">
        <f>E33*'CH4-&gt;CH3 + H'!$Q$7</f>
        <v>-314.79127247100001</v>
      </c>
      <c r="J73" s="10">
        <f>F33*'CH4-&gt;CH3 + H'!$Q$7</f>
        <v>-315.97662563800003</v>
      </c>
      <c r="K73" s="10">
        <f t="shared" si="2"/>
        <v>-75.164191849000076</v>
      </c>
      <c r="L73" s="10">
        <f t="shared" si="3"/>
        <v>-92.485388781907318</v>
      </c>
      <c r="M73" s="10">
        <f t="shared" si="4"/>
        <v>-100.88867733399991</v>
      </c>
      <c r="N73" s="10">
        <f t="shared" si="5"/>
        <v>-98.607076425999935</v>
      </c>
      <c r="O73" s="39">
        <f>ABS($H$57+K73)/$H$57</f>
        <v>0.27166480766472795</v>
      </c>
      <c r="P73" s="39">
        <f t="shared" si="7"/>
        <v>0.10382375211330121</v>
      </c>
      <c r="Q73" s="39">
        <f t="shared" si="8"/>
        <v>2.2396537461241227E-2</v>
      </c>
      <c r="R73" s="39">
        <f t="shared" si="9"/>
        <v>4.4505073391473526E-2</v>
      </c>
    </row>
  </sheetData>
  <mergeCells count="13">
    <mergeCell ref="B67:B73"/>
    <mergeCell ref="O63:R64"/>
    <mergeCell ref="C61:J62"/>
    <mergeCell ref="D57:G57"/>
    <mergeCell ref="C63:F64"/>
    <mergeCell ref="G63:J64"/>
    <mergeCell ref="K63:N64"/>
    <mergeCell ref="C2:I3"/>
    <mergeCell ref="C4:F5"/>
    <mergeCell ref="G4:I5"/>
    <mergeCell ref="G23:I24"/>
    <mergeCell ref="C23:F24"/>
    <mergeCell ref="C21:I22"/>
  </mergeCells>
  <phoneticPr fontId="1" type="noConversion"/>
  <conditionalFormatting sqref="C8:F14 C15:D15">
    <cfRule type="colorScale" priority="10">
      <colorScale>
        <cfvo type="min"/>
        <cfvo type="max"/>
        <color rgb="FF63BE7B"/>
        <color rgb="FFFFEF9C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15">
    <cfRule type="colorScale" priority="8">
      <colorScale>
        <cfvo type="min"/>
        <cfvo type="max"/>
        <color rgb="FF63BE7B"/>
        <color rgb="FFFFEF9C"/>
      </colorScale>
    </cfRule>
  </conditionalFormatting>
  <conditionalFormatting sqref="C27:F34">
    <cfRule type="colorScale" priority="6">
      <colorScale>
        <cfvo type="min"/>
        <cfvo type="max"/>
        <color rgb="FF63BE7B"/>
        <color rgb="FFFFEF9C"/>
      </colorScale>
    </cfRule>
  </conditionalFormatting>
  <conditionalFormatting sqref="C67:F73">
    <cfRule type="colorScale" priority="5">
      <colorScale>
        <cfvo type="min"/>
        <cfvo type="max"/>
        <color rgb="FF63BE7B"/>
        <color rgb="FFFFEF9C"/>
      </colorScale>
    </cfRule>
  </conditionalFormatting>
  <conditionalFormatting sqref="G8:I14">
    <cfRule type="colorScale" priority="9">
      <colorScale>
        <cfvo type="min"/>
        <cfvo type="max"/>
        <color rgb="FF63BE7B"/>
        <color rgb="FFFFEF9C"/>
      </colorScale>
    </cfRule>
  </conditionalFormatting>
  <conditionalFormatting sqref="G67:J73">
    <cfRule type="colorScale" priority="4">
      <colorScale>
        <cfvo type="min"/>
        <cfvo type="max"/>
        <color rgb="FF63BE7B"/>
        <color rgb="FFFFEF9C"/>
      </colorScale>
    </cfRule>
  </conditionalFormatting>
  <conditionalFormatting sqref="O67:R7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CH4-&gt;CH3 + H</vt:lpstr>
      <vt:lpstr>H2-&gt;2H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Cabiati</dc:creator>
  <cp:lastModifiedBy>Edoardo Cabiati</cp:lastModifiedBy>
  <dcterms:created xsi:type="dcterms:W3CDTF">2024-08-17T20:17:52Z</dcterms:created>
  <dcterms:modified xsi:type="dcterms:W3CDTF">2024-09-14T13:01:02Z</dcterms:modified>
</cp:coreProperties>
</file>