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edoardocabiati/Desktop/Cose_brutte_PoliMI/V anno/II semestre/Molecular Modelling for Processes/MMfP/Project4/"/>
    </mc:Choice>
  </mc:AlternateContent>
  <xr:revisionPtr revIDLastSave="0" documentId="13_ncr:1_{2E5911C6-B01F-6C48-BD26-FDD36C6BFF5A}" xr6:coauthVersionLast="47" xr6:coauthVersionMax="47" xr10:uidLastSave="{00000000-0000-0000-0000-000000000000}"/>
  <bookViews>
    <workbookView xWindow="0" yWindow="760" windowWidth="30240" windowHeight="17740" xr2:uid="{BCAB5495-7A25-E24D-B8BB-73108533BADD}"/>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6" i="1" l="1"/>
  <c r="D188" i="1"/>
  <c r="D189" i="1"/>
  <c r="D190" i="1"/>
  <c r="D191" i="1"/>
  <c r="D192" i="1"/>
  <c r="D193" i="1"/>
  <c r="D194" i="1"/>
  <c r="D195" i="1"/>
  <c r="D196" i="1"/>
  <c r="D197" i="1"/>
  <c r="D198" i="1"/>
  <c r="D199" i="1"/>
  <c r="D200" i="1"/>
  <c r="D201" i="1"/>
  <c r="D202" i="1"/>
  <c r="D203" i="1"/>
  <c r="D204" i="1"/>
  <c r="D187" i="1"/>
  <c r="E106" i="1" a="1"/>
  <c r="E106" i="1" s="1"/>
  <c r="F106" i="1" a="1"/>
  <c r="F106" i="1"/>
  <c r="G106" i="1" a="1"/>
  <c r="G106" i="1" s="1"/>
  <c r="H106" i="1" a="1"/>
  <c r="H106" i="1" s="1"/>
  <c r="I106" i="1" a="1"/>
  <c r="I106" i="1" s="1"/>
  <c r="J106" i="1" a="1"/>
  <c r="J106" i="1" s="1"/>
  <c r="K106" i="1" a="1"/>
  <c r="K106" i="1"/>
  <c r="L106" i="1" a="1"/>
  <c r="L106" i="1"/>
  <c r="M106" i="1" a="1"/>
  <c r="M106" i="1" s="1"/>
  <c r="N106" i="1" a="1"/>
  <c r="N106" i="1"/>
  <c r="O106" i="1" a="1"/>
  <c r="O106" i="1" s="1"/>
  <c r="P106" i="1" a="1"/>
  <c r="P106" i="1"/>
  <c r="Q106" i="1" a="1"/>
  <c r="Q106" i="1" s="1"/>
  <c r="R106" i="1" a="1"/>
  <c r="R106" i="1"/>
  <c r="S106" i="1" a="1"/>
  <c r="S106" i="1" s="1"/>
  <c r="T106" i="1" a="1"/>
  <c r="T106" i="1" s="1"/>
  <c r="U106" i="1" a="1"/>
  <c r="U106" i="1" s="1"/>
  <c r="D106" i="1" a="1"/>
  <c r="D106" i="1" s="1"/>
  <c r="G270" i="1"/>
  <c r="G271" i="1"/>
  <c r="G269" i="1"/>
  <c r="E228" i="1" l="1" a="1"/>
  <c r="E228" i="1" s="1"/>
  <c r="E229" i="1" a="1"/>
  <c r="E229" i="1"/>
  <c r="E230" i="1" a="1"/>
  <c r="E230" i="1" s="1"/>
  <c r="E231" i="1" a="1"/>
  <c r="E231" i="1"/>
  <c r="E232" i="1" a="1"/>
  <c r="E232" i="1" s="1"/>
  <c r="E233" i="1" a="1"/>
  <c r="E233" i="1" s="1"/>
  <c r="E234" i="1" a="1"/>
  <c r="E234" i="1" s="1"/>
  <c r="E235" i="1" a="1"/>
  <c r="E235" i="1" s="1"/>
  <c r="E236" i="1" a="1"/>
  <c r="E236" i="1" s="1"/>
  <c r="E237" i="1" a="1"/>
  <c r="E237" i="1"/>
  <c r="E238" i="1" a="1"/>
  <c r="E238" i="1" s="1"/>
  <c r="E239" i="1" a="1"/>
  <c r="E239" i="1" s="1"/>
  <c r="E240" i="1" a="1"/>
  <c r="E240" i="1" s="1"/>
  <c r="E241" i="1" a="1"/>
  <c r="E241" i="1"/>
  <c r="E242" i="1" a="1"/>
  <c r="E242" i="1" s="1"/>
  <c r="E243" i="1" a="1"/>
  <c r="E243" i="1" s="1"/>
  <c r="E244" i="1" a="1"/>
  <c r="E244" i="1" s="1"/>
  <c r="E245" i="1" a="1"/>
  <c r="E245" i="1" s="1"/>
  <c r="E227" i="1" a="1"/>
  <c r="E227" i="1" s="1"/>
  <c r="L228" i="1" s="1"/>
  <c r="G275" i="1" a="1"/>
  <c r="G275" i="1" s="1"/>
  <c r="E269" i="1"/>
  <c r="F269" i="1"/>
  <c r="D269" i="1"/>
  <c r="D261" i="1"/>
  <c r="D262" i="1"/>
  <c r="D263" i="1"/>
  <c r="D264" i="1"/>
  <c r="D260" i="1"/>
  <c r="D227" i="1"/>
  <c r="D219" i="1"/>
  <c r="D220" i="1"/>
  <c r="D221" i="1"/>
  <c r="D222" i="1"/>
  <c r="D218" i="1"/>
  <c r="E180" i="1" l="1"/>
  <c r="E181" i="1" s="1"/>
  <c r="F180" i="1"/>
  <c r="F181" i="1" s="1"/>
  <c r="G180" i="1"/>
  <c r="G181" i="1" s="1"/>
  <c r="H180" i="1"/>
  <c r="H181" i="1" s="1"/>
  <c r="I180" i="1"/>
  <c r="I181" i="1" s="1"/>
  <c r="D180" i="1"/>
  <c r="D181" i="1" s="1"/>
  <c r="M148" i="1"/>
  <c r="L149" i="1"/>
  <c r="M149" i="1" s="1"/>
  <c r="I107" i="1"/>
  <c r="I111" i="1" s="1"/>
  <c r="U107" i="1"/>
  <c r="T107" i="1"/>
  <c r="S107" i="1"/>
  <c r="R107" i="1"/>
  <c r="R112" i="1" s="1"/>
  <c r="Q107" i="1"/>
  <c r="P107" i="1"/>
  <c r="O107" i="1"/>
  <c r="O112" i="1" s="1"/>
  <c r="N107" i="1"/>
  <c r="M107" i="1"/>
  <c r="M111" i="1" s="1"/>
  <c r="L107" i="1"/>
  <c r="L111" i="1" s="1"/>
  <c r="K107" i="1"/>
  <c r="K112" i="1" s="1"/>
  <c r="J107" i="1"/>
  <c r="J112" i="1" s="1"/>
  <c r="H107" i="1"/>
  <c r="G107" i="1"/>
  <c r="F107" i="1"/>
  <c r="E107" i="1"/>
  <c r="E112" i="1" s="1"/>
  <c r="D107" i="1"/>
  <c r="D112" i="1" s="1"/>
  <c r="F51" i="1"/>
  <c r="F52" i="1"/>
  <c r="F53" i="1"/>
  <c r="F54" i="1"/>
  <c r="F55" i="1"/>
  <c r="F56" i="1"/>
  <c r="F57" i="1"/>
  <c r="F58" i="1"/>
  <c r="F59" i="1"/>
  <c r="Q277" i="1"/>
  <c r="K222" i="1"/>
  <c r="N228" i="1"/>
  <c r="F227" i="1"/>
  <c r="M228" i="1" s="1"/>
  <c r="K228" i="1"/>
  <c r="E261" i="1"/>
  <c r="Q278" i="1" s="1"/>
  <c r="E262" i="1"/>
  <c r="N278" i="1" s="1"/>
  <c r="E263" i="1"/>
  <c r="P278" i="1" s="1"/>
  <c r="E264" i="1"/>
  <c r="O278" i="1" s="1"/>
  <c r="E260" i="1"/>
  <c r="R278" i="1" s="1"/>
  <c r="O277" i="1"/>
  <c r="E275" i="1"/>
  <c r="D275" i="1"/>
  <c r="D276" i="1"/>
  <c r="E276" i="1"/>
  <c r="G276" i="1" a="1"/>
  <c r="G276" i="1" s="1"/>
  <c r="F270" i="1"/>
  <c r="F271" i="1" s="1"/>
  <c r="E270" i="1"/>
  <c r="E271" i="1" s="1"/>
  <c r="D270" i="1"/>
  <c r="D271" i="1" s="1"/>
  <c r="C277" i="1"/>
  <c r="C278" i="1" s="1"/>
  <c r="D278" i="1" s="1"/>
  <c r="E219" i="1"/>
  <c r="N229" i="1" s="1"/>
  <c r="E220" i="1"/>
  <c r="K229" i="1" s="1"/>
  <c r="E221" i="1"/>
  <c r="M229" i="1" s="1"/>
  <c r="E222" i="1"/>
  <c r="L229" i="1" s="1"/>
  <c r="E218" i="1"/>
  <c r="O229" i="1" s="1"/>
  <c r="F229" i="1"/>
  <c r="F230" i="1"/>
  <c r="F231" i="1"/>
  <c r="F232" i="1"/>
  <c r="F233" i="1"/>
  <c r="F234" i="1"/>
  <c r="F235" i="1"/>
  <c r="F236" i="1"/>
  <c r="F237" i="1"/>
  <c r="F238" i="1"/>
  <c r="F239" i="1"/>
  <c r="F240" i="1"/>
  <c r="F241" i="1"/>
  <c r="F242" i="1"/>
  <c r="F243" i="1"/>
  <c r="F244" i="1"/>
  <c r="F245" i="1"/>
  <c r="F228" i="1"/>
  <c r="D228" i="1"/>
  <c r="D229" i="1"/>
  <c r="D230" i="1"/>
  <c r="D231" i="1"/>
  <c r="D232" i="1"/>
  <c r="D233" i="1"/>
  <c r="D234" i="1"/>
  <c r="D235" i="1"/>
  <c r="D236" i="1"/>
  <c r="D237" i="1"/>
  <c r="D238" i="1"/>
  <c r="D239" i="1"/>
  <c r="D240" i="1"/>
  <c r="D241" i="1"/>
  <c r="D242" i="1"/>
  <c r="D243" i="1"/>
  <c r="D244" i="1"/>
  <c r="D245" i="1"/>
  <c r="C229" i="1"/>
  <c r="L187" i="1"/>
  <c r="L38" i="1"/>
  <c r="L33" i="1"/>
  <c r="L28" i="1"/>
  <c r="L23" i="1"/>
  <c r="E179" i="1"/>
  <c r="F179" i="1" s="1"/>
  <c r="G179" i="1" s="1"/>
  <c r="H179" i="1" s="1"/>
  <c r="K45" i="1"/>
  <c r="L45" i="1" s="1"/>
  <c r="M45" i="1" s="1"/>
  <c r="N45" i="1" s="1"/>
  <c r="O45" i="1" s="1"/>
  <c r="C188" i="1"/>
  <c r="C189" i="1" s="1"/>
  <c r="C190" i="1" s="1"/>
  <c r="C191" i="1" s="1"/>
  <c r="E146" i="1"/>
  <c r="E24" i="1"/>
  <c r="E25" i="1" s="1"/>
  <c r="F24" i="1"/>
  <c r="F25" i="1" s="1"/>
  <c r="D24" i="1"/>
  <c r="D25" i="1" s="1"/>
  <c r="C147" i="1"/>
  <c r="C148" i="1" s="1"/>
  <c r="E148" i="1" s="1"/>
  <c r="Z114" i="1"/>
  <c r="E110" i="1"/>
  <c r="F110" i="1" s="1"/>
  <c r="G110" i="1" s="1"/>
  <c r="H110" i="1" s="1"/>
  <c r="I110" i="1" s="1"/>
  <c r="J110" i="1" s="1"/>
  <c r="K110" i="1" s="1"/>
  <c r="L110" i="1" s="1"/>
  <c r="M110" i="1" s="1"/>
  <c r="N110" i="1" s="1"/>
  <c r="O110" i="1" s="1"/>
  <c r="P110" i="1" s="1"/>
  <c r="Q110" i="1" s="1"/>
  <c r="R110" i="1" s="1"/>
  <c r="S110" i="1" s="1"/>
  <c r="T110" i="1" s="1"/>
  <c r="U110" i="1" s="1"/>
  <c r="C113" i="1"/>
  <c r="C114" i="1" s="1"/>
  <c r="C115" i="1" s="1"/>
  <c r="C116" i="1" s="1"/>
  <c r="C117" i="1" s="1"/>
  <c r="C118" i="1" s="1"/>
  <c r="C119" i="1" s="1"/>
  <c r="C120" i="1" s="1"/>
  <c r="C121" i="1" s="1"/>
  <c r="C122" i="1" s="1"/>
  <c r="C123" i="1" s="1"/>
  <c r="C124" i="1" s="1"/>
  <c r="C125" i="1" s="1"/>
  <c r="C126" i="1" s="1"/>
  <c r="C127" i="1" s="1"/>
  <c r="C128" i="1" s="1"/>
  <c r="C129" i="1" s="1"/>
  <c r="L77" i="1"/>
  <c r="T9" i="1"/>
  <c r="V8" i="1"/>
  <c r="V7" i="1" s="1"/>
  <c r="D74" i="1"/>
  <c r="L76" i="1" s="1"/>
  <c r="F43" i="1"/>
  <c r="F44" i="1"/>
  <c r="F45" i="1"/>
  <c r="F46" i="1"/>
  <c r="F47" i="1"/>
  <c r="F48" i="1"/>
  <c r="F49" i="1"/>
  <c r="F50" i="1"/>
  <c r="F42" i="1"/>
  <c r="C75" i="1"/>
  <c r="D75" i="1" s="1"/>
  <c r="K38" i="1"/>
  <c r="J38" i="1"/>
  <c r="I38" i="1"/>
  <c r="K33" i="1"/>
  <c r="J33" i="1"/>
  <c r="I33" i="1"/>
  <c r="K28" i="1"/>
  <c r="J28" i="1"/>
  <c r="I28" i="1"/>
  <c r="K23" i="1"/>
  <c r="J23" i="1"/>
  <c r="I23" i="1"/>
  <c r="C43" i="1"/>
  <c r="C44" i="1" s="1"/>
  <c r="C45" i="1" s="1"/>
  <c r="C46" i="1" s="1"/>
  <c r="C47" i="1" s="1"/>
  <c r="C48" i="1" s="1"/>
  <c r="C49" i="1" s="1"/>
  <c r="C50" i="1" s="1"/>
  <c r="C51" i="1" s="1"/>
  <c r="C52" i="1" s="1"/>
  <c r="C53" i="1" s="1"/>
  <c r="C54" i="1" s="1"/>
  <c r="C55" i="1" s="1"/>
  <c r="C56" i="1" s="1"/>
  <c r="C57" i="1" s="1"/>
  <c r="C58" i="1" s="1"/>
  <c r="C59" i="1" s="1"/>
  <c r="B13" i="1"/>
  <c r="O129" i="1" l="1"/>
  <c r="N114" i="1"/>
  <c r="N122" i="1"/>
  <c r="O121" i="1"/>
  <c r="S119" i="1"/>
  <c r="T118" i="1"/>
  <c r="O113" i="1"/>
  <c r="M118" i="1"/>
  <c r="U118" i="1"/>
  <c r="Q127" i="1"/>
  <c r="Q119" i="1"/>
  <c r="U112" i="1"/>
  <c r="T129" i="1"/>
  <c r="N116" i="1"/>
  <c r="R118" i="1"/>
  <c r="D111" i="1"/>
  <c r="S117" i="1"/>
  <c r="P114" i="1"/>
  <c r="T116" i="1"/>
  <c r="Q113" i="1"/>
  <c r="T111" i="1"/>
  <c r="U123" i="1"/>
  <c r="U115" i="1"/>
  <c r="R126" i="1"/>
  <c r="O115" i="1"/>
  <c r="S125" i="1"/>
  <c r="N112" i="1"/>
  <c r="U111" i="1"/>
  <c r="T124" i="1"/>
  <c r="M112" i="1"/>
  <c r="K111" i="1"/>
  <c r="N111" i="1"/>
  <c r="M123" i="1"/>
  <c r="M115" i="1"/>
  <c r="Q126" i="1"/>
  <c r="U122" i="1"/>
  <c r="O120" i="1"/>
  <c r="R117" i="1"/>
  <c r="U114" i="1"/>
  <c r="M129" i="1"/>
  <c r="P126" i="1"/>
  <c r="R124" i="1"/>
  <c r="U121" i="1"/>
  <c r="N120" i="1"/>
  <c r="P118" i="1"/>
  <c r="R116" i="1"/>
  <c r="U113" i="1"/>
  <c r="U128" i="1"/>
  <c r="R123" i="1"/>
  <c r="M120" i="1"/>
  <c r="P117" i="1"/>
  <c r="S114" i="1"/>
  <c r="N126" i="1"/>
  <c r="P124" i="1"/>
  <c r="R122" i="1"/>
  <c r="U119" i="1"/>
  <c r="N118" i="1"/>
  <c r="Q115" i="1"/>
  <c r="O111" i="1"/>
  <c r="P129" i="1"/>
  <c r="Q128" i="1"/>
  <c r="R127" i="1"/>
  <c r="S126" i="1"/>
  <c r="T125" i="1"/>
  <c r="U124" i="1"/>
  <c r="M124" i="1"/>
  <c r="N123" i="1"/>
  <c r="O122" i="1"/>
  <c r="P121" i="1"/>
  <c r="Q120" i="1"/>
  <c r="R119" i="1"/>
  <c r="S118" i="1"/>
  <c r="T117" i="1"/>
  <c r="U116" i="1"/>
  <c r="M116" i="1"/>
  <c r="N115" i="1"/>
  <c r="O114" i="1"/>
  <c r="P113" i="1"/>
  <c r="Q112" i="1"/>
  <c r="D141" i="1"/>
  <c r="P128" i="1"/>
  <c r="P120" i="1"/>
  <c r="P112" i="1"/>
  <c r="O128" i="1"/>
  <c r="R125" i="1"/>
  <c r="S124" i="1"/>
  <c r="M122" i="1"/>
  <c r="P119" i="1"/>
  <c r="N128" i="1"/>
  <c r="S123" i="1"/>
  <c r="O126" i="1"/>
  <c r="T121" i="1"/>
  <c r="O118" i="1"/>
  <c r="R115" i="1"/>
  <c r="R111" i="1"/>
  <c r="T128" i="1"/>
  <c r="M127" i="1"/>
  <c r="Q123" i="1"/>
  <c r="T120" i="1"/>
  <c r="O117" i="1"/>
  <c r="R114" i="1"/>
  <c r="Q111" i="1"/>
  <c r="R129" i="1"/>
  <c r="S128" i="1"/>
  <c r="T127" i="1"/>
  <c r="U126" i="1"/>
  <c r="M126" i="1"/>
  <c r="N125" i="1"/>
  <c r="O124" i="1"/>
  <c r="P123" i="1"/>
  <c r="Q122" i="1"/>
  <c r="R121" i="1"/>
  <c r="S120" i="1"/>
  <c r="T119" i="1"/>
  <c r="N117" i="1"/>
  <c r="O116" i="1"/>
  <c r="P115" i="1"/>
  <c r="Q114" i="1"/>
  <c r="R113" i="1"/>
  <c r="S112" i="1"/>
  <c r="N129" i="1"/>
  <c r="P127" i="1"/>
  <c r="T123" i="1"/>
  <c r="N121" i="1"/>
  <c r="Q118" i="1"/>
  <c r="S116" i="1"/>
  <c r="T115" i="1"/>
  <c r="M114" i="1"/>
  <c r="N113" i="1"/>
  <c r="U129" i="1"/>
  <c r="O127" i="1"/>
  <c r="Q125" i="1"/>
  <c r="T122" i="1"/>
  <c r="M121" i="1"/>
  <c r="O119" i="1"/>
  <c r="Q117" i="1"/>
  <c r="S115" i="1"/>
  <c r="T114" i="1"/>
  <c r="M113" i="1"/>
  <c r="Q279" i="1"/>
  <c r="S111" i="1"/>
  <c r="M128" i="1"/>
  <c r="N127" i="1"/>
  <c r="P125" i="1"/>
  <c r="Q124" i="1"/>
  <c r="S122" i="1"/>
  <c r="U120" i="1"/>
  <c r="N119" i="1"/>
  <c r="Q116" i="1"/>
  <c r="T113" i="1"/>
  <c r="S129" i="1"/>
  <c r="U127" i="1"/>
  <c r="O125" i="1"/>
  <c r="S121" i="1"/>
  <c r="M119" i="1"/>
  <c r="P116" i="1"/>
  <c r="S113" i="1"/>
  <c r="T112" i="1"/>
  <c r="P111" i="1"/>
  <c r="Q129" i="1"/>
  <c r="R128" i="1"/>
  <c r="S127" i="1"/>
  <c r="T126" i="1"/>
  <c r="U125" i="1"/>
  <c r="M125" i="1"/>
  <c r="N124" i="1"/>
  <c r="O123" i="1"/>
  <c r="P122" i="1"/>
  <c r="Q121" i="1"/>
  <c r="R120" i="1"/>
  <c r="U117" i="1"/>
  <c r="M117" i="1"/>
  <c r="H119" i="1"/>
  <c r="E147" i="1"/>
  <c r="J111" i="1"/>
  <c r="N230" i="1"/>
  <c r="L230" i="1"/>
  <c r="O279" i="1"/>
  <c r="H227" i="1"/>
  <c r="O228" i="1" s="1"/>
  <c r="O230" i="1" s="1"/>
  <c r="K230" i="1"/>
  <c r="M230" i="1"/>
  <c r="L128" i="1"/>
  <c r="L117" i="1"/>
  <c r="L112" i="1"/>
  <c r="L127" i="1"/>
  <c r="L120" i="1"/>
  <c r="L119" i="1"/>
  <c r="E141" i="1"/>
  <c r="F275" i="1"/>
  <c r="N277" i="1" s="1"/>
  <c r="N279" i="1" s="1"/>
  <c r="G119" i="1"/>
  <c r="L118" i="1"/>
  <c r="F127" i="1"/>
  <c r="L124" i="1"/>
  <c r="L116" i="1"/>
  <c r="D127" i="1"/>
  <c r="L123" i="1"/>
  <c r="L115" i="1"/>
  <c r="M150" i="1"/>
  <c r="D119" i="1"/>
  <c r="L122" i="1"/>
  <c r="L114" i="1"/>
  <c r="C184" i="1"/>
  <c r="L188" i="1" s="1"/>
  <c r="H129" i="1"/>
  <c r="L126" i="1"/>
  <c r="L125" i="1"/>
  <c r="H229" i="1"/>
  <c r="L129" i="1"/>
  <c r="L121" i="1"/>
  <c r="L113" i="1"/>
  <c r="F141" i="1"/>
  <c r="F276" i="1"/>
  <c r="G278" i="1" a="1"/>
  <c r="G278" i="1" s="1"/>
  <c r="D126" i="1"/>
  <c r="D118" i="1"/>
  <c r="K129" i="1"/>
  <c r="K128" i="1"/>
  <c r="K127" i="1"/>
  <c r="K126" i="1"/>
  <c r="K125" i="1"/>
  <c r="K124" i="1"/>
  <c r="K123" i="1"/>
  <c r="K122" i="1"/>
  <c r="K121" i="1"/>
  <c r="K120" i="1"/>
  <c r="K119" i="1"/>
  <c r="K118" i="1"/>
  <c r="K117" i="1"/>
  <c r="K116" i="1"/>
  <c r="K115" i="1"/>
  <c r="K114" i="1"/>
  <c r="K113" i="1"/>
  <c r="G277" i="1" a="1"/>
  <c r="G277" i="1" s="1"/>
  <c r="D125" i="1"/>
  <c r="J127" i="1"/>
  <c r="J121" i="1"/>
  <c r="J118" i="1"/>
  <c r="J114" i="1"/>
  <c r="D124" i="1"/>
  <c r="D116" i="1"/>
  <c r="I129" i="1"/>
  <c r="I128" i="1"/>
  <c r="I127" i="1"/>
  <c r="I126" i="1"/>
  <c r="I125" i="1"/>
  <c r="I124" i="1"/>
  <c r="I123" i="1"/>
  <c r="I122" i="1"/>
  <c r="I121" i="1"/>
  <c r="I120" i="1"/>
  <c r="I119" i="1"/>
  <c r="I118" i="1"/>
  <c r="I117" i="1"/>
  <c r="I116" i="1"/>
  <c r="I115" i="1"/>
  <c r="I114" i="1"/>
  <c r="I113" i="1"/>
  <c r="I112" i="1"/>
  <c r="H111" i="1"/>
  <c r="J267" i="1"/>
  <c r="H275" i="1" s="1"/>
  <c r="J129" i="1"/>
  <c r="J124" i="1"/>
  <c r="J119" i="1"/>
  <c r="J117" i="1"/>
  <c r="J113" i="1"/>
  <c r="H127" i="1"/>
  <c r="H117" i="1"/>
  <c r="J126" i="1"/>
  <c r="J123" i="1"/>
  <c r="J120" i="1"/>
  <c r="J116" i="1"/>
  <c r="H125" i="1"/>
  <c r="H124" i="1"/>
  <c r="H123" i="1"/>
  <c r="H122" i="1"/>
  <c r="H120" i="1"/>
  <c r="H118" i="1"/>
  <c r="H116" i="1"/>
  <c r="H115" i="1"/>
  <c r="H114" i="1"/>
  <c r="H113" i="1"/>
  <c r="H112" i="1"/>
  <c r="G111" i="1"/>
  <c r="D122" i="1"/>
  <c r="G129" i="1"/>
  <c r="G125" i="1"/>
  <c r="G123" i="1"/>
  <c r="G120" i="1"/>
  <c r="G118" i="1"/>
  <c r="G116" i="1"/>
  <c r="G112" i="1"/>
  <c r="E278" i="1"/>
  <c r="F278" i="1" s="1"/>
  <c r="D117" i="1"/>
  <c r="J125" i="1"/>
  <c r="J115" i="1"/>
  <c r="D123" i="1"/>
  <c r="H128" i="1"/>
  <c r="H121" i="1"/>
  <c r="G127" i="1"/>
  <c r="G124" i="1"/>
  <c r="G121" i="1"/>
  <c r="G117" i="1"/>
  <c r="G115" i="1"/>
  <c r="G114" i="1"/>
  <c r="G113" i="1"/>
  <c r="F111" i="1"/>
  <c r="D121" i="1"/>
  <c r="D113" i="1"/>
  <c r="F129" i="1"/>
  <c r="F128" i="1"/>
  <c r="F126" i="1"/>
  <c r="F125" i="1"/>
  <c r="F124" i="1"/>
  <c r="F123" i="1"/>
  <c r="F122" i="1"/>
  <c r="F121" i="1"/>
  <c r="F120" i="1"/>
  <c r="F119" i="1"/>
  <c r="F118" i="1"/>
  <c r="F117" i="1"/>
  <c r="F116" i="1"/>
  <c r="F115" i="1"/>
  <c r="F114" i="1"/>
  <c r="F113" i="1"/>
  <c r="F112" i="1"/>
  <c r="E111" i="1"/>
  <c r="H228" i="1"/>
  <c r="E277" i="1"/>
  <c r="D277" i="1"/>
  <c r="J128" i="1"/>
  <c r="J122" i="1"/>
  <c r="D115" i="1"/>
  <c r="H126" i="1"/>
  <c r="D114" i="1"/>
  <c r="G128" i="1"/>
  <c r="G126" i="1"/>
  <c r="G122" i="1"/>
  <c r="D129" i="1"/>
  <c r="D128" i="1"/>
  <c r="D120" i="1"/>
  <c r="E129" i="1"/>
  <c r="E128" i="1"/>
  <c r="E127" i="1"/>
  <c r="E126" i="1"/>
  <c r="E125" i="1"/>
  <c r="E124" i="1"/>
  <c r="E123" i="1"/>
  <c r="E122" i="1"/>
  <c r="E121" i="1"/>
  <c r="E120" i="1"/>
  <c r="E119" i="1"/>
  <c r="E118" i="1"/>
  <c r="E117" i="1"/>
  <c r="E116" i="1"/>
  <c r="E115" i="1"/>
  <c r="E114" i="1"/>
  <c r="E113" i="1"/>
  <c r="C230" i="1"/>
  <c r="C279" i="1"/>
  <c r="C280" i="1" s="1"/>
  <c r="C192" i="1"/>
  <c r="C149" i="1"/>
  <c r="L78" i="1"/>
  <c r="E74" i="1"/>
  <c r="E75" i="1"/>
  <c r="C76" i="1"/>
  <c r="C77" i="1" s="1"/>
  <c r="V123" i="1" l="1"/>
  <c r="V116" i="1"/>
  <c r="V112" i="1"/>
  <c r="V111" i="1"/>
  <c r="L148" i="1"/>
  <c r="L150" i="1" s="1"/>
  <c r="V119" i="1"/>
  <c r="V124" i="1"/>
  <c r="V114" i="1"/>
  <c r="V126" i="1"/>
  <c r="V117" i="1"/>
  <c r="V118" i="1"/>
  <c r="V120" i="1"/>
  <c r="V115" i="1"/>
  <c r="V113" i="1"/>
  <c r="V122" i="1"/>
  <c r="V127" i="1"/>
  <c r="V121" i="1"/>
  <c r="V128" i="1"/>
  <c r="V129" i="1"/>
  <c r="V125" i="1"/>
  <c r="H279" i="1"/>
  <c r="H277" i="1"/>
  <c r="D147" i="1"/>
  <c r="J275" i="1"/>
  <c r="R277" i="1" s="1"/>
  <c r="R279" i="1" s="1"/>
  <c r="P277" i="1"/>
  <c r="P279" i="1" s="1"/>
  <c r="H276" i="1"/>
  <c r="J276" i="1" s="1"/>
  <c r="H278" i="1"/>
  <c r="J278" i="1" s="1"/>
  <c r="F277" i="1"/>
  <c r="D148" i="1"/>
  <c r="Z113" i="1"/>
  <c r="Z115" i="1" s="1"/>
  <c r="D146" i="1"/>
  <c r="D149" i="1"/>
  <c r="E149" i="1"/>
  <c r="C231" i="1"/>
  <c r="H230" i="1"/>
  <c r="E280" i="1"/>
  <c r="D280" i="1"/>
  <c r="F280" i="1" s="1"/>
  <c r="G280" i="1" a="1"/>
  <c r="G280" i="1" s="1"/>
  <c r="E279" i="1"/>
  <c r="D279" i="1"/>
  <c r="G279" i="1" a="1"/>
  <c r="G279" i="1" s="1"/>
  <c r="H280" i="1"/>
  <c r="C281" i="1"/>
  <c r="C193" i="1"/>
  <c r="C150" i="1"/>
  <c r="D76" i="1"/>
  <c r="E76" i="1" s="1"/>
  <c r="C78" i="1"/>
  <c r="D77" i="1"/>
  <c r="E77" i="1" s="1"/>
  <c r="J277" i="1" l="1"/>
  <c r="F279" i="1"/>
  <c r="J279" i="1" s="1"/>
  <c r="E150" i="1"/>
  <c r="D150" i="1"/>
  <c r="J280" i="1"/>
  <c r="C232" i="1"/>
  <c r="H231" i="1"/>
  <c r="E281" i="1"/>
  <c r="D281" i="1"/>
  <c r="G281" i="1" a="1"/>
  <c r="G281" i="1" s="1"/>
  <c r="H281" i="1"/>
  <c r="C282" i="1"/>
  <c r="C194" i="1"/>
  <c r="C151" i="1"/>
  <c r="C79" i="1"/>
  <c r="D78" i="1"/>
  <c r="E78" i="1" s="1"/>
  <c r="F281" i="1" l="1"/>
  <c r="J281" i="1" s="1"/>
  <c r="E151" i="1"/>
  <c r="D151" i="1"/>
  <c r="C233" i="1"/>
  <c r="H232" i="1"/>
  <c r="D282" i="1"/>
  <c r="G282" i="1" a="1"/>
  <c r="G282" i="1" s="1"/>
  <c r="E282" i="1"/>
  <c r="H282" i="1"/>
  <c r="C283" i="1"/>
  <c r="C195" i="1"/>
  <c r="C152" i="1"/>
  <c r="C80" i="1"/>
  <c r="D79" i="1"/>
  <c r="E79" i="1" s="1"/>
  <c r="E152" i="1" l="1"/>
  <c r="D152" i="1"/>
  <c r="C234" i="1"/>
  <c r="H233" i="1"/>
  <c r="E283" i="1"/>
  <c r="D283" i="1"/>
  <c r="G283" i="1" a="1"/>
  <c r="G283" i="1" s="1"/>
  <c r="H283" i="1"/>
  <c r="F282" i="1"/>
  <c r="J282" i="1" s="1"/>
  <c r="C284" i="1"/>
  <c r="C196" i="1"/>
  <c r="C153" i="1"/>
  <c r="C81" i="1"/>
  <c r="D80" i="1"/>
  <c r="E80" i="1" s="1"/>
  <c r="F283" i="1" l="1"/>
  <c r="J283" i="1" s="1"/>
  <c r="E153" i="1"/>
  <c r="D153" i="1"/>
  <c r="C235" i="1"/>
  <c r="H234" i="1"/>
  <c r="E284" i="1"/>
  <c r="D284" i="1"/>
  <c r="F284" i="1" s="1"/>
  <c r="G284" i="1" a="1"/>
  <c r="G284" i="1" s="1"/>
  <c r="H284" i="1"/>
  <c r="C285" i="1"/>
  <c r="C197" i="1"/>
  <c r="C154" i="1"/>
  <c r="C82" i="1"/>
  <c r="D81" i="1"/>
  <c r="E81" i="1" s="1"/>
  <c r="J284" i="1" l="1"/>
  <c r="D154" i="1"/>
  <c r="E154" i="1"/>
  <c r="C236" i="1"/>
  <c r="H235" i="1"/>
  <c r="E285" i="1"/>
  <c r="D285" i="1"/>
  <c r="G285" i="1" a="1"/>
  <c r="G285" i="1" s="1"/>
  <c r="H285" i="1"/>
  <c r="C286" i="1"/>
  <c r="C198" i="1"/>
  <c r="C155" i="1"/>
  <c r="C83" i="1"/>
  <c r="D82" i="1"/>
  <c r="E82" i="1" s="1"/>
  <c r="F285" i="1" l="1"/>
  <c r="J285" i="1" s="1"/>
  <c r="D155" i="1"/>
  <c r="E155" i="1"/>
  <c r="C237" i="1"/>
  <c r="H236" i="1"/>
  <c r="G286" i="1" a="1"/>
  <c r="G286" i="1" s="1"/>
  <c r="E286" i="1"/>
  <c r="D286" i="1"/>
  <c r="H286" i="1"/>
  <c r="C287" i="1"/>
  <c r="C199" i="1"/>
  <c r="C156" i="1"/>
  <c r="C84" i="1"/>
  <c r="D83" i="1"/>
  <c r="E83" i="1" s="1"/>
  <c r="F286" i="1" l="1"/>
  <c r="J286" i="1" s="1"/>
  <c r="D156" i="1"/>
  <c r="E156" i="1"/>
  <c r="C238" i="1"/>
  <c r="H237" i="1"/>
  <c r="E287" i="1"/>
  <c r="D287" i="1"/>
  <c r="F287" i="1" s="1"/>
  <c r="G287" i="1" a="1"/>
  <c r="G287" i="1" s="1"/>
  <c r="J287" i="1" s="1"/>
  <c r="H287" i="1"/>
  <c r="C288" i="1"/>
  <c r="C200" i="1"/>
  <c r="C157" i="1"/>
  <c r="C85" i="1"/>
  <c r="D84" i="1"/>
  <c r="E84" i="1" s="1"/>
  <c r="D157" i="1" l="1"/>
  <c r="E157" i="1"/>
  <c r="C239" i="1"/>
  <c r="H238" i="1"/>
  <c r="E288" i="1"/>
  <c r="D288" i="1"/>
  <c r="G288" i="1" a="1"/>
  <c r="G288" i="1" s="1"/>
  <c r="H288" i="1"/>
  <c r="C289" i="1"/>
  <c r="C201" i="1"/>
  <c r="C158" i="1"/>
  <c r="C86" i="1"/>
  <c r="D85" i="1"/>
  <c r="E85" i="1" s="1"/>
  <c r="F288" i="1" l="1"/>
  <c r="J288" i="1" s="1"/>
  <c r="E158" i="1"/>
  <c r="D158" i="1"/>
  <c r="C240" i="1"/>
  <c r="H239" i="1"/>
  <c r="E289" i="1"/>
  <c r="D289" i="1"/>
  <c r="G289" i="1" a="1"/>
  <c r="G289" i="1" s="1"/>
  <c r="H289" i="1"/>
  <c r="C290" i="1"/>
  <c r="C202" i="1"/>
  <c r="C159" i="1"/>
  <c r="C87" i="1"/>
  <c r="D86" i="1"/>
  <c r="E86" i="1" s="1"/>
  <c r="F289" i="1" l="1"/>
  <c r="J289" i="1" s="1"/>
  <c r="E159" i="1"/>
  <c r="D159" i="1"/>
  <c r="C241" i="1"/>
  <c r="H240" i="1"/>
  <c r="D290" i="1"/>
  <c r="G290" i="1" a="1"/>
  <c r="G290" i="1" s="1"/>
  <c r="E290" i="1"/>
  <c r="H290" i="1"/>
  <c r="C291" i="1"/>
  <c r="C203" i="1"/>
  <c r="C160" i="1"/>
  <c r="C88" i="1"/>
  <c r="D87" i="1"/>
  <c r="E87" i="1" s="1"/>
  <c r="E160" i="1" l="1"/>
  <c r="D160" i="1"/>
  <c r="C242" i="1"/>
  <c r="H241" i="1"/>
  <c r="G291" i="1" a="1"/>
  <c r="G291" i="1" s="1"/>
  <c r="E291" i="1"/>
  <c r="D291" i="1"/>
  <c r="H291" i="1"/>
  <c r="F290" i="1"/>
  <c r="J290" i="1" s="1"/>
  <c r="C292" i="1"/>
  <c r="C204" i="1"/>
  <c r="C161" i="1"/>
  <c r="C89" i="1"/>
  <c r="D88" i="1"/>
  <c r="E88" i="1" s="1"/>
  <c r="F291" i="1" l="1"/>
  <c r="J291" i="1"/>
  <c r="E161" i="1"/>
  <c r="D161" i="1"/>
  <c r="C243" i="1"/>
  <c r="H242" i="1"/>
  <c r="G292" i="1" a="1"/>
  <c r="G292" i="1" s="1"/>
  <c r="E292" i="1"/>
  <c r="D292" i="1"/>
  <c r="H292" i="1"/>
  <c r="C293" i="1"/>
  <c r="C162" i="1"/>
  <c r="C90" i="1"/>
  <c r="D89" i="1"/>
  <c r="E89" i="1" s="1"/>
  <c r="F292" i="1" l="1"/>
  <c r="J292" i="1" s="1"/>
  <c r="D162" i="1"/>
  <c r="E162" i="1"/>
  <c r="C244" i="1"/>
  <c r="H243" i="1"/>
  <c r="G293" i="1" a="1"/>
  <c r="G293" i="1" s="1"/>
  <c r="E293" i="1"/>
  <c r="D293" i="1"/>
  <c r="H293" i="1"/>
  <c r="C163" i="1"/>
  <c r="C91" i="1"/>
  <c r="D90" i="1"/>
  <c r="E90" i="1" s="1"/>
  <c r="F293" i="1" l="1"/>
  <c r="J293" i="1" s="1"/>
  <c r="E163" i="1"/>
  <c r="D163" i="1"/>
  <c r="C245" i="1"/>
  <c r="H245" i="1" s="1"/>
  <c r="H244" i="1"/>
  <c r="D91" i="1"/>
  <c r="E91"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<sst xmlns="http://schemas.openxmlformats.org/spreadsheetml/2006/main" count="247" uniqueCount="127">
  <si>
    <t>TABLE OF CONSTANTS</t>
  </si>
  <si>
    <r>
      <rPr>
        <b/>
        <sz val="14"/>
        <color theme="1"/>
        <rFont val="Aptos Narrow"/>
        <scheme val="minor"/>
      </rPr>
      <t>N</t>
    </r>
    <r>
      <rPr>
        <b/>
        <vertAlign val="subscript"/>
        <sz val="14"/>
        <color theme="1"/>
        <rFont val="Aptos Narrow"/>
        <scheme val="minor"/>
      </rPr>
      <t>avo</t>
    </r>
    <r>
      <rPr>
        <b/>
        <sz val="14"/>
        <color theme="1"/>
        <rFont val="Aptos Narrow"/>
        <scheme val="minor"/>
      </rPr>
      <t xml:space="preserve"> </t>
    </r>
    <r>
      <rPr>
        <sz val="14"/>
        <color theme="1"/>
        <rFont val="Aptos Narrow"/>
        <scheme val="minor"/>
      </rPr>
      <t>[ mol</t>
    </r>
    <r>
      <rPr>
        <vertAlign val="superscript"/>
        <sz val="14"/>
        <color theme="1"/>
        <rFont val="Aptos Narrow"/>
        <scheme val="minor"/>
      </rPr>
      <t>-1</t>
    </r>
    <r>
      <rPr>
        <sz val="14"/>
        <color theme="1"/>
        <rFont val="Aptos Narrow (Corpo)"/>
      </rPr>
      <t xml:space="preserve"> ]</t>
    </r>
  </si>
  <si>
    <r>
      <rPr>
        <b/>
        <sz val="14"/>
        <color theme="1"/>
        <rFont val="Aptos Narrow"/>
        <scheme val="minor"/>
      </rPr>
      <t>R</t>
    </r>
    <r>
      <rPr>
        <sz val="14"/>
        <color theme="1"/>
        <rFont val="Aptos Narrow"/>
        <scheme val="minor"/>
      </rPr>
      <t xml:space="preserve"> [ J mol</t>
    </r>
    <r>
      <rPr>
        <vertAlign val="superscript"/>
        <sz val="14"/>
        <color theme="1"/>
        <rFont val="Aptos Narrow"/>
        <scheme val="minor"/>
      </rPr>
      <t xml:space="preserve">-1 </t>
    </r>
    <r>
      <rPr>
        <sz val="14"/>
        <color theme="1"/>
        <rFont val="Aptos Narrow"/>
        <scheme val="minor"/>
      </rPr>
      <t xml:space="preserve">K </t>
    </r>
    <r>
      <rPr>
        <vertAlign val="superscript"/>
        <sz val="14"/>
        <color theme="1"/>
        <rFont val="Aptos Narrow"/>
        <scheme val="minor"/>
      </rPr>
      <t>-1</t>
    </r>
    <r>
      <rPr>
        <sz val="14"/>
        <color theme="1"/>
        <rFont val="Aptos Narrow (Corpo)"/>
      </rPr>
      <t xml:space="preserve"> ]</t>
    </r>
  </si>
  <si>
    <r>
      <rPr>
        <b/>
        <sz val="14"/>
        <color rgb="FF202122"/>
        <rFont val="Aptos Narrow"/>
        <scheme val="minor"/>
      </rPr>
      <t>k</t>
    </r>
    <r>
      <rPr>
        <b/>
        <vertAlign val="subscript"/>
        <sz val="14"/>
        <color rgb="FF202122"/>
        <rFont val="Aptos Narrow"/>
        <scheme val="minor"/>
      </rPr>
      <t>b</t>
    </r>
    <r>
      <rPr>
        <vertAlign val="subscript"/>
        <sz val="14"/>
        <color rgb="FF202122"/>
        <rFont val="Aptos Narrow"/>
        <scheme val="minor"/>
      </rPr>
      <t xml:space="preserve"> </t>
    </r>
    <r>
      <rPr>
        <sz val="14"/>
        <color rgb="FF202122"/>
        <rFont val="Aptos Narrow (Corpo)"/>
      </rPr>
      <t xml:space="preserve">[ </t>
    </r>
    <r>
      <rPr>
        <sz val="14"/>
        <color rgb="FF202122"/>
        <rFont val="Aptos Narrow"/>
        <scheme val="minor"/>
      </rPr>
      <t>J K</t>
    </r>
    <r>
      <rPr>
        <vertAlign val="superscript"/>
        <sz val="14"/>
        <color rgb="FF202122"/>
        <rFont val="Aptos Narrow"/>
        <scheme val="minor"/>
      </rPr>
      <t>-1</t>
    </r>
    <r>
      <rPr>
        <sz val="14"/>
        <color rgb="FF202122"/>
        <rFont val="Aptos Narrow (Corpo)"/>
      </rPr>
      <t xml:space="preserve"> ]</t>
    </r>
  </si>
  <si>
    <r>
      <rPr>
        <b/>
        <sz val="14"/>
        <color theme="1"/>
        <rFont val="Aptos Narrow"/>
        <scheme val="minor"/>
      </rPr>
      <t>e</t>
    </r>
    <r>
      <rPr>
        <sz val="14"/>
        <color theme="1"/>
        <rFont val="Aptos Narrow"/>
        <scheme val="minor"/>
      </rPr>
      <t xml:space="preserve"> [ C ]</t>
    </r>
  </si>
  <si>
    <r>
      <rPr>
        <b/>
        <sz val="14"/>
        <color theme="1"/>
        <rFont val="Aptos Narrow"/>
        <scheme val="minor"/>
      </rPr>
      <t>m</t>
    </r>
    <r>
      <rPr>
        <b/>
        <vertAlign val="subscript"/>
        <sz val="14"/>
        <color theme="1"/>
        <rFont val="Aptos Narrow (Corpo)"/>
      </rPr>
      <t xml:space="preserve">e </t>
    </r>
    <r>
      <rPr>
        <sz val="14"/>
        <color theme="1"/>
        <rFont val="Aptos Narrow"/>
        <scheme val="minor"/>
      </rPr>
      <t>[ kg ]</t>
    </r>
  </si>
  <si>
    <r>
      <rPr>
        <b/>
        <sz val="14"/>
        <color theme="1"/>
        <rFont val="Aptos Narrow"/>
        <scheme val="minor"/>
      </rPr>
      <t>a</t>
    </r>
    <r>
      <rPr>
        <b/>
        <vertAlign val="subscript"/>
        <sz val="14"/>
        <color theme="1"/>
        <rFont val="Aptos Narrow (Corpo)"/>
      </rPr>
      <t>0</t>
    </r>
    <r>
      <rPr>
        <sz val="14"/>
        <color theme="1"/>
        <rFont val="Aptos Narrow"/>
        <scheme val="minor"/>
      </rPr>
      <t xml:space="preserve"> [ m ]</t>
    </r>
  </si>
  <si>
    <t>hartree</t>
  </si>
  <si>
    <t>eV</t>
  </si>
  <si>
    <t>kcal/mol</t>
  </si>
  <si>
    <t>kJ/mol</t>
  </si>
  <si>
    <t>J</t>
  </si>
  <si>
    <t>Hz</t>
  </si>
  <si>
    <t>TABLE OF CONVERSIONS (ENERGY)</t>
  </si>
  <si>
    <r>
      <t>cm</t>
    </r>
    <r>
      <rPr>
        <b/>
        <vertAlign val="superscript"/>
        <sz val="14"/>
        <color theme="1"/>
        <rFont val="Aptos Narrow"/>
        <scheme val="minor"/>
      </rPr>
      <t>-1</t>
    </r>
  </si>
  <si>
    <r>
      <t>o</t>
    </r>
    <r>
      <rPr>
        <b/>
        <sz val="14"/>
        <color theme="1"/>
        <rFont val="Aptos Narrow"/>
        <scheme val="minor"/>
      </rPr>
      <t>K</t>
    </r>
  </si>
  <si>
    <r>
      <rPr>
        <b/>
        <sz val="14"/>
        <color theme="1"/>
        <rFont val="Aptos Narrow"/>
        <scheme val="minor"/>
      </rPr>
      <t>eps</t>
    </r>
    <r>
      <rPr>
        <b/>
        <vertAlign val="subscript"/>
        <sz val="14"/>
        <color theme="1"/>
        <rFont val="Aptos Narrow (Corpo)"/>
      </rPr>
      <t>0</t>
    </r>
    <r>
      <rPr>
        <sz val="14"/>
        <color theme="1"/>
        <rFont val="Aptos Narrow"/>
        <scheme val="minor"/>
      </rPr>
      <t xml:space="preserve"> [ F m</t>
    </r>
    <r>
      <rPr>
        <vertAlign val="superscript"/>
        <sz val="14"/>
        <color theme="1"/>
        <rFont val="Aptos Narrow (Body)"/>
      </rPr>
      <t>-1</t>
    </r>
    <r>
      <rPr>
        <sz val="14"/>
        <color theme="1"/>
        <rFont val="Aptos Narrow"/>
        <scheme val="minor"/>
      </rPr>
      <t>]</t>
    </r>
  </si>
  <si>
    <t>TABLE OF CONVERSIONS (DISTANCE)</t>
  </si>
  <si>
    <t>a0</t>
  </si>
  <si>
    <t>angstrom</t>
  </si>
  <si>
    <t>m</t>
  </si>
  <si>
    <t xml:space="preserve">                      out
in</t>
  </si>
  <si>
    <t>Rotational Symmetry Number</t>
  </si>
  <si>
    <t>Temperature [ K ]</t>
  </si>
  <si>
    <t>Pressure [Atm]</t>
  </si>
  <si>
    <t>Molecular Mass [ amu ]</t>
  </si>
  <si>
    <t xml:space="preserve">Principal Moments of Inertia </t>
  </si>
  <si>
    <t>Rotational Temperatures [ K ]</t>
  </si>
  <si>
    <t>Rotational Constants [ GHZ ]</t>
  </si>
  <si>
    <r>
      <t>[ kg Å</t>
    </r>
    <r>
      <rPr>
        <b/>
        <vertAlign val="superscript"/>
        <sz val="14"/>
        <color theme="1"/>
        <rFont val="Aptos Narrow (Body)"/>
      </rPr>
      <t>2</t>
    </r>
    <r>
      <rPr>
        <b/>
        <sz val="14"/>
        <color theme="1"/>
        <rFont val="Aptos Narrow"/>
        <family val="2"/>
        <scheme val="minor"/>
      </rPr>
      <t xml:space="preserve"> ]</t>
    </r>
  </si>
  <si>
    <r>
      <t>[ kg m</t>
    </r>
    <r>
      <rPr>
        <b/>
        <vertAlign val="superscript"/>
        <sz val="14"/>
        <color theme="1"/>
        <rFont val="Aptos Narrow (Body)"/>
      </rPr>
      <t>2</t>
    </r>
    <r>
      <rPr>
        <b/>
        <sz val="14"/>
        <color theme="1"/>
        <rFont val="Aptos Narrow"/>
        <family val="2"/>
        <scheme val="minor"/>
      </rPr>
      <t xml:space="preserve"> ]</t>
    </r>
  </si>
  <si>
    <r>
      <t>[ amu Å</t>
    </r>
    <r>
      <rPr>
        <b/>
        <vertAlign val="superscript"/>
        <sz val="14"/>
        <color theme="1"/>
        <rFont val="Aptos Narrow (Body)"/>
      </rPr>
      <t xml:space="preserve">2 </t>
    </r>
    <r>
      <rPr>
        <b/>
        <sz val="14"/>
        <color theme="1"/>
        <rFont val="Aptos Narrow"/>
        <family val="2"/>
        <scheme val="minor"/>
      </rPr>
      <t>]</t>
    </r>
  </si>
  <si>
    <t xml:space="preserve">                   out
in</t>
  </si>
  <si>
    <r>
      <t>m</t>
    </r>
    <r>
      <rPr>
        <b/>
        <vertAlign val="subscript"/>
        <sz val="14"/>
        <color theme="1"/>
        <rFont val="Aptos Narrow (Body)"/>
      </rPr>
      <t>e</t>
    </r>
  </si>
  <si>
    <t>TABLE OF CONVERSIONS (MASS)</t>
  </si>
  <si>
    <t>kg</t>
  </si>
  <si>
    <t>x</t>
  </si>
  <si>
    <t>y</t>
  </si>
  <si>
    <t>z</t>
  </si>
  <si>
    <t>Zero-point Correction [ Hartree/Particle ]</t>
  </si>
  <si>
    <t>Thermal Correction to Energy [ Hartree/Particle ]</t>
  </si>
  <si>
    <t>Thermal Correction to Enthalpy [ Hartree/Particle ]</t>
  </si>
  <si>
    <t>Thermal Correction to Gibbs Free Energy [ Hartree/Particle ]</t>
  </si>
  <si>
    <t>E (Thermal) [KCal/Mol]</t>
  </si>
  <si>
    <t>S [Cal/Mol-Kelvin]</t>
  </si>
  <si>
    <t>Total</t>
  </si>
  <si>
    <t>Electronic</t>
  </si>
  <si>
    <t>Translational</t>
  </si>
  <si>
    <t>Rotational</t>
  </si>
  <si>
    <t>Vibrational</t>
  </si>
  <si>
    <t>Q</t>
  </si>
  <si>
    <t>Log10(Q)</t>
  </si>
  <si>
    <t>Ln(Q)</t>
  </si>
  <si>
    <t>Total Bot</t>
  </si>
  <si>
    <t>Total V=0</t>
  </si>
  <si>
    <t>Vib (Bot)</t>
  </si>
  <si>
    <t>Vib (V=0)</t>
  </si>
  <si>
    <t>INTERNAL ENERGY, HEAT CAPACITY,ENTROPY</t>
  </si>
  <si>
    <r>
      <t>C</t>
    </r>
    <r>
      <rPr>
        <b/>
        <vertAlign val="subscript"/>
        <sz val="14"/>
        <rFont val="Calibri"/>
        <family val="2"/>
      </rPr>
      <t>V</t>
    </r>
    <r>
      <rPr>
        <b/>
        <sz val="14"/>
        <rFont val="Calibri"/>
        <family val="2"/>
      </rPr>
      <t xml:space="preserve"> [Cal/Mol-Kelvin]</t>
    </r>
  </si>
  <si>
    <t>MOLECULAR PARTITION FUNCTION</t>
  </si>
  <si>
    <t>Vibrational Temperatures
 [ K ]</t>
  </si>
  <si>
    <t>Harmonic 
Frequencies 
[ cm^-1 ]</t>
  </si>
  <si>
    <t>Zero-point Vibrational Energy</t>
  </si>
  <si>
    <t xml:space="preserve"> [ J/mol ]</t>
  </si>
  <si>
    <t xml:space="preserve"> [ Kcal/mol ]</t>
  </si>
  <si>
    <t>Hartree</t>
  </si>
  <si>
    <t xml:space="preserve"> from theory...</t>
  </si>
  <si>
    <r>
      <t>Volume [ m</t>
    </r>
    <r>
      <rPr>
        <b/>
        <vertAlign val="superscript"/>
        <sz val="14"/>
        <color rgb="FFFF0000"/>
        <rFont val="Aptos Narrow (Body)"/>
      </rPr>
      <t>3</t>
    </r>
    <r>
      <rPr>
        <b/>
        <sz val="14"/>
        <color rgb="FFFF0000"/>
        <rFont val="Aptos Narrow (Body)"/>
      </rPr>
      <t xml:space="preserve"> ]</t>
    </r>
  </si>
  <si>
    <t>Temperatures[K]</t>
  </si>
  <si>
    <t>Harmonic 
Frequencies 
[ Hz ]</t>
  </si>
  <si>
    <t>Reduced Masses [ amu ]</t>
  </si>
  <si>
    <r>
      <rPr>
        <b/>
        <sz val="14"/>
        <color theme="1"/>
        <rFont val="Aptos Narrow"/>
        <scheme val="minor"/>
      </rPr>
      <t>Tamb</t>
    </r>
    <r>
      <rPr>
        <sz val="14"/>
        <color theme="1"/>
        <rFont val="Aptos Narrow"/>
        <scheme val="minor"/>
      </rPr>
      <t xml:space="preserve"> [ K ]</t>
    </r>
  </si>
  <si>
    <r>
      <rPr>
        <b/>
        <sz val="14"/>
        <color theme="1"/>
        <rFont val="Aptos Narrow"/>
        <scheme val="minor"/>
      </rPr>
      <t xml:space="preserve">P </t>
    </r>
    <r>
      <rPr>
        <sz val="14"/>
        <color theme="1"/>
        <rFont val="Aptos Narrow"/>
        <scheme val="minor"/>
      </rPr>
      <t>[ atm ]</t>
    </r>
  </si>
  <si>
    <r>
      <rPr>
        <b/>
        <sz val="14"/>
        <color theme="1"/>
        <rFont val="Aptos Narrow"/>
        <scheme val="minor"/>
      </rPr>
      <t>c</t>
    </r>
    <r>
      <rPr>
        <sz val="14"/>
        <color theme="1"/>
        <rFont val="Aptos Narrow"/>
        <scheme val="minor"/>
      </rPr>
      <t xml:space="preserve"> [ m s</t>
    </r>
    <r>
      <rPr>
        <vertAlign val="superscript"/>
        <sz val="14"/>
        <color theme="1"/>
        <rFont val="Aptos Narrow (Body)"/>
      </rPr>
      <t>-1</t>
    </r>
    <r>
      <rPr>
        <sz val="14"/>
        <color theme="1"/>
        <rFont val="Aptos Narrow"/>
        <scheme val="minor"/>
      </rPr>
      <t xml:space="preserve"> ]</t>
    </r>
  </si>
  <si>
    <r>
      <rPr>
        <b/>
        <sz val="14"/>
        <color theme="1"/>
        <rFont val="Aptos Narrow"/>
        <scheme val="minor"/>
      </rPr>
      <t xml:space="preserve">P </t>
    </r>
    <r>
      <rPr>
        <sz val="14"/>
        <color theme="1"/>
        <rFont val="Aptos Narrow"/>
        <scheme val="minor"/>
      </rPr>
      <t>[ Pa ]</t>
    </r>
  </si>
  <si>
    <t>1. TRANSLATIONAL P.F.</t>
  </si>
  <si>
    <r>
      <rPr>
        <b/>
        <sz val="14"/>
        <color theme="1"/>
        <rFont val="Aptos Narrow"/>
        <scheme val="minor"/>
      </rPr>
      <t>h</t>
    </r>
    <r>
      <rPr>
        <sz val="14"/>
        <color theme="1"/>
        <rFont val="Aptos Narrow"/>
        <scheme val="minor"/>
      </rPr>
      <t xml:space="preserve"> [ J s ]</t>
    </r>
  </si>
  <si>
    <r>
      <t>Q</t>
    </r>
    <r>
      <rPr>
        <b/>
        <vertAlign val="subscript"/>
        <sz val="14"/>
        <color rgb="FFFF0000"/>
        <rFont val="Aptos Narrow (Body)"/>
      </rPr>
      <t>transl</t>
    </r>
  </si>
  <si>
    <t>u</t>
  </si>
  <si>
    <t>Theoretical</t>
  </si>
  <si>
    <t>Gaussian</t>
  </si>
  <si>
    <t>P. Error</t>
  </si>
  <si>
    <t>298.15 K</t>
  </si>
  <si>
    <t>COMPARISON AT 298.15 K (Gaussian output is actually set at 298.15 K)</t>
  </si>
  <si>
    <t>2. VIBRATIONAL  P.F.</t>
  </si>
  <si>
    <t xml:space="preserve">                               i
T[K]</t>
  </si>
  <si>
    <t>Harmonic Freq.</t>
  </si>
  <si>
    <r>
      <t>[ cm</t>
    </r>
    <r>
      <rPr>
        <b/>
        <vertAlign val="superscript"/>
        <sz val="14"/>
        <color rgb="FFFF0000"/>
        <rFont val="Aptos Narrow (Body)"/>
      </rPr>
      <t>-1</t>
    </r>
    <r>
      <rPr>
        <b/>
        <sz val="14"/>
        <color rgb="FFFF0000"/>
        <rFont val="Aptos Narrow (Body)"/>
      </rPr>
      <t xml:space="preserve"> ]</t>
    </r>
  </si>
  <si>
    <t>[ Hz ]</t>
  </si>
  <si>
    <r>
      <t>Q</t>
    </r>
    <r>
      <rPr>
        <b/>
        <vertAlign val="subscript"/>
        <sz val="20"/>
        <color rgb="FFFF0000"/>
        <rFont val="Aptos Narrow (Body)"/>
      </rPr>
      <t>i,vib</t>
    </r>
  </si>
  <si>
    <r>
      <t>Q</t>
    </r>
    <r>
      <rPr>
        <b/>
        <vertAlign val="subscript"/>
        <sz val="20"/>
        <color theme="1"/>
        <rFont val="Aptos Narrow (Body)"/>
      </rPr>
      <t>tot</t>
    </r>
  </si>
  <si>
    <t>3. ROTATIONAL P.F.</t>
  </si>
  <si>
    <r>
      <t>[ kg m</t>
    </r>
    <r>
      <rPr>
        <b/>
        <vertAlign val="superscript"/>
        <sz val="14"/>
        <color rgb="FFFF0000"/>
        <rFont val="Aptos Narrow (Body)"/>
      </rPr>
      <t>2</t>
    </r>
    <r>
      <rPr>
        <b/>
        <sz val="14"/>
        <color rgb="FFFF0000"/>
        <rFont val="Aptos Narrow"/>
        <family val="2"/>
        <scheme val="minor"/>
      </rPr>
      <t xml:space="preserve"> ]</t>
    </r>
  </si>
  <si>
    <t>4. ELECTRONIC P.F.</t>
  </si>
  <si>
    <t>Energies SCF [ Hartree ]</t>
  </si>
  <si>
    <r>
      <t>Q</t>
    </r>
    <r>
      <rPr>
        <b/>
        <vertAlign val="subscript"/>
        <sz val="14"/>
        <color rgb="FFFF0000"/>
        <rFont val="Aptos Narrow (Body)"/>
      </rPr>
      <t>el</t>
    </r>
  </si>
  <si>
    <t xml:space="preserve">Energies SCF </t>
  </si>
  <si>
    <t>[ Hartree ]</t>
  </si>
  <si>
    <t>final</t>
  </si>
  <si>
    <t>[ J ]</t>
  </si>
  <si>
    <r>
      <t>E</t>
    </r>
    <r>
      <rPr>
        <b/>
        <vertAlign val="subscript"/>
        <sz val="14"/>
        <color rgb="FFFF0000"/>
        <rFont val="Aptos Narrow (Body)"/>
      </rPr>
      <t>el</t>
    </r>
    <r>
      <rPr>
        <b/>
        <sz val="14"/>
        <color rgb="FFFF0000"/>
        <rFont val="Aptos Narrow"/>
        <scheme val="minor"/>
      </rPr>
      <t xml:space="preserve"> [ J ]</t>
    </r>
  </si>
  <si>
    <t>5. HEAT CAPACITY</t>
  </si>
  <si>
    <t>TRANS.</t>
  </si>
  <si>
    <t>VIBR.</t>
  </si>
  <si>
    <t>ROT.</t>
  </si>
  <si>
    <t>ELECT.</t>
  </si>
  <si>
    <t>CONTRIBUTES</t>
  </si>
  <si>
    <t>Vibration</t>
  </si>
  <si>
    <t>Rotation</t>
  </si>
  <si>
    <t>Electron</t>
  </si>
  <si>
    <t xml:space="preserve">Translation </t>
  </si>
  <si>
    <t>[ J mol-1 K -1 ]</t>
  </si>
  <si>
    <t>TOT</t>
  </si>
  <si>
    <t>[Cal/Mol-Kelvin]</t>
  </si>
  <si>
    <t>Entropy</t>
  </si>
  <si>
    <t>Heat Capacity (V=const)</t>
  </si>
  <si>
    <t>Transl. Factor (A)</t>
  </si>
  <si>
    <t>ϑrot</t>
  </si>
  <si>
    <t>Vtilde</t>
  </si>
  <si>
    <t>6. ENTROPY</t>
  </si>
  <si>
    <t>Theoretical 𝜎</t>
  </si>
  <si>
    <r>
      <t>Q</t>
    </r>
    <r>
      <rPr>
        <b/>
        <vertAlign val="subscript"/>
        <sz val="14"/>
        <color rgb="FFFF0000"/>
        <rFont val="Aptos Narrow (Body)"/>
      </rPr>
      <t>rot</t>
    </r>
    <r>
      <rPr>
        <b/>
        <sz val="14"/>
        <color rgb="FFFF0000"/>
        <rFont val="Aptos Narrow"/>
        <scheme val="minor"/>
      </rPr>
      <t>(1) and 𝜎=6</t>
    </r>
  </si>
  <si>
    <r>
      <t>Q</t>
    </r>
    <r>
      <rPr>
        <b/>
        <vertAlign val="subscript"/>
        <sz val="14"/>
        <color rgb="FFFF0000"/>
        <rFont val="Aptos Narrow (Body)"/>
      </rPr>
      <t>rot</t>
    </r>
    <r>
      <rPr>
        <b/>
        <sz val="14"/>
        <color rgb="FFFF0000"/>
        <rFont val="Aptos Narrow"/>
        <scheme val="minor"/>
      </rPr>
      <t>(2) and 𝜎=2</t>
    </r>
  </si>
  <si>
    <t>𝜎=2and (2)</t>
  </si>
  <si>
    <t>𝜎=6 and (1)</t>
  </si>
  <si>
    <r>
      <t>EXPERIMENTAL DATA - C</t>
    </r>
    <r>
      <rPr>
        <b/>
        <vertAlign val="subscript"/>
        <sz val="22"/>
        <color theme="1"/>
        <rFont val="Aptos Narrow (Body)"/>
      </rPr>
      <t>2</t>
    </r>
    <r>
      <rPr>
        <b/>
        <sz val="22"/>
        <color theme="1"/>
        <rFont val="Aptos Narrow"/>
        <scheme val="minor"/>
      </rPr>
      <t>H</t>
    </r>
    <r>
      <rPr>
        <b/>
        <vertAlign val="subscript"/>
        <sz val="22"/>
        <color theme="1"/>
        <rFont val="Aptos Narrow (Body)"/>
      </rPr>
      <t>6</t>
    </r>
  </si>
  <si>
    <r>
      <t>THEORETICAL DATA - C</t>
    </r>
    <r>
      <rPr>
        <b/>
        <vertAlign val="subscript"/>
        <sz val="22"/>
        <color theme="1"/>
        <rFont val="Aptos Narrow (Body)"/>
      </rPr>
      <t>2</t>
    </r>
    <r>
      <rPr>
        <b/>
        <sz val="22"/>
        <color theme="1"/>
        <rFont val="Aptos Narrow"/>
        <scheme val="minor"/>
      </rPr>
      <t>H</t>
    </r>
    <r>
      <rPr>
        <b/>
        <vertAlign val="subscript"/>
        <sz val="22"/>
        <color theme="1"/>
        <rFont val="Aptos Narrow (Body)"/>
      </rPr>
      <t>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</si>
</sst>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0.00000"/>
    <numFmt numFmtId="167" formatCode="0.000E+00"/>
  </numFmts>
  <fonts count="44" x14ac:knownFonts="1">
    <font>
      <sz val="12"/>
      <color theme="1"/>
      <name val="Aptos Narrow"/>
      <family val="2"/>
      <scheme val="minor"/>
    </font>
    <font>
      <sz val="14"/>
      <color rgb="FF202122"/>
      <name val="Arial"/>
      <family val="2"/>
    </font>
    <font>
      <sz val="14"/>
      <color theme="1"/>
      <name val="Aptos Narrow"/>
      <family val="2"/>
      <scheme val="minor"/>
    </font>
    <font>
      <sz val="14"/>
      <color theme="1"/>
      <name val="Aptos Narrow (Corpo)"/>
    </font>
    <font>
      <sz val="12"/>
      <color theme="1"/>
      <name val="Aptos Narrow"/>
      <scheme val="minor"/>
    </font>
    <font>
      <sz val="14"/>
      <color theme="1"/>
      <name val="Aptos Narrow"/>
      <scheme val="minor"/>
    </font>
    <font>
      <vertAlign val="superscript"/>
      <sz val="14"/>
      <color theme="1"/>
      <name val="Aptos Narrow"/>
      <scheme val="minor"/>
    </font>
    <font>
      <sz val="14"/>
      <color rgb="FF202122"/>
      <name val="Aptos Narrow"/>
      <scheme val="minor"/>
    </font>
    <font>
      <vertAlign val="subscript"/>
      <sz val="14"/>
      <color rgb="FF202122"/>
      <name val="Aptos Narrow"/>
      <scheme val="minor"/>
    </font>
    <font>
      <sz val="14"/>
      <color rgb="FF202122"/>
      <name val="Aptos Narrow (Corpo)"/>
    </font>
    <font>
      <vertAlign val="superscript"/>
      <sz val="14"/>
      <color rgb="FF202122"/>
      <name val="Aptos Narrow"/>
      <scheme val="minor"/>
    </font>
    <font>
      <b/>
      <sz val="14"/>
      <color theme="1"/>
      <name val="Aptos Narrow"/>
      <scheme val="minor"/>
    </font>
    <font>
      <b/>
      <vertAlign val="subscript"/>
      <sz val="14"/>
      <color theme="1"/>
      <name val="Aptos Narrow"/>
      <scheme val="minor"/>
    </font>
    <font>
      <b/>
      <sz val="14"/>
      <color rgb="FF202122"/>
      <name val="Aptos Narrow"/>
      <scheme val="minor"/>
    </font>
    <font>
      <b/>
      <vertAlign val="subscript"/>
      <sz val="14"/>
      <color rgb="FF202122"/>
      <name val="Aptos Narrow"/>
      <scheme val="minor"/>
    </font>
    <font>
      <b/>
      <vertAlign val="subscript"/>
      <sz val="14"/>
      <color theme="1"/>
      <name val="Aptos Narrow (Corpo)"/>
    </font>
    <font>
      <b/>
      <sz val="12"/>
      <color theme="1"/>
      <name val="Aptos Narrow"/>
      <scheme val="minor"/>
    </font>
    <font>
      <b/>
      <vertAlign val="superscript"/>
      <sz val="14"/>
      <color theme="1"/>
      <name val="Aptos Narrow"/>
      <scheme val="minor"/>
    </font>
    <font>
      <sz val="14"/>
      <color rgb="FF000000"/>
      <name val="Aptos Narrow"/>
      <scheme val="minor"/>
    </font>
    <font>
      <b/>
      <sz val="16"/>
      <color theme="1"/>
      <name val="Aptos Narrow"/>
      <scheme val="minor"/>
    </font>
    <font>
      <vertAlign val="superscript"/>
      <sz val="14"/>
      <color theme="1"/>
      <name val="Aptos Narrow (Body)"/>
    </font>
    <font>
      <b/>
      <sz val="10"/>
      <color theme="1"/>
      <name val="Aptos Narrow (Body)"/>
    </font>
    <font>
      <b/>
      <sz val="14"/>
      <color theme="1"/>
      <name val="Aptos Narrow (Body)"/>
    </font>
    <font>
      <b/>
      <sz val="16"/>
      <color theme="1"/>
      <name val="Aptos Narrow (Body)"/>
    </font>
    <font>
      <b/>
      <sz val="14"/>
      <color rgb="FFFF0000"/>
      <name val="Aptos Narrow"/>
      <scheme val="minor"/>
    </font>
    <font>
      <b/>
      <sz val="14"/>
      <color theme="1"/>
      <name val="Aptos Narrow"/>
      <family val="2"/>
      <scheme val="minor"/>
    </font>
    <font>
      <b/>
      <vertAlign val="superscript"/>
      <sz val="14"/>
      <color theme="1"/>
      <name val="Aptos Narrow (Body)"/>
    </font>
    <font>
      <b/>
      <vertAlign val="subscript"/>
      <sz val="14"/>
      <color theme="1"/>
      <name val="Aptos Narrow (Body)"/>
    </font>
    <font>
      <b/>
      <sz val="14"/>
      <color rgb="FFFF0000"/>
      <name val="Aptos Narrow (Body)"/>
    </font>
    <font>
      <b/>
      <sz val="14"/>
      <name val="Calibri"/>
      <family val="2"/>
    </font>
    <font>
      <b/>
      <vertAlign val="subscript"/>
      <sz val="14"/>
      <name val="Calibri"/>
      <family val="2"/>
    </font>
    <font>
      <b/>
      <sz val="14"/>
      <color rgb="FFFF0000"/>
      <name val="Calibri"/>
      <family val="2"/>
    </font>
    <font>
      <b/>
      <sz val="20"/>
      <color theme="1"/>
      <name val="Aptos Narrow (Body)"/>
    </font>
    <font>
      <sz val="20"/>
      <color theme="1"/>
      <name val="Aptos Narrow"/>
      <family val="2"/>
      <scheme val="minor"/>
    </font>
    <font>
      <b/>
      <sz val="14"/>
      <color rgb="FFFF0000"/>
      <name val="Aptos Narrow"/>
      <family val="2"/>
      <scheme val="minor"/>
    </font>
    <font>
      <b/>
      <vertAlign val="superscript"/>
      <sz val="14"/>
      <color rgb="FFFF0000"/>
      <name val="Aptos Narrow (Body)"/>
    </font>
    <font>
      <b/>
      <vertAlign val="subscript"/>
      <sz val="14"/>
      <color rgb="FFFF0000"/>
      <name val="Aptos Narrow (Body)"/>
    </font>
    <font>
      <b/>
      <sz val="20"/>
      <color rgb="FFFF0000"/>
      <name val="Aptos Narrow (Body)"/>
    </font>
    <font>
      <b/>
      <vertAlign val="subscript"/>
      <sz val="20"/>
      <color rgb="FFFF0000"/>
      <name val="Aptos Narrow (Body)"/>
    </font>
    <font>
      <b/>
      <sz val="20"/>
      <color theme="1"/>
      <name val="Aptos Narrow"/>
      <scheme val="minor"/>
    </font>
    <font>
      <b/>
      <vertAlign val="subscript"/>
      <sz val="20"/>
      <color theme="1"/>
      <name val="Aptos Narrow (Body)"/>
    </font>
    <font>
      <sz val="14"/>
      <color theme="1"/>
      <name val="Calibri"/>
      <family val="2"/>
    </font>
    <font>
      <b/>
      <sz val="22"/>
      <color theme="1"/>
      <name val="Aptos Narrow"/>
      <scheme val="minor"/>
    </font>
    <font>
      <b/>
      <vertAlign val="subscript"/>
      <sz val="22"/>
      <color theme="1"/>
      <name val="Aptos Narrow (Body)"/>
    </font>
  </fonts>
  <fills count="9">
    <fill>
      <patternFill patternType="none"/>
    </fill>
    <fill>
      <patternFill patternType="gray125"/>
    </fill>
    <fill>
      <patternFill patternType="solid">
        <fgColor theme="5" tint="0.39997558519241921"/>
        <bgColor indexed="64"/>
      </patternFill>
    </fill>
    <fill>
      <patternFill patternType="solid">
        <fgColor theme="3"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C000"/>
        <bgColor indexed="64"/>
      </patternFill>
    </fill>
    <fill>
      <patternFill patternType="solid">
        <fgColor theme="1"/>
        <bgColor indexed="64"/>
      </patternFill>
    </fill>
    <fill>
      <patternFill patternType="solid">
        <fgColor rgb="FFE97674"/>
        <bgColor indexed="64"/>
      </patternFill>
    </fill>
  </fills>
  <borders count="55">
    <border>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diagonalDown="1">
      <left style="medium">
        <color indexed="64"/>
      </left>
      <right style="thin">
        <color indexed="64"/>
      </right>
      <top style="thin">
        <color indexed="64"/>
      </top>
      <bottom style="thin">
        <color indexed="64"/>
      </bottom>
      <diagonal style="medium">
        <color indexed="64"/>
      </diagonal>
    </border>
    <border>
      <left/>
      <right/>
      <top/>
      <bottom style="double">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268">
    <xf numFmtId="0" fontId="0" fillId="0" borderId="0" xfId="0"/>
    <xf numFmtId="0" fontId="2" fillId="0" borderId="0" xfId="0" applyFont="1"/>
    <xf numFmtId="0" fontId="4" fillId="0" borderId="0" xfId="0" applyFont="1"/>
    <xf numFmtId="0" fontId="5" fillId="0" borderId="0" xfId="0" applyFont="1"/>
    <xf numFmtId="11" fontId="2" fillId="0" borderId="0" xfId="0" applyNumberFormat="1" applyFont="1"/>
    <xf numFmtId="0" fontId="11" fillId="3" borderId="7" xfId="0" applyFont="1" applyFill="1" applyBorder="1"/>
    <xf numFmtId="0" fontId="17" fillId="3" borderId="7" xfId="0" applyFont="1" applyFill="1" applyBorder="1"/>
    <xf numFmtId="0" fontId="5" fillId="3" borderId="7" xfId="0" applyFont="1" applyFill="1" applyBorder="1"/>
    <xf numFmtId="3" fontId="5" fillId="3" borderId="7" xfId="0" applyNumberFormat="1" applyFont="1" applyFill="1" applyBorder="1"/>
    <xf numFmtId="11" fontId="5" fillId="3" borderId="7" xfId="0" applyNumberFormat="1" applyFont="1" applyFill="1" applyBorder="1"/>
    <xf numFmtId="0" fontId="19" fillId="3" borderId="1" xfId="0" applyFont="1" applyFill="1" applyBorder="1"/>
    <xf numFmtId="0" fontId="11" fillId="3" borderId="12" xfId="0" applyFont="1" applyFill="1" applyBorder="1"/>
    <xf numFmtId="0" fontId="4" fillId="3" borderId="2" xfId="0" applyFont="1" applyFill="1" applyBorder="1"/>
    <xf numFmtId="0" fontId="11" fillId="3" borderId="3" xfId="0" applyFont="1" applyFill="1" applyBorder="1"/>
    <xf numFmtId="0" fontId="11" fillId="3" borderId="4" xfId="0" applyFont="1" applyFill="1" applyBorder="1"/>
    <xf numFmtId="11" fontId="5" fillId="3" borderId="4" xfId="0" applyNumberFormat="1" applyFont="1" applyFill="1" applyBorder="1"/>
    <xf numFmtId="11" fontId="18" fillId="3" borderId="4" xfId="0" applyNumberFormat="1" applyFont="1" applyFill="1" applyBorder="1"/>
    <xf numFmtId="0" fontId="17" fillId="3" borderId="3" xfId="0" applyFont="1" applyFill="1" applyBorder="1"/>
    <xf numFmtId="0" fontId="11" fillId="3" borderId="5" xfId="0" applyFont="1" applyFill="1" applyBorder="1"/>
    <xf numFmtId="11" fontId="5" fillId="3" borderId="13" xfId="0" applyNumberFormat="1" applyFont="1" applyFill="1" applyBorder="1"/>
    <xf numFmtId="0" fontId="5" fillId="3" borderId="13" xfId="0" applyFont="1" applyFill="1" applyBorder="1"/>
    <xf numFmtId="0" fontId="5" fillId="3" borderId="6" xfId="0" applyFont="1" applyFill="1" applyBorder="1"/>
    <xf numFmtId="165" fontId="5" fillId="3" borderId="7" xfId="0" applyNumberFormat="1" applyFont="1" applyFill="1" applyBorder="1"/>
    <xf numFmtId="0" fontId="21" fillId="3" borderId="16" xfId="0" applyFont="1" applyFill="1" applyBorder="1" applyAlignment="1">
      <alignment wrapText="1"/>
    </xf>
    <xf numFmtId="11" fontId="0" fillId="0" borderId="0" xfId="0" applyNumberFormat="1"/>
    <xf numFmtId="0" fontId="19" fillId="4" borderId="0" xfId="0" applyFont="1" applyFill="1"/>
    <xf numFmtId="0" fontId="11" fillId="4" borderId="7" xfId="0" applyFont="1" applyFill="1" applyBorder="1"/>
    <xf numFmtId="0" fontId="2" fillId="4" borderId="7" xfId="0" applyFont="1" applyFill="1" applyBorder="1"/>
    <xf numFmtId="166" fontId="2" fillId="4" borderId="7" xfId="0" applyNumberFormat="1" applyFont="1" applyFill="1" applyBorder="1"/>
    <xf numFmtId="0" fontId="19" fillId="4" borderId="1" xfId="0" applyFont="1" applyFill="1" applyBorder="1"/>
    <xf numFmtId="0" fontId="2" fillId="4" borderId="12" xfId="0" applyFont="1" applyFill="1" applyBorder="1"/>
    <xf numFmtId="0" fontId="2" fillId="4" borderId="2" xfId="0" applyFont="1" applyFill="1" applyBorder="1"/>
    <xf numFmtId="0" fontId="11" fillId="4" borderId="4" xfId="0" applyFont="1" applyFill="1" applyBorder="1"/>
    <xf numFmtId="0" fontId="11" fillId="4" borderId="3" xfId="0" applyFont="1" applyFill="1" applyBorder="1"/>
    <xf numFmtId="11" fontId="2" fillId="4" borderId="4" xfId="0" applyNumberFormat="1" applyFont="1" applyFill="1" applyBorder="1"/>
    <xf numFmtId="0" fontId="11" fillId="4" borderId="5" xfId="0" applyFont="1" applyFill="1" applyBorder="1"/>
    <xf numFmtId="11" fontId="2" fillId="4" borderId="13" xfId="0" applyNumberFormat="1" applyFont="1" applyFill="1" applyBorder="1"/>
    <xf numFmtId="0" fontId="2" fillId="4" borderId="6" xfId="0" applyFont="1" applyFill="1" applyBorder="1"/>
    <xf numFmtId="0" fontId="2" fillId="0" borderId="11" xfId="0" applyFont="1" applyBorder="1" applyAlignment="1">
      <alignment horizontal="center"/>
    </xf>
    <xf numFmtId="0" fontId="24" fillId="0" borderId="0" xfId="0" applyFont="1"/>
    <xf numFmtId="0" fontId="21" fillId="4" borderId="16" xfId="0" applyFont="1" applyFill="1" applyBorder="1" applyAlignment="1">
      <alignment wrapText="1"/>
    </xf>
    <xf numFmtId="0" fontId="19" fillId="5" borderId="1" xfId="0" applyFont="1" applyFill="1" applyBorder="1"/>
    <xf numFmtId="0" fontId="2" fillId="5" borderId="12" xfId="0" applyFont="1" applyFill="1" applyBorder="1"/>
    <xf numFmtId="0" fontId="2" fillId="5" borderId="2" xfId="0" applyFont="1" applyFill="1" applyBorder="1"/>
    <xf numFmtId="0" fontId="21" fillId="5" borderId="16" xfId="0" applyFont="1" applyFill="1" applyBorder="1" applyAlignment="1">
      <alignment wrapText="1"/>
    </xf>
    <xf numFmtId="0" fontId="11" fillId="5" borderId="7" xfId="0" applyFont="1" applyFill="1" applyBorder="1"/>
    <xf numFmtId="0" fontId="11" fillId="5" borderId="4" xfId="0" applyFont="1" applyFill="1" applyBorder="1"/>
    <xf numFmtId="0" fontId="11" fillId="5" borderId="3" xfId="0" applyFont="1" applyFill="1" applyBorder="1"/>
    <xf numFmtId="0" fontId="2" fillId="5" borderId="7" xfId="0" applyFont="1" applyFill="1" applyBorder="1"/>
    <xf numFmtId="11" fontId="2" fillId="5" borderId="7" xfId="0" applyNumberFormat="1" applyFont="1" applyFill="1" applyBorder="1"/>
    <xf numFmtId="11" fontId="2" fillId="5" borderId="4" xfId="0" applyNumberFormat="1" applyFont="1" applyFill="1" applyBorder="1"/>
    <xf numFmtId="0" fontId="11" fillId="5" borderId="5" xfId="0" applyFont="1" applyFill="1" applyBorder="1"/>
    <xf numFmtId="11" fontId="2" fillId="5" borderId="13" xfId="0" applyNumberFormat="1" applyFont="1" applyFill="1" applyBorder="1"/>
    <xf numFmtId="0" fontId="2" fillId="5" borderId="6" xfId="0" applyFont="1" applyFill="1" applyBorder="1"/>
    <xf numFmtId="167" fontId="5" fillId="3" borderId="7" xfId="0" applyNumberFormat="1" applyFont="1" applyFill="1" applyBorder="1"/>
    <xf numFmtId="0" fontId="25" fillId="0" borderId="18" xfId="0" applyFont="1" applyBorder="1"/>
    <xf numFmtId="0" fontId="25" fillId="0" borderId="21" xfId="0" applyFont="1" applyBorder="1"/>
    <xf numFmtId="0" fontId="25" fillId="0" borderId="23" xfId="0" applyFont="1" applyBorder="1"/>
    <xf numFmtId="0" fontId="2" fillId="0" borderId="30" xfId="0" applyFont="1" applyBorder="1"/>
    <xf numFmtId="0" fontId="2" fillId="0" borderId="31" xfId="0" applyFont="1" applyBorder="1"/>
    <xf numFmtId="0" fontId="2" fillId="0" borderId="32" xfId="0" applyFont="1" applyBorder="1"/>
    <xf numFmtId="0" fontId="2" fillId="0" borderId="34" xfId="0" applyFont="1" applyBorder="1"/>
    <xf numFmtId="0" fontId="2" fillId="0" borderId="11" xfId="0" applyFont="1" applyBorder="1"/>
    <xf numFmtId="0" fontId="2" fillId="6" borderId="26" xfId="0" applyFont="1" applyFill="1" applyBorder="1"/>
    <xf numFmtId="0" fontId="2" fillId="6" borderId="19" xfId="0" applyFont="1" applyFill="1" applyBorder="1"/>
    <xf numFmtId="0" fontId="2" fillId="6" borderId="20" xfId="0" applyFont="1" applyFill="1" applyBorder="1"/>
    <xf numFmtId="11" fontId="2" fillId="6" borderId="3" xfId="0" applyNumberFormat="1" applyFont="1" applyFill="1" applyBorder="1"/>
    <xf numFmtId="11" fontId="2" fillId="6" borderId="7" xfId="0" applyNumberFormat="1" applyFont="1" applyFill="1" applyBorder="1"/>
    <xf numFmtId="11" fontId="2" fillId="6" borderId="5" xfId="0" applyNumberFormat="1" applyFont="1" applyFill="1" applyBorder="1"/>
    <xf numFmtId="11" fontId="2" fillId="6" borderId="13" xfId="0" applyNumberFormat="1" applyFont="1" applyFill="1" applyBorder="1"/>
    <xf numFmtId="11" fontId="2" fillId="6" borderId="6" xfId="0" applyNumberFormat="1" applyFont="1" applyFill="1" applyBorder="1"/>
    <xf numFmtId="0" fontId="28" fillId="0" borderId="27" xfId="0" applyFont="1" applyBorder="1"/>
    <xf numFmtId="0" fontId="2" fillId="0" borderId="28" xfId="0" applyFont="1" applyBorder="1"/>
    <xf numFmtId="0" fontId="2" fillId="0" borderId="29" xfId="0" applyFont="1" applyBorder="1"/>
    <xf numFmtId="0" fontId="29" fillId="0" borderId="34" xfId="0" applyFont="1" applyBorder="1" applyAlignment="1">
      <alignment horizontal="center" vertical="top"/>
    </xf>
    <xf numFmtId="0" fontId="29" fillId="0" borderId="35" xfId="0" applyFont="1" applyBorder="1" applyAlignment="1">
      <alignment horizontal="center" vertical="top"/>
    </xf>
    <xf numFmtId="0" fontId="29" fillId="0" borderId="36" xfId="0" applyFont="1" applyBorder="1" applyAlignment="1">
      <alignment horizontal="center" vertical="top"/>
    </xf>
    <xf numFmtId="0" fontId="29" fillId="0" borderId="30" xfId="0" applyFont="1" applyBorder="1" applyAlignment="1">
      <alignment horizontal="center" vertical="top"/>
    </xf>
    <xf numFmtId="0" fontId="29" fillId="0" borderId="31" xfId="0" applyFont="1" applyBorder="1" applyAlignment="1">
      <alignment horizontal="center" vertical="top"/>
    </xf>
    <xf numFmtId="0" fontId="29" fillId="0" borderId="32" xfId="0" applyFont="1" applyBorder="1" applyAlignment="1">
      <alignment horizontal="center" vertical="top"/>
    </xf>
    <xf numFmtId="0" fontId="2" fillId="0" borderId="18" xfId="0" applyFont="1" applyBorder="1"/>
    <xf numFmtId="0" fontId="2" fillId="0" borderId="23" xfId="0" applyFont="1" applyBorder="1"/>
    <xf numFmtId="0" fontId="29" fillId="0" borderId="41" xfId="0" applyFont="1" applyBorder="1" applyAlignment="1">
      <alignment horizontal="center" vertical="top"/>
    </xf>
    <xf numFmtId="0" fontId="29" fillId="0" borderId="42" xfId="0" applyFont="1" applyBorder="1" applyAlignment="1">
      <alignment horizontal="center" vertical="top"/>
    </xf>
    <xf numFmtId="0" fontId="29" fillId="0" borderId="43" xfId="0" applyFont="1" applyBorder="1" applyAlignment="1">
      <alignment horizontal="center" vertical="top"/>
    </xf>
    <xf numFmtId="0" fontId="2" fillId="6" borderId="7" xfId="0" applyFont="1" applyFill="1" applyBorder="1"/>
    <xf numFmtId="0" fontId="2" fillId="6" borderId="4" xfId="0" applyFont="1" applyFill="1" applyBorder="1"/>
    <xf numFmtId="0" fontId="2" fillId="6" borderId="13" xfId="0" applyFont="1" applyFill="1" applyBorder="1"/>
    <xf numFmtId="0" fontId="2" fillId="6" borderId="6" xfId="0" applyFont="1" applyFill="1" applyBorder="1"/>
    <xf numFmtId="0" fontId="2" fillId="7" borderId="18" xfId="0" applyFont="1" applyFill="1" applyBorder="1"/>
    <xf numFmtId="0" fontId="0" fillId="7" borderId="0" xfId="0" applyFill="1"/>
    <xf numFmtId="0" fontId="24" fillId="0" borderId="27" xfId="0" applyFont="1" applyBorder="1"/>
    <xf numFmtId="0" fontId="0" fillId="7" borderId="11" xfId="0" applyFill="1" applyBorder="1"/>
    <xf numFmtId="0" fontId="2" fillId="6" borderId="10" xfId="0" applyFont="1" applyFill="1" applyBorder="1"/>
    <xf numFmtId="0" fontId="2" fillId="6" borderId="44" xfId="0" applyFont="1" applyFill="1" applyBorder="1"/>
    <xf numFmtId="0" fontId="2" fillId="6" borderId="33" xfId="0" applyFont="1" applyFill="1" applyBorder="1"/>
    <xf numFmtId="0" fontId="2" fillId="7" borderId="11" xfId="0" applyFont="1" applyFill="1" applyBorder="1"/>
    <xf numFmtId="0" fontId="0" fillId="0" borderId="28" xfId="0" applyBorder="1"/>
    <xf numFmtId="0" fontId="0" fillId="0" borderId="29" xfId="0" applyBorder="1"/>
    <xf numFmtId="0" fontId="31" fillId="0" borderId="27" xfId="0" applyFont="1" applyBorder="1" applyAlignment="1">
      <alignment horizontal="left" vertical="top"/>
    </xf>
    <xf numFmtId="0" fontId="2" fillId="6" borderId="47" xfId="0" applyFont="1" applyFill="1" applyBorder="1"/>
    <xf numFmtId="0" fontId="16" fillId="0" borderId="0" xfId="0" applyFont="1" applyAlignment="1">
      <alignment horizontal="center"/>
    </xf>
    <xf numFmtId="0" fontId="29" fillId="0" borderId="0" xfId="0" applyFont="1" applyAlignment="1">
      <alignment horizontal="center" vertical="top"/>
    </xf>
    <xf numFmtId="0" fontId="11" fillId="0" borderId="34" xfId="0" applyFont="1" applyBorder="1"/>
    <xf numFmtId="0" fontId="11" fillId="0" borderId="36" xfId="0" applyFont="1" applyBorder="1"/>
    <xf numFmtId="0" fontId="11" fillId="0" borderId="0" xfId="0" applyFont="1" applyAlignment="1">
      <alignment horizontal="center"/>
    </xf>
    <xf numFmtId="0" fontId="11" fillId="0" borderId="23"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11" fillId="0" borderId="27" xfId="0" applyFont="1" applyBorder="1" applyAlignment="1">
      <alignment horizontal="center"/>
    </xf>
    <xf numFmtId="0" fontId="11" fillId="0" borderId="28" xfId="0" applyFont="1" applyBorder="1" applyAlignment="1">
      <alignment horizontal="center"/>
    </xf>
    <xf numFmtId="0" fontId="11" fillId="0" borderId="29" xfId="0" applyFont="1" applyBorder="1" applyAlignment="1">
      <alignment horizontal="center"/>
    </xf>
    <xf numFmtId="0" fontId="2" fillId="6" borderId="30" xfId="0" applyFont="1" applyFill="1" applyBorder="1"/>
    <xf numFmtId="0" fontId="2" fillId="6" borderId="31" xfId="0" applyFont="1" applyFill="1" applyBorder="1"/>
    <xf numFmtId="0" fontId="2" fillId="6" borderId="32" xfId="0" applyFont="1" applyFill="1" applyBorder="1"/>
    <xf numFmtId="0" fontId="2" fillId="6" borderId="11" xfId="0" applyFont="1" applyFill="1" applyBorder="1"/>
    <xf numFmtId="0" fontId="11" fillId="0" borderId="30" xfId="0" applyFont="1" applyBorder="1" applyAlignment="1">
      <alignment horizontal="center"/>
    </xf>
    <xf numFmtId="0" fontId="11" fillId="0" borderId="31" xfId="0" applyFont="1" applyBorder="1" applyAlignment="1">
      <alignment horizontal="center"/>
    </xf>
    <xf numFmtId="0" fontId="11" fillId="0" borderId="32" xfId="0" applyFont="1" applyBorder="1" applyAlignment="1">
      <alignment horizontal="center"/>
    </xf>
    <xf numFmtId="0" fontId="5" fillId="6" borderId="30" xfId="0" applyFont="1" applyFill="1" applyBorder="1"/>
    <xf numFmtId="0" fontId="5" fillId="6" borderId="31" xfId="0" applyFont="1" applyFill="1" applyBorder="1"/>
    <xf numFmtId="0" fontId="5" fillId="6" borderId="32" xfId="0" applyFont="1" applyFill="1" applyBorder="1"/>
    <xf numFmtId="0" fontId="24" fillId="0" borderId="11" xfId="0" applyFont="1" applyBorder="1" applyAlignment="1">
      <alignment horizontal="center"/>
    </xf>
    <xf numFmtId="0" fontId="11" fillId="0" borderId="34" xfId="0" applyFont="1" applyBorder="1" applyAlignment="1">
      <alignment horizontal="center"/>
    </xf>
    <xf numFmtId="0" fontId="11" fillId="0" borderId="35" xfId="0" applyFont="1" applyBorder="1" applyAlignment="1">
      <alignment horizontal="center"/>
    </xf>
    <xf numFmtId="0" fontId="11" fillId="0" borderId="36" xfId="0" applyFont="1" applyBorder="1" applyAlignment="1">
      <alignment horizontal="center"/>
    </xf>
    <xf numFmtId="0" fontId="32" fillId="8" borderId="0" xfId="0" applyFont="1" applyFill="1"/>
    <xf numFmtId="0" fontId="33" fillId="8" borderId="0" xfId="0" applyFont="1" applyFill="1"/>
    <xf numFmtId="11" fontId="2" fillId="6" borderId="0" xfId="0" applyNumberFormat="1" applyFont="1" applyFill="1"/>
    <xf numFmtId="0" fontId="24" fillId="0" borderId="43" xfId="0" applyFont="1" applyBorder="1" applyAlignment="1">
      <alignment horizontal="center" wrapText="1"/>
    </xf>
    <xf numFmtId="11" fontId="2" fillId="6" borderId="34" xfId="0" applyNumberFormat="1" applyFont="1" applyFill="1" applyBorder="1"/>
    <xf numFmtId="11" fontId="2" fillId="6" borderId="35" xfId="0" applyNumberFormat="1" applyFont="1" applyFill="1" applyBorder="1"/>
    <xf numFmtId="11" fontId="2" fillId="6" borderId="36" xfId="0" applyNumberFormat="1" applyFont="1" applyFill="1" applyBorder="1"/>
    <xf numFmtId="0" fontId="5" fillId="2" borderId="21" xfId="0" applyFont="1" applyFill="1" applyBorder="1"/>
    <xf numFmtId="0" fontId="7" fillId="2" borderId="21" xfId="0" applyFont="1" applyFill="1" applyBorder="1"/>
    <xf numFmtId="11" fontId="1" fillId="2" borderId="22" xfId="0" applyNumberFormat="1" applyFont="1" applyFill="1" applyBorder="1"/>
    <xf numFmtId="11" fontId="2" fillId="2" borderId="22" xfId="0" applyNumberFormat="1" applyFont="1" applyFill="1" applyBorder="1"/>
    <xf numFmtId="0" fontId="5" fillId="2" borderId="50" xfId="0" applyFont="1" applyFill="1" applyBorder="1"/>
    <xf numFmtId="0" fontId="2" fillId="2" borderId="22" xfId="0" applyFont="1" applyFill="1" applyBorder="1" applyAlignment="1">
      <alignment horizontal="right" vertical="center"/>
    </xf>
    <xf numFmtId="11" fontId="2" fillId="2" borderId="48" xfId="0" applyNumberFormat="1" applyFont="1" applyFill="1" applyBorder="1" applyAlignment="1">
      <alignment horizontal="right"/>
    </xf>
    <xf numFmtId="0" fontId="5" fillId="2" borderId="39" xfId="0" applyFont="1" applyFill="1" applyBorder="1"/>
    <xf numFmtId="164" fontId="7" fillId="2" borderId="45" xfId="0" applyNumberFormat="1" applyFont="1" applyFill="1" applyBorder="1"/>
    <xf numFmtId="11" fontId="1" fillId="2" borderId="45" xfId="0" applyNumberFormat="1" applyFont="1" applyFill="1" applyBorder="1"/>
    <xf numFmtId="0" fontId="2" fillId="2" borderId="45" xfId="0" applyFont="1" applyFill="1" applyBorder="1" applyAlignment="1">
      <alignment horizontal="right" vertical="center"/>
    </xf>
    <xf numFmtId="11" fontId="7" fillId="2" borderId="48" xfId="0" applyNumberFormat="1" applyFont="1" applyFill="1" applyBorder="1"/>
    <xf numFmtId="0" fontId="19" fillId="2" borderId="27" xfId="0" applyFont="1" applyFill="1" applyBorder="1"/>
    <xf numFmtId="0" fontId="5" fillId="2" borderId="29" xfId="0" applyFont="1" applyFill="1" applyBorder="1"/>
    <xf numFmtId="11" fontId="2" fillId="2" borderId="45" xfId="0" applyNumberFormat="1" applyFont="1" applyFill="1" applyBorder="1"/>
    <xf numFmtId="0" fontId="11" fillId="0" borderId="1" xfId="0" applyFont="1" applyBorder="1" applyAlignment="1">
      <alignment horizontal="center"/>
    </xf>
    <xf numFmtId="0" fontId="11" fillId="0" borderId="39" xfId="0" applyFont="1" applyBorder="1" applyAlignment="1">
      <alignment horizontal="center"/>
    </xf>
    <xf numFmtId="0" fontId="11" fillId="0" borderId="40" xfId="0" applyFont="1" applyBorder="1" applyAlignment="1">
      <alignment horizontal="center"/>
    </xf>
    <xf numFmtId="0" fontId="28" fillId="0" borderId="24" xfId="0" applyFont="1" applyBorder="1" applyAlignment="1">
      <alignment horizontal="center" vertical="center"/>
    </xf>
    <xf numFmtId="11" fontId="2" fillId="0" borderId="34" xfId="0" applyNumberFormat="1" applyFont="1" applyBorder="1"/>
    <xf numFmtId="11" fontId="2" fillId="0" borderId="35" xfId="0" applyNumberFormat="1" applyFont="1" applyBorder="1"/>
    <xf numFmtId="11" fontId="2" fillId="0" borderId="36" xfId="0" applyNumberFormat="1" applyFont="1" applyBorder="1"/>
    <xf numFmtId="0" fontId="24" fillId="0" borderId="24" xfId="0" applyFont="1" applyBorder="1" applyAlignment="1">
      <alignment horizontal="center" vertical="center"/>
    </xf>
    <xf numFmtId="11" fontId="2" fillId="2" borderId="45" xfId="0" applyNumberFormat="1" applyFont="1" applyFill="1" applyBorder="1" applyAlignment="1">
      <alignment horizontal="right" vertical="center"/>
    </xf>
    <xf numFmtId="11" fontId="2" fillId="0" borderId="1" xfId="0" applyNumberFormat="1" applyFont="1" applyBorder="1"/>
    <xf numFmtId="11" fontId="2" fillId="0" borderId="39" xfId="0" applyNumberFormat="1" applyFont="1" applyBorder="1"/>
    <xf numFmtId="11" fontId="2" fillId="0" borderId="40" xfId="0" applyNumberFormat="1" applyFont="1" applyBorder="1"/>
    <xf numFmtId="0" fontId="23" fillId="8" borderId="0" xfId="0" applyFont="1" applyFill="1"/>
    <xf numFmtId="0" fontId="2" fillId="8" borderId="0" xfId="0" applyFont="1" applyFill="1"/>
    <xf numFmtId="10" fontId="2" fillId="4" borderId="0" xfId="0" applyNumberFormat="1" applyFont="1" applyFill="1"/>
    <xf numFmtId="0" fontId="0" fillId="8" borderId="0" xfId="0" applyFill="1"/>
    <xf numFmtId="0" fontId="24" fillId="0" borderId="51" xfId="0" applyFont="1" applyBorder="1" applyAlignment="1">
      <alignment horizontal="left" vertical="center" wrapText="1"/>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0" xfId="0" applyFont="1" applyBorder="1" applyAlignment="1">
      <alignment horizontal="center" vertical="center"/>
    </xf>
    <xf numFmtId="0" fontId="16" fillId="0" borderId="31" xfId="0" applyFont="1" applyBorder="1" applyAlignment="1">
      <alignment horizontal="center" vertical="center"/>
    </xf>
    <xf numFmtId="0" fontId="16" fillId="0" borderId="32" xfId="0" applyFont="1" applyBorder="1" applyAlignment="1">
      <alignment horizontal="center" vertical="center"/>
    </xf>
    <xf numFmtId="0" fontId="11" fillId="0" borderId="11" xfId="0" applyFont="1" applyBorder="1" applyAlignment="1">
      <alignment horizontal="center"/>
    </xf>
    <xf numFmtId="0" fontId="28" fillId="0" borderId="11" xfId="0" applyFont="1" applyBorder="1"/>
    <xf numFmtId="0" fontId="28" fillId="0" borderId="11" xfId="0" applyFont="1" applyBorder="1" applyAlignment="1">
      <alignment horizontal="center"/>
    </xf>
    <xf numFmtId="0" fontId="24" fillId="0" borderId="27" xfId="0" applyFont="1" applyBorder="1" applyAlignment="1">
      <alignment horizontal="center"/>
    </xf>
    <xf numFmtId="11" fontId="0" fillId="0" borderId="7" xfId="0" applyNumberFormat="1" applyBorder="1"/>
    <xf numFmtId="11" fontId="0" fillId="0" borderId="10" xfId="0" applyNumberFormat="1" applyBorder="1"/>
    <xf numFmtId="11" fontId="0" fillId="0" borderId="44" xfId="0" applyNumberFormat="1" applyBorder="1"/>
    <xf numFmtId="11" fontId="0" fillId="0" borderId="33" xfId="0" applyNumberFormat="1" applyBorder="1"/>
    <xf numFmtId="11" fontId="0" fillId="0" borderId="52" xfId="0" applyNumberFormat="1" applyBorder="1"/>
    <xf numFmtId="11" fontId="0" fillId="0" borderId="8" xfId="0" applyNumberFormat="1" applyBorder="1"/>
    <xf numFmtId="0" fontId="0" fillId="0" borderId="24" xfId="0" applyBorder="1"/>
    <xf numFmtId="0" fontId="39" fillId="0" borderId="11" xfId="0" applyFont="1" applyBorder="1" applyAlignment="1">
      <alignment horizontal="center"/>
    </xf>
    <xf numFmtId="0" fontId="34" fillId="0" borderId="23" xfId="0" applyFont="1" applyBorder="1" applyAlignment="1">
      <alignment horizontal="center"/>
    </xf>
    <xf numFmtId="0" fontId="24" fillId="0" borderId="18" xfId="0" applyFont="1" applyBorder="1" applyAlignment="1">
      <alignment horizontal="center" vertical="center"/>
    </xf>
    <xf numFmtId="0" fontId="24" fillId="0" borderId="38" xfId="0" applyFont="1" applyBorder="1" applyAlignment="1">
      <alignment horizontal="center" vertical="center"/>
    </xf>
    <xf numFmtId="11" fontId="2" fillId="0" borderId="2" xfId="0" applyNumberFormat="1" applyFont="1" applyBorder="1"/>
    <xf numFmtId="11" fontId="2" fillId="0" borderId="45" xfId="0" applyNumberFormat="1" applyFont="1" applyBorder="1"/>
    <xf numFmtId="11" fontId="2" fillId="0" borderId="46" xfId="0" applyNumberFormat="1" applyFont="1" applyBorder="1"/>
    <xf numFmtId="11" fontId="2" fillId="0" borderId="11" xfId="0" applyNumberFormat="1" applyFont="1" applyBorder="1"/>
    <xf numFmtId="0" fontId="31" fillId="0" borderId="0" xfId="0" applyFont="1"/>
    <xf numFmtId="0" fontId="24" fillId="0" borderId="25" xfId="0" applyFont="1" applyBorder="1" applyAlignment="1">
      <alignment horizontal="center"/>
    </xf>
    <xf numFmtId="0" fontId="28" fillId="0" borderId="34" xfId="0" applyFont="1" applyBorder="1" applyAlignment="1">
      <alignment horizontal="center"/>
    </xf>
    <xf numFmtId="0" fontId="11" fillId="0" borderId="53" xfId="0" applyFont="1" applyBorder="1" applyAlignment="1">
      <alignment horizontal="center"/>
    </xf>
    <xf numFmtId="0" fontId="5" fillId="6" borderId="53" xfId="0" applyFont="1" applyFill="1" applyBorder="1"/>
    <xf numFmtId="11" fontId="0" fillId="0" borderId="11" xfId="0" applyNumberFormat="1" applyBorder="1"/>
    <xf numFmtId="11" fontId="0" fillId="0" borderId="11" xfId="0" applyNumberFormat="1" applyBorder="1" applyAlignment="1">
      <alignment horizontal="center"/>
    </xf>
    <xf numFmtId="0" fontId="41" fillId="6" borderId="11" xfId="0" applyFont="1" applyFill="1" applyBorder="1" applyAlignment="1">
      <alignment horizontal="center" vertical="center"/>
    </xf>
    <xf numFmtId="11" fontId="2" fillId="6" borderId="11" xfId="0" applyNumberFormat="1" applyFont="1" applyFill="1" applyBorder="1" applyAlignment="1">
      <alignment horizontal="center"/>
    </xf>
    <xf numFmtId="0" fontId="16" fillId="0" borderId="11" xfId="0" applyFont="1" applyBorder="1" applyAlignment="1">
      <alignment horizontal="center"/>
    </xf>
    <xf numFmtId="0" fontId="24" fillId="0" borderId="30" xfId="0" applyFont="1" applyBorder="1" applyAlignment="1">
      <alignment horizontal="center"/>
    </xf>
    <xf numFmtId="0" fontId="24" fillId="0" borderId="31" xfId="0" applyFont="1" applyBorder="1" applyAlignment="1">
      <alignment horizontal="center"/>
    </xf>
    <xf numFmtId="0" fontId="24" fillId="0" borderId="32" xfId="0" applyFont="1" applyBorder="1" applyAlignment="1">
      <alignment horizontal="center"/>
    </xf>
    <xf numFmtId="11" fontId="0" fillId="0" borderId="24" xfId="0" applyNumberFormat="1" applyBorder="1"/>
    <xf numFmtId="11" fontId="2" fillId="6" borderId="52" xfId="0" applyNumberFormat="1" applyFont="1" applyFill="1" applyBorder="1"/>
    <xf numFmtId="11" fontId="2" fillId="6" borderId="54" xfId="0" applyNumberFormat="1" applyFont="1" applyFill="1" applyBorder="1"/>
    <xf numFmtId="0" fontId="24" fillId="0" borderId="32" xfId="0" applyFont="1" applyBorder="1"/>
    <xf numFmtId="0" fontId="11" fillId="0" borderId="18" xfId="0" applyFont="1" applyBorder="1" applyAlignment="1">
      <alignment horizontal="center"/>
    </xf>
    <xf numFmtId="0" fontId="0" fillId="7" borderId="25" xfId="0" applyFill="1" applyBorder="1"/>
    <xf numFmtId="11" fontId="2" fillId="6" borderId="39" xfId="0" applyNumberFormat="1" applyFont="1" applyFill="1" applyBorder="1"/>
    <xf numFmtId="0" fontId="24" fillId="0" borderId="42" xfId="0" applyFont="1" applyBorder="1" applyAlignment="1">
      <alignment horizontal="center"/>
    </xf>
    <xf numFmtId="0" fontId="24" fillId="0" borderId="28" xfId="0" applyFont="1" applyBorder="1"/>
    <xf numFmtId="0" fontId="24" fillId="0" borderId="29" xfId="0" applyFont="1" applyBorder="1"/>
    <xf numFmtId="11" fontId="11" fillId="6" borderId="32" xfId="0" applyNumberFormat="1" applyFont="1" applyFill="1" applyBorder="1" applyAlignment="1">
      <alignment horizontal="center"/>
    </xf>
    <xf numFmtId="11" fontId="2" fillId="0" borderId="34" xfId="0" applyNumberFormat="1" applyFont="1" applyBorder="1" applyAlignment="1">
      <alignment horizontal="center"/>
    </xf>
    <xf numFmtId="11" fontId="2" fillId="0" borderId="35" xfId="0" applyNumberFormat="1" applyFont="1" applyBorder="1" applyAlignment="1">
      <alignment horizontal="center"/>
    </xf>
    <xf numFmtId="11" fontId="2" fillId="0" borderId="36" xfId="0" applyNumberFormat="1" applyFont="1" applyBorder="1" applyAlignment="1">
      <alignment horizontal="center"/>
    </xf>
    <xf numFmtId="11" fontId="2" fillId="0" borderId="18" xfId="0" applyNumberFormat="1" applyFont="1" applyBorder="1" applyAlignment="1">
      <alignment horizontal="center"/>
    </xf>
    <xf numFmtId="164" fontId="2" fillId="0" borderId="0" xfId="0" applyNumberFormat="1" applyFont="1" applyAlignment="1">
      <alignment horizontal="center"/>
    </xf>
    <xf numFmtId="11" fontId="2" fillId="0" borderId="0" xfId="0" applyNumberFormat="1" applyFont="1" applyAlignment="1">
      <alignment horizontal="center"/>
    </xf>
    <xf numFmtId="0" fontId="2" fillId="0" borderId="38"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15" xfId="0" applyFont="1" applyBorder="1" applyAlignment="1">
      <alignment horizontal="center"/>
    </xf>
    <xf numFmtId="164" fontId="2" fillId="0" borderId="37" xfId="0" applyNumberFormat="1" applyFont="1" applyBorder="1" applyAlignment="1">
      <alignment horizontal="center"/>
    </xf>
    <xf numFmtId="11" fontId="2" fillId="0" borderId="24" xfId="0" applyNumberFormat="1" applyFont="1" applyBorder="1"/>
    <xf numFmtId="164" fontId="2" fillId="0" borderId="14" xfId="0" applyNumberFormat="1" applyFont="1" applyBorder="1" applyAlignment="1">
      <alignment horizontal="center"/>
    </xf>
    <xf numFmtId="0" fontId="2" fillId="0" borderId="14" xfId="0" applyFont="1" applyBorder="1" applyAlignment="1">
      <alignment horizontal="center"/>
    </xf>
    <xf numFmtId="11" fontId="2" fillId="0" borderId="12" xfId="0" applyNumberFormat="1" applyFont="1" applyBorder="1" applyAlignment="1">
      <alignment horizontal="center"/>
    </xf>
    <xf numFmtId="11" fontId="2" fillId="0" borderId="9" xfId="0" applyNumberFormat="1" applyFont="1" applyBorder="1" applyAlignment="1">
      <alignment horizontal="center"/>
    </xf>
    <xf numFmtId="11" fontId="2" fillId="0" borderId="49" xfId="0" applyNumberFormat="1" applyFont="1" applyBorder="1" applyAlignment="1">
      <alignment horizontal="center"/>
    </xf>
    <xf numFmtId="0" fontId="24" fillId="0" borderId="41" xfId="0" applyFont="1" applyBorder="1" applyAlignment="1">
      <alignment horizontal="center"/>
    </xf>
    <xf numFmtId="0" fontId="24" fillId="0" borderId="43" xfId="0" applyFont="1" applyBorder="1" applyAlignment="1">
      <alignment horizontal="center"/>
    </xf>
    <xf numFmtId="11" fontId="2" fillId="0" borderId="37" xfId="0" applyNumberFormat="1" applyFont="1" applyBorder="1" applyAlignment="1">
      <alignment horizontal="center"/>
    </xf>
    <xf numFmtId="11" fontId="2" fillId="0" borderId="21" xfId="0" applyNumberFormat="1" applyFont="1" applyBorder="1" applyAlignment="1">
      <alignment horizontal="center"/>
    </xf>
    <xf numFmtId="11" fontId="2" fillId="0" borderId="23" xfId="0" applyNumberFormat="1" applyFont="1" applyBorder="1" applyAlignment="1">
      <alignment horizontal="center"/>
    </xf>
    <xf numFmtId="11" fontId="2" fillId="0" borderId="14" xfId="0" applyNumberFormat="1" applyFont="1" applyBorder="1" applyAlignment="1">
      <alignment horizontal="center"/>
    </xf>
    <xf numFmtId="11" fontId="2" fillId="6" borderId="11" xfId="0" applyNumberFormat="1" applyFont="1" applyFill="1" applyBorder="1"/>
    <xf numFmtId="11" fontId="2" fillId="6" borderId="32" xfId="0" applyNumberFormat="1" applyFont="1" applyFill="1" applyBorder="1" applyAlignment="1">
      <alignment horizontal="center"/>
    </xf>
    <xf numFmtId="0" fontId="16" fillId="0" borderId="1" xfId="0" applyFont="1" applyBorder="1" applyAlignment="1">
      <alignment horizontal="center"/>
    </xf>
    <xf numFmtId="0" fontId="16" fillId="0" borderId="39" xfId="0" applyFont="1" applyBorder="1" applyAlignment="1">
      <alignment horizontal="center"/>
    </xf>
    <xf numFmtId="0" fontId="16" fillId="0" borderId="40" xfId="0" applyFont="1" applyBorder="1" applyAlignment="1">
      <alignment horizontal="center"/>
    </xf>
    <xf numFmtId="0" fontId="24" fillId="0" borderId="41" xfId="0" applyFont="1" applyBorder="1" applyAlignment="1">
      <alignment horizontal="center" wrapText="1"/>
    </xf>
    <xf numFmtId="0" fontId="24" fillId="0" borderId="24" xfId="0" applyFont="1" applyBorder="1" applyAlignment="1">
      <alignment horizontal="center" vertical="center" wrapText="1"/>
    </xf>
    <xf numFmtId="11" fontId="2" fillId="6" borderId="19" xfId="0" applyNumberFormat="1" applyFont="1" applyFill="1" applyBorder="1"/>
    <xf numFmtId="0" fontId="2" fillId="6" borderId="3" xfId="0" applyFont="1" applyFill="1" applyBorder="1"/>
    <xf numFmtId="0" fontId="2" fillId="6" borderId="5" xfId="0" applyFont="1" applyFill="1" applyBorder="1"/>
    <xf numFmtId="0" fontId="16" fillId="0" borderId="53" xfId="0" applyFont="1" applyBorder="1" applyAlignment="1">
      <alignment horizontal="center"/>
    </xf>
    <xf numFmtId="0" fontId="42" fillId="0" borderId="17" xfId="0" applyFont="1" applyBorder="1" applyAlignment="1">
      <alignment horizontal="center"/>
    </xf>
    <xf numFmtId="0" fontId="24" fillId="0" borderId="27" xfId="0" applyFont="1" applyBorder="1" applyAlignment="1">
      <alignment horizontal="center"/>
    </xf>
    <xf numFmtId="0" fontId="24" fillId="0" borderId="28" xfId="0" applyFont="1" applyBorder="1" applyAlignment="1">
      <alignment horizontal="center"/>
    </xf>
    <xf numFmtId="0" fontId="24" fillId="0" borderId="29" xfId="0" applyFont="1" applyBorder="1" applyAlignment="1">
      <alignment horizontal="center"/>
    </xf>
    <xf numFmtId="0" fontId="22" fillId="0" borderId="27" xfId="0" applyFont="1" applyBorder="1" applyAlignment="1">
      <alignment horizontal="center"/>
    </xf>
    <xf numFmtId="0" fontId="22" fillId="0" borderId="28" xfId="0" applyFont="1" applyBorder="1" applyAlignment="1">
      <alignment horizontal="center"/>
    </xf>
    <xf numFmtId="0" fontId="22" fillId="0" borderId="29" xfId="0" applyFont="1" applyBorder="1" applyAlignment="1">
      <alignment horizontal="center"/>
    </xf>
    <xf numFmtId="0" fontId="37" fillId="0" borderId="27" xfId="0" applyFont="1" applyBorder="1" applyAlignment="1">
      <alignment horizontal="center"/>
    </xf>
    <xf numFmtId="0" fontId="37" fillId="0" borderId="28" xfId="0" applyFont="1" applyBorder="1" applyAlignment="1">
      <alignment horizontal="center"/>
    </xf>
    <xf numFmtId="0" fontId="37" fillId="0" borderId="29" xfId="0" applyFont="1" applyBorder="1" applyAlignment="1">
      <alignment horizontal="center"/>
    </xf>
    <xf numFmtId="0" fontId="29" fillId="0" borderId="27" xfId="0" applyFont="1" applyBorder="1" applyAlignment="1">
      <alignment horizontal="center" vertical="top"/>
    </xf>
    <xf numFmtId="0" fontId="29" fillId="0" borderId="29" xfId="0" applyFont="1" applyBorder="1" applyAlignment="1">
      <alignment horizontal="center" vertical="top"/>
    </xf>
    <xf numFmtId="0" fontId="29" fillId="0" borderId="14" xfId="0" applyFont="1" applyBorder="1" applyAlignment="1">
      <alignment horizontal="center" vertical="top"/>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center"/>
    </xf>
    <xf numFmtId="164" fontId="2" fillId="0" borderId="28" xfId="0" applyNumberFormat="1"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E97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lineChart>
        <c:grouping val="standard"/>
        <c:varyColors val="0"/>
        <c:ser>
          <c:idx val="1"/>
          <c:order val="0"/>
          <c:tx>
            <c:strRef>
              <c:f>Foglio1!$E$73</c:f>
              <c:strCache>
                <c:ptCount val="1"/>
                <c:pt idx="0">
                  <c:v>Qtransl</c:v>
                </c:pt>
              </c:strCache>
            </c:strRef>
          </c:tx>
          <c:spPr>
            <a:ln w="28575" cap="rnd">
              <a:solidFill>
                <a:schemeClr val="accent2"/>
              </a:solidFill>
              <a:round/>
            </a:ln>
            <a:effectLst/>
          </c:spPr>
          <c:marker>
            <c:symbol val="triangle"/>
            <c:size val="6"/>
            <c:spPr>
              <a:solidFill>
                <a:schemeClr val="accent2"/>
              </a:solidFill>
              <a:ln w="9525">
                <a:solidFill>
                  <a:schemeClr val="accent2"/>
                </a:solidFill>
              </a:ln>
              <a:effectLst/>
            </c:spPr>
          </c:marker>
          <c:cat>
            <c:numRef>
              <c:f>Foglio1!$C$74:$C$91</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Foglio1!$E$74:$E$91</c:f>
              <c:numCache>
                <c:formatCode>0.00E+00</c:formatCode>
                <c:ptCount val="18"/>
                <c:pt idx="0">
                  <c:v>6571437.4429959673</c:v>
                </c:pt>
                <c:pt idx="1">
                  <c:v>13489853.072627708</c:v>
                </c:pt>
                <c:pt idx="2">
                  <c:v>23565803.497562602</c:v>
                </c:pt>
                <c:pt idx="3">
                  <c:v>37173663.824685179</c:v>
                </c:pt>
                <c:pt idx="4">
                  <c:v>54651532.068616025</c:v>
                </c:pt>
                <c:pt idx="5">
                  <c:v>76310132.678922117</c:v>
                </c:pt>
                <c:pt idx="6">
                  <c:v>102438571.7702668</c:v>
                </c:pt>
                <c:pt idx="7">
                  <c:v>133308315.65788789</c:v>
                </c:pt>
                <c:pt idx="8">
                  <c:v>169176078.60595047</c:v>
                </c:pt>
                <c:pt idx="9">
                  <c:v>210285998.17587215</c:v>
                </c:pt>
                <c:pt idx="10">
                  <c:v>256871322.65187597</c:v>
                </c:pt>
                <c:pt idx="11">
                  <c:v>309155751.42362052</c:v>
                </c:pt>
                <c:pt idx="12">
                  <c:v>367354520.81066382</c:v>
                </c:pt>
                <c:pt idx="13">
                  <c:v>431675298.32408905</c:v>
                </c:pt>
                <c:pt idx="14">
                  <c:v>502318929.61670303</c:v>
                </c:pt>
                <c:pt idx="15">
                  <c:v>579480070.03056562</c:v>
                </c:pt>
                <c:pt idx="16">
                  <c:v>663347724.27354527</c:v>
                </c:pt>
                <c:pt idx="17">
                  <c:v>754105711.92199683</c:v>
                </c:pt>
              </c:numCache>
            </c:numRef>
          </c:val>
          <c:smooth val="0"/>
          <c:extLst>
            <c:ext xmlns:c16="http://schemas.microsoft.com/office/drawing/2014/chart" uri="{C3380CC4-5D6E-409C-BE32-E72D297353CC}">
              <c16:uniqueId val="{00000001-A299-EE45-9B35-3B932BA7C510}"/>
            </c:ext>
          </c:extLst>
        </c:ser>
        <c:dLbls>
          <c:showLegendKey val="0"/>
          <c:showVal val="0"/>
          <c:showCatName val="0"/>
          <c:showSerName val="0"/>
          <c:showPercent val="0"/>
          <c:showBubbleSize val="0"/>
        </c:dLbls>
        <c:marker val="1"/>
        <c:smooth val="0"/>
        <c:axId val="221762047"/>
        <c:axId val="221763759"/>
      </c:lineChart>
      <c:catAx>
        <c:axId val="22176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221763759"/>
        <c:crosses val="autoZero"/>
        <c:auto val="1"/>
        <c:lblAlgn val="ctr"/>
        <c:lblOffset val="100"/>
        <c:noMultiLvlLbl val="0"/>
      </c:catAx>
      <c:valAx>
        <c:axId val="221763759"/>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2217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lineChart>
        <c:grouping val="standard"/>
        <c:varyColors val="0"/>
        <c:ser>
          <c:idx val="1"/>
          <c:order val="0"/>
          <c:tx>
            <c:v>Qvib</c:v>
          </c:tx>
          <c:spPr>
            <a:ln w="28575" cap="rnd">
              <a:solidFill>
                <a:schemeClr val="accent2"/>
              </a:solidFill>
              <a:round/>
            </a:ln>
            <a:effectLst/>
          </c:spPr>
          <c:marker>
            <c:symbol val="diamond"/>
            <c:size val="6"/>
            <c:spPr>
              <a:solidFill>
                <a:schemeClr val="accent2"/>
              </a:solidFill>
              <a:ln w="9525">
                <a:solidFill>
                  <a:schemeClr val="accent2"/>
                </a:solidFill>
              </a:ln>
              <a:effectLst/>
            </c:spPr>
          </c:marker>
          <c:cat>
            <c:numRef>
              <c:f>Foglio1!$C$111:$C$129</c:f>
              <c:numCache>
                <c:formatCode>General</c:formatCode>
                <c:ptCount val="19"/>
                <c:pt idx="0">
                  <c:v>298.14999999999998</c:v>
                </c:pt>
                <c:pt idx="1">
                  <c:v>300</c:v>
                </c:pt>
                <c:pt idx="2">
                  <c:v>400</c:v>
                </c:pt>
                <c:pt idx="3">
                  <c:v>500</c:v>
                </c:pt>
                <c:pt idx="4">
                  <c:v>600</c:v>
                </c:pt>
                <c:pt idx="5">
                  <c:v>700</c:v>
                </c:pt>
                <c:pt idx="6">
                  <c:v>800</c:v>
                </c:pt>
                <c:pt idx="7">
                  <c:v>900</c:v>
                </c:pt>
                <c:pt idx="8">
                  <c:v>1000</c:v>
                </c:pt>
                <c:pt idx="9">
                  <c:v>1100</c:v>
                </c:pt>
                <c:pt idx="10">
                  <c:v>1200</c:v>
                </c:pt>
                <c:pt idx="11">
                  <c:v>1300</c:v>
                </c:pt>
                <c:pt idx="12">
                  <c:v>1400</c:v>
                </c:pt>
                <c:pt idx="13">
                  <c:v>1500</c:v>
                </c:pt>
                <c:pt idx="14">
                  <c:v>1600</c:v>
                </c:pt>
                <c:pt idx="15">
                  <c:v>1700</c:v>
                </c:pt>
                <c:pt idx="16">
                  <c:v>1800</c:v>
                </c:pt>
                <c:pt idx="17">
                  <c:v>1900</c:v>
                </c:pt>
                <c:pt idx="18">
                  <c:v>2000</c:v>
                </c:pt>
              </c:numCache>
            </c:numRef>
          </c:cat>
          <c:val>
            <c:numRef>
              <c:f>Foglio1!$V$111:$V$129</c:f>
              <c:numCache>
                <c:formatCode>General</c:formatCode>
                <c:ptCount val="19"/>
                <c:pt idx="0">
                  <c:v>6.5373435452722565E-35</c:v>
                </c:pt>
                <c:pt idx="1">
                  <c:v>1.06890672487093E-34</c:v>
                </c:pt>
                <c:pt idx="2">
                  <c:v>4.7368169626482121E-26</c:v>
                </c:pt>
                <c:pt idx="3">
                  <c:v>8.7464256006690152E-21</c:v>
                </c:pt>
                <c:pt idx="4">
                  <c:v>3.36784458901195E-17</c:v>
                </c:pt>
                <c:pt idx="5">
                  <c:v>1.4334010333891447E-14</c:v>
                </c:pt>
                <c:pt idx="6">
                  <c:v>1.5445542871836268E-12</c:v>
                </c:pt>
                <c:pt idx="7">
                  <c:v>6.6596710257787473E-11</c:v>
                </c:pt>
                <c:pt idx="8">
                  <c:v>1.5100011630829544E-9</c:v>
                </c:pt>
                <c:pt idx="9">
                  <c:v>2.1406854190081182E-8</c:v>
                </c:pt>
                <c:pt idx="10">
                  <c:v>2.1286965890386778E-7</c:v>
                </c:pt>
                <c:pt idx="11">
                  <c:v>1.6074389455571003E-6</c:v>
                </c:pt>
                <c:pt idx="12">
                  <c:v>9.7543178377886607E-6</c:v>
                </c:pt>
                <c:pt idx="13">
                  <c:v>4.9581202393477749E-5</c:v>
                </c:pt>
                <c:pt idx="14">
                  <c:v>2.1777878658240792E-4</c:v>
                </c:pt>
                <c:pt idx="15">
                  <c:v>8.465478741534777E-4</c:v>
                </c:pt>
                <c:pt idx="16">
                  <c:v>2.9669325928770528E-3</c:v>
                </c:pt>
                <c:pt idx="17">
                  <c:v>9.5146667419778192E-3</c:v>
                </c:pt>
                <c:pt idx="18">
                  <c:v>2.8253085330665825E-2</c:v>
                </c:pt>
              </c:numCache>
            </c:numRef>
          </c:val>
          <c:smooth val="0"/>
          <c:extLst>
            <c:ext xmlns:c16="http://schemas.microsoft.com/office/drawing/2014/chart" uri="{C3380CC4-5D6E-409C-BE32-E72D297353CC}">
              <c16:uniqueId val="{00000001-2B32-4943-AFE3-8A02B15DCE71}"/>
            </c:ext>
          </c:extLst>
        </c:ser>
        <c:dLbls>
          <c:showLegendKey val="0"/>
          <c:showVal val="0"/>
          <c:showCatName val="0"/>
          <c:showSerName val="0"/>
          <c:showPercent val="0"/>
          <c:showBubbleSize val="0"/>
        </c:dLbls>
        <c:marker val="1"/>
        <c:smooth val="0"/>
        <c:axId val="1670626112"/>
        <c:axId val="1670627824"/>
      </c:lineChart>
      <c:catAx>
        <c:axId val="16706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670627824"/>
        <c:crosses val="autoZero"/>
        <c:auto val="1"/>
        <c:lblAlgn val="ctr"/>
        <c:lblOffset val="100"/>
        <c:noMultiLvlLbl val="0"/>
      </c:catAx>
      <c:valAx>
        <c:axId val="16706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67062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Qrot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lineChart>
        <c:grouping val="standard"/>
        <c:varyColors val="0"/>
        <c:ser>
          <c:idx val="0"/>
          <c:order val="0"/>
          <c:tx>
            <c:strRef>
              <c:f>Foglio1!$D$145</c:f>
              <c:strCache>
                <c:ptCount val="1"/>
                <c:pt idx="0">
                  <c:v>Qrot(1) and 𝜎=6</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cat>
            <c:numRef>
              <c:f>Foglio1!$C$146:$C$163</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Foglio1!$D$146:$D$163</c:f>
              <c:numCache>
                <c:formatCode>0.00E+00</c:formatCode>
                <c:ptCount val="18"/>
                <c:pt idx="0">
                  <c:v>5534.8859435231889</c:v>
                </c:pt>
                <c:pt idx="1">
                  <c:v>8521.5143718053805</c:v>
                </c:pt>
                <c:pt idx="2">
                  <c:v>11909.178379123803</c:v>
                </c:pt>
                <c:pt idx="3">
                  <c:v>15655.021535037436</c:v>
                </c:pt>
                <c:pt idx="4">
                  <c:v>19727.581843777236</c:v>
                </c:pt>
                <c:pt idx="5">
                  <c:v>24102.482393128554</c:v>
                </c:pt>
                <c:pt idx="6">
                  <c:v>28760.111004842791</c:v>
                </c:pt>
                <c:pt idx="7">
                  <c:v>33684.243160954247</c:v>
                </c:pt>
                <c:pt idx="8">
                  <c:v>38861.165498236354</c:v>
                </c:pt>
                <c:pt idx="9">
                  <c:v>44279.087548185751</c:v>
                </c:pt>
                <c:pt idx="10">
                  <c:v>49927.730144739013</c:v>
                </c:pt>
                <c:pt idx="11">
                  <c:v>55798.027592590151</c:v>
                </c:pt>
                <c:pt idx="12">
                  <c:v>61881.906087129377</c:v>
                </c:pt>
                <c:pt idx="13">
                  <c:v>68172.114974442477</c:v>
                </c:pt>
                <c:pt idx="14">
                  <c:v>74662.095670991475</c:v>
                </c:pt>
                <c:pt idx="15">
                  <c:v>81345.878076808993</c:v>
                </c:pt>
                <c:pt idx="16">
                  <c:v>88217.997482493607</c:v>
                </c:pt>
                <c:pt idx="17">
                  <c:v>95273.42703298961</c:v>
                </c:pt>
              </c:numCache>
            </c:numRef>
          </c:val>
          <c:smooth val="0"/>
          <c:extLst>
            <c:ext xmlns:c16="http://schemas.microsoft.com/office/drawing/2014/chart" uri="{C3380CC4-5D6E-409C-BE32-E72D297353CC}">
              <c16:uniqueId val="{00000000-A35C-BD49-8E71-3180E2A6DA15}"/>
            </c:ext>
          </c:extLst>
        </c:ser>
        <c:ser>
          <c:idx val="1"/>
          <c:order val="1"/>
          <c:tx>
            <c:strRef>
              <c:f>Foglio1!$E$145</c:f>
              <c:strCache>
                <c:ptCount val="1"/>
                <c:pt idx="0">
                  <c:v>Qrot(2) and 𝜎=2</c:v>
                </c:pt>
              </c:strCache>
            </c:strRef>
          </c:tx>
          <c:spPr>
            <a:ln w="28575" cap="rnd">
              <a:solidFill>
                <a:schemeClr val="accent2"/>
              </a:solidFill>
              <a:round/>
            </a:ln>
            <a:effectLst/>
          </c:spPr>
          <c:marker>
            <c:symbol val="x"/>
            <c:size val="5"/>
            <c:spPr>
              <a:noFill/>
              <a:ln w="9525">
                <a:solidFill>
                  <a:schemeClr val="accent2"/>
                </a:solidFill>
              </a:ln>
              <a:effectLst/>
            </c:spPr>
          </c:marker>
          <c:cat>
            <c:numRef>
              <c:f>Foglio1!$C$146:$C$163</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Foglio1!$E$146:$E$163</c:f>
              <c:numCache>
                <c:formatCode>0.00E+00</c:formatCode>
                <c:ptCount val="18"/>
                <c:pt idx="0">
                  <c:v>1641.1677307014465</c:v>
                </c:pt>
                <c:pt idx="1">
                  <c:v>2526.7430162821533</c:v>
                </c:pt>
                <c:pt idx="2">
                  <c:v>3531.2307162998468</c:v>
                </c:pt>
                <c:pt idx="3">
                  <c:v>4641.923325774118</c:v>
                </c:pt>
                <c:pt idx="4">
                  <c:v>5849.4919420453243</c:v>
                </c:pt>
                <c:pt idx="5">
                  <c:v>7146.7084845154413</c:v>
                </c:pt>
                <c:pt idx="6">
                  <c:v>8527.7576799522667</c:v>
                </c:pt>
                <c:pt idx="7">
                  <c:v>9987.8287417193969</c:v>
                </c:pt>
                <c:pt idx="8">
                  <c:v>11522.855474155793</c:v>
                </c:pt>
                <c:pt idx="9">
                  <c:v>13129.341845611574</c:v>
                </c:pt>
                <c:pt idx="10">
                  <c:v>14804.239945829486</c:v>
                </c:pt>
                <c:pt idx="11">
                  <c:v>16544.861674865282</c:v>
                </c:pt>
                <c:pt idx="12">
                  <c:v>18348.813041637528</c:v>
                </c:pt>
                <c:pt idx="13">
                  <c:v>20213.944130257234</c:v>
                </c:pt>
                <c:pt idx="14">
                  <c:v>22138.310232961558</c:v>
                </c:pt>
                <c:pt idx="15">
                  <c:v>24120.141135239654</c:v>
                </c:pt>
                <c:pt idx="16">
                  <c:v>26157.816477643762</c:v>
                </c:pt>
                <c:pt idx="17">
                  <c:v>28249.845730398734</c:v>
                </c:pt>
              </c:numCache>
            </c:numRef>
          </c:val>
          <c:smooth val="0"/>
          <c:extLst>
            <c:ext xmlns:c16="http://schemas.microsoft.com/office/drawing/2014/chart" uri="{C3380CC4-5D6E-409C-BE32-E72D297353CC}">
              <c16:uniqueId val="{00000001-A35C-BD49-8E71-3180E2A6DA15}"/>
            </c:ext>
          </c:extLst>
        </c:ser>
        <c:dLbls>
          <c:showLegendKey val="0"/>
          <c:showVal val="0"/>
          <c:showCatName val="0"/>
          <c:showSerName val="0"/>
          <c:showPercent val="0"/>
          <c:showBubbleSize val="0"/>
        </c:dLbls>
        <c:marker val="1"/>
        <c:smooth val="0"/>
        <c:axId val="721149247"/>
        <c:axId val="696234255"/>
      </c:lineChart>
      <c:catAx>
        <c:axId val="72114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696234255"/>
        <c:crosses val="autoZero"/>
        <c:auto val="1"/>
        <c:lblAlgn val="ctr"/>
        <c:lblOffset val="100"/>
        <c:noMultiLvlLbl val="0"/>
      </c:catAx>
      <c:valAx>
        <c:axId val="696234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2114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T"/>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lineChart>
        <c:grouping val="standard"/>
        <c:varyColors val="0"/>
        <c:ser>
          <c:idx val="0"/>
          <c:order val="0"/>
          <c:tx>
            <c:strRef>
              <c:f>Foglio1!$D$186</c:f>
              <c:strCache>
                <c:ptCount val="1"/>
                <c:pt idx="0">
                  <c:v>Qel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Foglio1!$C$187:$C$204</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Foglio1!$D$187:$D$204</c:f>
              <c:numCache>
                <c:formatCode>0.00E+00</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mooth val="0"/>
          <c:extLst>
            <c:ext xmlns:c16="http://schemas.microsoft.com/office/drawing/2014/chart" uri="{C3380CC4-5D6E-409C-BE32-E72D297353CC}">
              <c16:uniqueId val="{00000000-23D2-D646-AE18-A74779275A97}"/>
            </c:ext>
          </c:extLst>
        </c:ser>
        <c:dLbls>
          <c:showLegendKey val="0"/>
          <c:showVal val="0"/>
          <c:showCatName val="0"/>
          <c:showSerName val="0"/>
          <c:showPercent val="0"/>
          <c:showBubbleSize val="0"/>
        </c:dLbls>
        <c:marker val="1"/>
        <c:smooth val="0"/>
        <c:axId val="1005151871"/>
        <c:axId val="751999423"/>
      </c:lineChart>
      <c:catAx>
        <c:axId val="100515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999423"/>
        <c:crosses val="autoZero"/>
        <c:auto val="1"/>
        <c:lblAlgn val="ctr"/>
        <c:lblOffset val="100"/>
        <c:noMultiLvlLbl val="0"/>
      </c:catAx>
      <c:valAx>
        <c:axId val="75199942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00515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Cv</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Foglio1!$C$228:$C$245</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Foglio1!$H$228:$H$245</c:f>
              <c:numCache>
                <c:formatCode>0.00E+00</c:formatCode>
                <c:ptCount val="18"/>
                <c:pt idx="0">
                  <c:v>42.510207479830939</c:v>
                </c:pt>
                <c:pt idx="1">
                  <c:v>55.195536906465335</c:v>
                </c:pt>
                <c:pt idx="2">
                  <c:v>68.029525513241452</c:v>
                </c:pt>
                <c:pt idx="3">
                  <c:v>79.729233318248035</c:v>
                </c:pt>
                <c:pt idx="4">
                  <c:v>90.103811554570456</c:v>
                </c:pt>
                <c:pt idx="5">
                  <c:v>99.269108418846557</c:v>
                </c:pt>
                <c:pt idx="6">
                  <c:v>107.36296269848475</c:v>
                </c:pt>
                <c:pt idx="7">
                  <c:v>114.49958460712428</c:v>
                </c:pt>
                <c:pt idx="8">
                  <c:v>120.77796345979468</c:v>
                </c:pt>
                <c:pt idx="9">
                  <c:v>126.29037625271219</c:v>
                </c:pt>
                <c:pt idx="10">
                  <c:v>131.12470770433222</c:v>
                </c:pt>
                <c:pt idx="11">
                  <c:v>135.36361946030783</c:v>
                </c:pt>
                <c:pt idx="12">
                  <c:v>139.08312078695977</c:v>
                </c:pt>
                <c:pt idx="13">
                  <c:v>142.35160470009322</c:v>
                </c:pt>
                <c:pt idx="14">
                  <c:v>145.22954828233128</c:v>
                </c:pt>
                <c:pt idx="15">
                  <c:v>147.76974430130389</c:v>
                </c:pt>
                <c:pt idx="16">
                  <c:v>150.01786475174433</c:v>
                </c:pt>
                <c:pt idx="17">
                  <c:v>152.01318803706076</c:v>
                </c:pt>
              </c:numCache>
            </c:numRef>
          </c:val>
          <c:smooth val="0"/>
          <c:extLst>
            <c:ext xmlns:c16="http://schemas.microsoft.com/office/drawing/2014/chart" uri="{C3380CC4-5D6E-409C-BE32-E72D297353CC}">
              <c16:uniqueId val="{00000000-52B5-4D48-B17E-0294C8EFDCE3}"/>
            </c:ext>
          </c:extLst>
        </c:ser>
        <c:dLbls>
          <c:showLegendKey val="0"/>
          <c:showVal val="0"/>
          <c:showCatName val="0"/>
          <c:showSerName val="0"/>
          <c:showPercent val="0"/>
          <c:showBubbleSize val="0"/>
        </c:dLbls>
        <c:marker val="1"/>
        <c:smooth val="0"/>
        <c:axId val="696926223"/>
        <c:axId val="695489599"/>
      </c:lineChart>
      <c:catAx>
        <c:axId val="6969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695489599"/>
        <c:crosses val="autoZero"/>
        <c:auto val="1"/>
        <c:lblAlgn val="ctr"/>
        <c:lblOffset val="100"/>
        <c:noMultiLvlLbl val="0"/>
      </c:catAx>
      <c:valAx>
        <c:axId val="695489599"/>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6969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Foglio1!$C$276:$C$293</c:f>
              <c:numCache>
                <c:formatCode>General</c:formatCode>
                <c:ptCount val="18"/>
                <c:pt idx="0">
                  <c:v>300</c:v>
                </c:pt>
                <c:pt idx="1">
                  <c:v>400</c:v>
                </c:pt>
                <c:pt idx="2">
                  <c:v>500</c:v>
                </c:pt>
                <c:pt idx="3">
                  <c:v>600</c:v>
                </c:pt>
                <c:pt idx="4">
                  <c:v>700</c:v>
                </c:pt>
                <c:pt idx="5">
                  <c:v>800</c:v>
                </c:pt>
                <c:pt idx="6">
                  <c:v>900</c:v>
                </c:pt>
                <c:pt idx="7">
                  <c:v>1000</c:v>
                </c:pt>
                <c:pt idx="8">
                  <c:v>1100</c:v>
                </c:pt>
                <c:pt idx="9">
                  <c:v>1200</c:v>
                </c:pt>
                <c:pt idx="10">
                  <c:v>1300</c:v>
                </c:pt>
                <c:pt idx="11">
                  <c:v>1400</c:v>
                </c:pt>
                <c:pt idx="12">
                  <c:v>1500</c:v>
                </c:pt>
                <c:pt idx="13">
                  <c:v>1600</c:v>
                </c:pt>
                <c:pt idx="14">
                  <c:v>1700</c:v>
                </c:pt>
                <c:pt idx="15">
                  <c:v>1800</c:v>
                </c:pt>
                <c:pt idx="16">
                  <c:v>1900</c:v>
                </c:pt>
                <c:pt idx="17">
                  <c:v>2000</c:v>
                </c:pt>
              </c:numCache>
            </c:numRef>
          </c:cat>
          <c:val>
            <c:numRef>
              <c:f>Foglio1!$J$276:$J$293</c:f>
              <c:numCache>
                <c:formatCode>0.00E+00</c:formatCode>
                <c:ptCount val="18"/>
                <c:pt idx="0">
                  <c:v>223.66107639127551</c:v>
                </c:pt>
                <c:pt idx="1">
                  <c:v>238.22215171030206</c:v>
                </c:pt>
                <c:pt idx="2">
                  <c:v>251.75220266383602</c:v>
                </c:pt>
                <c:pt idx="3">
                  <c:v>264.36630238959702</c:v>
                </c:pt>
                <c:pt idx="4">
                  <c:v>276.07543372903524</c:v>
                </c:pt>
                <c:pt idx="5">
                  <c:v>286.91635409943291</c:v>
                </c:pt>
                <c:pt idx="6">
                  <c:v>296.95234803466786</c:v>
                </c:pt>
                <c:pt idx="7">
                  <c:v>306.2579793037437</c:v>
                </c:pt>
                <c:pt idx="8">
                  <c:v>314.9083740641164</c:v>
                </c:pt>
                <c:pt idx="9">
                  <c:v>322.97379158945108</c:v>
                </c:pt>
                <c:pt idx="10">
                  <c:v>330.51749164309473</c:v>
                </c:pt>
                <c:pt idx="11">
                  <c:v>337.59532520956259</c:v>
                </c:pt>
                <c:pt idx="12">
                  <c:v>344.25612719500469</c:v>
                </c:pt>
                <c:pt idx="13">
                  <c:v>350.54242618455817</c:v>
                </c:pt>
                <c:pt idx="14">
                  <c:v>356.49123227198118</c:v>
                </c:pt>
                <c:pt idx="15">
                  <c:v>362.13479337191256</c:v>
                </c:pt>
                <c:pt idx="16">
                  <c:v>367.50127584627108</c:v>
                </c:pt>
                <c:pt idx="17">
                  <c:v>372.61535712096315</c:v>
                </c:pt>
              </c:numCache>
            </c:numRef>
          </c:val>
          <c:smooth val="0"/>
          <c:extLst>
            <c:ext xmlns:c16="http://schemas.microsoft.com/office/drawing/2014/chart" uri="{C3380CC4-5D6E-409C-BE32-E72D297353CC}">
              <c16:uniqueId val="{00000000-0AE4-EE4D-B5AC-7089D9138EF2}"/>
            </c:ext>
          </c:extLst>
        </c:ser>
        <c:dLbls>
          <c:showLegendKey val="0"/>
          <c:showVal val="0"/>
          <c:showCatName val="0"/>
          <c:showSerName val="0"/>
          <c:showPercent val="0"/>
          <c:showBubbleSize val="0"/>
        </c:dLbls>
        <c:marker val="1"/>
        <c:smooth val="0"/>
        <c:axId val="751585951"/>
        <c:axId val="751706911"/>
      </c:lineChart>
      <c:catAx>
        <c:axId val="751585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706911"/>
        <c:crosses val="autoZero"/>
        <c:auto val="1"/>
        <c:lblAlgn val="ctr"/>
        <c:lblOffset val="100"/>
        <c:noMultiLvlLbl val="0"/>
      </c:catAx>
      <c:valAx>
        <c:axId val="751706911"/>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5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334945</xdr:colOff>
      <xdr:row>26</xdr:row>
      <xdr:rowOff>139561</xdr:rowOff>
    </xdr:from>
    <xdr:to>
      <xdr:col>5</xdr:col>
      <xdr:colOff>181429</xdr:colOff>
      <xdr:row>26</xdr:row>
      <xdr:rowOff>139561</xdr:rowOff>
    </xdr:to>
    <xdr:cxnSp macro="">
      <xdr:nvCxnSpPr>
        <xdr:cNvPr id="3" name="Straight Arrow Connector 2">
          <a:extLst>
            <a:ext uri="{FF2B5EF4-FFF2-40B4-BE49-F238E27FC236}">
              <a16:creationId xmlns:a16="http://schemas.microsoft.com/office/drawing/2014/main" id="{766F5F82-436A-8994-0E1F-F8E2292BCD21}"/>
            </a:ext>
          </a:extLst>
        </xdr:cNvPr>
        <xdr:cNvCxnSpPr/>
      </xdr:nvCxnSpPr>
      <xdr:spPr>
        <a:xfrm>
          <a:off x="4884615" y="6852418"/>
          <a:ext cx="1004836"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291961</xdr:colOff>
      <xdr:row>30</xdr:row>
      <xdr:rowOff>138445</xdr:rowOff>
    </xdr:from>
    <xdr:to>
      <xdr:col>5</xdr:col>
      <xdr:colOff>138445</xdr:colOff>
      <xdr:row>30</xdr:row>
      <xdr:rowOff>138445</xdr:rowOff>
    </xdr:to>
    <xdr:cxnSp macro="">
      <xdr:nvCxnSpPr>
        <xdr:cNvPr id="4" name="Straight Arrow Connector 3">
          <a:extLst>
            <a:ext uri="{FF2B5EF4-FFF2-40B4-BE49-F238E27FC236}">
              <a16:creationId xmlns:a16="http://schemas.microsoft.com/office/drawing/2014/main" id="{FC066E15-6264-AB42-85A1-CD3F24F9109C}"/>
            </a:ext>
          </a:extLst>
        </xdr:cNvPr>
        <xdr:cNvCxnSpPr/>
      </xdr:nvCxnSpPr>
      <xdr:spPr>
        <a:xfrm>
          <a:off x="4841631" y="7856137"/>
          <a:ext cx="1004836"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63430</xdr:colOff>
      <xdr:row>29</xdr:row>
      <xdr:rowOff>165101</xdr:rowOff>
    </xdr:from>
    <xdr:ext cx="1638370" cy="40145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FE1A5FC-FCCE-FB02-A192-3A288D40302D}"/>
                </a:ext>
              </a:extLst>
            </xdr:cNvPr>
            <xdr:cNvSpPr txBox="1"/>
          </xdr:nvSpPr>
          <xdr:spPr>
            <a:xfrm>
              <a:off x="5778430" y="7632701"/>
              <a:ext cx="1638370" cy="40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300" b="0" i="1">
                            <a:latin typeface="Cambria Math" panose="02040503050406030204" pitchFamily="18" charset="0"/>
                          </a:rPr>
                        </m:ctrlPr>
                      </m:sSubPr>
                      <m:e>
                        <m:r>
                          <a:rPr lang="it-IT" sz="1300" b="0" i="1">
                            <a:latin typeface="Cambria Math" panose="02040503050406030204" pitchFamily="18" charset="0"/>
                          </a:rPr>
                          <m:t>𝐵</m:t>
                        </m:r>
                      </m:e>
                      <m:sub>
                        <m:r>
                          <a:rPr lang="it-IT" sz="1300" b="0" i="1">
                            <a:latin typeface="Cambria Math" panose="02040503050406030204" pitchFamily="18" charset="0"/>
                          </a:rPr>
                          <m:t>𝑟𝑜𝑡</m:t>
                        </m:r>
                      </m:sub>
                    </m:sSub>
                    <m:r>
                      <a:rPr lang="it-IT" sz="1300" b="0" i="1">
                        <a:latin typeface="Cambria Math" panose="02040503050406030204" pitchFamily="18" charset="0"/>
                      </a:rPr>
                      <m:t>= </m:t>
                    </m:r>
                    <m:f>
                      <m:fPr>
                        <m:ctrlPr>
                          <a:rPr lang="it-IT" sz="1300" b="0" i="1">
                            <a:latin typeface="Cambria Math" panose="02040503050406030204" pitchFamily="18" charset="0"/>
                          </a:rPr>
                        </m:ctrlPr>
                      </m:fPr>
                      <m:num>
                        <m:sSup>
                          <m:sSupPr>
                            <m:ctrlPr>
                              <a:rPr lang="it-IT" sz="1300" b="0" i="1">
                                <a:latin typeface="Cambria Math" panose="02040503050406030204" pitchFamily="18" charset="0"/>
                              </a:rPr>
                            </m:ctrlPr>
                          </m:sSupPr>
                          <m:e>
                            <m:r>
                              <a:rPr lang="it-IT" sz="1300" b="0" i="1">
                                <a:latin typeface="Cambria Math" panose="02040503050406030204" pitchFamily="18" charset="0"/>
                              </a:rPr>
                              <m:t>h</m:t>
                            </m:r>
                          </m:e>
                          <m:sup>
                            <m:r>
                              <a:rPr lang="it-IT" sz="1300" b="0" i="1">
                                <a:latin typeface="Cambria Math" panose="02040503050406030204" pitchFamily="18" charset="0"/>
                              </a:rPr>
                              <m:t>2</m:t>
                            </m:r>
                          </m:sup>
                        </m:sSup>
                      </m:num>
                      <m:den>
                        <m:r>
                          <a:rPr lang="it-IT" sz="1300" b="0" i="1">
                            <a:latin typeface="Cambria Math" panose="02040503050406030204" pitchFamily="18" charset="0"/>
                          </a:rPr>
                          <m:t>8</m:t>
                        </m:r>
                        <m:sSup>
                          <m:sSupPr>
                            <m:ctrlPr>
                              <a:rPr lang="it-IT" sz="1300" b="0" i="1">
                                <a:latin typeface="Cambria Math" panose="02040503050406030204" pitchFamily="18" charset="0"/>
                              </a:rPr>
                            </m:ctrlPr>
                          </m:sSupPr>
                          <m:e>
                            <m:r>
                              <a:rPr lang="it-IT" sz="1300" b="0" i="1">
                                <a:latin typeface="Cambria Math" panose="02040503050406030204" pitchFamily="18" charset="0"/>
                                <a:ea typeface="Cambria Math" panose="02040503050406030204" pitchFamily="18" charset="0"/>
                              </a:rPr>
                              <m:t>𝜋</m:t>
                            </m:r>
                          </m:e>
                          <m:sup>
                            <m:r>
                              <a:rPr lang="it-IT" sz="1300" b="0" i="1">
                                <a:latin typeface="Cambria Math" panose="02040503050406030204" pitchFamily="18" charset="0"/>
                              </a:rPr>
                              <m:t>2</m:t>
                            </m:r>
                          </m:sup>
                        </m:sSup>
                        <m:r>
                          <a:rPr lang="it-IT" sz="1300" b="0" i="1">
                            <a:latin typeface="Cambria Math" panose="02040503050406030204" pitchFamily="18" charset="0"/>
                            <a:ea typeface="Cambria Math" panose="02040503050406030204" pitchFamily="18" charset="0"/>
                          </a:rPr>
                          <m:t>𝐼</m:t>
                        </m:r>
                      </m:den>
                    </m:f>
                    <m:r>
                      <a:rPr lang="it-IT" sz="1300" b="0" i="1">
                        <a:latin typeface="Cambria Math" panose="02040503050406030204" pitchFamily="18" charset="0"/>
                      </a:rPr>
                      <m:t>=</m:t>
                    </m:r>
                    <m:f>
                      <m:fPr>
                        <m:ctrlPr>
                          <a:rPr lang="it-IT" sz="1300" b="0" i="1">
                            <a:latin typeface="Cambria Math" panose="02040503050406030204" pitchFamily="18" charset="0"/>
                          </a:rPr>
                        </m:ctrlPr>
                      </m:fPr>
                      <m:num>
                        <m:sSup>
                          <m:sSupPr>
                            <m:ctrlPr>
                              <a:rPr lang="it-IT" sz="1300" b="0" i="1">
                                <a:latin typeface="Cambria Math" panose="02040503050406030204" pitchFamily="18" charset="0"/>
                                <a:ea typeface="Cambria Math" panose="02040503050406030204" pitchFamily="18" charset="0"/>
                              </a:rPr>
                            </m:ctrlPr>
                          </m:sSupPr>
                          <m:e>
                            <m:r>
                              <a:rPr lang="it-IT" sz="1300" b="0" i="1">
                                <a:latin typeface="Cambria Math" panose="02040503050406030204" pitchFamily="18" charset="0"/>
                                <a:ea typeface="Cambria Math" panose="02040503050406030204" pitchFamily="18" charset="0"/>
                              </a:rPr>
                              <m:t>ℏ</m:t>
                            </m:r>
                          </m:e>
                          <m:sup>
                            <m:r>
                              <a:rPr lang="it-IT" sz="1300" b="0" i="1">
                                <a:latin typeface="Cambria Math" panose="02040503050406030204" pitchFamily="18" charset="0"/>
                                <a:ea typeface="Cambria Math" panose="02040503050406030204" pitchFamily="18" charset="0"/>
                              </a:rPr>
                              <m:t>2</m:t>
                            </m:r>
                          </m:sup>
                        </m:sSup>
                      </m:num>
                      <m:den>
                        <m:r>
                          <a:rPr lang="it-IT" sz="1300" b="0" i="1">
                            <a:latin typeface="Cambria Math" panose="02040503050406030204" pitchFamily="18" charset="0"/>
                          </a:rPr>
                          <m:t>2</m:t>
                        </m:r>
                        <m:r>
                          <a:rPr lang="it-IT" sz="1300" b="0" i="1">
                            <a:latin typeface="Cambria Math" panose="02040503050406030204" pitchFamily="18" charset="0"/>
                          </a:rPr>
                          <m:t>𝐼</m:t>
                        </m:r>
                      </m:den>
                    </m:f>
                  </m:oMath>
                </m:oMathPara>
              </a14:m>
              <a:endParaRPr lang="en-US" sz="1300"/>
            </a:p>
          </xdr:txBody>
        </xdr:sp>
      </mc:Choice>
      <mc:Fallback xmlns="">
        <xdr:sp macro="" textlink="">
          <xdr:nvSpPr>
            <xdr:cNvPr id="5" name="TextBox 4">
              <a:extLst>
                <a:ext uri="{FF2B5EF4-FFF2-40B4-BE49-F238E27FC236}">
                  <a16:creationId xmlns:a16="http://schemas.microsoft.com/office/drawing/2014/main" id="{3FE1A5FC-FCCE-FB02-A192-3A288D40302D}"/>
                </a:ext>
              </a:extLst>
            </xdr:cNvPr>
            <xdr:cNvSpPr txBox="1"/>
          </xdr:nvSpPr>
          <xdr:spPr>
            <a:xfrm>
              <a:off x="5778430" y="7632701"/>
              <a:ext cx="1638370" cy="40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it-IT" sz="1300" b="0" i="0">
                  <a:latin typeface="Cambria Math" panose="02040503050406030204" pitchFamily="18" charset="0"/>
                </a:rPr>
                <a:t>𝐵_𝑟𝑜𝑡=  ℎ^2/(8</a:t>
              </a:r>
              <a:r>
                <a:rPr lang="it-IT" sz="1300" b="0" i="0">
                  <a:latin typeface="Cambria Math" panose="02040503050406030204" pitchFamily="18" charset="0"/>
                  <a:ea typeface="Cambria Math" panose="02040503050406030204" pitchFamily="18" charset="0"/>
                </a:rPr>
                <a:t>𝜋^</a:t>
              </a:r>
              <a:r>
                <a:rPr lang="it-IT" sz="1300" b="0" i="0">
                  <a:latin typeface="Cambria Math" panose="02040503050406030204" pitchFamily="18" charset="0"/>
                </a:rPr>
                <a:t>2</a:t>
              </a:r>
              <a:r>
                <a:rPr lang="it-IT" sz="1300" b="0" i="0">
                  <a:latin typeface="Cambria Math" panose="02040503050406030204" pitchFamily="18" charset="0"/>
                  <a:ea typeface="Cambria Math" panose="02040503050406030204" pitchFamily="18" charset="0"/>
                </a:rPr>
                <a:t> 𝐼)</a:t>
              </a:r>
              <a:r>
                <a:rPr lang="it-IT" sz="1300" b="0" i="0">
                  <a:latin typeface="Cambria Math" panose="02040503050406030204" pitchFamily="18" charset="0"/>
                </a:rPr>
                <a:t>=</a:t>
              </a:r>
              <a:r>
                <a:rPr lang="it-IT" sz="1300" b="0" i="0">
                  <a:latin typeface="Cambria Math" panose="02040503050406030204" pitchFamily="18" charset="0"/>
                  <a:ea typeface="Cambria Math" panose="02040503050406030204" pitchFamily="18" charset="0"/>
                </a:rPr>
                <a:t>ℏ^2/</a:t>
              </a:r>
              <a:r>
                <a:rPr lang="it-IT" sz="1300" b="0" i="0">
                  <a:latin typeface="Cambria Math" panose="02040503050406030204" pitchFamily="18" charset="0"/>
                </a:rPr>
                <a:t>2𝐼</a:t>
              </a:r>
              <a:endParaRPr lang="en-US" sz="1300"/>
            </a:p>
          </xdr:txBody>
        </xdr:sp>
      </mc:Fallback>
    </mc:AlternateContent>
    <xdr:clientData/>
  </xdr:oneCellAnchor>
  <xdr:oneCellAnchor>
    <xdr:from>
      <xdr:col>5</xdr:col>
      <xdr:colOff>102893</xdr:colOff>
      <xdr:row>25</xdr:row>
      <xdr:rowOff>141854</xdr:rowOff>
    </xdr:from>
    <xdr:ext cx="1638370" cy="43415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17AFD58-36FD-3744-92CB-B88AC3B992E7}"/>
                </a:ext>
              </a:extLst>
            </xdr:cNvPr>
            <xdr:cNvSpPr txBox="1"/>
          </xdr:nvSpPr>
          <xdr:spPr>
            <a:xfrm>
              <a:off x="5821481" y="6577956"/>
              <a:ext cx="1638370" cy="434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300" b="0" i="1">
                            <a:latin typeface="Cambria Math" panose="02040503050406030204" pitchFamily="18" charset="0"/>
                          </a:rPr>
                        </m:ctrlPr>
                      </m:sSubPr>
                      <m:e>
                        <m:r>
                          <a:rPr lang="it-IT" sz="1300" b="0" i="1">
                            <a:latin typeface="Cambria Math" panose="02040503050406030204" pitchFamily="18" charset="0"/>
                            <a:ea typeface="Cambria Math" panose="02040503050406030204" pitchFamily="18" charset="0"/>
                          </a:rPr>
                          <m:t>𝜃</m:t>
                        </m:r>
                      </m:e>
                      <m:sub>
                        <m:r>
                          <a:rPr lang="it-IT" sz="1300" b="0" i="1">
                            <a:latin typeface="Cambria Math" panose="02040503050406030204" pitchFamily="18" charset="0"/>
                          </a:rPr>
                          <m:t>𝑟𝑜𝑡</m:t>
                        </m:r>
                      </m:sub>
                    </m:sSub>
                    <m:r>
                      <a:rPr lang="it-IT" sz="1300" b="0" i="1">
                        <a:latin typeface="Cambria Math" panose="02040503050406030204" pitchFamily="18" charset="0"/>
                      </a:rPr>
                      <m:t>= </m:t>
                    </m:r>
                    <m:f>
                      <m:fPr>
                        <m:ctrlPr>
                          <a:rPr lang="it-IT" sz="1300" b="0" i="1">
                            <a:latin typeface="Cambria Math" panose="02040503050406030204" pitchFamily="18" charset="0"/>
                          </a:rPr>
                        </m:ctrlPr>
                      </m:fPr>
                      <m:num>
                        <m:sSup>
                          <m:sSupPr>
                            <m:ctrlPr>
                              <a:rPr lang="it-IT" sz="1300" b="0" i="1">
                                <a:latin typeface="Cambria Math" panose="02040503050406030204" pitchFamily="18" charset="0"/>
                              </a:rPr>
                            </m:ctrlPr>
                          </m:sSupPr>
                          <m:e>
                            <m:r>
                              <a:rPr lang="it-IT" sz="1300" b="0" i="1">
                                <a:latin typeface="Cambria Math" panose="02040503050406030204" pitchFamily="18" charset="0"/>
                              </a:rPr>
                              <m:t>h</m:t>
                            </m:r>
                          </m:e>
                          <m:sup>
                            <m:r>
                              <a:rPr lang="it-IT" sz="1300" b="0" i="1">
                                <a:latin typeface="Cambria Math" panose="02040503050406030204" pitchFamily="18" charset="0"/>
                              </a:rPr>
                              <m:t>2</m:t>
                            </m:r>
                          </m:sup>
                        </m:sSup>
                      </m:num>
                      <m:den>
                        <m:r>
                          <a:rPr lang="it-IT" sz="1300" b="0" i="1">
                            <a:latin typeface="Cambria Math" panose="02040503050406030204" pitchFamily="18" charset="0"/>
                          </a:rPr>
                          <m:t>8</m:t>
                        </m:r>
                        <m:sSup>
                          <m:sSupPr>
                            <m:ctrlPr>
                              <a:rPr lang="it-IT" sz="1300" b="0" i="1">
                                <a:latin typeface="Cambria Math" panose="02040503050406030204" pitchFamily="18" charset="0"/>
                              </a:rPr>
                            </m:ctrlPr>
                          </m:sSupPr>
                          <m:e>
                            <m:r>
                              <a:rPr lang="it-IT" sz="1300" b="0" i="1">
                                <a:latin typeface="Cambria Math" panose="02040503050406030204" pitchFamily="18" charset="0"/>
                                <a:ea typeface="Cambria Math" panose="02040503050406030204" pitchFamily="18" charset="0"/>
                              </a:rPr>
                              <m:t>𝜋</m:t>
                            </m:r>
                          </m:e>
                          <m:sup>
                            <m:r>
                              <a:rPr lang="it-IT" sz="1300" b="0" i="1">
                                <a:latin typeface="Cambria Math" panose="02040503050406030204" pitchFamily="18" charset="0"/>
                              </a:rPr>
                              <m:t>2</m:t>
                            </m:r>
                          </m:sup>
                        </m:sSup>
                        <m:r>
                          <a:rPr lang="it-IT" sz="1300" b="0" i="1">
                            <a:latin typeface="Cambria Math" panose="02040503050406030204" pitchFamily="18" charset="0"/>
                            <a:ea typeface="Cambria Math" panose="02040503050406030204" pitchFamily="18" charset="0"/>
                          </a:rPr>
                          <m:t>𝐼</m:t>
                        </m:r>
                        <m:r>
                          <a:rPr lang="it-IT" sz="1300" b="0" i="1">
                            <a:latin typeface="Cambria Math" panose="02040503050406030204" pitchFamily="18" charset="0"/>
                            <a:ea typeface="Cambria Math" panose="02040503050406030204" pitchFamily="18" charset="0"/>
                          </a:rPr>
                          <m:t> </m:t>
                        </m:r>
                        <m:sSub>
                          <m:sSubPr>
                            <m:ctrlPr>
                              <a:rPr lang="it-IT" sz="1300" b="0" i="1">
                                <a:latin typeface="Cambria Math" panose="02040503050406030204" pitchFamily="18" charset="0"/>
                                <a:ea typeface="Cambria Math" panose="02040503050406030204" pitchFamily="18" charset="0"/>
                              </a:rPr>
                            </m:ctrlPr>
                          </m:sSubPr>
                          <m:e>
                            <m:r>
                              <a:rPr lang="it-IT" sz="1300" b="0" i="1">
                                <a:latin typeface="Cambria Math" panose="02040503050406030204" pitchFamily="18" charset="0"/>
                                <a:ea typeface="Cambria Math" panose="02040503050406030204" pitchFamily="18" charset="0"/>
                              </a:rPr>
                              <m:t>𝑘</m:t>
                            </m:r>
                          </m:e>
                          <m:sub>
                            <m:r>
                              <a:rPr lang="it-IT" sz="1300" b="0" i="1">
                                <a:latin typeface="Cambria Math" panose="02040503050406030204" pitchFamily="18" charset="0"/>
                                <a:ea typeface="Cambria Math" panose="02040503050406030204" pitchFamily="18" charset="0"/>
                              </a:rPr>
                              <m:t>𝑏</m:t>
                            </m:r>
                          </m:sub>
                        </m:sSub>
                      </m:den>
                    </m:f>
                  </m:oMath>
                </m:oMathPara>
              </a14:m>
              <a:endParaRPr lang="en-US" sz="1300"/>
            </a:p>
          </xdr:txBody>
        </xdr:sp>
      </mc:Choice>
      <mc:Fallback xmlns="">
        <xdr:sp macro="" textlink="">
          <xdr:nvSpPr>
            <xdr:cNvPr id="6" name="TextBox 5">
              <a:extLst>
                <a:ext uri="{FF2B5EF4-FFF2-40B4-BE49-F238E27FC236}">
                  <a16:creationId xmlns:a16="http://schemas.microsoft.com/office/drawing/2014/main" id="{317AFD58-36FD-3744-92CB-B88AC3B992E7}"/>
                </a:ext>
              </a:extLst>
            </xdr:cNvPr>
            <xdr:cNvSpPr txBox="1"/>
          </xdr:nvSpPr>
          <xdr:spPr>
            <a:xfrm>
              <a:off x="5821481" y="6577956"/>
              <a:ext cx="1638370" cy="4341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it-IT" sz="1300" b="0" i="0">
                  <a:latin typeface="Cambria Math" panose="02040503050406030204" pitchFamily="18" charset="0"/>
                  <a:ea typeface="Cambria Math" panose="02040503050406030204" pitchFamily="18" charset="0"/>
                </a:rPr>
                <a:t>𝜃_</a:t>
              </a:r>
              <a:r>
                <a:rPr lang="it-IT" sz="1300" b="0" i="0">
                  <a:latin typeface="Cambria Math" panose="02040503050406030204" pitchFamily="18" charset="0"/>
                </a:rPr>
                <a:t>𝑟𝑜𝑡=  ℎ^2/(8</a:t>
              </a:r>
              <a:r>
                <a:rPr lang="it-IT" sz="1300" b="0" i="0">
                  <a:latin typeface="Cambria Math" panose="02040503050406030204" pitchFamily="18" charset="0"/>
                  <a:ea typeface="Cambria Math" panose="02040503050406030204" pitchFamily="18" charset="0"/>
                </a:rPr>
                <a:t>𝜋^</a:t>
              </a:r>
              <a:r>
                <a:rPr lang="it-IT" sz="1300" b="0" i="0">
                  <a:latin typeface="Cambria Math" panose="02040503050406030204" pitchFamily="18" charset="0"/>
                </a:rPr>
                <a:t>2</a:t>
              </a:r>
              <a:r>
                <a:rPr lang="it-IT" sz="1300" b="0" i="0">
                  <a:latin typeface="Cambria Math" panose="02040503050406030204" pitchFamily="18" charset="0"/>
                  <a:ea typeface="Cambria Math" panose="02040503050406030204" pitchFamily="18" charset="0"/>
                </a:rPr>
                <a:t> 𝐼 𝑘_𝑏 )</a:t>
              </a:r>
              <a:endParaRPr lang="en-US" sz="1300"/>
            </a:p>
          </xdr:txBody>
        </xdr:sp>
      </mc:Fallback>
    </mc:AlternateContent>
    <xdr:clientData/>
  </xdr:oneCellAnchor>
  <xdr:twoCellAnchor>
    <xdr:from>
      <xdr:col>4</xdr:col>
      <xdr:colOff>452528</xdr:colOff>
      <xdr:row>64</xdr:row>
      <xdr:rowOff>131380</xdr:rowOff>
    </xdr:from>
    <xdr:to>
      <xdr:col>6</xdr:col>
      <xdr:colOff>613104</xdr:colOff>
      <xdr:row>64</xdr:row>
      <xdr:rowOff>145977</xdr:rowOff>
    </xdr:to>
    <xdr:cxnSp macro="">
      <xdr:nvCxnSpPr>
        <xdr:cNvPr id="8" name="Straight Arrow Connector 7">
          <a:extLst>
            <a:ext uri="{FF2B5EF4-FFF2-40B4-BE49-F238E27FC236}">
              <a16:creationId xmlns:a16="http://schemas.microsoft.com/office/drawing/2014/main" id="{7C23EF24-EB71-B31E-610D-8C9F4E0E7443}"/>
            </a:ext>
          </a:extLst>
        </xdr:cNvPr>
        <xdr:cNvCxnSpPr/>
      </xdr:nvCxnSpPr>
      <xdr:spPr>
        <a:xfrm>
          <a:off x="6174827" y="14641495"/>
          <a:ext cx="2233449"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125030</xdr:colOff>
      <xdr:row>62</xdr:row>
      <xdr:rowOff>179868</xdr:rowOff>
    </xdr:from>
    <xdr:ext cx="2143857" cy="608821"/>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119A546-FE4D-41A7-DAEE-D73F3D41161C}"/>
                </a:ext>
              </a:extLst>
            </xdr:cNvPr>
            <xdr:cNvSpPr txBox="1"/>
          </xdr:nvSpPr>
          <xdr:spPr>
            <a:xfrm>
              <a:off x="9487588" y="14223705"/>
              <a:ext cx="2143857" cy="608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it-IT" sz="1600" b="0" i="1">
                            <a:latin typeface="Cambria Math" panose="02040503050406030204" pitchFamily="18" charset="0"/>
                          </a:rPr>
                          <m:t>𝑄</m:t>
                        </m:r>
                      </m:e>
                      <m:sub>
                        <m:r>
                          <a:rPr lang="it-IT" sz="1600" b="0" i="1">
                            <a:latin typeface="Cambria Math" panose="02040503050406030204" pitchFamily="18" charset="0"/>
                          </a:rPr>
                          <m:t>𝑡𝑟𝑎𝑛𝑠𝑙</m:t>
                        </m:r>
                      </m:sub>
                    </m:sSub>
                    <m:r>
                      <a:rPr lang="it-IT" sz="1600" b="0" i="1">
                        <a:latin typeface="Cambria Math" panose="02040503050406030204" pitchFamily="18" charset="0"/>
                      </a:rPr>
                      <m:t>=</m:t>
                    </m:r>
                    <m:sSup>
                      <m:sSupPr>
                        <m:ctrlPr>
                          <a:rPr lang="it-IT" sz="1600" b="0" i="1">
                            <a:latin typeface="Cambria Math" panose="02040503050406030204" pitchFamily="18" charset="0"/>
                          </a:rPr>
                        </m:ctrlPr>
                      </m:sSupPr>
                      <m:e>
                        <m:r>
                          <a:rPr lang="it-IT" sz="1600" b="0" i="1">
                            <a:latin typeface="Cambria Math" panose="02040503050406030204" pitchFamily="18" charset="0"/>
                          </a:rPr>
                          <m:t> </m:t>
                        </m:r>
                        <m:d>
                          <m:dPr>
                            <m:ctrlPr>
                              <a:rPr lang="it-IT" sz="1600" b="0" i="1">
                                <a:latin typeface="Cambria Math" panose="02040503050406030204" pitchFamily="18" charset="0"/>
                              </a:rPr>
                            </m:ctrlPr>
                          </m:dPr>
                          <m:e>
                            <m:f>
                              <m:fPr>
                                <m:ctrlPr>
                                  <a:rPr lang="it-IT" sz="1600" b="0" i="1">
                                    <a:latin typeface="Cambria Math" panose="02040503050406030204" pitchFamily="18" charset="0"/>
                                  </a:rPr>
                                </m:ctrlPr>
                              </m:fPr>
                              <m:num>
                                <m:r>
                                  <a:rPr lang="it-IT" sz="1600" b="0" i="1">
                                    <a:latin typeface="Cambria Math" panose="02040503050406030204" pitchFamily="18" charset="0"/>
                                  </a:rPr>
                                  <m:t>2</m:t>
                                </m:r>
                                <m:r>
                                  <a:rPr lang="it-IT" sz="1600" b="0" i="1">
                                    <a:latin typeface="Cambria Math" panose="02040503050406030204" pitchFamily="18" charset="0"/>
                                    <a:ea typeface="Cambria Math" panose="02040503050406030204" pitchFamily="18" charset="0"/>
                                  </a:rPr>
                                  <m:t>𝜋</m:t>
                                </m:r>
                                <m:r>
                                  <a:rPr lang="it-IT" sz="1600" b="0" i="1">
                                    <a:latin typeface="Cambria Math" panose="02040503050406030204" pitchFamily="18" charset="0"/>
                                    <a:ea typeface="Cambria Math" panose="02040503050406030204" pitchFamily="18" charset="0"/>
                                  </a:rPr>
                                  <m:t>𝑚</m:t>
                                </m:r>
                                <m:sSub>
                                  <m:sSubPr>
                                    <m:ctrlPr>
                                      <a:rPr lang="it-IT" sz="1600" b="0" i="1">
                                        <a:latin typeface="Cambria Math" panose="02040503050406030204" pitchFamily="18" charset="0"/>
                                        <a:ea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𝑘</m:t>
                                    </m:r>
                                  </m:e>
                                  <m:sub>
                                    <m:r>
                                      <a:rPr lang="it-IT" sz="1600" b="0" i="1">
                                        <a:latin typeface="Cambria Math" panose="02040503050406030204" pitchFamily="18" charset="0"/>
                                        <a:ea typeface="Cambria Math" panose="02040503050406030204" pitchFamily="18" charset="0"/>
                                      </a:rPr>
                                      <m:t>𝑏</m:t>
                                    </m:r>
                                  </m:sub>
                                </m:sSub>
                                <m:r>
                                  <a:rPr lang="it-IT" sz="1600" b="0" i="1">
                                    <a:latin typeface="Cambria Math" panose="02040503050406030204" pitchFamily="18" charset="0"/>
                                    <a:ea typeface="Cambria Math" panose="02040503050406030204" pitchFamily="18" charset="0"/>
                                  </a:rPr>
                                  <m:t>𝑇</m:t>
                                </m:r>
                              </m:num>
                              <m:den>
                                <m:sSup>
                                  <m:sSupPr>
                                    <m:ctrlPr>
                                      <a:rPr lang="it-IT" sz="1600" b="0" i="1">
                                        <a:latin typeface="Cambria Math" panose="02040503050406030204" pitchFamily="18" charset="0"/>
                                      </a:rPr>
                                    </m:ctrlPr>
                                  </m:sSupPr>
                                  <m:e>
                                    <m:r>
                                      <a:rPr lang="it-IT" sz="1600" b="0" i="1">
                                        <a:latin typeface="Cambria Math" panose="02040503050406030204" pitchFamily="18" charset="0"/>
                                      </a:rPr>
                                      <m:t>h</m:t>
                                    </m:r>
                                  </m:e>
                                  <m:sup>
                                    <m:r>
                                      <a:rPr lang="it-IT" sz="1600" b="0" i="1">
                                        <a:latin typeface="Cambria Math" panose="02040503050406030204" pitchFamily="18" charset="0"/>
                                      </a:rPr>
                                      <m:t>2</m:t>
                                    </m:r>
                                  </m:sup>
                                </m:sSup>
                              </m:den>
                            </m:f>
                          </m:e>
                        </m:d>
                      </m:e>
                      <m:sup>
                        <m:f>
                          <m:fPr>
                            <m:ctrlPr>
                              <a:rPr lang="it-IT" sz="1600" b="0" i="1">
                                <a:latin typeface="Cambria Math" panose="02040503050406030204" pitchFamily="18" charset="0"/>
                              </a:rPr>
                            </m:ctrlPr>
                          </m:fPr>
                          <m:num>
                            <m:r>
                              <a:rPr lang="it-IT" sz="1600" b="0" i="1">
                                <a:latin typeface="Cambria Math" panose="02040503050406030204" pitchFamily="18" charset="0"/>
                              </a:rPr>
                              <m:t>3</m:t>
                            </m:r>
                          </m:num>
                          <m:den>
                            <m:r>
                              <a:rPr lang="it-IT" sz="1600" b="0" i="1">
                                <a:latin typeface="Cambria Math" panose="02040503050406030204" pitchFamily="18" charset="0"/>
                              </a:rPr>
                              <m:t>2</m:t>
                            </m:r>
                          </m:den>
                        </m:f>
                      </m:sup>
                    </m:sSup>
                    <m:r>
                      <a:rPr lang="it-IT" sz="1600" b="0" i="1">
                        <a:latin typeface="Cambria Math" panose="02040503050406030204" pitchFamily="18" charset="0"/>
                      </a:rPr>
                      <m:t>𝑉</m:t>
                    </m:r>
                  </m:oMath>
                </m:oMathPara>
              </a14:m>
              <a:endParaRPr lang="en-US" sz="1600"/>
            </a:p>
          </xdr:txBody>
        </xdr:sp>
      </mc:Choice>
      <mc:Fallback xmlns="">
        <xdr:sp macro="" textlink="">
          <xdr:nvSpPr>
            <xdr:cNvPr id="9" name="TextBox 8">
              <a:extLst>
                <a:ext uri="{FF2B5EF4-FFF2-40B4-BE49-F238E27FC236}">
                  <a16:creationId xmlns:a16="http://schemas.microsoft.com/office/drawing/2014/main" id="{6119A546-FE4D-41A7-DAEE-D73F3D41161C}"/>
                </a:ext>
              </a:extLst>
            </xdr:cNvPr>
            <xdr:cNvSpPr txBox="1"/>
          </xdr:nvSpPr>
          <xdr:spPr>
            <a:xfrm>
              <a:off x="9487588" y="14223705"/>
              <a:ext cx="2143857" cy="608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a:t>
              </a:r>
              <a:r>
                <a:rPr lang="en-US" sz="1600" b="0" i="0">
                  <a:latin typeface="Cambria Math" panose="02040503050406030204" pitchFamily="18" charset="0"/>
                </a:rPr>
                <a:t>_</a:t>
              </a:r>
              <a:r>
                <a:rPr lang="it-IT" sz="1600" b="0" i="0">
                  <a:latin typeface="Cambria Math" panose="02040503050406030204" pitchFamily="18" charset="0"/>
                </a:rPr>
                <a:t>𝑡𝑟𝑎𝑛𝑠𝑙=〖 ((2</a:t>
              </a:r>
              <a:r>
                <a:rPr lang="it-IT" sz="1600" b="0" i="0">
                  <a:latin typeface="Cambria Math" panose="02040503050406030204" pitchFamily="18" charset="0"/>
                  <a:ea typeface="Cambria Math" panose="02040503050406030204" pitchFamily="18" charset="0"/>
                </a:rPr>
                <a:t>𝜋𝑚𝑘_𝑏 𝑇)/</a:t>
              </a:r>
              <a:r>
                <a:rPr lang="it-IT" sz="1600" b="0" i="0">
                  <a:latin typeface="Cambria Math" panose="02040503050406030204" pitchFamily="18" charset="0"/>
                </a:rPr>
                <a:t>ℎ^2 )〗^(3/2) 𝑉</a:t>
              </a:r>
              <a:endParaRPr lang="en-US" sz="1600"/>
            </a:p>
          </xdr:txBody>
        </xdr:sp>
      </mc:Fallback>
    </mc:AlternateContent>
    <xdr:clientData/>
  </xdr:oneCellAnchor>
  <xdr:oneCellAnchor>
    <xdr:from>
      <xdr:col>7</xdr:col>
      <xdr:colOff>104790</xdr:colOff>
      <xdr:row>65</xdr:row>
      <xdr:rowOff>61497</xdr:rowOff>
    </xdr:from>
    <xdr:ext cx="2729209" cy="608821"/>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7D28890-F7A6-EA2E-ADE5-230A24D51FB0}"/>
                </a:ext>
              </a:extLst>
            </xdr:cNvPr>
            <xdr:cNvSpPr txBox="1"/>
          </xdr:nvSpPr>
          <xdr:spPr>
            <a:xfrm>
              <a:off x="9467348" y="14932311"/>
              <a:ext cx="2729209" cy="608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US" sz="1600" i="1">
                            <a:latin typeface="Cambria Math" panose="02040503050406030204" pitchFamily="18" charset="0"/>
                          </a:rPr>
                        </m:ctrlPr>
                      </m:sSubSupPr>
                      <m:e>
                        <m:r>
                          <a:rPr lang="it-IT" sz="1600" b="0" i="1">
                            <a:latin typeface="Cambria Math" panose="02040503050406030204" pitchFamily="18" charset="0"/>
                          </a:rPr>
                          <m:t>𝑄</m:t>
                        </m:r>
                      </m:e>
                      <m:sub>
                        <m:r>
                          <a:rPr lang="it-IT" sz="1600" b="0" i="1">
                            <a:latin typeface="Cambria Math" panose="02040503050406030204" pitchFamily="18" charset="0"/>
                          </a:rPr>
                          <m:t>𝑡𝑟𝑎𝑛𝑠𝑙</m:t>
                        </m:r>
                      </m:sub>
                      <m:sup>
                        <m:r>
                          <a:rPr lang="it-IT" sz="1600" b="0" i="1">
                            <a:latin typeface="Cambria Math" panose="02040503050406030204" pitchFamily="18" charset="0"/>
                          </a:rPr>
                          <m:t>𝑢𝑑𝑣</m:t>
                        </m:r>
                      </m:sup>
                    </m:sSubSup>
                    <m:r>
                      <a:rPr lang="it-IT" sz="1600" b="0" i="1">
                        <a:latin typeface="Cambria Math" panose="02040503050406030204" pitchFamily="18" charset="0"/>
                      </a:rPr>
                      <m:t>=</m:t>
                    </m:r>
                    <m:f>
                      <m:fPr>
                        <m:ctrlPr>
                          <a:rPr lang="it-IT" sz="1600" b="0" i="1">
                            <a:latin typeface="Cambria Math" panose="02040503050406030204" pitchFamily="18" charset="0"/>
                          </a:rPr>
                        </m:ctrlPr>
                      </m:fPr>
                      <m:num>
                        <m:sSub>
                          <m:sSubPr>
                            <m:ctrlPr>
                              <a:rPr lang="it-IT" sz="1600" b="0" i="1">
                                <a:latin typeface="Cambria Math" panose="02040503050406030204" pitchFamily="18" charset="0"/>
                              </a:rPr>
                            </m:ctrlPr>
                          </m:sSubPr>
                          <m:e>
                            <m:r>
                              <a:rPr lang="it-IT" sz="1600" b="0" i="1">
                                <a:latin typeface="Cambria Math" panose="02040503050406030204" pitchFamily="18" charset="0"/>
                              </a:rPr>
                              <m:t>𝑄</m:t>
                            </m:r>
                          </m:e>
                          <m:sub>
                            <m:r>
                              <a:rPr lang="it-IT" sz="1600" b="0" i="1">
                                <a:latin typeface="Cambria Math" panose="02040503050406030204" pitchFamily="18" charset="0"/>
                              </a:rPr>
                              <m:t>𝑡𝑟𝑎𝑠𝑙</m:t>
                            </m:r>
                          </m:sub>
                        </m:sSub>
                      </m:num>
                      <m:den>
                        <m:r>
                          <a:rPr lang="it-IT" sz="1600" b="0" i="1">
                            <a:latin typeface="Cambria Math" panose="02040503050406030204" pitchFamily="18" charset="0"/>
                          </a:rPr>
                          <m:t>𝑉</m:t>
                        </m:r>
                      </m:den>
                    </m:f>
                    <m:r>
                      <a:rPr lang="it-IT" sz="1600" b="0" i="1">
                        <a:latin typeface="Cambria Math" panose="02040503050406030204" pitchFamily="18" charset="0"/>
                      </a:rPr>
                      <m:t>=</m:t>
                    </m:r>
                    <m:sSup>
                      <m:sSupPr>
                        <m:ctrlPr>
                          <a:rPr lang="it-IT" sz="1600" b="0" i="1">
                            <a:latin typeface="Cambria Math" panose="02040503050406030204" pitchFamily="18" charset="0"/>
                          </a:rPr>
                        </m:ctrlPr>
                      </m:sSupPr>
                      <m:e>
                        <m:r>
                          <a:rPr lang="it-IT" sz="1600" b="0" i="1">
                            <a:latin typeface="Cambria Math" panose="02040503050406030204" pitchFamily="18" charset="0"/>
                          </a:rPr>
                          <m:t> </m:t>
                        </m:r>
                        <m:d>
                          <m:dPr>
                            <m:ctrlPr>
                              <a:rPr lang="it-IT" sz="1600" b="0" i="1">
                                <a:latin typeface="Cambria Math" panose="02040503050406030204" pitchFamily="18" charset="0"/>
                              </a:rPr>
                            </m:ctrlPr>
                          </m:dPr>
                          <m:e>
                            <m:f>
                              <m:fPr>
                                <m:ctrlPr>
                                  <a:rPr lang="it-IT" sz="1600" b="0" i="1">
                                    <a:latin typeface="Cambria Math" panose="02040503050406030204" pitchFamily="18" charset="0"/>
                                  </a:rPr>
                                </m:ctrlPr>
                              </m:fPr>
                              <m:num>
                                <m:r>
                                  <a:rPr lang="it-IT" sz="1600" b="0" i="1">
                                    <a:latin typeface="Cambria Math" panose="02040503050406030204" pitchFamily="18" charset="0"/>
                                  </a:rPr>
                                  <m:t>2</m:t>
                                </m:r>
                                <m:r>
                                  <a:rPr lang="it-IT" sz="1600" b="0" i="1">
                                    <a:latin typeface="Cambria Math" panose="02040503050406030204" pitchFamily="18" charset="0"/>
                                    <a:ea typeface="Cambria Math" panose="02040503050406030204" pitchFamily="18" charset="0"/>
                                  </a:rPr>
                                  <m:t>𝜋</m:t>
                                </m:r>
                                <m:r>
                                  <a:rPr lang="it-IT" sz="1600" b="0" i="1">
                                    <a:latin typeface="Cambria Math" panose="02040503050406030204" pitchFamily="18" charset="0"/>
                                    <a:ea typeface="Cambria Math" panose="02040503050406030204" pitchFamily="18" charset="0"/>
                                  </a:rPr>
                                  <m:t>𝑚</m:t>
                                </m:r>
                                <m:sSub>
                                  <m:sSubPr>
                                    <m:ctrlPr>
                                      <a:rPr lang="it-IT" sz="1600" b="0" i="1">
                                        <a:latin typeface="Cambria Math" panose="02040503050406030204" pitchFamily="18" charset="0"/>
                                        <a:ea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𝑘</m:t>
                                    </m:r>
                                  </m:e>
                                  <m:sub>
                                    <m:r>
                                      <a:rPr lang="it-IT" sz="1600" b="0" i="1">
                                        <a:latin typeface="Cambria Math" panose="02040503050406030204" pitchFamily="18" charset="0"/>
                                        <a:ea typeface="Cambria Math" panose="02040503050406030204" pitchFamily="18" charset="0"/>
                                      </a:rPr>
                                      <m:t>𝑏</m:t>
                                    </m:r>
                                  </m:sub>
                                </m:sSub>
                                <m:r>
                                  <a:rPr lang="it-IT" sz="1600" b="0" i="1">
                                    <a:latin typeface="Cambria Math" panose="02040503050406030204" pitchFamily="18" charset="0"/>
                                    <a:ea typeface="Cambria Math" panose="02040503050406030204" pitchFamily="18" charset="0"/>
                                  </a:rPr>
                                  <m:t>𝑇</m:t>
                                </m:r>
                              </m:num>
                              <m:den>
                                <m:sSup>
                                  <m:sSupPr>
                                    <m:ctrlPr>
                                      <a:rPr lang="it-IT" sz="1600" b="0" i="1">
                                        <a:latin typeface="Cambria Math" panose="02040503050406030204" pitchFamily="18" charset="0"/>
                                      </a:rPr>
                                    </m:ctrlPr>
                                  </m:sSupPr>
                                  <m:e>
                                    <m:r>
                                      <a:rPr lang="it-IT" sz="1600" b="0" i="1">
                                        <a:latin typeface="Cambria Math" panose="02040503050406030204" pitchFamily="18" charset="0"/>
                                      </a:rPr>
                                      <m:t>h</m:t>
                                    </m:r>
                                  </m:e>
                                  <m:sup>
                                    <m:r>
                                      <a:rPr lang="it-IT" sz="1600" b="0" i="1">
                                        <a:latin typeface="Cambria Math" panose="02040503050406030204" pitchFamily="18" charset="0"/>
                                      </a:rPr>
                                      <m:t>2</m:t>
                                    </m:r>
                                  </m:sup>
                                </m:sSup>
                              </m:den>
                            </m:f>
                          </m:e>
                        </m:d>
                      </m:e>
                      <m:sup>
                        <m:f>
                          <m:fPr>
                            <m:ctrlPr>
                              <a:rPr lang="it-IT" sz="1600" b="0" i="1">
                                <a:latin typeface="Cambria Math" panose="02040503050406030204" pitchFamily="18" charset="0"/>
                              </a:rPr>
                            </m:ctrlPr>
                          </m:fPr>
                          <m:num>
                            <m:r>
                              <a:rPr lang="it-IT" sz="1600" b="0" i="1">
                                <a:latin typeface="Cambria Math" panose="02040503050406030204" pitchFamily="18" charset="0"/>
                              </a:rPr>
                              <m:t>3</m:t>
                            </m:r>
                          </m:num>
                          <m:den>
                            <m:r>
                              <a:rPr lang="it-IT" sz="1600" b="0" i="1">
                                <a:latin typeface="Cambria Math" panose="02040503050406030204" pitchFamily="18" charset="0"/>
                              </a:rPr>
                              <m:t>2</m:t>
                            </m:r>
                          </m:den>
                        </m:f>
                      </m:sup>
                    </m:sSup>
                  </m:oMath>
                </m:oMathPara>
              </a14:m>
              <a:endParaRPr lang="en-US" sz="1600"/>
            </a:p>
          </xdr:txBody>
        </xdr:sp>
      </mc:Choice>
      <mc:Fallback xmlns="">
        <xdr:sp macro="" textlink="">
          <xdr:nvSpPr>
            <xdr:cNvPr id="10" name="TextBox 9">
              <a:extLst>
                <a:ext uri="{FF2B5EF4-FFF2-40B4-BE49-F238E27FC236}">
                  <a16:creationId xmlns:a16="http://schemas.microsoft.com/office/drawing/2014/main" id="{97D28890-F7A6-EA2E-ADE5-230A24D51FB0}"/>
                </a:ext>
              </a:extLst>
            </xdr:cNvPr>
            <xdr:cNvSpPr txBox="1"/>
          </xdr:nvSpPr>
          <xdr:spPr>
            <a:xfrm>
              <a:off x="9467348" y="14932311"/>
              <a:ext cx="2729209" cy="608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a:t>
              </a:r>
              <a:r>
                <a:rPr lang="en-US" sz="1600" b="0" i="0">
                  <a:latin typeface="Cambria Math" panose="02040503050406030204" pitchFamily="18" charset="0"/>
                </a:rPr>
                <a:t>_</a:t>
              </a:r>
              <a:r>
                <a:rPr lang="it-IT" sz="1600" b="0" i="0">
                  <a:latin typeface="Cambria Math" panose="02040503050406030204" pitchFamily="18" charset="0"/>
                </a:rPr>
                <a:t>𝑡𝑟𝑎𝑛𝑠𝑙^𝑢𝑑𝑣=𝑄_𝑡𝑟𝑎𝑠𝑙/𝑉=〖 ((2</a:t>
              </a:r>
              <a:r>
                <a:rPr lang="it-IT" sz="1600" b="0" i="0">
                  <a:latin typeface="Cambria Math" panose="02040503050406030204" pitchFamily="18" charset="0"/>
                  <a:ea typeface="Cambria Math" panose="02040503050406030204" pitchFamily="18" charset="0"/>
                </a:rPr>
                <a:t>𝜋𝑚𝑘_𝑏 𝑇)/</a:t>
              </a:r>
              <a:r>
                <a:rPr lang="it-IT" sz="1600" b="0" i="0">
                  <a:latin typeface="Cambria Math" panose="02040503050406030204" pitchFamily="18" charset="0"/>
                </a:rPr>
                <a:t>ℎ^2 )〗^(3/2)</a:t>
              </a:r>
              <a:endParaRPr lang="en-US" sz="1600"/>
            </a:p>
          </xdr:txBody>
        </xdr:sp>
      </mc:Fallback>
    </mc:AlternateContent>
    <xdr:clientData/>
  </xdr:oneCellAnchor>
  <xdr:twoCellAnchor>
    <xdr:from>
      <xdr:col>6</xdr:col>
      <xdr:colOff>750454</xdr:colOff>
      <xdr:row>63</xdr:row>
      <xdr:rowOff>72159</xdr:rowOff>
    </xdr:from>
    <xdr:to>
      <xdr:col>7</xdr:col>
      <xdr:colOff>137102</xdr:colOff>
      <xdr:row>67</xdr:row>
      <xdr:rowOff>202046</xdr:rowOff>
    </xdr:to>
    <xdr:sp macro="" textlink="">
      <xdr:nvSpPr>
        <xdr:cNvPr id="11" name="Left Brace 10">
          <a:extLst>
            <a:ext uri="{FF2B5EF4-FFF2-40B4-BE49-F238E27FC236}">
              <a16:creationId xmlns:a16="http://schemas.microsoft.com/office/drawing/2014/main" id="{DE281D51-0CC5-F420-F131-39C062F376A2}"/>
            </a:ext>
          </a:extLst>
        </xdr:cNvPr>
        <xdr:cNvSpPr/>
      </xdr:nvSpPr>
      <xdr:spPr>
        <a:xfrm>
          <a:off x="8536420" y="14287500"/>
          <a:ext cx="209262" cy="1212273"/>
        </a:xfrm>
        <a:prstGeom prst="leftBrace">
          <a:avLst>
            <a:gd name="adj1" fmla="val 8333"/>
            <a:gd name="adj2" fmla="val 26786"/>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760147</xdr:colOff>
      <xdr:row>63</xdr:row>
      <xdr:rowOff>185401</xdr:rowOff>
    </xdr:from>
    <xdr:to>
      <xdr:col>14</xdr:col>
      <xdr:colOff>1079500</xdr:colOff>
      <xdr:row>68</xdr:row>
      <xdr:rowOff>83431</xdr:rowOff>
    </xdr:to>
    <mc:AlternateContent xmlns:mc="http://schemas.openxmlformats.org/markup-compatibility/2006" xmlns:a14="http://schemas.microsoft.com/office/drawing/2010/main">
      <mc:Choice Requires="a14">
        <xdr:sp macro="" textlink="">
          <xdr:nvSpPr>
            <xdr:cNvPr id="12" name="Rectangle 11">
              <a:extLst>
                <a:ext uri="{FF2B5EF4-FFF2-40B4-BE49-F238E27FC236}">
                  <a16:creationId xmlns:a16="http://schemas.microsoft.com/office/drawing/2014/main" id="{BBD0CB15-B802-6A87-5143-A19BFEC92D3B}"/>
                </a:ext>
              </a:extLst>
            </xdr:cNvPr>
            <xdr:cNvSpPr/>
          </xdr:nvSpPr>
          <xdr:spPr>
            <a:xfrm>
              <a:off x="12312691" y="14678997"/>
              <a:ext cx="3739441" cy="122373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here</a:t>
              </a:r>
              <a:r>
                <a:rPr lang="en-US" sz="1100" baseline="0"/>
                <a:t> V is volume of the system considered (abc for a cubic volume).</a:t>
              </a:r>
            </a:p>
            <a:p>
              <a:pPr algn="l"/>
              <a:endParaRPr lang="en-US" sz="1100" baseline="0"/>
            </a:p>
            <a:p>
              <a:pPr algn="l"/>
              <a:r>
                <a:rPr lang="en-US" sz="1100" b="0" baseline="0"/>
                <a:t>In gaussian, since no volume is specified, the ideal gasses equation is used: </a:t>
              </a:r>
              <a14:m>
                <m:oMath xmlns:m="http://schemas.openxmlformats.org/officeDocument/2006/math">
                  <m:r>
                    <a:rPr lang="it-IT" sz="1100" b="0" i="1" baseline="0">
                      <a:latin typeface="Cambria Math" panose="02040503050406030204" pitchFamily="18" charset="0"/>
                    </a:rPr>
                    <m:t>𝑃𝑉</m:t>
                  </m:r>
                  <m:r>
                    <a:rPr lang="it-IT" sz="1100" b="0" i="1" baseline="0">
                      <a:latin typeface="Cambria Math" panose="02040503050406030204" pitchFamily="18" charset="0"/>
                    </a:rPr>
                    <m:t>=</m:t>
                  </m:r>
                  <m:r>
                    <a:rPr lang="it-IT" sz="1100" b="0" i="1" baseline="0">
                      <a:latin typeface="Cambria Math" panose="02040503050406030204" pitchFamily="18" charset="0"/>
                    </a:rPr>
                    <m:t>𝑁𝑅𝑇</m:t>
                  </m:r>
                  <m:r>
                    <a:rPr lang="it-IT" sz="1100" b="0" i="1" baseline="0">
                      <a:latin typeface="Cambria Math" panose="02040503050406030204" pitchFamily="18" charset="0"/>
                    </a:rPr>
                    <m:t>=</m:t>
                  </m:r>
                  <m:d>
                    <m:dPr>
                      <m:ctrlPr>
                        <a:rPr lang="it-IT" sz="1100" b="0" i="1" baseline="0">
                          <a:latin typeface="Cambria Math" panose="02040503050406030204" pitchFamily="18" charset="0"/>
                        </a:rPr>
                      </m:ctrlPr>
                    </m:dPr>
                    <m:e>
                      <m:f>
                        <m:fPr>
                          <m:ctrlPr>
                            <a:rPr lang="it-IT" sz="1100" b="0" i="1" baseline="0">
                              <a:latin typeface="Cambria Math" panose="02040503050406030204" pitchFamily="18" charset="0"/>
                            </a:rPr>
                          </m:ctrlPr>
                        </m:fPr>
                        <m:num>
                          <m:r>
                            <a:rPr lang="it-IT" sz="1100" b="0" i="1" baseline="0">
                              <a:latin typeface="Cambria Math" panose="02040503050406030204" pitchFamily="18" charset="0"/>
                            </a:rPr>
                            <m:t>𝑛</m:t>
                          </m:r>
                        </m:num>
                        <m:den>
                          <m:sSub>
                            <m:sSubPr>
                              <m:ctrlPr>
                                <a:rPr lang="it-IT" sz="1100" b="0" i="1" baseline="0">
                                  <a:latin typeface="Cambria Math" panose="02040503050406030204" pitchFamily="18" charset="0"/>
                                </a:rPr>
                              </m:ctrlPr>
                            </m:sSubPr>
                            <m:e>
                              <m:r>
                                <a:rPr lang="it-IT" sz="1100" b="0" i="1" baseline="0">
                                  <a:latin typeface="Cambria Math" panose="02040503050406030204" pitchFamily="18" charset="0"/>
                                </a:rPr>
                                <m:t>𝑁</m:t>
                              </m:r>
                            </m:e>
                            <m:sub>
                              <m:r>
                                <a:rPr lang="it-IT" sz="1100" b="0" i="1" baseline="0">
                                  <a:latin typeface="Cambria Math" panose="02040503050406030204" pitchFamily="18" charset="0"/>
                                </a:rPr>
                                <m:t>𝐴</m:t>
                              </m:r>
                            </m:sub>
                          </m:sSub>
                        </m:den>
                      </m:f>
                    </m:e>
                  </m:d>
                  <m:sSub>
                    <m:sSubPr>
                      <m:ctrlPr>
                        <a:rPr lang="it-IT" sz="1100" b="0" i="1" baseline="0">
                          <a:latin typeface="Cambria Math" panose="02040503050406030204" pitchFamily="18" charset="0"/>
                        </a:rPr>
                      </m:ctrlPr>
                    </m:sSubPr>
                    <m:e>
                      <m:r>
                        <a:rPr lang="it-IT" sz="1100" b="0" i="1" baseline="0">
                          <a:latin typeface="Cambria Math" panose="02040503050406030204" pitchFamily="18" charset="0"/>
                        </a:rPr>
                        <m:t>𝑁</m:t>
                      </m:r>
                    </m:e>
                    <m:sub>
                      <m:r>
                        <a:rPr lang="it-IT" sz="1100" b="0" i="1" baseline="0">
                          <a:latin typeface="Cambria Math" panose="02040503050406030204" pitchFamily="18" charset="0"/>
                        </a:rPr>
                        <m:t>𝐴</m:t>
                      </m:r>
                    </m:sub>
                  </m:sSub>
                  <m:sSub>
                    <m:sSubPr>
                      <m:ctrlPr>
                        <a:rPr lang="it-IT" sz="1100" b="0" i="1" baseline="0">
                          <a:latin typeface="Cambria Math" panose="02040503050406030204" pitchFamily="18" charset="0"/>
                        </a:rPr>
                      </m:ctrlPr>
                    </m:sSubPr>
                    <m:e>
                      <m:r>
                        <a:rPr lang="it-IT" sz="1100" b="0" i="1" baseline="0">
                          <a:latin typeface="Cambria Math" panose="02040503050406030204" pitchFamily="18" charset="0"/>
                        </a:rPr>
                        <m:t>𝑘</m:t>
                      </m:r>
                    </m:e>
                    <m:sub>
                      <m:r>
                        <a:rPr lang="it-IT" sz="1100" b="0" i="1" baseline="0">
                          <a:latin typeface="Cambria Math" panose="02040503050406030204" pitchFamily="18" charset="0"/>
                        </a:rPr>
                        <m:t>𝑏</m:t>
                      </m:r>
                    </m:sub>
                  </m:sSub>
                  <m:r>
                    <a:rPr lang="it-IT" sz="1100" b="0" i="1" baseline="0">
                      <a:latin typeface="Cambria Math" panose="02040503050406030204" pitchFamily="18" charset="0"/>
                    </a:rPr>
                    <m:t>𝑇</m:t>
                  </m:r>
                  <m:r>
                    <a:rPr lang="it-IT" sz="1100" b="0" i="1" baseline="0">
                      <a:latin typeface="Cambria Math" panose="02040503050406030204" pitchFamily="18" charset="0"/>
                    </a:rPr>
                    <m:t> →</m:t>
                  </m:r>
                  <m:r>
                    <a:rPr lang="it-IT" sz="1100" b="0" i="1" baseline="0">
                      <a:latin typeface="Cambria Math" panose="02040503050406030204" pitchFamily="18" charset="0"/>
                      <a:ea typeface="Cambria Math" panose="02040503050406030204" pitchFamily="18" charset="0"/>
                    </a:rPr>
                    <m:t>𝑉</m:t>
                  </m:r>
                  <m:r>
                    <a:rPr lang="it-IT" sz="1100" b="0" i="1" baseline="0">
                      <a:latin typeface="Cambria Math" panose="02040503050406030204" pitchFamily="18" charset="0"/>
                      <a:ea typeface="Cambria Math" panose="02040503050406030204" pitchFamily="18" charset="0"/>
                    </a:rPr>
                    <m:t>=</m:t>
                  </m:r>
                  <m:f>
                    <m:fPr>
                      <m:ctrlPr>
                        <a:rPr lang="it-IT" sz="1100" b="0" i="1" baseline="0">
                          <a:latin typeface="Cambria Math" panose="02040503050406030204" pitchFamily="18" charset="0"/>
                          <a:ea typeface="Cambria Math" panose="02040503050406030204" pitchFamily="18" charset="0"/>
                        </a:rPr>
                      </m:ctrlPr>
                    </m:fPr>
                    <m:num>
                      <m:sSub>
                        <m:sSubPr>
                          <m:ctrlPr>
                            <a:rPr lang="it-IT" sz="1100" b="0" i="1" baseline="0">
                              <a:latin typeface="Cambria Math" panose="02040503050406030204" pitchFamily="18" charset="0"/>
                              <a:ea typeface="Cambria Math" panose="02040503050406030204" pitchFamily="18" charset="0"/>
                            </a:rPr>
                          </m:ctrlPr>
                        </m:sSubPr>
                        <m:e>
                          <m:r>
                            <a:rPr lang="it-IT" sz="1100" b="0" i="1" baseline="0">
                              <a:latin typeface="Cambria Math" panose="02040503050406030204" pitchFamily="18" charset="0"/>
                              <a:ea typeface="Cambria Math" panose="02040503050406030204" pitchFamily="18" charset="0"/>
                            </a:rPr>
                            <m:t>𝑘</m:t>
                          </m:r>
                        </m:e>
                        <m:sub>
                          <m:r>
                            <a:rPr lang="it-IT" sz="1100" b="0" i="1" baseline="0">
                              <a:latin typeface="Cambria Math" panose="02040503050406030204" pitchFamily="18" charset="0"/>
                              <a:ea typeface="Cambria Math" panose="02040503050406030204" pitchFamily="18" charset="0"/>
                            </a:rPr>
                            <m:t>𝑏</m:t>
                          </m:r>
                        </m:sub>
                      </m:sSub>
                      <m:r>
                        <a:rPr lang="it-IT" sz="1100" b="0" i="1" baseline="0">
                          <a:latin typeface="Cambria Math" panose="02040503050406030204" pitchFamily="18" charset="0"/>
                          <a:ea typeface="Cambria Math" panose="02040503050406030204" pitchFamily="18" charset="0"/>
                        </a:rPr>
                        <m:t>𝑇</m:t>
                      </m:r>
                    </m:num>
                    <m:den>
                      <m:r>
                        <a:rPr lang="it-IT" sz="1100" b="0" i="1" baseline="0">
                          <a:latin typeface="Cambria Math" panose="02040503050406030204" pitchFamily="18" charset="0"/>
                          <a:ea typeface="Cambria Math" panose="02040503050406030204" pitchFamily="18" charset="0"/>
                        </a:rPr>
                        <m:t>𝑃</m:t>
                      </m:r>
                    </m:den>
                  </m:f>
                </m:oMath>
              </a14:m>
              <a:r>
                <a:rPr lang="en-US" sz="1100" b="1" baseline="0"/>
                <a:t>  </a:t>
              </a:r>
              <a:endParaRPr lang="en-US" sz="1100" b="1"/>
            </a:p>
          </xdr:txBody>
        </xdr:sp>
      </mc:Choice>
      <mc:Fallback xmlns="">
        <xdr:sp macro="" textlink="">
          <xdr:nvSpPr>
            <xdr:cNvPr id="12" name="Rectangle 11">
              <a:extLst>
                <a:ext uri="{FF2B5EF4-FFF2-40B4-BE49-F238E27FC236}">
                  <a16:creationId xmlns:a16="http://schemas.microsoft.com/office/drawing/2014/main" id="{BBD0CB15-B802-6A87-5143-A19BFEC92D3B}"/>
                </a:ext>
              </a:extLst>
            </xdr:cNvPr>
            <xdr:cNvSpPr/>
          </xdr:nvSpPr>
          <xdr:spPr>
            <a:xfrm>
              <a:off x="12312691" y="14678997"/>
              <a:ext cx="3739441" cy="122373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here</a:t>
              </a:r>
              <a:r>
                <a:rPr lang="en-US" sz="1100" baseline="0"/>
                <a:t> V is volume of the system considered (abc for a cubic volume).</a:t>
              </a:r>
            </a:p>
            <a:p>
              <a:pPr algn="l"/>
              <a:endParaRPr lang="en-US" sz="1100" baseline="0"/>
            </a:p>
            <a:p>
              <a:pPr algn="l"/>
              <a:r>
                <a:rPr lang="en-US" sz="1100" b="0" baseline="0"/>
                <a:t>In gaussian, since no volume is specified, the ideal gasses equation is used: </a:t>
              </a:r>
              <a:r>
                <a:rPr lang="it-IT" sz="1100" b="0" i="0" baseline="0">
                  <a:latin typeface="Cambria Math" panose="02040503050406030204" pitchFamily="18" charset="0"/>
                </a:rPr>
                <a:t>𝑃𝑉=𝑁𝑅𝑇=(𝑛/𝑁_𝐴 ) 𝑁_𝐴 𝑘_𝑏 𝑇 →</a:t>
              </a:r>
              <a:r>
                <a:rPr lang="it-IT" sz="1100" b="0" i="0" baseline="0">
                  <a:latin typeface="Cambria Math" panose="02040503050406030204" pitchFamily="18" charset="0"/>
                  <a:ea typeface="Cambria Math" panose="02040503050406030204" pitchFamily="18" charset="0"/>
                </a:rPr>
                <a:t>𝑉=(𝑘_𝑏 𝑇)/𝑃</a:t>
              </a:r>
              <a:r>
                <a:rPr lang="en-US" sz="1100" b="1" baseline="0"/>
                <a:t>  </a:t>
              </a:r>
              <a:endParaRPr lang="en-US" sz="1100" b="1"/>
            </a:p>
          </xdr:txBody>
        </xdr:sp>
      </mc:Fallback>
    </mc:AlternateContent>
    <xdr:clientData/>
  </xdr:twoCellAnchor>
  <xdr:twoCellAnchor>
    <xdr:from>
      <xdr:col>5</xdr:col>
      <xdr:colOff>540926</xdr:colOff>
      <xdr:row>38</xdr:row>
      <xdr:rowOff>35278</xdr:rowOff>
    </xdr:from>
    <xdr:to>
      <xdr:col>5</xdr:col>
      <xdr:colOff>623241</xdr:colOff>
      <xdr:row>39</xdr:row>
      <xdr:rowOff>211666</xdr:rowOff>
    </xdr:to>
    <xdr:cxnSp macro="">
      <xdr:nvCxnSpPr>
        <xdr:cNvPr id="29" name="Straight Arrow Connector 28">
          <a:extLst>
            <a:ext uri="{FF2B5EF4-FFF2-40B4-BE49-F238E27FC236}">
              <a16:creationId xmlns:a16="http://schemas.microsoft.com/office/drawing/2014/main" id="{876D4E3A-F607-F44A-90AF-945FCA971896}"/>
            </a:ext>
          </a:extLst>
        </xdr:cNvPr>
        <xdr:cNvCxnSpPr/>
      </xdr:nvCxnSpPr>
      <xdr:spPr>
        <a:xfrm flipV="1">
          <a:off x="6479352" y="9936574"/>
          <a:ext cx="82315" cy="423333"/>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933615</xdr:colOff>
      <xdr:row>35</xdr:row>
      <xdr:rowOff>212608</xdr:rowOff>
    </xdr:from>
    <xdr:ext cx="1638370" cy="591059"/>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48319DB1-7092-AA49-BE4D-B849ECFDC2A4}"/>
                </a:ext>
              </a:extLst>
            </xdr:cNvPr>
            <xdr:cNvSpPr txBox="1"/>
          </xdr:nvSpPr>
          <xdr:spPr>
            <a:xfrm>
              <a:off x="5719634" y="9337793"/>
              <a:ext cx="1638370" cy="591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300" i="1">
                        <a:latin typeface="Cambria Math" panose="02040503050406030204" pitchFamily="18" charset="0"/>
                        <a:ea typeface="Cambria Math" panose="02040503050406030204" pitchFamily="18" charset="0"/>
                      </a:rPr>
                      <m:t>𝜈</m:t>
                    </m:r>
                    <m:r>
                      <a:rPr lang="it-IT" sz="1300" b="0" i="1">
                        <a:latin typeface="Cambria Math" panose="02040503050406030204" pitchFamily="18" charset="0"/>
                        <a:ea typeface="Cambria Math" panose="02040503050406030204" pitchFamily="18" charset="0"/>
                      </a:rPr>
                      <m:t>=</m:t>
                    </m:r>
                    <m:f>
                      <m:fPr>
                        <m:ctrlPr>
                          <a:rPr lang="it-IT" sz="1300" b="0" i="1">
                            <a:latin typeface="Cambria Math" panose="02040503050406030204" pitchFamily="18" charset="0"/>
                            <a:ea typeface="Cambria Math" panose="02040503050406030204" pitchFamily="18" charset="0"/>
                          </a:rPr>
                        </m:ctrlPr>
                      </m:fPr>
                      <m:num>
                        <m:r>
                          <a:rPr lang="it-IT" sz="1300" b="0" i="1">
                            <a:latin typeface="Cambria Math" panose="02040503050406030204" pitchFamily="18" charset="0"/>
                            <a:ea typeface="Cambria Math" panose="02040503050406030204" pitchFamily="18" charset="0"/>
                          </a:rPr>
                          <m:t>1</m:t>
                        </m:r>
                      </m:num>
                      <m:den>
                        <m:r>
                          <a:rPr lang="it-IT" sz="1300" b="0" i="1">
                            <a:latin typeface="Cambria Math" panose="02040503050406030204" pitchFamily="18" charset="0"/>
                            <a:ea typeface="Cambria Math" panose="02040503050406030204" pitchFamily="18" charset="0"/>
                          </a:rPr>
                          <m:t>2</m:t>
                        </m:r>
                        <m:r>
                          <a:rPr lang="it-IT" sz="1300" b="0" i="1">
                            <a:latin typeface="Cambria Math" panose="02040503050406030204" pitchFamily="18" charset="0"/>
                            <a:ea typeface="Cambria Math" panose="02040503050406030204" pitchFamily="18" charset="0"/>
                          </a:rPr>
                          <m:t>𝜋</m:t>
                        </m:r>
                        <m:r>
                          <a:rPr lang="it-IT" sz="1300" b="0" i="1">
                            <a:latin typeface="Cambria Math" panose="02040503050406030204" pitchFamily="18" charset="0"/>
                            <a:ea typeface="Cambria Math" panose="02040503050406030204" pitchFamily="18" charset="0"/>
                          </a:rPr>
                          <m:t>𝑐</m:t>
                        </m:r>
                      </m:den>
                    </m:f>
                    <m:rad>
                      <m:radPr>
                        <m:degHide m:val="on"/>
                        <m:ctrlPr>
                          <a:rPr lang="it-IT" sz="1300" b="0" i="1">
                            <a:latin typeface="Cambria Math" panose="02040503050406030204" pitchFamily="18" charset="0"/>
                            <a:ea typeface="Cambria Math" panose="02040503050406030204" pitchFamily="18" charset="0"/>
                          </a:rPr>
                        </m:ctrlPr>
                      </m:radPr>
                      <m:deg/>
                      <m:e>
                        <m:f>
                          <m:fPr>
                            <m:ctrlPr>
                              <a:rPr lang="it-IT" sz="1300" b="0" i="1">
                                <a:latin typeface="Cambria Math" panose="02040503050406030204" pitchFamily="18" charset="0"/>
                                <a:ea typeface="Cambria Math" panose="02040503050406030204" pitchFamily="18" charset="0"/>
                              </a:rPr>
                            </m:ctrlPr>
                          </m:fPr>
                          <m:num>
                            <m:r>
                              <a:rPr lang="it-IT" sz="1300" b="0" i="1">
                                <a:latin typeface="Cambria Math" panose="02040503050406030204" pitchFamily="18" charset="0"/>
                                <a:ea typeface="Cambria Math" panose="02040503050406030204" pitchFamily="18" charset="0"/>
                              </a:rPr>
                              <m:t>𝑘</m:t>
                            </m:r>
                          </m:num>
                          <m:den>
                            <m:r>
                              <a:rPr lang="it-IT" sz="1300" b="0" i="1">
                                <a:solidFill>
                                  <a:srgbClr val="FF0000"/>
                                </a:solidFill>
                                <a:latin typeface="Cambria Math" panose="02040503050406030204" pitchFamily="18" charset="0"/>
                                <a:ea typeface="Cambria Math" panose="02040503050406030204" pitchFamily="18" charset="0"/>
                              </a:rPr>
                              <m:t>𝜇</m:t>
                            </m:r>
                          </m:den>
                        </m:f>
                      </m:e>
                    </m:rad>
                  </m:oMath>
                </m:oMathPara>
              </a14:m>
              <a:endParaRPr lang="en-US" sz="1300"/>
            </a:p>
          </xdr:txBody>
        </xdr:sp>
      </mc:Choice>
      <mc:Fallback xmlns="">
        <xdr:sp macro="" textlink="">
          <xdr:nvSpPr>
            <xdr:cNvPr id="32" name="TextBox 31">
              <a:extLst>
                <a:ext uri="{FF2B5EF4-FFF2-40B4-BE49-F238E27FC236}">
                  <a16:creationId xmlns:a16="http://schemas.microsoft.com/office/drawing/2014/main" id="{48319DB1-7092-AA49-BE4D-B849ECFDC2A4}"/>
                </a:ext>
              </a:extLst>
            </xdr:cNvPr>
            <xdr:cNvSpPr txBox="1"/>
          </xdr:nvSpPr>
          <xdr:spPr>
            <a:xfrm>
              <a:off x="5719634" y="9337793"/>
              <a:ext cx="1638370" cy="591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300" i="0">
                  <a:latin typeface="Cambria Math" panose="02040503050406030204" pitchFamily="18" charset="0"/>
                  <a:ea typeface="Cambria Math" panose="02040503050406030204" pitchFamily="18" charset="0"/>
                </a:rPr>
                <a:t>𝜈</a:t>
              </a:r>
              <a:r>
                <a:rPr lang="it-IT" sz="1300" b="0" i="0">
                  <a:latin typeface="Cambria Math" panose="02040503050406030204" pitchFamily="18" charset="0"/>
                  <a:ea typeface="Cambria Math" panose="02040503050406030204" pitchFamily="18" charset="0"/>
                </a:rPr>
                <a:t>=1/2𝜋𝑐 √(𝑘/</a:t>
              </a:r>
              <a:r>
                <a:rPr lang="it-IT" sz="1300" b="0" i="0">
                  <a:solidFill>
                    <a:srgbClr val="FF0000"/>
                  </a:solidFill>
                  <a:latin typeface="Cambria Math" panose="02040503050406030204" pitchFamily="18" charset="0"/>
                  <a:ea typeface="Cambria Math" panose="02040503050406030204" pitchFamily="18" charset="0"/>
                </a:rPr>
                <a:t>𝜇)</a:t>
              </a:r>
              <a:endParaRPr lang="en-US" sz="1300"/>
            </a:p>
          </xdr:txBody>
        </xdr:sp>
      </mc:Fallback>
    </mc:AlternateContent>
    <xdr:clientData/>
  </xdr:oneCellAnchor>
  <xdr:twoCellAnchor>
    <xdr:from>
      <xdr:col>5</xdr:col>
      <xdr:colOff>1023055</xdr:colOff>
      <xdr:row>37</xdr:row>
      <xdr:rowOff>223426</xdr:rowOff>
    </xdr:from>
    <xdr:to>
      <xdr:col>6</xdr:col>
      <xdr:colOff>576204</xdr:colOff>
      <xdr:row>39</xdr:row>
      <xdr:rowOff>199907</xdr:rowOff>
    </xdr:to>
    <xdr:cxnSp macro="">
      <xdr:nvCxnSpPr>
        <xdr:cNvPr id="33" name="Straight Arrow Connector 32">
          <a:extLst>
            <a:ext uri="{FF2B5EF4-FFF2-40B4-BE49-F238E27FC236}">
              <a16:creationId xmlns:a16="http://schemas.microsoft.com/office/drawing/2014/main" id="{69EECA0A-143D-F147-AEEA-D9E5473AF5E5}"/>
            </a:ext>
          </a:extLst>
        </xdr:cNvPr>
        <xdr:cNvCxnSpPr/>
      </xdr:nvCxnSpPr>
      <xdr:spPr>
        <a:xfrm flipH="1" flipV="1">
          <a:off x="6961481" y="9866019"/>
          <a:ext cx="646760" cy="482129"/>
        </a:xfrm>
        <a:prstGeom prst="straightConnector1">
          <a:avLst/>
        </a:prstGeom>
        <a:ln>
          <a:solidFill>
            <a:srgbClr val="FF0000"/>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728134</xdr:colOff>
      <xdr:row>79</xdr:row>
      <xdr:rowOff>222790</xdr:rowOff>
    </xdr:from>
    <xdr:to>
      <xdr:col>14</xdr:col>
      <xdr:colOff>351463</xdr:colOff>
      <xdr:row>94</xdr:row>
      <xdr:rowOff>135466</xdr:rowOff>
    </xdr:to>
    <xdr:graphicFrame macro="">
      <xdr:nvGraphicFramePr>
        <xdr:cNvPr id="40" name="Chart 39">
          <a:extLst>
            <a:ext uri="{FF2B5EF4-FFF2-40B4-BE49-F238E27FC236}">
              <a16:creationId xmlns:a16="http://schemas.microsoft.com/office/drawing/2014/main" id="{C537CA78-6FCB-FEFF-31EC-5F72D67BB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359975</xdr:colOff>
      <xdr:row>101</xdr:row>
      <xdr:rowOff>168476</xdr:rowOff>
    </xdr:from>
    <xdr:to>
      <xdr:col>6</xdr:col>
      <xdr:colOff>520551</xdr:colOff>
      <xdr:row>101</xdr:row>
      <xdr:rowOff>183073</xdr:rowOff>
    </xdr:to>
    <xdr:cxnSp macro="">
      <xdr:nvCxnSpPr>
        <xdr:cNvPr id="41" name="Straight Arrow Connector 40">
          <a:extLst>
            <a:ext uri="{FF2B5EF4-FFF2-40B4-BE49-F238E27FC236}">
              <a16:creationId xmlns:a16="http://schemas.microsoft.com/office/drawing/2014/main" id="{526BFF3D-25F3-5848-921B-3DD0C651E3D0}"/>
            </a:ext>
          </a:extLst>
        </xdr:cNvPr>
        <xdr:cNvCxnSpPr/>
      </xdr:nvCxnSpPr>
      <xdr:spPr>
        <a:xfrm>
          <a:off x="5786339" y="23871294"/>
          <a:ext cx="2481212"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887238</xdr:colOff>
      <xdr:row>99</xdr:row>
      <xdr:rowOff>194410</xdr:rowOff>
    </xdr:from>
    <xdr:ext cx="2036135" cy="80547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5935C56F-B1D0-54DA-8DA5-2DDC12E5E9BC}"/>
                </a:ext>
              </a:extLst>
            </xdr:cNvPr>
            <xdr:cNvSpPr txBox="1"/>
          </xdr:nvSpPr>
          <xdr:spPr>
            <a:xfrm>
              <a:off x="8618642" y="23477743"/>
              <a:ext cx="2036135" cy="805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it-IT" sz="1600" b="0" i="1">
                            <a:latin typeface="Cambria Math" panose="02040503050406030204" pitchFamily="18" charset="0"/>
                          </a:rPr>
                          <m:t>𝑄</m:t>
                        </m:r>
                      </m:e>
                      <m:sub>
                        <m:r>
                          <a:rPr lang="it-IT" sz="1600" b="0" i="1">
                            <a:latin typeface="Cambria Math" panose="02040503050406030204" pitchFamily="18" charset="0"/>
                          </a:rPr>
                          <m:t>𝑣𝑖𝑏</m:t>
                        </m:r>
                      </m:sub>
                    </m:sSub>
                    <m:r>
                      <a:rPr lang="it-IT" sz="1600" b="0" i="1">
                        <a:latin typeface="Cambria Math" panose="02040503050406030204" pitchFamily="18" charset="0"/>
                      </a:rPr>
                      <m:t>=</m:t>
                    </m:r>
                    <m:nary>
                      <m:naryPr>
                        <m:chr m:val="∏"/>
                        <m:ctrlPr>
                          <a:rPr lang="it-IT" sz="1600" b="0" i="1">
                            <a:latin typeface="Cambria Math" panose="02040503050406030204" pitchFamily="18" charset="0"/>
                          </a:rPr>
                        </m:ctrlPr>
                      </m:naryPr>
                      <m:sub>
                        <m:r>
                          <m:rPr>
                            <m:brk m:alnAt="23"/>
                          </m:rPr>
                          <a:rPr lang="it-IT" sz="1600" b="0" i="1">
                            <a:latin typeface="Cambria Math" panose="02040503050406030204" pitchFamily="18" charset="0"/>
                          </a:rPr>
                          <m:t>𝑖</m:t>
                        </m:r>
                        <m:r>
                          <a:rPr lang="it-IT" sz="1600" b="0" i="1">
                            <a:latin typeface="Cambria Math" panose="02040503050406030204" pitchFamily="18" charset="0"/>
                          </a:rPr>
                          <m:t>=1</m:t>
                        </m:r>
                      </m:sub>
                      <m:sup>
                        <m:sSub>
                          <m:sSubPr>
                            <m:ctrlPr>
                              <a:rPr lang="it-IT" sz="1600" b="0" i="1">
                                <a:latin typeface="Cambria Math" panose="02040503050406030204" pitchFamily="18" charset="0"/>
                              </a:rPr>
                            </m:ctrlPr>
                          </m:sSubPr>
                          <m:e>
                            <m:r>
                              <a:rPr lang="it-IT" sz="1600" b="0" i="1">
                                <a:latin typeface="Cambria Math" panose="02040503050406030204" pitchFamily="18" charset="0"/>
                              </a:rPr>
                              <m:t>𝑁</m:t>
                            </m:r>
                          </m:e>
                          <m:sub>
                            <m:r>
                              <a:rPr lang="it-IT" sz="1600" b="0" i="1">
                                <a:latin typeface="Cambria Math" panose="02040503050406030204" pitchFamily="18" charset="0"/>
                              </a:rPr>
                              <m:t>𝑣𝑖𝑏</m:t>
                            </m:r>
                          </m:sub>
                        </m:sSub>
                      </m:sup>
                      <m:e>
                        <m:f>
                          <m:fPr>
                            <m:ctrlPr>
                              <a:rPr lang="it-IT" sz="1600" b="0" i="1">
                                <a:latin typeface="Cambria Math" panose="02040503050406030204" pitchFamily="18" charset="0"/>
                              </a:rPr>
                            </m:ctrlPr>
                          </m:fPr>
                          <m:num>
                            <m:sSup>
                              <m:sSupPr>
                                <m:ctrlPr>
                                  <a:rPr lang="it-IT" sz="1600" b="0" i="1">
                                    <a:latin typeface="Cambria Math" panose="02040503050406030204" pitchFamily="18" charset="0"/>
                                  </a:rPr>
                                </m:ctrlPr>
                              </m:sSupPr>
                              <m:e>
                                <m:r>
                                  <a:rPr lang="it-IT" sz="1600" b="0" i="1">
                                    <a:latin typeface="Cambria Math" panose="02040503050406030204" pitchFamily="18" charset="0"/>
                                  </a:rPr>
                                  <m:t>𝑒</m:t>
                                </m:r>
                              </m:e>
                              <m:sup>
                                <m:d>
                                  <m:dPr>
                                    <m:ctrlPr>
                                      <a:rPr lang="it-IT" sz="1600" b="0" i="1">
                                        <a:latin typeface="Cambria Math" panose="02040503050406030204" pitchFamily="18" charset="0"/>
                                      </a:rPr>
                                    </m:ctrlPr>
                                  </m:dPr>
                                  <m:e>
                                    <m:r>
                                      <a:rPr lang="it-IT" sz="1600" b="0" i="1">
                                        <a:latin typeface="Cambria Math" panose="02040503050406030204" pitchFamily="18" charset="0"/>
                                      </a:rPr>
                                      <m:t>−</m:t>
                                    </m:r>
                                    <m:f>
                                      <m:fPr>
                                        <m:ctrlPr>
                                          <a:rPr lang="it-IT" sz="1600" b="0" i="1">
                                            <a:latin typeface="Cambria Math" panose="02040503050406030204" pitchFamily="18" charset="0"/>
                                          </a:rPr>
                                        </m:ctrlPr>
                                      </m:fPr>
                                      <m:num>
                                        <m:r>
                                          <a:rPr lang="it-IT" sz="1600" b="0" i="1">
                                            <a:latin typeface="Cambria Math" panose="02040503050406030204" pitchFamily="18" charset="0"/>
                                          </a:rPr>
                                          <m:t>h</m:t>
                                        </m:r>
                                        <m:sSub>
                                          <m:sSubPr>
                                            <m:ctrlPr>
                                              <a:rPr lang="it-IT" sz="1600" b="0" i="1">
                                                <a:latin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𝜐</m:t>
                                            </m:r>
                                          </m:e>
                                          <m:sub>
                                            <m:r>
                                              <a:rPr lang="it-IT" sz="1600" b="0" i="1">
                                                <a:latin typeface="Cambria Math" panose="02040503050406030204" pitchFamily="18" charset="0"/>
                                              </a:rPr>
                                              <m:t>𝑖</m:t>
                                            </m:r>
                                          </m:sub>
                                        </m:sSub>
                                      </m:num>
                                      <m:den>
                                        <m:r>
                                          <a:rPr lang="it-IT" sz="1600" b="0" i="1">
                                            <a:latin typeface="Cambria Math" panose="02040503050406030204" pitchFamily="18" charset="0"/>
                                          </a:rPr>
                                          <m:t>2</m:t>
                                        </m:r>
                                        <m:sSub>
                                          <m:sSubPr>
                                            <m:ctrlPr>
                                              <a:rPr lang="it-IT" sz="1600" b="0" i="1">
                                                <a:latin typeface="Cambria Math" panose="02040503050406030204" pitchFamily="18" charset="0"/>
                                              </a:rPr>
                                            </m:ctrlPr>
                                          </m:sSubPr>
                                          <m:e>
                                            <m:r>
                                              <a:rPr lang="it-IT" sz="1600" b="0" i="1">
                                                <a:latin typeface="Cambria Math" panose="02040503050406030204" pitchFamily="18" charset="0"/>
                                              </a:rPr>
                                              <m:t>𝑘</m:t>
                                            </m:r>
                                          </m:e>
                                          <m:sub>
                                            <m:r>
                                              <a:rPr lang="it-IT" sz="1600" b="0" i="1">
                                                <a:latin typeface="Cambria Math" panose="02040503050406030204" pitchFamily="18" charset="0"/>
                                              </a:rPr>
                                              <m:t>𝑏</m:t>
                                            </m:r>
                                          </m:sub>
                                        </m:sSub>
                                        <m:r>
                                          <a:rPr lang="it-IT" sz="1600" b="0" i="1">
                                            <a:latin typeface="Cambria Math" panose="02040503050406030204" pitchFamily="18" charset="0"/>
                                          </a:rPr>
                                          <m:t>𝑇</m:t>
                                        </m:r>
                                      </m:den>
                                    </m:f>
                                  </m:e>
                                </m:d>
                              </m:sup>
                            </m:sSup>
                          </m:num>
                          <m:den>
                            <m:r>
                              <a:rPr lang="it-IT" sz="1600" b="0" i="1">
                                <a:latin typeface="Cambria Math" panose="02040503050406030204" pitchFamily="18" charset="0"/>
                              </a:rPr>
                              <m:t>1−</m:t>
                            </m:r>
                            <m:sSup>
                              <m:sSupPr>
                                <m:ctrlPr>
                                  <a:rPr lang="it-IT" sz="1600" b="0" i="1">
                                    <a:latin typeface="Cambria Math" panose="02040503050406030204" pitchFamily="18" charset="0"/>
                                  </a:rPr>
                                </m:ctrlPr>
                              </m:sSupPr>
                              <m:e>
                                <m:r>
                                  <a:rPr lang="it-IT" sz="1600" b="0" i="1">
                                    <a:latin typeface="Cambria Math" panose="02040503050406030204" pitchFamily="18" charset="0"/>
                                  </a:rPr>
                                  <m:t>𝑒</m:t>
                                </m:r>
                              </m:e>
                              <m:sup>
                                <m:d>
                                  <m:dPr>
                                    <m:ctrlPr>
                                      <a:rPr lang="it-IT" sz="1600" b="0" i="1">
                                        <a:latin typeface="Cambria Math" panose="02040503050406030204" pitchFamily="18" charset="0"/>
                                      </a:rPr>
                                    </m:ctrlPr>
                                  </m:dPr>
                                  <m:e>
                                    <m:r>
                                      <a:rPr lang="it-IT" sz="1600" b="0" i="1">
                                        <a:latin typeface="Cambria Math" panose="02040503050406030204" pitchFamily="18" charset="0"/>
                                      </a:rPr>
                                      <m:t>−</m:t>
                                    </m:r>
                                    <m:f>
                                      <m:fPr>
                                        <m:ctrlPr>
                                          <a:rPr lang="it-IT" sz="1600" b="0" i="1">
                                            <a:latin typeface="Cambria Math" panose="02040503050406030204" pitchFamily="18" charset="0"/>
                                          </a:rPr>
                                        </m:ctrlPr>
                                      </m:fPr>
                                      <m:num>
                                        <m:r>
                                          <a:rPr lang="it-IT" sz="1600" b="0" i="1">
                                            <a:latin typeface="Cambria Math" panose="02040503050406030204" pitchFamily="18" charset="0"/>
                                          </a:rPr>
                                          <m:t>h</m:t>
                                        </m:r>
                                        <m:sSub>
                                          <m:sSubPr>
                                            <m:ctrlPr>
                                              <a:rPr lang="it-IT" sz="1600" b="0" i="1">
                                                <a:latin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𝜐</m:t>
                                            </m:r>
                                          </m:e>
                                          <m:sub>
                                            <m:r>
                                              <a:rPr lang="it-IT" sz="1600" b="0" i="1">
                                                <a:latin typeface="Cambria Math" panose="02040503050406030204" pitchFamily="18" charset="0"/>
                                              </a:rPr>
                                              <m:t>𝑖</m:t>
                                            </m:r>
                                          </m:sub>
                                        </m:sSub>
                                      </m:num>
                                      <m:den>
                                        <m:sSub>
                                          <m:sSubPr>
                                            <m:ctrlPr>
                                              <a:rPr lang="it-IT" sz="1600" b="0" i="1">
                                                <a:latin typeface="Cambria Math" panose="02040503050406030204" pitchFamily="18" charset="0"/>
                                              </a:rPr>
                                            </m:ctrlPr>
                                          </m:sSubPr>
                                          <m:e>
                                            <m:r>
                                              <a:rPr lang="it-IT" sz="1600" b="0" i="1">
                                                <a:latin typeface="Cambria Math" panose="02040503050406030204" pitchFamily="18" charset="0"/>
                                              </a:rPr>
                                              <m:t>𝑘</m:t>
                                            </m:r>
                                          </m:e>
                                          <m:sub>
                                            <m:r>
                                              <a:rPr lang="it-IT" sz="1600" b="0" i="1">
                                                <a:latin typeface="Cambria Math" panose="02040503050406030204" pitchFamily="18" charset="0"/>
                                              </a:rPr>
                                              <m:t>𝑏</m:t>
                                            </m:r>
                                          </m:sub>
                                        </m:sSub>
                                        <m:r>
                                          <a:rPr lang="it-IT" sz="1600" b="0" i="1">
                                            <a:latin typeface="Cambria Math" panose="02040503050406030204" pitchFamily="18" charset="0"/>
                                          </a:rPr>
                                          <m:t>𝑇</m:t>
                                        </m:r>
                                      </m:den>
                                    </m:f>
                                  </m:e>
                                </m:d>
                              </m:sup>
                            </m:sSup>
                          </m:den>
                        </m:f>
                      </m:e>
                    </m:nary>
                  </m:oMath>
                </m:oMathPara>
              </a14:m>
              <a:endParaRPr lang="en-US" sz="1600"/>
            </a:p>
          </xdr:txBody>
        </xdr:sp>
      </mc:Choice>
      <mc:Fallback xmlns="">
        <xdr:sp macro="" textlink="">
          <xdr:nvSpPr>
            <xdr:cNvPr id="42" name="TextBox 41">
              <a:extLst>
                <a:ext uri="{FF2B5EF4-FFF2-40B4-BE49-F238E27FC236}">
                  <a16:creationId xmlns:a16="http://schemas.microsoft.com/office/drawing/2014/main" id="{5935C56F-B1D0-54DA-8DA5-2DDC12E5E9BC}"/>
                </a:ext>
              </a:extLst>
            </xdr:cNvPr>
            <xdr:cNvSpPr txBox="1"/>
          </xdr:nvSpPr>
          <xdr:spPr>
            <a:xfrm>
              <a:off x="8618642" y="23477743"/>
              <a:ext cx="2036135" cy="805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a:t>
              </a:r>
              <a:r>
                <a:rPr lang="en-US" sz="1600" b="0" i="0">
                  <a:latin typeface="Cambria Math" panose="02040503050406030204" pitchFamily="18" charset="0"/>
                </a:rPr>
                <a:t>_</a:t>
              </a:r>
              <a:r>
                <a:rPr lang="it-IT" sz="1600" b="0" i="0">
                  <a:latin typeface="Cambria Math" panose="02040503050406030204" pitchFamily="18" charset="0"/>
                </a:rPr>
                <a:t>𝑣𝑖𝑏=∏_(𝑖=1)^(𝑁_𝑣𝑖𝑏)▒𝑒^((−(ℎ</a:t>
              </a:r>
              <a:r>
                <a:rPr lang="it-IT" sz="1600" b="0" i="0">
                  <a:latin typeface="Cambria Math" panose="02040503050406030204" pitchFamily="18" charset="0"/>
                  <a:ea typeface="Cambria Math" panose="02040503050406030204" pitchFamily="18" charset="0"/>
                </a:rPr>
                <a:t>𝜐_</a:t>
              </a:r>
              <a:r>
                <a:rPr lang="it-IT" sz="1600" b="0" i="0">
                  <a:latin typeface="Cambria Math" panose="02040503050406030204" pitchFamily="18" charset="0"/>
                </a:rPr>
                <a:t>𝑖)/(2𝑘_𝑏 𝑇)) )/(1−𝑒^((−(ℎ</a:t>
              </a:r>
              <a:r>
                <a:rPr lang="it-IT" sz="1600" b="0" i="0">
                  <a:latin typeface="Cambria Math" panose="02040503050406030204" pitchFamily="18" charset="0"/>
                  <a:ea typeface="Cambria Math" panose="02040503050406030204" pitchFamily="18" charset="0"/>
                </a:rPr>
                <a:t>𝜐_</a:t>
              </a:r>
              <a:r>
                <a:rPr lang="it-IT" sz="1600" b="0" i="0">
                  <a:latin typeface="Cambria Math" panose="02040503050406030204" pitchFamily="18" charset="0"/>
                </a:rPr>
                <a:t>𝑖)/(𝑘_𝑏 𝑇)) ) )</a:t>
              </a:r>
              <a:endParaRPr lang="en-US" sz="1600"/>
            </a:p>
          </xdr:txBody>
        </xdr:sp>
      </mc:Fallback>
    </mc:AlternateContent>
    <xdr:clientData/>
  </xdr:oneCellAnchor>
  <xdr:twoCellAnchor>
    <xdr:from>
      <xdr:col>9</xdr:col>
      <xdr:colOff>445581</xdr:colOff>
      <xdr:row>99</xdr:row>
      <xdr:rowOff>63114</xdr:rowOff>
    </xdr:from>
    <xdr:to>
      <xdr:col>12</xdr:col>
      <xdr:colOff>766140</xdr:colOff>
      <xdr:row>103</xdr:row>
      <xdr:rowOff>220870</xdr:rowOff>
    </xdr:to>
    <xdr:sp macro="" textlink="">
      <xdr:nvSpPr>
        <xdr:cNvPr id="43" name="Rectangle 42">
          <a:extLst>
            <a:ext uri="{FF2B5EF4-FFF2-40B4-BE49-F238E27FC236}">
              <a16:creationId xmlns:a16="http://schemas.microsoft.com/office/drawing/2014/main" id="{72FBFC5C-F123-354F-91DC-DD399F56DE9D}"/>
            </a:ext>
          </a:extLst>
        </xdr:cNvPr>
        <xdr:cNvSpPr/>
      </xdr:nvSpPr>
      <xdr:spPr>
        <a:xfrm>
          <a:off x="11102538" y="23185397"/>
          <a:ext cx="3026211" cy="122069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N</a:t>
          </a:r>
          <a:r>
            <a:rPr lang="en-US" sz="1100" b="1" baseline="-25000"/>
            <a:t>vib</a:t>
          </a:r>
          <a:r>
            <a:rPr lang="en-US" sz="1100" b="1" baseline="0"/>
            <a:t> represents the number of vibrational modes of a molecule. Since those only depend from the mass of the atoms in the molecule and are not dependent on the temperature considered, we will use directly the experimental data for the theoretical results calculation</a:t>
          </a:r>
          <a:endParaRPr lang="en-US" sz="1100" b="1" baseline="-25000"/>
        </a:p>
      </xdr:txBody>
    </xdr:sp>
    <xdr:clientData/>
  </xdr:twoCellAnchor>
  <xdr:twoCellAnchor>
    <xdr:from>
      <xdr:col>23</xdr:col>
      <xdr:colOff>558800</xdr:colOff>
      <xdr:row>116</xdr:row>
      <xdr:rowOff>84667</xdr:rowOff>
    </xdr:from>
    <xdr:to>
      <xdr:col>27</xdr:col>
      <xdr:colOff>846667</xdr:colOff>
      <xdr:row>133</xdr:row>
      <xdr:rowOff>50800</xdr:rowOff>
    </xdr:to>
    <xdr:graphicFrame macro="">
      <xdr:nvGraphicFramePr>
        <xdr:cNvPr id="45" name="Chart 44">
          <a:extLst>
            <a:ext uri="{FF2B5EF4-FFF2-40B4-BE49-F238E27FC236}">
              <a16:creationId xmlns:a16="http://schemas.microsoft.com/office/drawing/2014/main" id="{65D586B4-954E-BF50-42F3-3F0636CE5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452528</xdr:colOff>
      <xdr:row>136</xdr:row>
      <xdr:rowOff>131380</xdr:rowOff>
    </xdr:from>
    <xdr:to>
      <xdr:col>6</xdr:col>
      <xdr:colOff>613104</xdr:colOff>
      <xdr:row>136</xdr:row>
      <xdr:rowOff>145977</xdr:rowOff>
    </xdr:to>
    <xdr:cxnSp macro="">
      <xdr:nvCxnSpPr>
        <xdr:cNvPr id="46" name="Straight Arrow Connector 45">
          <a:extLst>
            <a:ext uri="{FF2B5EF4-FFF2-40B4-BE49-F238E27FC236}">
              <a16:creationId xmlns:a16="http://schemas.microsoft.com/office/drawing/2014/main" id="{5B70BC7E-7D23-7F47-B2D8-ED5A0D760DD1}"/>
            </a:ext>
          </a:extLst>
        </xdr:cNvPr>
        <xdr:cNvCxnSpPr/>
      </xdr:nvCxnSpPr>
      <xdr:spPr>
        <a:xfrm>
          <a:off x="6006661" y="14795647"/>
          <a:ext cx="2480443"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125030</xdr:colOff>
      <xdr:row>134</xdr:row>
      <xdr:rowOff>179868</xdr:rowOff>
    </xdr:from>
    <xdr:ext cx="1504001" cy="494110"/>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5F2B546E-004F-8748-A8BC-FE4F0E18EDFB}"/>
                </a:ext>
              </a:extLst>
            </xdr:cNvPr>
            <xdr:cNvSpPr txBox="1"/>
          </xdr:nvSpPr>
          <xdr:spPr>
            <a:xfrm>
              <a:off x="9330736" y="32209699"/>
              <a:ext cx="1504001"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600" b="0" i="1">
                            <a:latin typeface="Cambria Math" panose="02040503050406030204" pitchFamily="18" charset="0"/>
                          </a:rPr>
                        </m:ctrlPr>
                      </m:sSubSupPr>
                      <m:e>
                        <m:r>
                          <a:rPr lang="it-IT" sz="1600" b="0" i="1">
                            <a:latin typeface="Cambria Math" panose="02040503050406030204" pitchFamily="18" charset="0"/>
                          </a:rPr>
                          <m:t>𝑄</m:t>
                        </m:r>
                      </m:e>
                      <m:sub>
                        <m:r>
                          <a:rPr lang="it-IT" sz="1600" b="0" i="1">
                            <a:latin typeface="Cambria Math" panose="02040503050406030204" pitchFamily="18" charset="0"/>
                          </a:rPr>
                          <m:t>𝑟𝑜𝑡</m:t>
                        </m:r>
                      </m:sub>
                      <m:sup>
                        <m:r>
                          <a:rPr lang="it-IT" sz="1600" b="0" i="1">
                            <a:latin typeface="Cambria Math" panose="02040503050406030204" pitchFamily="18" charset="0"/>
                          </a:rPr>
                          <m:t>2</m:t>
                        </m:r>
                        <m:r>
                          <a:rPr lang="it-IT" sz="1600" b="0" i="1">
                            <a:latin typeface="Cambria Math" panose="02040503050406030204" pitchFamily="18" charset="0"/>
                          </a:rPr>
                          <m:t>𝐷</m:t>
                        </m:r>
                      </m:sup>
                    </m:sSubSup>
                    <m:r>
                      <a:rPr lang="it-IT" sz="1600" b="0" i="1">
                        <a:latin typeface="Cambria Math" panose="02040503050406030204" pitchFamily="18" charset="0"/>
                      </a:rPr>
                      <m:t>=</m:t>
                    </m:r>
                    <m:f>
                      <m:fPr>
                        <m:ctrlPr>
                          <a:rPr lang="it-IT" sz="1600" b="0" i="1">
                            <a:latin typeface="Cambria Math" panose="02040503050406030204" pitchFamily="18" charset="0"/>
                          </a:rPr>
                        </m:ctrlPr>
                      </m:fPr>
                      <m:num>
                        <m:r>
                          <a:rPr lang="it-IT" sz="1600" b="0" i="1">
                            <a:latin typeface="Cambria Math" panose="02040503050406030204" pitchFamily="18" charset="0"/>
                          </a:rPr>
                          <m:t>8</m:t>
                        </m:r>
                        <m:sSup>
                          <m:sSupPr>
                            <m:ctrlPr>
                              <a:rPr lang="it-IT" sz="1600" b="0" i="1">
                                <a:latin typeface="Cambria Math" panose="02040503050406030204" pitchFamily="18" charset="0"/>
                              </a:rPr>
                            </m:ctrlPr>
                          </m:sSupPr>
                          <m:e>
                            <m:r>
                              <a:rPr lang="it-IT" sz="1600" b="0" i="1">
                                <a:latin typeface="Cambria Math" panose="02040503050406030204" pitchFamily="18" charset="0"/>
                                <a:ea typeface="Cambria Math" panose="02040503050406030204" pitchFamily="18" charset="0"/>
                              </a:rPr>
                              <m:t>𝜋</m:t>
                            </m:r>
                          </m:e>
                          <m:sup>
                            <m:r>
                              <a:rPr lang="it-IT" sz="1600" b="0" i="1">
                                <a:latin typeface="Cambria Math" panose="02040503050406030204" pitchFamily="18" charset="0"/>
                              </a:rPr>
                              <m:t>2</m:t>
                            </m:r>
                          </m:sup>
                        </m:sSup>
                        <m:sSub>
                          <m:sSubPr>
                            <m:ctrlPr>
                              <a:rPr lang="it-IT" sz="1600" b="0" i="1">
                                <a:latin typeface="Cambria Math" panose="02040503050406030204" pitchFamily="18" charset="0"/>
                              </a:rPr>
                            </m:ctrlPr>
                          </m:sSubPr>
                          <m:e>
                            <m:r>
                              <a:rPr lang="it-IT" sz="1600" b="0" i="1">
                                <a:latin typeface="Cambria Math" panose="02040503050406030204" pitchFamily="18" charset="0"/>
                              </a:rPr>
                              <m:t>𝑘</m:t>
                            </m:r>
                          </m:e>
                          <m:sub>
                            <m:r>
                              <a:rPr lang="it-IT" sz="1600" b="0" i="1">
                                <a:latin typeface="Cambria Math" panose="02040503050406030204" pitchFamily="18" charset="0"/>
                              </a:rPr>
                              <m:t>𝑏</m:t>
                            </m:r>
                          </m:sub>
                        </m:sSub>
                        <m:r>
                          <a:rPr lang="it-IT" sz="1600" b="0" i="1">
                            <a:latin typeface="Cambria Math" panose="02040503050406030204" pitchFamily="18" charset="0"/>
                          </a:rPr>
                          <m:t>𝑇𝐼</m:t>
                        </m:r>
                      </m:num>
                      <m:den>
                        <m:r>
                          <a:rPr lang="it-IT" sz="1600" b="0" i="1">
                            <a:latin typeface="Cambria Math" panose="02040503050406030204" pitchFamily="18" charset="0"/>
                            <a:ea typeface="Cambria Math" panose="02040503050406030204" pitchFamily="18" charset="0"/>
                          </a:rPr>
                          <m:t>𝜎</m:t>
                        </m:r>
                        <m:sSup>
                          <m:sSupPr>
                            <m:ctrlPr>
                              <a:rPr lang="it-IT" sz="1600" b="0" i="1">
                                <a:latin typeface="Cambria Math" panose="02040503050406030204" pitchFamily="18" charset="0"/>
                                <a:ea typeface="Cambria Math" panose="02040503050406030204" pitchFamily="18" charset="0"/>
                              </a:rPr>
                            </m:ctrlPr>
                          </m:sSupPr>
                          <m:e>
                            <m:r>
                              <a:rPr lang="it-IT" sz="1600" b="0" i="1">
                                <a:latin typeface="Cambria Math" panose="02040503050406030204" pitchFamily="18" charset="0"/>
                                <a:ea typeface="Cambria Math" panose="02040503050406030204" pitchFamily="18" charset="0"/>
                              </a:rPr>
                              <m:t>h</m:t>
                            </m:r>
                          </m:e>
                          <m:sup>
                            <m:r>
                              <a:rPr lang="it-IT" sz="1600" b="0" i="1">
                                <a:latin typeface="Cambria Math" panose="02040503050406030204" pitchFamily="18" charset="0"/>
                                <a:ea typeface="Cambria Math" panose="02040503050406030204" pitchFamily="18" charset="0"/>
                              </a:rPr>
                              <m:t>2</m:t>
                            </m:r>
                          </m:sup>
                        </m:sSup>
                      </m:den>
                    </m:f>
                  </m:oMath>
                </m:oMathPara>
              </a14:m>
              <a:endParaRPr lang="en-US" sz="1600"/>
            </a:p>
          </xdr:txBody>
        </xdr:sp>
      </mc:Choice>
      <mc:Fallback xmlns="">
        <xdr:sp macro="" textlink="">
          <xdr:nvSpPr>
            <xdr:cNvPr id="47" name="TextBox 46">
              <a:extLst>
                <a:ext uri="{FF2B5EF4-FFF2-40B4-BE49-F238E27FC236}">
                  <a16:creationId xmlns:a16="http://schemas.microsoft.com/office/drawing/2014/main" id="{5F2B546E-004F-8748-A8BC-FE4F0E18EDFB}"/>
                </a:ext>
              </a:extLst>
            </xdr:cNvPr>
            <xdr:cNvSpPr txBox="1"/>
          </xdr:nvSpPr>
          <xdr:spPr>
            <a:xfrm>
              <a:off x="9330736" y="32209699"/>
              <a:ext cx="1504001"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𝑄_𝑟𝑜𝑡^2𝐷=(8</a:t>
              </a:r>
              <a:r>
                <a:rPr lang="it-IT" sz="1600" b="0" i="0">
                  <a:latin typeface="Cambria Math" panose="02040503050406030204" pitchFamily="18" charset="0"/>
                  <a:ea typeface="Cambria Math" panose="02040503050406030204" pitchFamily="18" charset="0"/>
                </a:rPr>
                <a:t>𝜋^</a:t>
              </a:r>
              <a:r>
                <a:rPr lang="it-IT" sz="1600" b="0" i="0">
                  <a:latin typeface="Cambria Math" panose="02040503050406030204" pitchFamily="18" charset="0"/>
                </a:rPr>
                <a:t>2 𝑘_𝑏 𝑇𝐼)/(</a:t>
              </a:r>
              <a:r>
                <a:rPr lang="it-IT" sz="1600" b="0" i="0">
                  <a:latin typeface="Cambria Math" panose="02040503050406030204" pitchFamily="18" charset="0"/>
                  <a:ea typeface="Cambria Math" panose="02040503050406030204" pitchFamily="18" charset="0"/>
                </a:rPr>
                <a:t>𝜎ℎ^2 )</a:t>
              </a:r>
              <a:endParaRPr lang="en-US" sz="1600"/>
            </a:p>
          </xdr:txBody>
        </xdr:sp>
      </mc:Fallback>
    </mc:AlternateContent>
    <xdr:clientData/>
  </xdr:oneCellAnchor>
  <xdr:twoCellAnchor>
    <xdr:from>
      <xdr:col>6</xdr:col>
      <xdr:colOff>750454</xdr:colOff>
      <xdr:row>135</xdr:row>
      <xdr:rowOff>72159</xdr:rowOff>
    </xdr:from>
    <xdr:to>
      <xdr:col>7</xdr:col>
      <xdr:colOff>137102</xdr:colOff>
      <xdr:row>139</xdr:row>
      <xdr:rowOff>202046</xdr:rowOff>
    </xdr:to>
    <xdr:sp macro="" textlink="">
      <xdr:nvSpPr>
        <xdr:cNvPr id="49" name="Left Brace 48">
          <a:extLst>
            <a:ext uri="{FF2B5EF4-FFF2-40B4-BE49-F238E27FC236}">
              <a16:creationId xmlns:a16="http://schemas.microsoft.com/office/drawing/2014/main" id="{59284195-DCF7-7A4A-BB53-0B4841E19D3F}"/>
            </a:ext>
          </a:extLst>
        </xdr:cNvPr>
        <xdr:cNvSpPr/>
      </xdr:nvSpPr>
      <xdr:spPr>
        <a:xfrm>
          <a:off x="8624454" y="14499359"/>
          <a:ext cx="741315" cy="1179754"/>
        </a:xfrm>
        <a:prstGeom prst="leftBrace">
          <a:avLst>
            <a:gd name="adj1" fmla="val 8333"/>
            <a:gd name="adj2" fmla="val 26786"/>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418580</xdr:colOff>
      <xdr:row>134</xdr:row>
      <xdr:rowOff>183035</xdr:rowOff>
    </xdr:from>
    <xdr:to>
      <xdr:col>14</xdr:col>
      <xdr:colOff>737933</xdr:colOff>
      <xdr:row>139</xdr:row>
      <xdr:rowOff>238851</xdr:rowOff>
    </xdr:to>
    <mc:AlternateContent xmlns:mc="http://schemas.openxmlformats.org/markup-compatibility/2006" xmlns:a14="http://schemas.microsoft.com/office/drawing/2010/main">
      <mc:Choice Requires="a14">
        <xdr:sp macro="" textlink="">
          <xdr:nvSpPr>
            <xdr:cNvPr id="50" name="Rectangle 49">
              <a:extLst>
                <a:ext uri="{FF2B5EF4-FFF2-40B4-BE49-F238E27FC236}">
                  <a16:creationId xmlns:a16="http://schemas.microsoft.com/office/drawing/2014/main" id="{CB98F134-6FD6-5E49-A8A0-7E761616E12A}"/>
                </a:ext>
              </a:extLst>
            </xdr:cNvPr>
            <xdr:cNvSpPr/>
          </xdr:nvSpPr>
          <xdr:spPr>
            <a:xfrm>
              <a:off x="12225393" y="32002815"/>
              <a:ext cx="3933969" cy="135372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I</a:t>
              </a:r>
              <a:r>
                <a:rPr lang="en-US" sz="1100" b="1" baseline="-25000"/>
                <a:t>x</a:t>
              </a:r>
              <a:r>
                <a:rPr lang="en-US" sz="1100" b="0"/>
                <a:t>,</a:t>
              </a:r>
              <a:r>
                <a:rPr lang="en-US" sz="1100" b="1" baseline="0"/>
                <a:t> I</a:t>
              </a:r>
              <a:r>
                <a:rPr lang="en-US" sz="1100" b="1" baseline="-25000"/>
                <a:t>y</a:t>
              </a:r>
              <a:r>
                <a:rPr lang="en-US" sz="1100" b="0" baseline="0"/>
                <a:t>,</a:t>
              </a:r>
              <a:r>
                <a:rPr lang="en-US" sz="1100" b="1" baseline="0"/>
                <a:t> I</a:t>
              </a:r>
              <a:r>
                <a:rPr lang="en-US" sz="1100" b="1" baseline="-25000"/>
                <a:t>z</a:t>
              </a:r>
              <a:r>
                <a:rPr lang="en-US" sz="1100" b="1" baseline="0"/>
                <a:t> </a:t>
              </a:r>
              <a:r>
                <a:rPr lang="en-US" sz="1100" b="0" baseline="0"/>
                <a:t>are the principal moments of inertia, while </a:t>
              </a:r>
              <a14:m>
                <m:oMath xmlns:m="http://schemas.openxmlformats.org/officeDocument/2006/math">
                  <m:r>
                    <a:rPr lang="it-IT" sz="1100" b="1" i="1">
                      <a:latin typeface="Cambria Math" panose="02040503050406030204" pitchFamily="18" charset="0"/>
                      <a:ea typeface="Cambria Math" panose="02040503050406030204" pitchFamily="18" charset="0"/>
                    </a:rPr>
                    <m:t>𝝈</m:t>
                  </m:r>
                </m:oMath>
              </a14:m>
              <a:r>
                <a:rPr lang="en-US" sz="1100" b="1" baseline="0"/>
                <a:t> </a:t>
              </a:r>
              <a:r>
                <a:rPr lang="en-US" sz="1100" b="0" baseline="0"/>
                <a:t>is the rotational simmetry number (number of identical configurations obtained by rotation of the molecule around he center of simmetry). Regarding this last parameter, Gassian choose </a:t>
              </a:r>
              <a:r>
                <a:rPr lang="en-US" sz="1100" b="1" baseline="0"/>
                <a:t> </a:t>
              </a:r>
              <a14:m>
                <m:oMath xmlns:m="http://schemas.openxmlformats.org/officeDocument/2006/math">
                  <m:r>
                    <a:rPr lang="it-IT" sz="1100" b="1" i="1">
                      <a:latin typeface="Cambria Math" panose="02040503050406030204" pitchFamily="18" charset="0"/>
                      <a:ea typeface="Cambria Math" panose="02040503050406030204" pitchFamily="18" charset="0"/>
                    </a:rPr>
                    <m:t>𝝈</m:t>
                  </m:r>
                </m:oMath>
              </a14:m>
              <a:r>
                <a:rPr lang="en-US" sz="1100" b="1"/>
                <a:t>=3 </a:t>
              </a:r>
              <a:r>
                <a:rPr lang="en-US" sz="1100" b="0"/>
                <a:t>but, in theory,</a:t>
              </a:r>
              <a:r>
                <a:rPr lang="en-US" sz="1100" b="0" baseline="0"/>
                <a:t> for CH</a:t>
              </a:r>
              <a:r>
                <a:rPr lang="en-US" sz="1100" b="0" baseline="-25000"/>
                <a:t>4</a:t>
              </a:r>
              <a:r>
                <a:rPr lang="en-US" sz="1100" b="0" baseline="0"/>
                <a:t>, we would have </a:t>
              </a:r>
              <a14:m>
                <m:oMath xmlns:m="http://schemas.openxmlformats.org/officeDocument/2006/math">
                  <m:r>
                    <a:rPr lang="it-IT" sz="1100" b="1" i="1">
                      <a:latin typeface="Cambria Math" panose="02040503050406030204" pitchFamily="18" charset="0"/>
                      <a:ea typeface="Cambria Math" panose="02040503050406030204" pitchFamily="18" charset="0"/>
                    </a:rPr>
                    <m:t>𝝈</m:t>
                  </m:r>
                </m:oMath>
              </a14:m>
              <a:r>
                <a:rPr lang="en-US" sz="1100" b="1"/>
                <a:t>=6</a:t>
              </a:r>
              <a:r>
                <a:rPr lang="en-US" sz="1100" b="0"/>
                <a:t>.</a:t>
              </a:r>
            </a:p>
            <a:p>
              <a:pPr algn="l"/>
              <a:r>
                <a:rPr lang="en-US" sz="1100" b="0"/>
                <a:t>Furthermore, Gaussian</a:t>
              </a:r>
              <a:r>
                <a:rPr lang="en-US" sz="1100" b="0" baseline="0"/>
                <a:t> internally uses a different formulation for the rotational partition function:</a:t>
              </a:r>
              <a:endParaRPr lang="en-US" sz="1100" b="0"/>
            </a:p>
          </xdr:txBody>
        </xdr:sp>
      </mc:Choice>
      <mc:Fallback xmlns="">
        <xdr:sp macro="" textlink="">
          <xdr:nvSpPr>
            <xdr:cNvPr id="50" name="Rectangle 49">
              <a:extLst>
                <a:ext uri="{FF2B5EF4-FFF2-40B4-BE49-F238E27FC236}">
                  <a16:creationId xmlns:a16="http://schemas.microsoft.com/office/drawing/2014/main" id="{CB98F134-6FD6-5E49-A8A0-7E761616E12A}"/>
                </a:ext>
              </a:extLst>
            </xdr:cNvPr>
            <xdr:cNvSpPr/>
          </xdr:nvSpPr>
          <xdr:spPr>
            <a:xfrm>
              <a:off x="12225393" y="32002815"/>
              <a:ext cx="3933969" cy="135372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I</a:t>
              </a:r>
              <a:r>
                <a:rPr lang="en-US" sz="1100" b="1" baseline="-25000"/>
                <a:t>x</a:t>
              </a:r>
              <a:r>
                <a:rPr lang="en-US" sz="1100" b="0"/>
                <a:t>,</a:t>
              </a:r>
              <a:r>
                <a:rPr lang="en-US" sz="1100" b="1" baseline="0"/>
                <a:t> I</a:t>
              </a:r>
              <a:r>
                <a:rPr lang="en-US" sz="1100" b="1" baseline="-25000"/>
                <a:t>y</a:t>
              </a:r>
              <a:r>
                <a:rPr lang="en-US" sz="1100" b="0" baseline="0"/>
                <a:t>,</a:t>
              </a:r>
              <a:r>
                <a:rPr lang="en-US" sz="1100" b="1" baseline="0"/>
                <a:t> I</a:t>
              </a:r>
              <a:r>
                <a:rPr lang="en-US" sz="1100" b="1" baseline="-25000"/>
                <a:t>z</a:t>
              </a:r>
              <a:r>
                <a:rPr lang="en-US" sz="1100" b="1" baseline="0"/>
                <a:t> </a:t>
              </a:r>
              <a:r>
                <a:rPr lang="en-US" sz="1100" b="0" baseline="0"/>
                <a:t>are the principal moments of inertia, while </a:t>
              </a:r>
              <a:r>
                <a:rPr lang="it-IT" sz="1100" b="1" i="0">
                  <a:latin typeface="Cambria Math" panose="02040503050406030204" pitchFamily="18" charset="0"/>
                  <a:ea typeface="Cambria Math" panose="02040503050406030204" pitchFamily="18" charset="0"/>
                </a:rPr>
                <a:t>𝝈</a:t>
              </a:r>
              <a:r>
                <a:rPr lang="en-US" sz="1100" b="1" baseline="0"/>
                <a:t> </a:t>
              </a:r>
              <a:r>
                <a:rPr lang="en-US" sz="1100" b="0" baseline="0"/>
                <a:t>is the rotational simmetry number (number of identical configurations obtained by rotation of the molecule around he center of simmetry). Regarding this last parameter, Gassian choose </a:t>
              </a:r>
              <a:r>
                <a:rPr lang="en-US" sz="1100" b="1" baseline="0"/>
                <a:t> </a:t>
              </a:r>
              <a:r>
                <a:rPr lang="it-IT" sz="1100" b="1" i="0">
                  <a:latin typeface="Cambria Math" panose="02040503050406030204" pitchFamily="18" charset="0"/>
                  <a:ea typeface="Cambria Math" panose="02040503050406030204" pitchFamily="18" charset="0"/>
                </a:rPr>
                <a:t>𝝈</a:t>
              </a:r>
              <a:r>
                <a:rPr lang="en-US" sz="1100" b="1"/>
                <a:t>=3 </a:t>
              </a:r>
              <a:r>
                <a:rPr lang="en-US" sz="1100" b="0"/>
                <a:t>but, in theory,</a:t>
              </a:r>
              <a:r>
                <a:rPr lang="en-US" sz="1100" b="0" baseline="0"/>
                <a:t> for CH</a:t>
              </a:r>
              <a:r>
                <a:rPr lang="en-US" sz="1100" b="0" baseline="-25000"/>
                <a:t>4</a:t>
              </a:r>
              <a:r>
                <a:rPr lang="en-US" sz="1100" b="0" baseline="0"/>
                <a:t>, we would have </a:t>
              </a:r>
              <a:r>
                <a:rPr lang="it-IT" sz="1100" b="1" i="0">
                  <a:latin typeface="Cambria Math" panose="02040503050406030204" pitchFamily="18" charset="0"/>
                  <a:ea typeface="Cambria Math" panose="02040503050406030204" pitchFamily="18" charset="0"/>
                </a:rPr>
                <a:t>𝝈</a:t>
              </a:r>
              <a:r>
                <a:rPr lang="en-US" sz="1100" b="1"/>
                <a:t>=6</a:t>
              </a:r>
              <a:r>
                <a:rPr lang="en-US" sz="1100" b="0"/>
                <a:t>.</a:t>
              </a:r>
            </a:p>
            <a:p>
              <a:pPr algn="l"/>
              <a:r>
                <a:rPr lang="en-US" sz="1100" b="0"/>
                <a:t>Furthermore, Gaussian</a:t>
              </a:r>
              <a:r>
                <a:rPr lang="en-US" sz="1100" b="0" baseline="0"/>
                <a:t> internally uses a different formulation for the rotational partition function:</a:t>
              </a:r>
              <a:endParaRPr lang="en-US" sz="1100" b="0"/>
            </a:p>
          </xdr:txBody>
        </xdr:sp>
      </mc:Fallback>
    </mc:AlternateContent>
    <xdr:clientData/>
  </xdr:twoCellAnchor>
  <xdr:oneCellAnchor>
    <xdr:from>
      <xdr:col>7</xdr:col>
      <xdr:colOff>62175</xdr:colOff>
      <xdr:row>137</xdr:row>
      <xdr:rowOff>95489</xdr:rowOff>
    </xdr:from>
    <xdr:ext cx="2805896" cy="622543"/>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2325468-2984-BD43-883B-1DC46C972627}"/>
                </a:ext>
              </a:extLst>
            </xdr:cNvPr>
            <xdr:cNvSpPr txBox="1"/>
          </xdr:nvSpPr>
          <xdr:spPr>
            <a:xfrm>
              <a:off x="9259208" y="32710764"/>
              <a:ext cx="2805896" cy="622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600" b="0" i="1">
                            <a:latin typeface="Cambria Math" panose="02040503050406030204" pitchFamily="18" charset="0"/>
                          </a:rPr>
                        </m:ctrlPr>
                      </m:sSubSupPr>
                      <m:e>
                        <m:r>
                          <a:rPr lang="it-IT" sz="1600" b="0" i="1">
                            <a:latin typeface="Cambria Math" panose="02040503050406030204" pitchFamily="18" charset="0"/>
                          </a:rPr>
                          <m:t>𝑄</m:t>
                        </m:r>
                      </m:e>
                      <m:sub>
                        <m:r>
                          <a:rPr lang="it-IT" sz="1600" b="0" i="1">
                            <a:latin typeface="Cambria Math" panose="02040503050406030204" pitchFamily="18" charset="0"/>
                          </a:rPr>
                          <m:t>𝑟𝑜𝑡</m:t>
                        </m:r>
                      </m:sub>
                      <m:sup>
                        <m:r>
                          <a:rPr lang="it-IT" sz="1600" b="0" i="1">
                            <a:latin typeface="Cambria Math" panose="02040503050406030204" pitchFamily="18" charset="0"/>
                          </a:rPr>
                          <m:t>3</m:t>
                        </m:r>
                        <m:r>
                          <a:rPr lang="it-IT" sz="1600" b="0" i="1">
                            <a:latin typeface="Cambria Math" panose="02040503050406030204" pitchFamily="18" charset="0"/>
                          </a:rPr>
                          <m:t>𝐷</m:t>
                        </m:r>
                      </m:sup>
                    </m:sSubSup>
                    <m:r>
                      <a:rPr lang="it-IT" sz="1600" b="0" i="1">
                        <a:latin typeface="Cambria Math" panose="02040503050406030204" pitchFamily="18" charset="0"/>
                      </a:rPr>
                      <m:t>(1)=</m:t>
                    </m:r>
                    <m:f>
                      <m:fPr>
                        <m:ctrlPr>
                          <a:rPr lang="it-IT" sz="1600" b="0" i="1">
                            <a:latin typeface="Cambria Math" panose="02040503050406030204" pitchFamily="18" charset="0"/>
                          </a:rPr>
                        </m:ctrlPr>
                      </m:fPr>
                      <m:num>
                        <m:r>
                          <a:rPr lang="it-IT" sz="1600" b="0" i="1">
                            <a:latin typeface="Cambria Math" panose="02040503050406030204" pitchFamily="18" charset="0"/>
                          </a:rPr>
                          <m:t>8</m:t>
                        </m:r>
                        <m:sSup>
                          <m:sSupPr>
                            <m:ctrlPr>
                              <a:rPr lang="it-IT" sz="1600" b="0" i="1">
                                <a:latin typeface="Cambria Math" panose="02040503050406030204" pitchFamily="18" charset="0"/>
                              </a:rPr>
                            </m:ctrlPr>
                          </m:sSupPr>
                          <m:e>
                            <m:r>
                              <a:rPr lang="it-IT" sz="1600" b="0" i="1">
                                <a:latin typeface="Cambria Math" panose="02040503050406030204" pitchFamily="18" charset="0"/>
                                <a:ea typeface="Cambria Math" panose="02040503050406030204" pitchFamily="18" charset="0"/>
                              </a:rPr>
                              <m:t>𝜋</m:t>
                            </m:r>
                          </m:e>
                          <m:sup>
                            <m:r>
                              <a:rPr lang="it-IT" sz="1600" b="0" i="1">
                                <a:latin typeface="Cambria Math" panose="02040503050406030204" pitchFamily="18" charset="0"/>
                              </a:rPr>
                              <m:t>2</m:t>
                            </m:r>
                          </m:sup>
                        </m:sSup>
                        <m:sSup>
                          <m:sSupPr>
                            <m:ctrlPr>
                              <a:rPr lang="it-IT" sz="1600" b="0" i="1">
                                <a:latin typeface="Cambria Math" panose="02040503050406030204" pitchFamily="18" charset="0"/>
                              </a:rPr>
                            </m:ctrlPr>
                          </m:sSupPr>
                          <m:e>
                            <m:d>
                              <m:dPr>
                                <m:ctrlPr>
                                  <a:rPr lang="it-IT" sz="1600" b="0" i="1">
                                    <a:latin typeface="Cambria Math" panose="02040503050406030204" pitchFamily="18" charset="0"/>
                                  </a:rPr>
                                </m:ctrlPr>
                              </m:dPr>
                              <m:e>
                                <m:r>
                                  <a:rPr lang="it-IT" sz="1600" b="0" i="1">
                                    <a:latin typeface="Cambria Math" panose="02040503050406030204" pitchFamily="18" charset="0"/>
                                  </a:rPr>
                                  <m:t>2</m:t>
                                </m:r>
                                <m:r>
                                  <a:rPr lang="it-IT" sz="1600" b="0" i="1">
                                    <a:latin typeface="Cambria Math" panose="02040503050406030204" pitchFamily="18" charset="0"/>
                                    <a:ea typeface="Cambria Math" panose="02040503050406030204" pitchFamily="18" charset="0"/>
                                  </a:rPr>
                                  <m:t>𝜋</m:t>
                                </m:r>
                                <m:sSub>
                                  <m:sSubPr>
                                    <m:ctrlPr>
                                      <a:rPr lang="it-IT" sz="1600" b="0" i="1">
                                        <a:latin typeface="Cambria Math" panose="02040503050406030204" pitchFamily="18" charset="0"/>
                                        <a:ea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𝑘</m:t>
                                    </m:r>
                                  </m:e>
                                  <m:sub>
                                    <m:r>
                                      <a:rPr lang="it-IT" sz="1600" b="0" i="1">
                                        <a:latin typeface="Cambria Math" panose="02040503050406030204" pitchFamily="18" charset="0"/>
                                        <a:ea typeface="Cambria Math" panose="02040503050406030204" pitchFamily="18" charset="0"/>
                                      </a:rPr>
                                      <m:t>𝑏</m:t>
                                    </m:r>
                                  </m:sub>
                                </m:sSub>
                                <m:r>
                                  <a:rPr lang="it-IT" sz="1600" b="0" i="1">
                                    <a:latin typeface="Cambria Math" panose="02040503050406030204" pitchFamily="18" charset="0"/>
                                    <a:ea typeface="Cambria Math" panose="02040503050406030204" pitchFamily="18" charset="0"/>
                                  </a:rPr>
                                  <m:t>𝑇</m:t>
                                </m:r>
                              </m:e>
                            </m:d>
                          </m:e>
                          <m:sup>
                            <m:f>
                              <m:fPr>
                                <m:ctrlPr>
                                  <a:rPr lang="it-IT" sz="1600" b="0" i="1">
                                    <a:latin typeface="Cambria Math" panose="02040503050406030204" pitchFamily="18" charset="0"/>
                                  </a:rPr>
                                </m:ctrlPr>
                              </m:fPr>
                              <m:num>
                                <m:r>
                                  <a:rPr lang="it-IT" sz="1600" b="0" i="1">
                                    <a:latin typeface="Cambria Math" panose="02040503050406030204" pitchFamily="18" charset="0"/>
                                  </a:rPr>
                                  <m:t>3</m:t>
                                </m:r>
                              </m:num>
                              <m:den>
                                <m:r>
                                  <a:rPr lang="it-IT" sz="1600" b="0" i="1">
                                    <a:latin typeface="Cambria Math" panose="02040503050406030204" pitchFamily="18" charset="0"/>
                                  </a:rPr>
                                  <m:t>2</m:t>
                                </m:r>
                              </m:den>
                            </m:f>
                          </m:sup>
                        </m:sSup>
                        <m:rad>
                          <m:radPr>
                            <m:degHide m:val="on"/>
                            <m:ctrlPr>
                              <a:rPr lang="it-IT" sz="1600" b="0" i="1">
                                <a:latin typeface="Cambria Math" panose="02040503050406030204" pitchFamily="18" charset="0"/>
                              </a:rPr>
                            </m:ctrlPr>
                          </m:radPr>
                          <m:deg/>
                          <m:e>
                            <m:sSub>
                              <m:sSubPr>
                                <m:ctrlPr>
                                  <a:rPr lang="it-IT" sz="1600" b="0" i="1">
                                    <a:latin typeface="Cambria Math" panose="02040503050406030204" pitchFamily="18" charset="0"/>
                                  </a:rPr>
                                </m:ctrlPr>
                              </m:sSubPr>
                              <m:e>
                                <m:r>
                                  <a:rPr lang="it-IT" sz="1600" b="0" i="1">
                                    <a:latin typeface="Cambria Math" panose="02040503050406030204" pitchFamily="18" charset="0"/>
                                  </a:rPr>
                                  <m:t>𝐼</m:t>
                                </m:r>
                              </m:e>
                              <m:sub>
                                <m:r>
                                  <a:rPr lang="it-IT" sz="1600" b="0" i="1">
                                    <a:latin typeface="Cambria Math" panose="02040503050406030204" pitchFamily="18" charset="0"/>
                                  </a:rPr>
                                  <m:t>𝑥</m:t>
                                </m:r>
                              </m:sub>
                            </m:sSub>
                            <m:sSub>
                              <m:sSubPr>
                                <m:ctrlPr>
                                  <a:rPr lang="it-IT" sz="1600" b="0" i="1">
                                    <a:latin typeface="Cambria Math" panose="02040503050406030204" pitchFamily="18" charset="0"/>
                                  </a:rPr>
                                </m:ctrlPr>
                              </m:sSubPr>
                              <m:e>
                                <m:r>
                                  <a:rPr lang="it-IT" sz="1600" b="0" i="1">
                                    <a:latin typeface="Cambria Math" panose="02040503050406030204" pitchFamily="18" charset="0"/>
                                  </a:rPr>
                                  <m:t>𝐼</m:t>
                                </m:r>
                              </m:e>
                              <m:sub>
                                <m:r>
                                  <a:rPr lang="it-IT" sz="1600" b="0" i="1">
                                    <a:latin typeface="Cambria Math" panose="02040503050406030204" pitchFamily="18" charset="0"/>
                                  </a:rPr>
                                  <m:t>𝑦</m:t>
                                </m:r>
                              </m:sub>
                            </m:sSub>
                            <m:sSub>
                              <m:sSubPr>
                                <m:ctrlPr>
                                  <a:rPr lang="it-IT" sz="1600" b="0" i="1">
                                    <a:latin typeface="Cambria Math" panose="02040503050406030204" pitchFamily="18" charset="0"/>
                                  </a:rPr>
                                </m:ctrlPr>
                              </m:sSubPr>
                              <m:e>
                                <m:r>
                                  <a:rPr lang="it-IT" sz="1600" b="0" i="1">
                                    <a:latin typeface="Cambria Math" panose="02040503050406030204" pitchFamily="18" charset="0"/>
                                  </a:rPr>
                                  <m:t>𝐼</m:t>
                                </m:r>
                              </m:e>
                              <m:sub>
                                <m:r>
                                  <a:rPr lang="it-IT" sz="1600" b="0" i="1">
                                    <a:latin typeface="Cambria Math" panose="02040503050406030204" pitchFamily="18" charset="0"/>
                                  </a:rPr>
                                  <m:t>𝑧</m:t>
                                </m:r>
                              </m:sub>
                            </m:sSub>
                          </m:e>
                        </m:rad>
                      </m:num>
                      <m:den>
                        <m:r>
                          <a:rPr lang="it-IT" sz="1600" b="0" i="1">
                            <a:latin typeface="Cambria Math" panose="02040503050406030204" pitchFamily="18" charset="0"/>
                            <a:ea typeface="Cambria Math" panose="02040503050406030204" pitchFamily="18" charset="0"/>
                          </a:rPr>
                          <m:t>𝜎</m:t>
                        </m:r>
                        <m:sSup>
                          <m:sSupPr>
                            <m:ctrlPr>
                              <a:rPr lang="it-IT" sz="1600" b="0" i="1">
                                <a:latin typeface="Cambria Math" panose="02040503050406030204" pitchFamily="18" charset="0"/>
                                <a:ea typeface="Cambria Math" panose="02040503050406030204" pitchFamily="18" charset="0"/>
                              </a:rPr>
                            </m:ctrlPr>
                          </m:sSupPr>
                          <m:e>
                            <m:r>
                              <a:rPr lang="it-IT" sz="1600" b="0" i="1">
                                <a:latin typeface="Cambria Math" panose="02040503050406030204" pitchFamily="18" charset="0"/>
                                <a:ea typeface="Cambria Math" panose="02040503050406030204" pitchFamily="18" charset="0"/>
                              </a:rPr>
                              <m:t>h</m:t>
                            </m:r>
                          </m:e>
                          <m:sup>
                            <m:r>
                              <a:rPr lang="it-IT" sz="1600" b="0" i="1">
                                <a:latin typeface="Cambria Math" panose="02040503050406030204" pitchFamily="18" charset="0"/>
                                <a:ea typeface="Cambria Math" panose="02040503050406030204" pitchFamily="18" charset="0"/>
                              </a:rPr>
                              <m:t>3</m:t>
                            </m:r>
                          </m:sup>
                        </m:sSup>
                      </m:den>
                    </m:f>
                  </m:oMath>
                </m:oMathPara>
              </a14:m>
              <a:endParaRPr lang="en-US" sz="1600"/>
            </a:p>
          </xdr:txBody>
        </xdr:sp>
      </mc:Choice>
      <mc:Fallback xmlns="">
        <xdr:sp macro="" textlink="">
          <xdr:nvSpPr>
            <xdr:cNvPr id="55" name="TextBox 54">
              <a:extLst>
                <a:ext uri="{FF2B5EF4-FFF2-40B4-BE49-F238E27FC236}">
                  <a16:creationId xmlns:a16="http://schemas.microsoft.com/office/drawing/2014/main" id="{02325468-2984-BD43-883B-1DC46C972627}"/>
                </a:ext>
              </a:extLst>
            </xdr:cNvPr>
            <xdr:cNvSpPr txBox="1"/>
          </xdr:nvSpPr>
          <xdr:spPr>
            <a:xfrm>
              <a:off x="9259208" y="32710764"/>
              <a:ext cx="2805896" cy="622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𝑄_𝑟𝑜𝑡^3𝐷 (1)=(8</a:t>
              </a:r>
              <a:r>
                <a:rPr lang="it-IT" sz="1600" b="0" i="0">
                  <a:latin typeface="Cambria Math" panose="02040503050406030204" pitchFamily="18" charset="0"/>
                  <a:ea typeface="Cambria Math" panose="02040503050406030204" pitchFamily="18" charset="0"/>
                </a:rPr>
                <a:t>𝜋^</a:t>
              </a:r>
              <a:r>
                <a:rPr lang="it-IT" sz="1600" b="0" i="0">
                  <a:latin typeface="Cambria Math" panose="02040503050406030204" pitchFamily="18" charset="0"/>
                </a:rPr>
                <a:t>2 (2</a:t>
              </a:r>
              <a:r>
                <a:rPr lang="it-IT" sz="1600" b="0" i="0">
                  <a:latin typeface="Cambria Math" panose="02040503050406030204" pitchFamily="18" charset="0"/>
                  <a:ea typeface="Cambria Math" panose="02040503050406030204" pitchFamily="18" charset="0"/>
                </a:rPr>
                <a:t>𝜋𝑘_𝑏 𝑇)^(</a:t>
              </a:r>
              <a:r>
                <a:rPr lang="it-IT" sz="1600" b="0" i="0">
                  <a:latin typeface="Cambria Math" panose="02040503050406030204" pitchFamily="18" charset="0"/>
                </a:rPr>
                <a:t>3/2) √(𝐼_𝑥 𝐼_𝑦 𝐼_𝑧 ))/(</a:t>
              </a:r>
              <a:r>
                <a:rPr lang="it-IT" sz="1600" b="0" i="0">
                  <a:latin typeface="Cambria Math" panose="02040503050406030204" pitchFamily="18" charset="0"/>
                  <a:ea typeface="Cambria Math" panose="02040503050406030204" pitchFamily="18" charset="0"/>
                </a:rPr>
                <a:t>𝜎ℎ^3 )</a:t>
              </a:r>
              <a:endParaRPr lang="en-US" sz="1600"/>
            </a:p>
          </xdr:txBody>
        </xdr:sp>
      </mc:Fallback>
    </mc:AlternateContent>
    <xdr:clientData/>
  </xdr:oneCellAnchor>
  <xdr:twoCellAnchor>
    <xdr:from>
      <xdr:col>7</xdr:col>
      <xdr:colOff>38099</xdr:colOff>
      <xdr:row>137</xdr:row>
      <xdr:rowOff>63500</xdr:rowOff>
    </xdr:from>
    <xdr:to>
      <xdr:col>10</xdr:col>
      <xdr:colOff>362856</xdr:colOff>
      <xdr:row>140</xdr:row>
      <xdr:rowOff>88900</xdr:rowOff>
    </xdr:to>
    <xdr:sp macro="" textlink="">
      <xdr:nvSpPr>
        <xdr:cNvPr id="56" name="Rounded Rectangle 55">
          <a:extLst>
            <a:ext uri="{FF2B5EF4-FFF2-40B4-BE49-F238E27FC236}">
              <a16:creationId xmlns:a16="http://schemas.microsoft.com/office/drawing/2014/main" id="{7DBD8B5F-7ECC-CBA0-8286-D1B03C567B95}"/>
            </a:ext>
          </a:extLst>
        </xdr:cNvPr>
        <xdr:cNvSpPr/>
      </xdr:nvSpPr>
      <xdr:spPr>
        <a:xfrm>
          <a:off x="9235132" y="32678775"/>
          <a:ext cx="2934537" cy="779026"/>
        </a:xfrm>
        <a:prstGeom prst="round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213330</xdr:colOff>
      <xdr:row>140</xdr:row>
      <xdr:rowOff>77170</xdr:rowOff>
    </xdr:from>
    <xdr:ext cx="2304349" cy="792718"/>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D71D5E8-246C-741A-F0DF-4DEFA7322763}"/>
                </a:ext>
              </a:extLst>
            </xdr:cNvPr>
            <xdr:cNvSpPr txBox="1"/>
          </xdr:nvSpPr>
          <xdr:spPr>
            <a:xfrm>
              <a:off x="12969154" y="33446071"/>
              <a:ext cx="2304349" cy="79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600" b="0" i="1">
                            <a:latin typeface="Cambria Math" panose="02040503050406030204" pitchFamily="18" charset="0"/>
                          </a:rPr>
                        </m:ctrlPr>
                      </m:sSubSupPr>
                      <m:e>
                        <m:r>
                          <a:rPr lang="it-IT" sz="1600" b="0" i="1">
                            <a:latin typeface="Cambria Math" panose="02040503050406030204" pitchFamily="18" charset="0"/>
                          </a:rPr>
                          <m:t>𝑄</m:t>
                        </m:r>
                      </m:e>
                      <m:sub>
                        <m:r>
                          <a:rPr lang="it-IT" sz="1600" b="0" i="1">
                            <a:latin typeface="Cambria Math" panose="02040503050406030204" pitchFamily="18" charset="0"/>
                          </a:rPr>
                          <m:t>𝑟𝑜𝑡</m:t>
                        </m:r>
                      </m:sub>
                      <m:sup>
                        <m:r>
                          <a:rPr lang="it-IT" sz="1600" b="0" i="1">
                            <a:latin typeface="Cambria Math" panose="02040503050406030204" pitchFamily="18" charset="0"/>
                          </a:rPr>
                          <m:t>3</m:t>
                        </m:r>
                        <m:r>
                          <a:rPr lang="it-IT" sz="1600" b="0" i="1">
                            <a:latin typeface="Cambria Math" panose="02040503050406030204" pitchFamily="18" charset="0"/>
                          </a:rPr>
                          <m:t>𝐷</m:t>
                        </m:r>
                      </m:sup>
                    </m:sSubSup>
                    <m:r>
                      <a:rPr lang="it-IT" sz="1600" b="0" i="1">
                        <a:latin typeface="Cambria Math" panose="02040503050406030204" pitchFamily="18" charset="0"/>
                      </a:rPr>
                      <m:t>(2)=</m:t>
                    </m:r>
                    <m:f>
                      <m:fPr>
                        <m:ctrlPr>
                          <a:rPr lang="it-IT" sz="1600" b="0" i="1">
                            <a:latin typeface="Cambria Math" panose="02040503050406030204" pitchFamily="18" charset="0"/>
                          </a:rPr>
                        </m:ctrlPr>
                      </m:fPr>
                      <m:num>
                        <m:rad>
                          <m:radPr>
                            <m:degHide m:val="on"/>
                            <m:ctrlPr>
                              <a:rPr lang="it-IT" sz="1600" b="0" i="1">
                                <a:latin typeface="Cambria Math" panose="02040503050406030204" pitchFamily="18" charset="0"/>
                              </a:rPr>
                            </m:ctrlPr>
                          </m:radPr>
                          <m:deg/>
                          <m:e>
                            <m:r>
                              <a:rPr lang="it-IT" sz="1600" b="0" i="1">
                                <a:latin typeface="Cambria Math" panose="02040503050406030204" pitchFamily="18" charset="0"/>
                                <a:ea typeface="Cambria Math" panose="02040503050406030204" pitchFamily="18" charset="0"/>
                              </a:rPr>
                              <m:t>𝜋</m:t>
                            </m:r>
                          </m:e>
                        </m:rad>
                      </m:num>
                      <m:den>
                        <m:r>
                          <a:rPr lang="it-IT" sz="1600" b="0" i="1">
                            <a:latin typeface="Cambria Math" panose="02040503050406030204" pitchFamily="18" charset="0"/>
                            <a:ea typeface="Cambria Math" panose="02040503050406030204" pitchFamily="18" charset="0"/>
                          </a:rPr>
                          <m:t>𝜎</m:t>
                        </m:r>
                      </m:den>
                    </m:f>
                    <m:d>
                      <m:dPr>
                        <m:ctrlPr>
                          <a:rPr lang="it-IT" sz="1600" b="0" i="1">
                            <a:latin typeface="Cambria Math" panose="02040503050406030204" pitchFamily="18" charset="0"/>
                          </a:rPr>
                        </m:ctrlPr>
                      </m:dPr>
                      <m:e>
                        <m:f>
                          <m:fPr>
                            <m:ctrlPr>
                              <a:rPr lang="it-IT" sz="1600" b="0" i="1">
                                <a:latin typeface="Cambria Math" panose="02040503050406030204" pitchFamily="18" charset="0"/>
                              </a:rPr>
                            </m:ctrlPr>
                          </m:fPr>
                          <m:num>
                            <m:sSup>
                              <m:sSupPr>
                                <m:ctrlPr>
                                  <a:rPr lang="it-IT" sz="1600" b="0" i="1">
                                    <a:latin typeface="Cambria Math" panose="02040503050406030204" pitchFamily="18" charset="0"/>
                                  </a:rPr>
                                </m:ctrlPr>
                              </m:sSupPr>
                              <m:e>
                                <m:r>
                                  <a:rPr lang="it-IT" sz="1600" b="0" i="1">
                                    <a:latin typeface="Cambria Math" panose="02040503050406030204" pitchFamily="18" charset="0"/>
                                  </a:rPr>
                                  <m:t>𝑇</m:t>
                                </m:r>
                              </m:e>
                              <m:sup>
                                <m:f>
                                  <m:fPr>
                                    <m:ctrlPr>
                                      <a:rPr lang="it-IT" sz="1600" b="0" i="1">
                                        <a:latin typeface="Cambria Math" panose="02040503050406030204" pitchFamily="18" charset="0"/>
                                      </a:rPr>
                                    </m:ctrlPr>
                                  </m:fPr>
                                  <m:num>
                                    <m:r>
                                      <a:rPr lang="it-IT" sz="1600" b="0" i="1">
                                        <a:latin typeface="Cambria Math" panose="02040503050406030204" pitchFamily="18" charset="0"/>
                                      </a:rPr>
                                      <m:t>3</m:t>
                                    </m:r>
                                  </m:num>
                                  <m:den>
                                    <m:r>
                                      <a:rPr lang="it-IT" sz="1600" b="0" i="1">
                                        <a:latin typeface="Cambria Math" panose="02040503050406030204" pitchFamily="18" charset="0"/>
                                      </a:rPr>
                                      <m:t>2</m:t>
                                    </m:r>
                                  </m:den>
                                </m:f>
                              </m:sup>
                            </m:sSup>
                          </m:num>
                          <m:den>
                            <m:rad>
                              <m:radPr>
                                <m:degHide m:val="on"/>
                                <m:ctrlPr>
                                  <a:rPr lang="it-IT" sz="1600" b="0" i="1">
                                    <a:latin typeface="Cambria Math" panose="02040503050406030204" pitchFamily="18" charset="0"/>
                                  </a:rPr>
                                </m:ctrlPr>
                              </m:radPr>
                              <m:deg/>
                              <m:e>
                                <m:sSub>
                                  <m:sSubPr>
                                    <m:ctrlPr>
                                      <a:rPr lang="it-IT" sz="1600" b="0" i="1">
                                        <a:latin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𝜃</m:t>
                                    </m:r>
                                  </m:e>
                                  <m:sub>
                                    <m:r>
                                      <a:rPr lang="it-IT" sz="1600" b="0" i="1">
                                        <a:latin typeface="Cambria Math" panose="02040503050406030204" pitchFamily="18" charset="0"/>
                                      </a:rPr>
                                      <m:t>𝑥</m:t>
                                    </m:r>
                                  </m:sub>
                                </m:sSub>
                                <m:sSub>
                                  <m:sSubPr>
                                    <m:ctrlPr>
                                      <a:rPr lang="it-IT" sz="1600" b="0" i="1">
                                        <a:latin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𝜃</m:t>
                                    </m:r>
                                  </m:e>
                                  <m:sub>
                                    <m:r>
                                      <a:rPr lang="it-IT" sz="1600" b="0" i="1">
                                        <a:latin typeface="Cambria Math" panose="02040503050406030204" pitchFamily="18" charset="0"/>
                                        <a:ea typeface="Cambria Math" panose="02040503050406030204" pitchFamily="18" charset="0"/>
                                      </a:rPr>
                                      <m:t>𝑦</m:t>
                                    </m:r>
                                  </m:sub>
                                </m:sSub>
                                <m:sSub>
                                  <m:sSubPr>
                                    <m:ctrlPr>
                                      <a:rPr lang="it-IT" sz="1600" b="0" i="1">
                                        <a:latin typeface="Cambria Math" panose="02040503050406030204" pitchFamily="18" charset="0"/>
                                      </a:rPr>
                                    </m:ctrlPr>
                                  </m:sSubPr>
                                  <m:e>
                                    <m:r>
                                      <a:rPr lang="it-IT" sz="1600" b="0" i="1">
                                        <a:latin typeface="Cambria Math" panose="02040503050406030204" pitchFamily="18" charset="0"/>
                                        <a:ea typeface="Cambria Math" panose="02040503050406030204" pitchFamily="18" charset="0"/>
                                      </a:rPr>
                                      <m:t>𝜃</m:t>
                                    </m:r>
                                  </m:e>
                                  <m:sub>
                                    <m:r>
                                      <a:rPr lang="it-IT" sz="1600" b="0" i="1">
                                        <a:latin typeface="Cambria Math" panose="02040503050406030204" pitchFamily="18" charset="0"/>
                                        <a:ea typeface="Cambria Math" panose="02040503050406030204" pitchFamily="18" charset="0"/>
                                      </a:rPr>
                                      <m:t>𝑧</m:t>
                                    </m:r>
                                  </m:sub>
                                </m:sSub>
                              </m:e>
                            </m:rad>
                          </m:den>
                        </m:f>
                      </m:e>
                    </m:d>
                  </m:oMath>
                </m:oMathPara>
              </a14:m>
              <a:endParaRPr lang="en-US" sz="1600"/>
            </a:p>
          </xdr:txBody>
        </xdr:sp>
      </mc:Choice>
      <mc:Fallback xmlns="">
        <xdr:sp macro="" textlink="">
          <xdr:nvSpPr>
            <xdr:cNvPr id="57" name="TextBox 56">
              <a:extLst>
                <a:ext uri="{FF2B5EF4-FFF2-40B4-BE49-F238E27FC236}">
                  <a16:creationId xmlns:a16="http://schemas.microsoft.com/office/drawing/2014/main" id="{0D71D5E8-246C-741A-F0DF-4DEFA7322763}"/>
                </a:ext>
              </a:extLst>
            </xdr:cNvPr>
            <xdr:cNvSpPr txBox="1"/>
          </xdr:nvSpPr>
          <xdr:spPr>
            <a:xfrm>
              <a:off x="12969154" y="33446071"/>
              <a:ext cx="2304349" cy="79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𝑄_𝑟𝑜𝑡^3𝐷 (2)=√</a:t>
              </a:r>
              <a:r>
                <a:rPr lang="it-IT" sz="1600" b="0" i="0">
                  <a:latin typeface="Cambria Math" panose="02040503050406030204" pitchFamily="18" charset="0"/>
                  <a:ea typeface="Cambria Math" panose="02040503050406030204" pitchFamily="18" charset="0"/>
                </a:rPr>
                <a:t>𝜋/𝜎 </a:t>
              </a:r>
              <a:r>
                <a:rPr lang="it-IT" sz="1600" b="0" i="0">
                  <a:latin typeface="Cambria Math" panose="02040503050406030204" pitchFamily="18" charset="0"/>
                </a:rPr>
                <a:t>(𝑇^(3/2)/√(</a:t>
              </a:r>
              <a:r>
                <a:rPr lang="it-IT" sz="1600" b="0" i="0">
                  <a:latin typeface="Cambria Math" panose="02040503050406030204" pitchFamily="18" charset="0"/>
                  <a:ea typeface="Cambria Math" panose="02040503050406030204" pitchFamily="18" charset="0"/>
                </a:rPr>
                <a:t>𝜃_</a:t>
              </a:r>
              <a:r>
                <a:rPr lang="it-IT" sz="1600" b="0" i="0">
                  <a:latin typeface="Cambria Math" panose="02040503050406030204" pitchFamily="18" charset="0"/>
                </a:rPr>
                <a:t>𝑥 </a:t>
              </a:r>
              <a:r>
                <a:rPr lang="it-IT" sz="1600" b="0" i="0">
                  <a:latin typeface="Cambria Math" panose="02040503050406030204" pitchFamily="18" charset="0"/>
                  <a:ea typeface="Cambria Math" panose="02040503050406030204" pitchFamily="18" charset="0"/>
                </a:rPr>
                <a:t>𝜃_𝑦 𝜃_𝑧 ))</a:t>
              </a:r>
              <a:endParaRPr lang="en-US" sz="1600"/>
            </a:p>
          </xdr:txBody>
        </xdr:sp>
      </mc:Fallback>
    </mc:AlternateContent>
    <xdr:clientData/>
  </xdr:oneCellAnchor>
  <xdr:twoCellAnchor>
    <xdr:from>
      <xdr:col>10</xdr:col>
      <xdr:colOff>833739</xdr:colOff>
      <xdr:row>139</xdr:row>
      <xdr:rowOff>126030</xdr:rowOff>
    </xdr:from>
    <xdr:to>
      <xdr:col>11</xdr:col>
      <xdr:colOff>213330</xdr:colOff>
      <xdr:row>141</xdr:row>
      <xdr:rowOff>194408</xdr:rowOff>
    </xdr:to>
    <xdr:cxnSp macro="">
      <xdr:nvCxnSpPr>
        <xdr:cNvPr id="59" name="Curved Connector 58">
          <a:extLst>
            <a:ext uri="{FF2B5EF4-FFF2-40B4-BE49-F238E27FC236}">
              <a16:creationId xmlns:a16="http://schemas.microsoft.com/office/drawing/2014/main" id="{D6E45BA1-5C4E-B666-40DA-7708264B9084}"/>
            </a:ext>
          </a:extLst>
        </xdr:cNvPr>
        <xdr:cNvCxnSpPr>
          <a:endCxn id="57" idx="1"/>
        </xdr:cNvCxnSpPr>
      </xdr:nvCxnSpPr>
      <xdr:spPr>
        <a:xfrm rot="16200000" flipH="1">
          <a:off x="12505499" y="33378775"/>
          <a:ext cx="598708" cy="328602"/>
        </a:xfrm>
        <a:prstGeom prst="curved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9769</xdr:colOff>
      <xdr:row>151</xdr:row>
      <xdr:rowOff>222807</xdr:rowOff>
    </xdr:from>
    <xdr:to>
      <xdr:col>15</xdr:col>
      <xdr:colOff>824046</xdr:colOff>
      <xdr:row>164</xdr:row>
      <xdr:rowOff>171380</xdr:rowOff>
    </xdr:to>
    <xdr:graphicFrame macro="">
      <xdr:nvGraphicFramePr>
        <xdr:cNvPr id="60" name="Chart 59">
          <a:extLst>
            <a:ext uri="{FF2B5EF4-FFF2-40B4-BE49-F238E27FC236}">
              <a16:creationId xmlns:a16="http://schemas.microsoft.com/office/drawing/2014/main" id="{AB471078-D93C-7467-9E8B-7596AB315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745958</xdr:colOff>
      <xdr:row>165</xdr:row>
      <xdr:rowOff>38545</xdr:rowOff>
    </xdr:from>
    <xdr:ext cx="65" cy="172227"/>
    <xdr:sp macro="" textlink="">
      <xdr:nvSpPr>
        <xdr:cNvPr id="61" name="TextBox 60">
          <a:extLst>
            <a:ext uri="{FF2B5EF4-FFF2-40B4-BE49-F238E27FC236}">
              <a16:creationId xmlns:a16="http://schemas.microsoft.com/office/drawing/2014/main" id="{17FE8F14-366B-A462-67A4-6268203FA495}"/>
            </a:ext>
          </a:extLst>
        </xdr:cNvPr>
        <xdr:cNvSpPr txBox="1"/>
      </xdr:nvSpPr>
      <xdr:spPr>
        <a:xfrm>
          <a:off x="11797186" y="4001012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4</xdr:col>
      <xdr:colOff>452528</xdr:colOff>
      <xdr:row>172</xdr:row>
      <xdr:rowOff>131380</xdr:rowOff>
    </xdr:from>
    <xdr:to>
      <xdr:col>6</xdr:col>
      <xdr:colOff>613104</xdr:colOff>
      <xdr:row>172</xdr:row>
      <xdr:rowOff>145977</xdr:rowOff>
    </xdr:to>
    <xdr:cxnSp macro="">
      <xdr:nvCxnSpPr>
        <xdr:cNvPr id="62" name="Straight Arrow Connector 61">
          <a:extLst>
            <a:ext uri="{FF2B5EF4-FFF2-40B4-BE49-F238E27FC236}">
              <a16:creationId xmlns:a16="http://schemas.microsoft.com/office/drawing/2014/main" id="{F048CF4A-DCB3-DE40-8164-C1F069403CE4}"/>
            </a:ext>
          </a:extLst>
        </xdr:cNvPr>
        <xdr:cNvCxnSpPr/>
      </xdr:nvCxnSpPr>
      <xdr:spPr>
        <a:xfrm>
          <a:off x="6007033" y="14673578"/>
          <a:ext cx="2616840"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209696</xdr:colOff>
      <xdr:row>170</xdr:row>
      <xdr:rowOff>239134</xdr:rowOff>
    </xdr:from>
    <xdr:ext cx="1988301" cy="695255"/>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AA1CC6FC-8E39-2149-A00D-9652042D3CB6}"/>
                </a:ext>
              </a:extLst>
            </xdr:cNvPr>
            <xdr:cNvSpPr txBox="1"/>
          </xdr:nvSpPr>
          <xdr:spPr>
            <a:xfrm>
              <a:off x="9573829" y="41302467"/>
              <a:ext cx="1988301" cy="6952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it-IT" sz="1600" b="0" i="1">
                            <a:latin typeface="Cambria Math" panose="02040503050406030204" pitchFamily="18" charset="0"/>
                          </a:rPr>
                          <m:t>𝑄</m:t>
                        </m:r>
                      </m:e>
                      <m:sub>
                        <m:r>
                          <a:rPr lang="it-IT" sz="1600" b="0" i="1">
                            <a:latin typeface="Cambria Math" panose="02040503050406030204" pitchFamily="18" charset="0"/>
                          </a:rPr>
                          <m:t>𝑡𝑟𝑎𝑛𝑠𝑙</m:t>
                        </m:r>
                      </m:sub>
                    </m:sSub>
                    <m:r>
                      <a:rPr lang="it-IT" sz="1600" b="0" i="1">
                        <a:latin typeface="Cambria Math" panose="02040503050406030204" pitchFamily="18" charset="0"/>
                      </a:rPr>
                      <m:t>=</m:t>
                    </m:r>
                    <m:nary>
                      <m:naryPr>
                        <m:chr m:val="∑"/>
                        <m:ctrlPr>
                          <a:rPr lang="it-IT" sz="1600" b="0" i="1">
                            <a:latin typeface="Cambria Math" panose="02040503050406030204" pitchFamily="18" charset="0"/>
                          </a:rPr>
                        </m:ctrlPr>
                      </m:naryPr>
                      <m:sub>
                        <m:r>
                          <m:rPr>
                            <m:brk m:alnAt="23"/>
                          </m:rPr>
                          <a:rPr lang="it-IT" sz="1600" b="0" i="1">
                            <a:latin typeface="Cambria Math" panose="02040503050406030204" pitchFamily="18" charset="0"/>
                          </a:rPr>
                          <m:t>𝑖</m:t>
                        </m:r>
                        <m:r>
                          <a:rPr lang="it-IT" sz="1600" b="0" i="1">
                            <a:latin typeface="Cambria Math" panose="02040503050406030204" pitchFamily="18" charset="0"/>
                          </a:rPr>
                          <m:t>=0</m:t>
                        </m:r>
                      </m:sub>
                      <m:sup>
                        <m:r>
                          <a:rPr lang="it-IT" sz="1600" b="0" i="1">
                            <a:latin typeface="Cambria Math" panose="02040503050406030204" pitchFamily="18" charset="0"/>
                            <a:ea typeface="Cambria Math" panose="02040503050406030204" pitchFamily="18" charset="0"/>
                          </a:rPr>
                          <m:t>∞</m:t>
                        </m:r>
                      </m:sup>
                      <m:e>
                        <m:sSubSup>
                          <m:sSubSupPr>
                            <m:ctrlPr>
                              <a:rPr lang="it-IT" sz="1600" b="0" i="1">
                                <a:latin typeface="Cambria Math" panose="02040503050406030204" pitchFamily="18" charset="0"/>
                              </a:rPr>
                            </m:ctrlPr>
                          </m:sSubSupPr>
                          <m:e>
                            <m:r>
                              <a:rPr lang="it-IT" sz="1600" b="0" i="1">
                                <a:latin typeface="Cambria Math" panose="02040503050406030204" pitchFamily="18" charset="0"/>
                              </a:rPr>
                              <m:t>𝑔</m:t>
                            </m:r>
                          </m:e>
                          <m:sub>
                            <m:r>
                              <a:rPr lang="it-IT" sz="1600" b="0" i="1">
                                <a:latin typeface="Cambria Math" panose="02040503050406030204" pitchFamily="18" charset="0"/>
                              </a:rPr>
                              <m:t>𝑒𝑙</m:t>
                            </m:r>
                          </m:sub>
                          <m:sup>
                            <m:r>
                              <a:rPr lang="it-IT" sz="1600" b="0" i="1">
                                <a:latin typeface="Cambria Math" panose="02040503050406030204" pitchFamily="18" charset="0"/>
                              </a:rPr>
                              <m:t>𝑖</m:t>
                            </m:r>
                          </m:sup>
                        </m:sSubSup>
                        <m:sSup>
                          <m:sSupPr>
                            <m:ctrlPr>
                              <a:rPr lang="it-IT" sz="1600" b="0" i="1">
                                <a:latin typeface="Cambria Math" panose="02040503050406030204" pitchFamily="18" charset="0"/>
                              </a:rPr>
                            </m:ctrlPr>
                          </m:sSupPr>
                          <m:e>
                            <m:r>
                              <a:rPr lang="it-IT" sz="1600" b="0" i="1">
                                <a:latin typeface="Cambria Math" panose="02040503050406030204" pitchFamily="18" charset="0"/>
                              </a:rPr>
                              <m:t>𝑒</m:t>
                            </m:r>
                          </m:e>
                          <m:sup>
                            <m:r>
                              <a:rPr lang="it-IT" sz="1600" b="0" i="1">
                                <a:latin typeface="Cambria Math" panose="02040503050406030204" pitchFamily="18" charset="0"/>
                              </a:rPr>
                              <m:t>−</m:t>
                            </m:r>
                            <m:f>
                              <m:fPr>
                                <m:ctrlPr>
                                  <a:rPr lang="it-IT" sz="1600" b="0" i="1">
                                    <a:latin typeface="Cambria Math" panose="02040503050406030204" pitchFamily="18" charset="0"/>
                                  </a:rPr>
                                </m:ctrlPr>
                              </m:fPr>
                              <m:num>
                                <m:sSubSup>
                                  <m:sSubSupPr>
                                    <m:ctrlPr>
                                      <a:rPr lang="it-IT" sz="1600" b="0" i="1">
                                        <a:latin typeface="Cambria Math" panose="02040503050406030204" pitchFamily="18" charset="0"/>
                                      </a:rPr>
                                    </m:ctrlPr>
                                  </m:sSubSupPr>
                                  <m:e>
                                    <m:r>
                                      <a:rPr lang="it-IT" sz="1600" b="0" i="1">
                                        <a:latin typeface="Cambria Math" panose="02040503050406030204" pitchFamily="18" charset="0"/>
                                      </a:rPr>
                                      <m:t>𝐸</m:t>
                                    </m:r>
                                  </m:e>
                                  <m:sub>
                                    <m:r>
                                      <a:rPr lang="it-IT" sz="1600" b="0" i="1">
                                        <a:latin typeface="Cambria Math" panose="02040503050406030204" pitchFamily="18" charset="0"/>
                                      </a:rPr>
                                      <m:t>𝑒𝑙</m:t>
                                    </m:r>
                                  </m:sub>
                                  <m:sup>
                                    <m:r>
                                      <a:rPr lang="it-IT" sz="1600" b="0" i="1">
                                        <a:latin typeface="Cambria Math" panose="02040503050406030204" pitchFamily="18" charset="0"/>
                                      </a:rPr>
                                      <m:t>𝑖</m:t>
                                    </m:r>
                                  </m:sup>
                                </m:sSubSup>
                              </m:num>
                              <m:den>
                                <m:sSub>
                                  <m:sSubPr>
                                    <m:ctrlPr>
                                      <a:rPr lang="it-IT" sz="1600" b="0" i="1">
                                        <a:latin typeface="Cambria Math" panose="02040503050406030204" pitchFamily="18" charset="0"/>
                                      </a:rPr>
                                    </m:ctrlPr>
                                  </m:sSubPr>
                                  <m:e>
                                    <m:r>
                                      <a:rPr lang="it-IT" sz="1600" b="0" i="1">
                                        <a:latin typeface="Cambria Math" panose="02040503050406030204" pitchFamily="18" charset="0"/>
                                      </a:rPr>
                                      <m:t>𝑘</m:t>
                                    </m:r>
                                  </m:e>
                                  <m:sub>
                                    <m:r>
                                      <a:rPr lang="it-IT" sz="1600" b="0" i="1">
                                        <a:latin typeface="Cambria Math" panose="02040503050406030204" pitchFamily="18" charset="0"/>
                                      </a:rPr>
                                      <m:t>𝑏</m:t>
                                    </m:r>
                                  </m:sub>
                                </m:sSub>
                                <m:r>
                                  <a:rPr lang="it-IT" sz="1600" b="0" i="1">
                                    <a:latin typeface="Cambria Math" panose="02040503050406030204" pitchFamily="18" charset="0"/>
                                  </a:rPr>
                                  <m:t>𝑇</m:t>
                                </m:r>
                              </m:den>
                            </m:f>
                          </m:sup>
                        </m:sSup>
                      </m:e>
                    </m:nary>
                  </m:oMath>
                </m:oMathPara>
              </a14:m>
              <a:endParaRPr lang="en-US" sz="1600"/>
            </a:p>
          </xdr:txBody>
        </xdr:sp>
      </mc:Choice>
      <mc:Fallback xmlns="">
        <xdr:sp macro="" textlink="">
          <xdr:nvSpPr>
            <xdr:cNvPr id="63" name="TextBox 62">
              <a:extLst>
                <a:ext uri="{FF2B5EF4-FFF2-40B4-BE49-F238E27FC236}">
                  <a16:creationId xmlns:a16="http://schemas.microsoft.com/office/drawing/2014/main" id="{AA1CC6FC-8E39-2149-A00D-9652042D3CB6}"/>
                </a:ext>
              </a:extLst>
            </xdr:cNvPr>
            <xdr:cNvSpPr txBox="1"/>
          </xdr:nvSpPr>
          <xdr:spPr>
            <a:xfrm>
              <a:off x="9573829" y="41302467"/>
              <a:ext cx="1988301" cy="6952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600" b="0" i="0">
                  <a:latin typeface="Cambria Math" panose="02040503050406030204" pitchFamily="18" charset="0"/>
                </a:rPr>
                <a:t>𝑄</a:t>
              </a:r>
              <a:r>
                <a:rPr lang="en-US" sz="1600" b="0" i="0">
                  <a:latin typeface="Cambria Math" panose="02040503050406030204" pitchFamily="18" charset="0"/>
                </a:rPr>
                <a:t>_</a:t>
              </a:r>
              <a:r>
                <a:rPr lang="it-IT" sz="1600" b="0" i="0">
                  <a:latin typeface="Cambria Math" panose="02040503050406030204" pitchFamily="18" charset="0"/>
                </a:rPr>
                <a:t>𝑡𝑟𝑎𝑛𝑠𝑙=∑_(𝑖=0)</a:t>
              </a:r>
              <a:r>
                <a:rPr lang="it-IT" sz="1600" b="0" i="0">
                  <a:latin typeface="Cambria Math" panose="02040503050406030204" pitchFamily="18" charset="0"/>
                  <a:ea typeface="Cambria Math" panose="02040503050406030204" pitchFamily="18" charset="0"/>
                </a:rPr>
                <a:t>^∞▒〖</a:t>
              </a:r>
              <a:r>
                <a:rPr lang="it-IT" sz="1600" b="0" i="0">
                  <a:latin typeface="Cambria Math" panose="02040503050406030204" pitchFamily="18" charset="0"/>
                </a:rPr>
                <a:t>𝑔_𝑒𝑙^𝑖 𝑒^(−(𝐸_𝑒𝑙^𝑖)/(𝑘_𝑏 𝑇)) </a:t>
              </a:r>
              <a:r>
                <a:rPr lang="it-IT" sz="1600" b="0" i="0">
                  <a:latin typeface="Cambria Math" panose="02040503050406030204" pitchFamily="18" charset="0"/>
                  <a:ea typeface="Cambria Math" panose="02040503050406030204" pitchFamily="18" charset="0"/>
                </a:rPr>
                <a:t>〗</a:t>
              </a:r>
              <a:endParaRPr lang="en-US" sz="1600"/>
            </a:p>
          </xdr:txBody>
        </xdr:sp>
      </mc:Fallback>
    </mc:AlternateContent>
    <xdr:clientData/>
  </xdr:oneCellAnchor>
  <xdr:twoCellAnchor>
    <xdr:from>
      <xdr:col>10</xdr:col>
      <xdr:colOff>743214</xdr:colOff>
      <xdr:row>171</xdr:row>
      <xdr:rowOff>75335</xdr:rowOff>
    </xdr:from>
    <xdr:to>
      <xdr:col>14</xdr:col>
      <xdr:colOff>1062567</xdr:colOff>
      <xdr:row>175</xdr:row>
      <xdr:rowOff>218898</xdr:rowOff>
    </xdr:to>
    <xdr:sp macro="" textlink="">
      <xdr:nvSpPr>
        <xdr:cNvPr id="66" name="Rectangle 65">
          <a:extLst>
            <a:ext uri="{FF2B5EF4-FFF2-40B4-BE49-F238E27FC236}">
              <a16:creationId xmlns:a16="http://schemas.microsoft.com/office/drawing/2014/main" id="{6AF128DD-B119-2E44-AD70-45A999CC7302}"/>
            </a:ext>
          </a:extLst>
        </xdr:cNvPr>
        <xdr:cNvSpPr/>
      </xdr:nvSpPr>
      <xdr:spPr>
        <a:xfrm>
          <a:off x="12732014" y="41384202"/>
          <a:ext cx="4391820" cy="122729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Form</a:t>
          </a:r>
          <a:r>
            <a:rPr lang="en-US" sz="1100" b="1" baseline="0"/>
            <a:t> Gaussian manual:</a:t>
          </a:r>
          <a:br>
            <a:rPr lang="en-US" sz="1100" b="1" baseline="0"/>
          </a:br>
          <a:r>
            <a:rPr lang="en-US"/>
            <a:t>Gaussian assumes that the first electronic excitation energy is much greater than k</a:t>
          </a:r>
          <a:r>
            <a:rPr lang="en-US" baseline="-25000"/>
            <a:t>B</a:t>
          </a:r>
          <a:r>
            <a:rPr lang="en-US"/>
            <a:t>T. Therefore, the first and higher excited states are assumed to be inaccessible at any temperature. Further, the energy of the ground state is set to zero. </a:t>
          </a:r>
          <a:endParaRPr lang="en-US" sz="1100" b="1"/>
        </a:p>
      </xdr:txBody>
    </xdr:sp>
    <xdr:clientData/>
  </xdr:twoCellAnchor>
  <xdr:twoCellAnchor>
    <xdr:from>
      <xdr:col>9</xdr:col>
      <xdr:colOff>711638</xdr:colOff>
      <xdr:row>172</xdr:row>
      <xdr:rowOff>155965</xdr:rowOff>
    </xdr:from>
    <xdr:to>
      <xdr:col>10</xdr:col>
      <xdr:colOff>679561</xdr:colOff>
      <xdr:row>174</xdr:row>
      <xdr:rowOff>43793</xdr:rowOff>
    </xdr:to>
    <xdr:cxnSp macro="">
      <xdr:nvCxnSpPr>
        <xdr:cNvPr id="67" name="Curved Connector 66">
          <a:extLst>
            <a:ext uri="{FF2B5EF4-FFF2-40B4-BE49-F238E27FC236}">
              <a16:creationId xmlns:a16="http://schemas.microsoft.com/office/drawing/2014/main" id="{DB615C68-D341-A24B-ADC5-B502AB570D65}"/>
            </a:ext>
          </a:extLst>
        </xdr:cNvPr>
        <xdr:cNvCxnSpPr/>
      </xdr:nvCxnSpPr>
      <xdr:spPr>
        <a:xfrm flipV="1">
          <a:off x="11747500" y="41441913"/>
          <a:ext cx="898527" cy="468087"/>
        </a:xfrm>
        <a:prstGeom prst="curvedConnector3">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440267</xdr:colOff>
      <xdr:row>176</xdr:row>
      <xdr:rowOff>135467</xdr:rowOff>
    </xdr:from>
    <xdr:ext cx="2190536" cy="468205"/>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68393743-E021-EB44-932D-98AE2A33ED6E}"/>
                </a:ext>
              </a:extLst>
            </xdr:cNvPr>
            <xdr:cNvSpPr txBox="1"/>
          </xdr:nvSpPr>
          <xdr:spPr>
            <a:xfrm>
              <a:off x="13385800" y="42773600"/>
              <a:ext cx="2190536" cy="468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600" i="1">
                          <a:latin typeface="Cambria Math" panose="02040503050406030204" pitchFamily="18" charset="0"/>
                        </a:rPr>
                      </m:ctrlPr>
                    </m:sSubPr>
                    <m:e>
                      <m:r>
                        <a:rPr lang="it-IT" sz="1600" b="0" i="1">
                          <a:latin typeface="Cambria Math" panose="02040503050406030204" pitchFamily="18" charset="0"/>
                        </a:rPr>
                        <m:t>𝑄</m:t>
                      </m:r>
                    </m:e>
                    <m:sub>
                      <m:r>
                        <a:rPr lang="it-IT" sz="1600" b="0" i="1">
                          <a:latin typeface="Cambria Math" panose="02040503050406030204" pitchFamily="18" charset="0"/>
                        </a:rPr>
                        <m:t>𝑡𝑟𝑎𝑛𝑠𝑙</m:t>
                      </m:r>
                    </m:sub>
                  </m:sSub>
                  <m:r>
                    <a:rPr lang="it-IT" sz="1600" b="0" i="1">
                      <a:latin typeface="Cambria Math" panose="02040503050406030204" pitchFamily="18" charset="0"/>
                    </a:rPr>
                    <m:t>=</m:t>
                  </m:r>
                  <m:sSubSup>
                    <m:sSubSupPr>
                      <m:ctrlPr>
                        <a:rPr lang="it-IT" sz="1600" b="0" i="1">
                          <a:latin typeface="Cambria Math" panose="02040503050406030204" pitchFamily="18" charset="0"/>
                        </a:rPr>
                      </m:ctrlPr>
                    </m:sSubSupPr>
                    <m:e>
                      <m:r>
                        <a:rPr lang="it-IT" sz="1600" b="0" i="1">
                          <a:latin typeface="Cambria Math" panose="02040503050406030204" pitchFamily="18" charset="0"/>
                        </a:rPr>
                        <m:t>𝑔</m:t>
                      </m:r>
                    </m:e>
                    <m:sub>
                      <m:r>
                        <a:rPr lang="it-IT" sz="1600" b="0" i="1">
                          <a:latin typeface="Cambria Math" panose="02040503050406030204" pitchFamily="18" charset="0"/>
                        </a:rPr>
                        <m:t>𝑒𝑙</m:t>
                      </m:r>
                    </m:sub>
                    <m:sup>
                      <m:r>
                        <a:rPr lang="it-IT" sz="1600" b="0" i="1">
                          <a:latin typeface="Cambria Math" panose="02040503050406030204" pitchFamily="18" charset="0"/>
                        </a:rPr>
                        <m:t>0</m:t>
                      </m:r>
                    </m:sup>
                  </m:sSubSup>
                  <m:sSup>
                    <m:sSupPr>
                      <m:ctrlPr>
                        <a:rPr lang="it-IT" sz="1600" b="0" i="1">
                          <a:latin typeface="Cambria Math" panose="02040503050406030204" pitchFamily="18" charset="0"/>
                        </a:rPr>
                      </m:ctrlPr>
                    </m:sSupPr>
                    <m:e>
                      <m:r>
                        <a:rPr lang="it-IT" sz="1600" b="0" i="1">
                          <a:latin typeface="Cambria Math" panose="02040503050406030204" pitchFamily="18" charset="0"/>
                        </a:rPr>
                        <m:t>𝑒</m:t>
                      </m:r>
                    </m:e>
                    <m:sup>
                      <m:r>
                        <a:rPr lang="it-IT" sz="1600" b="0" i="1">
                          <a:latin typeface="Cambria Math" panose="02040503050406030204" pitchFamily="18" charset="0"/>
                        </a:rPr>
                        <m:t>−</m:t>
                      </m:r>
                      <m:f>
                        <m:fPr>
                          <m:ctrlPr>
                            <a:rPr lang="it-IT" sz="1600" b="0" i="1">
                              <a:latin typeface="Cambria Math" panose="02040503050406030204" pitchFamily="18" charset="0"/>
                            </a:rPr>
                          </m:ctrlPr>
                        </m:fPr>
                        <m:num>
                          <m:sSubSup>
                            <m:sSubSupPr>
                              <m:ctrlPr>
                                <a:rPr lang="it-IT" sz="1600" b="0" i="1">
                                  <a:latin typeface="Cambria Math" panose="02040503050406030204" pitchFamily="18" charset="0"/>
                                </a:rPr>
                              </m:ctrlPr>
                            </m:sSubSupPr>
                            <m:e>
                              <m:r>
                                <a:rPr lang="it-IT" sz="1600" b="0" i="1">
                                  <a:latin typeface="Cambria Math" panose="02040503050406030204" pitchFamily="18" charset="0"/>
                                </a:rPr>
                                <m:t>𝐸</m:t>
                              </m:r>
                            </m:e>
                            <m:sub>
                              <m:r>
                                <a:rPr lang="it-IT" sz="1600" b="0" i="1">
                                  <a:latin typeface="Cambria Math" panose="02040503050406030204" pitchFamily="18" charset="0"/>
                                </a:rPr>
                                <m:t>𝑒𝑙</m:t>
                              </m:r>
                            </m:sub>
                            <m:sup>
                              <m:r>
                                <a:rPr lang="it-IT" sz="1600" b="0" i="1">
                                  <a:latin typeface="Cambria Math" panose="02040503050406030204" pitchFamily="18" charset="0"/>
                                </a:rPr>
                                <m:t>0</m:t>
                              </m:r>
                            </m:sup>
                          </m:sSubSup>
                        </m:num>
                        <m:den>
                          <m:sSub>
                            <m:sSubPr>
                              <m:ctrlPr>
                                <a:rPr lang="it-IT" sz="1600" b="0" i="1">
                                  <a:latin typeface="Cambria Math" panose="02040503050406030204" pitchFamily="18" charset="0"/>
                                </a:rPr>
                              </m:ctrlPr>
                            </m:sSubPr>
                            <m:e>
                              <m:r>
                                <a:rPr lang="it-IT" sz="1600" b="0" i="1">
                                  <a:latin typeface="Cambria Math" panose="02040503050406030204" pitchFamily="18" charset="0"/>
                                </a:rPr>
                                <m:t>𝑘</m:t>
                              </m:r>
                            </m:e>
                            <m:sub>
                              <m:r>
                                <a:rPr lang="it-IT" sz="1600" b="0" i="1">
                                  <a:latin typeface="Cambria Math" panose="02040503050406030204" pitchFamily="18" charset="0"/>
                                </a:rPr>
                                <m:t>𝑏</m:t>
                              </m:r>
                            </m:sub>
                          </m:sSub>
                          <m:r>
                            <a:rPr lang="it-IT" sz="1600" b="0" i="1">
                              <a:latin typeface="Cambria Math" panose="02040503050406030204" pitchFamily="18" charset="0"/>
                            </a:rPr>
                            <m:t>𝑇</m:t>
                          </m:r>
                        </m:den>
                      </m:f>
                    </m:sup>
                  </m:sSup>
                  <m:r>
                    <a:rPr lang="it-IT" sz="1600" b="0" i="1">
                      <a:latin typeface="Cambria Math" panose="02040503050406030204" pitchFamily="18" charset="0"/>
                    </a:rPr>
                    <m:t>=</m:t>
                  </m:r>
                  <m:sSubSup>
                    <m:sSubSupPr>
                      <m:ctrlPr>
                        <a:rPr lang="it-IT" sz="1600" b="0" i="1">
                          <a:latin typeface="Cambria Math" panose="02040503050406030204" pitchFamily="18" charset="0"/>
                        </a:rPr>
                      </m:ctrlPr>
                    </m:sSubSupPr>
                    <m:e>
                      <m:r>
                        <a:rPr lang="it-IT" sz="1600" b="0" i="1">
                          <a:latin typeface="Cambria Math" panose="02040503050406030204" pitchFamily="18" charset="0"/>
                        </a:rPr>
                        <m:t>𝑔</m:t>
                      </m:r>
                    </m:e>
                    <m:sub>
                      <m:r>
                        <a:rPr lang="it-IT" sz="1600" b="0" i="1">
                          <a:latin typeface="Cambria Math" panose="02040503050406030204" pitchFamily="18" charset="0"/>
                        </a:rPr>
                        <m:t>𝑒𝑙</m:t>
                      </m:r>
                    </m:sub>
                    <m:sup>
                      <m:r>
                        <a:rPr lang="it-IT" sz="1600" b="0" i="1">
                          <a:latin typeface="Cambria Math" panose="02040503050406030204" pitchFamily="18" charset="0"/>
                        </a:rPr>
                        <m:t>0</m:t>
                      </m:r>
                    </m:sup>
                  </m:sSubSup>
                </m:oMath>
              </a14:m>
              <a:r>
                <a:rPr lang="en-US" sz="1600"/>
                <a:t> </a:t>
              </a:r>
            </a:p>
          </xdr:txBody>
        </xdr:sp>
      </mc:Choice>
      <mc:Fallback xmlns="">
        <xdr:sp macro="" textlink="">
          <xdr:nvSpPr>
            <xdr:cNvPr id="69" name="TextBox 68">
              <a:extLst>
                <a:ext uri="{FF2B5EF4-FFF2-40B4-BE49-F238E27FC236}">
                  <a16:creationId xmlns:a16="http://schemas.microsoft.com/office/drawing/2014/main" id="{68393743-E021-EB44-932D-98AE2A33ED6E}"/>
                </a:ext>
              </a:extLst>
            </xdr:cNvPr>
            <xdr:cNvSpPr txBox="1"/>
          </xdr:nvSpPr>
          <xdr:spPr>
            <a:xfrm>
              <a:off x="13385800" y="42773600"/>
              <a:ext cx="2190536" cy="468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600" b="0" i="0">
                  <a:latin typeface="Cambria Math" panose="02040503050406030204" pitchFamily="18" charset="0"/>
                </a:rPr>
                <a:t>𝑄</a:t>
              </a:r>
              <a:r>
                <a:rPr lang="en-US" sz="1600" b="0" i="0">
                  <a:latin typeface="Cambria Math" panose="02040503050406030204" pitchFamily="18" charset="0"/>
                </a:rPr>
                <a:t>_</a:t>
              </a:r>
              <a:r>
                <a:rPr lang="it-IT" sz="1600" b="0" i="0">
                  <a:latin typeface="Cambria Math" panose="02040503050406030204" pitchFamily="18" charset="0"/>
                </a:rPr>
                <a:t>𝑡𝑟𝑎𝑛𝑠𝑙=𝑔_𝑒𝑙^0 𝑒^(−(𝐸_𝑒𝑙^0)/(𝑘_𝑏 𝑇))=𝑔_𝑒𝑙^0</a:t>
              </a:r>
              <a:r>
                <a:rPr lang="en-US" sz="1600"/>
                <a:t> </a:t>
              </a:r>
            </a:p>
          </xdr:txBody>
        </xdr:sp>
      </mc:Fallback>
    </mc:AlternateContent>
    <xdr:clientData/>
  </xdr:oneCellAnchor>
  <xdr:twoCellAnchor>
    <xdr:from>
      <xdr:col>9</xdr:col>
      <xdr:colOff>810879</xdr:colOff>
      <xdr:row>63</xdr:row>
      <xdr:rowOff>177230</xdr:rowOff>
    </xdr:from>
    <xdr:to>
      <xdr:col>10</xdr:col>
      <xdr:colOff>813725</xdr:colOff>
      <xdr:row>64</xdr:row>
      <xdr:rowOff>101443</xdr:rowOff>
    </xdr:to>
    <xdr:cxnSp macro="">
      <xdr:nvCxnSpPr>
        <xdr:cNvPr id="71" name="Curved Connector 70">
          <a:extLst>
            <a:ext uri="{FF2B5EF4-FFF2-40B4-BE49-F238E27FC236}">
              <a16:creationId xmlns:a16="http://schemas.microsoft.com/office/drawing/2014/main" id="{F4C4ADF8-DF70-4B47-96E4-90254604535E}"/>
            </a:ext>
          </a:extLst>
        </xdr:cNvPr>
        <xdr:cNvCxnSpPr/>
      </xdr:nvCxnSpPr>
      <xdr:spPr>
        <a:xfrm>
          <a:off x="11868346" y="14689097"/>
          <a:ext cx="934179" cy="169746"/>
        </a:xfrm>
        <a:prstGeom prst="curvedConnector3">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245533</xdr:colOff>
      <xdr:row>175</xdr:row>
      <xdr:rowOff>118533</xdr:rowOff>
    </xdr:from>
    <xdr:to>
      <xdr:col>11</xdr:col>
      <xdr:colOff>440266</xdr:colOff>
      <xdr:row>177</xdr:row>
      <xdr:rowOff>124036</xdr:rowOff>
    </xdr:to>
    <xdr:cxnSp macro="">
      <xdr:nvCxnSpPr>
        <xdr:cNvPr id="73" name="Curved Connector 72">
          <a:extLst>
            <a:ext uri="{FF2B5EF4-FFF2-40B4-BE49-F238E27FC236}">
              <a16:creationId xmlns:a16="http://schemas.microsoft.com/office/drawing/2014/main" id="{4A9014D7-6962-9F79-D444-5FF21216EEEB}"/>
            </a:ext>
          </a:extLst>
        </xdr:cNvPr>
        <xdr:cNvCxnSpPr>
          <a:endCxn id="69" idx="1"/>
        </xdr:cNvCxnSpPr>
      </xdr:nvCxnSpPr>
      <xdr:spPr>
        <a:xfrm rot="16200000" flipH="1">
          <a:off x="13040148" y="42662051"/>
          <a:ext cx="496570" cy="194733"/>
        </a:xfrm>
        <a:prstGeom prst="curved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8</xdr:col>
      <xdr:colOff>35473</xdr:colOff>
      <xdr:row>173</xdr:row>
      <xdr:rowOff>144956</xdr:rowOff>
    </xdr:from>
    <xdr:ext cx="1272015" cy="578235"/>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658573C-019D-76DC-E239-3B2D540F1133}"/>
                </a:ext>
              </a:extLst>
            </xdr:cNvPr>
            <xdr:cNvSpPr txBox="1"/>
          </xdr:nvSpPr>
          <xdr:spPr>
            <a:xfrm>
              <a:off x="10250214" y="41770301"/>
              <a:ext cx="1272015" cy="57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2000" b="0" i="1">
                        <a:latin typeface="Cambria Math" panose="02040503050406030204" pitchFamily="18" charset="0"/>
                      </a:rPr>
                      <m:t>=</m:t>
                    </m:r>
                    <m:sSubSup>
                      <m:sSubSupPr>
                        <m:ctrlPr>
                          <a:rPr lang="it-IT" sz="2000" b="0" i="1">
                            <a:latin typeface="Cambria Math" panose="02040503050406030204" pitchFamily="18" charset="0"/>
                          </a:rPr>
                        </m:ctrlPr>
                      </m:sSubSupPr>
                      <m:e>
                        <m:r>
                          <a:rPr lang="it-IT" sz="2000" b="0" i="1">
                            <a:latin typeface="Cambria Math" panose="02040503050406030204" pitchFamily="18" charset="0"/>
                          </a:rPr>
                          <m:t>𝑔</m:t>
                        </m:r>
                      </m:e>
                      <m:sub>
                        <m:r>
                          <a:rPr lang="it-IT" sz="2000" b="0" i="1">
                            <a:latin typeface="Cambria Math" panose="02040503050406030204" pitchFamily="18" charset="0"/>
                          </a:rPr>
                          <m:t>𝑒𝑙</m:t>
                        </m:r>
                      </m:sub>
                      <m:sup>
                        <m:r>
                          <a:rPr lang="it-IT" sz="2000" b="0" i="1">
                            <a:latin typeface="Cambria Math" panose="02040503050406030204" pitchFamily="18" charset="0"/>
                          </a:rPr>
                          <m:t>0</m:t>
                        </m:r>
                      </m:sup>
                    </m:sSubSup>
                    <m:sSup>
                      <m:sSupPr>
                        <m:ctrlPr>
                          <a:rPr lang="it-IT" sz="2000" b="0" i="1">
                            <a:latin typeface="Cambria Math" panose="02040503050406030204" pitchFamily="18" charset="0"/>
                          </a:rPr>
                        </m:ctrlPr>
                      </m:sSupPr>
                      <m:e>
                        <m:r>
                          <a:rPr lang="it-IT" sz="2000" b="0" i="1">
                            <a:latin typeface="Cambria Math" panose="02040503050406030204" pitchFamily="18" charset="0"/>
                          </a:rPr>
                          <m:t>𝑒</m:t>
                        </m:r>
                      </m:e>
                      <m:sup>
                        <m:r>
                          <a:rPr lang="it-IT" sz="2000" b="0" i="1">
                            <a:latin typeface="Cambria Math" panose="02040503050406030204" pitchFamily="18" charset="0"/>
                          </a:rPr>
                          <m:t>−</m:t>
                        </m:r>
                        <m:f>
                          <m:fPr>
                            <m:ctrlPr>
                              <a:rPr lang="it-IT" sz="2000" b="0" i="1">
                                <a:latin typeface="Cambria Math" panose="02040503050406030204" pitchFamily="18" charset="0"/>
                              </a:rPr>
                            </m:ctrlPr>
                          </m:fPr>
                          <m:num>
                            <m:sSubSup>
                              <m:sSubSupPr>
                                <m:ctrlPr>
                                  <a:rPr lang="it-IT" sz="2000" b="0" i="1">
                                    <a:latin typeface="Cambria Math" panose="02040503050406030204" pitchFamily="18" charset="0"/>
                                  </a:rPr>
                                </m:ctrlPr>
                              </m:sSubSupPr>
                              <m:e>
                                <m:r>
                                  <a:rPr lang="it-IT" sz="2000" b="0" i="1">
                                    <a:latin typeface="Cambria Math" panose="02040503050406030204" pitchFamily="18" charset="0"/>
                                  </a:rPr>
                                  <m:t>𝐸</m:t>
                                </m:r>
                              </m:e>
                              <m:sub>
                                <m:r>
                                  <a:rPr lang="it-IT" sz="2000" b="0" i="1">
                                    <a:latin typeface="Cambria Math" panose="02040503050406030204" pitchFamily="18" charset="0"/>
                                  </a:rPr>
                                  <m:t>𝑒𝑙</m:t>
                                </m:r>
                              </m:sub>
                              <m:sup>
                                <m:r>
                                  <a:rPr lang="it-IT" sz="2000" b="0" i="1">
                                    <a:latin typeface="Cambria Math" panose="02040503050406030204" pitchFamily="18" charset="0"/>
                                  </a:rPr>
                                  <m:t>0</m:t>
                                </m:r>
                              </m:sup>
                            </m:sSubSup>
                          </m:num>
                          <m:den>
                            <m:sSub>
                              <m:sSubPr>
                                <m:ctrlPr>
                                  <a:rPr lang="it-IT" sz="2000" b="0" i="1">
                                    <a:latin typeface="Cambria Math" panose="02040503050406030204" pitchFamily="18" charset="0"/>
                                  </a:rPr>
                                </m:ctrlPr>
                              </m:sSubPr>
                              <m:e>
                                <m:r>
                                  <a:rPr lang="it-IT" sz="2000" b="0" i="1">
                                    <a:latin typeface="Cambria Math" panose="02040503050406030204" pitchFamily="18" charset="0"/>
                                  </a:rPr>
                                  <m:t>𝑘</m:t>
                                </m:r>
                              </m:e>
                              <m:sub>
                                <m:r>
                                  <a:rPr lang="it-IT" sz="2000" b="0" i="1">
                                    <a:latin typeface="Cambria Math" panose="02040503050406030204" pitchFamily="18" charset="0"/>
                                  </a:rPr>
                                  <m:t>𝑏</m:t>
                                </m:r>
                              </m:sub>
                            </m:sSub>
                            <m:r>
                              <a:rPr lang="it-IT" sz="2000" b="0" i="1">
                                <a:latin typeface="Cambria Math" panose="02040503050406030204" pitchFamily="18" charset="0"/>
                              </a:rPr>
                              <m:t>𝑇</m:t>
                            </m:r>
                          </m:den>
                        </m:f>
                      </m:sup>
                    </m:sSup>
                  </m:oMath>
                </m:oMathPara>
              </a14:m>
              <a:endParaRPr lang="en-US" sz="2000"/>
            </a:p>
          </xdr:txBody>
        </xdr:sp>
      </mc:Choice>
      <mc:Fallback xmlns="">
        <xdr:sp macro="" textlink="">
          <xdr:nvSpPr>
            <xdr:cNvPr id="74" name="TextBox 73">
              <a:extLst>
                <a:ext uri="{FF2B5EF4-FFF2-40B4-BE49-F238E27FC236}">
                  <a16:creationId xmlns:a16="http://schemas.microsoft.com/office/drawing/2014/main" id="{0658573C-019D-76DC-E239-3B2D540F1133}"/>
                </a:ext>
              </a:extLst>
            </xdr:cNvPr>
            <xdr:cNvSpPr txBox="1"/>
          </xdr:nvSpPr>
          <xdr:spPr>
            <a:xfrm>
              <a:off x="10250214" y="41770301"/>
              <a:ext cx="1272015" cy="57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2000" b="0" i="0">
                  <a:latin typeface="Cambria Math" panose="02040503050406030204" pitchFamily="18" charset="0"/>
                </a:rPr>
                <a:t>=𝑔_𝑒𝑙^0 𝑒^(−(𝐸_𝑒𝑙^0)/(𝑘_𝑏 𝑇))</a:t>
              </a:r>
              <a:endParaRPr lang="en-US" sz="2000"/>
            </a:p>
          </xdr:txBody>
        </xdr:sp>
      </mc:Fallback>
    </mc:AlternateContent>
    <xdr:clientData/>
  </xdr:oneCellAnchor>
  <xdr:twoCellAnchor>
    <xdr:from>
      <xdr:col>7</xdr:col>
      <xdr:colOff>592666</xdr:colOff>
      <xdr:row>190</xdr:row>
      <xdr:rowOff>25400</xdr:rowOff>
    </xdr:from>
    <xdr:to>
      <xdr:col>12</xdr:col>
      <xdr:colOff>762000</xdr:colOff>
      <xdr:row>202</xdr:row>
      <xdr:rowOff>67734</xdr:rowOff>
    </xdr:to>
    <xdr:graphicFrame macro="">
      <xdr:nvGraphicFramePr>
        <xdr:cNvPr id="77" name="Chart 76">
          <a:extLst>
            <a:ext uri="{FF2B5EF4-FFF2-40B4-BE49-F238E27FC236}">
              <a16:creationId xmlns:a16="http://schemas.microsoft.com/office/drawing/2014/main" id="{0729CD33-7580-0DD6-2141-B46987690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452528</xdr:colOff>
      <xdr:row>211</xdr:row>
      <xdr:rowOff>131380</xdr:rowOff>
    </xdr:from>
    <xdr:to>
      <xdr:col>6</xdr:col>
      <xdr:colOff>613104</xdr:colOff>
      <xdr:row>211</xdr:row>
      <xdr:rowOff>145977</xdr:rowOff>
    </xdr:to>
    <xdr:cxnSp macro="">
      <xdr:nvCxnSpPr>
        <xdr:cNvPr id="78" name="Straight Arrow Connector 77">
          <a:extLst>
            <a:ext uri="{FF2B5EF4-FFF2-40B4-BE49-F238E27FC236}">
              <a16:creationId xmlns:a16="http://schemas.microsoft.com/office/drawing/2014/main" id="{6006B184-4892-F743-80B3-19AC4EC239ED}"/>
            </a:ext>
          </a:extLst>
        </xdr:cNvPr>
        <xdr:cNvCxnSpPr/>
      </xdr:nvCxnSpPr>
      <xdr:spPr>
        <a:xfrm>
          <a:off x="6006661" y="41245513"/>
          <a:ext cx="2632843"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646187</xdr:colOff>
      <xdr:row>213</xdr:row>
      <xdr:rowOff>189278</xdr:rowOff>
    </xdr:from>
    <xdr:ext cx="282578" cy="41127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5D1CBF5-1148-D1AF-5414-82574933FF32}"/>
                </a:ext>
              </a:extLst>
            </xdr:cNvPr>
            <xdr:cNvSpPr txBox="1"/>
          </xdr:nvSpPr>
          <xdr:spPr>
            <a:xfrm>
              <a:off x="8663062" y="50970961"/>
              <a:ext cx="282578"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US" sz="1400" i="1">
                            <a:latin typeface="Cambria Math" panose="02040503050406030204" pitchFamily="18" charset="0"/>
                          </a:rPr>
                        </m:ctrlPr>
                      </m:fPr>
                      <m:num>
                        <m:r>
                          <a:rPr lang="it-IT" sz="1400" b="0" i="1">
                            <a:latin typeface="Cambria Math" panose="02040503050406030204" pitchFamily="18" charset="0"/>
                          </a:rPr>
                          <m:t>3</m:t>
                        </m:r>
                      </m:num>
                      <m:den>
                        <m:r>
                          <a:rPr lang="it-IT" sz="1400" b="0" i="1">
                            <a:latin typeface="Cambria Math" panose="02040503050406030204" pitchFamily="18" charset="0"/>
                          </a:rPr>
                          <m:t>2</m:t>
                        </m:r>
                      </m:den>
                    </m:f>
                    <m:r>
                      <a:rPr lang="it-IT" sz="1400" b="0" i="1">
                        <a:latin typeface="Cambria Math" panose="02040503050406030204" pitchFamily="18" charset="0"/>
                      </a:rPr>
                      <m:t>𝑅</m:t>
                    </m:r>
                  </m:oMath>
                </m:oMathPara>
              </a14:m>
              <a:endParaRPr lang="en-US" sz="1400"/>
            </a:p>
          </xdr:txBody>
        </xdr:sp>
      </mc:Choice>
      <mc:Fallback xmlns="">
        <xdr:sp macro="" textlink="">
          <xdr:nvSpPr>
            <xdr:cNvPr id="79" name="TextBox 78">
              <a:extLst>
                <a:ext uri="{FF2B5EF4-FFF2-40B4-BE49-F238E27FC236}">
                  <a16:creationId xmlns:a16="http://schemas.microsoft.com/office/drawing/2014/main" id="{55D1CBF5-1148-D1AF-5414-82574933FF32}"/>
                </a:ext>
              </a:extLst>
            </xdr:cNvPr>
            <xdr:cNvSpPr txBox="1"/>
          </xdr:nvSpPr>
          <xdr:spPr>
            <a:xfrm>
              <a:off x="8663062" y="50970961"/>
              <a:ext cx="282578"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400" b="0" i="0">
                  <a:latin typeface="Cambria Math" panose="02040503050406030204" pitchFamily="18" charset="0"/>
                </a:rPr>
                <a:t>3</a:t>
              </a:r>
              <a:r>
                <a:rPr lang="en-US" sz="1400" b="0" i="0">
                  <a:latin typeface="Cambria Math" panose="02040503050406030204" pitchFamily="18" charset="0"/>
                </a:rPr>
                <a:t>/</a:t>
              </a:r>
              <a:r>
                <a:rPr lang="it-IT" sz="1400" b="0" i="0">
                  <a:latin typeface="Cambria Math" panose="02040503050406030204" pitchFamily="18" charset="0"/>
                </a:rPr>
                <a:t>2 𝑅</a:t>
              </a:r>
              <a:endParaRPr lang="en-US" sz="1400"/>
            </a:p>
          </xdr:txBody>
        </xdr:sp>
      </mc:Fallback>
    </mc:AlternateContent>
    <xdr:clientData/>
  </xdr:oneCellAnchor>
  <xdr:oneCellAnchor>
    <xdr:from>
      <xdr:col>6</xdr:col>
      <xdr:colOff>1173237</xdr:colOff>
      <xdr:row>216</xdr:row>
      <xdr:rowOff>26280</xdr:rowOff>
    </xdr:from>
    <xdr:ext cx="1932324" cy="755976"/>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B67F23DF-F706-1B4E-A285-F3C45EFAB153}"/>
                </a:ext>
              </a:extLst>
            </xdr:cNvPr>
            <xdr:cNvSpPr txBox="1"/>
          </xdr:nvSpPr>
          <xdr:spPr>
            <a:xfrm>
              <a:off x="9186937" y="51092980"/>
              <a:ext cx="1932324" cy="755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400" b="0" i="1">
                        <a:latin typeface="Cambria Math" panose="02040503050406030204" pitchFamily="18" charset="0"/>
                      </a:rPr>
                      <m:t>𝑅</m:t>
                    </m:r>
                    <m:nary>
                      <m:naryPr>
                        <m:chr m:val="∑"/>
                        <m:supHide m:val="on"/>
                        <m:ctrlPr>
                          <a:rPr lang="it-IT" sz="1400" b="0" i="1">
                            <a:latin typeface="Cambria Math" panose="02040503050406030204" pitchFamily="18" charset="0"/>
                          </a:rPr>
                        </m:ctrlPr>
                      </m:naryPr>
                      <m:sub>
                        <m:r>
                          <m:rPr>
                            <m:brk m:alnAt="7"/>
                          </m:rPr>
                          <a:rPr lang="it-IT" sz="1400" b="0" i="1">
                            <a:latin typeface="Cambria Math" panose="02040503050406030204" pitchFamily="18" charset="0"/>
                          </a:rPr>
                          <m:t>𝑖</m:t>
                        </m:r>
                      </m:sub>
                      <m:sup/>
                      <m:e>
                        <m:d>
                          <m:dPr>
                            <m:ctrlPr>
                              <a:rPr lang="it-IT" sz="1400" b="0" i="1">
                                <a:latin typeface="Cambria Math" panose="02040503050406030204" pitchFamily="18" charset="0"/>
                              </a:rPr>
                            </m:ctrlPr>
                          </m:dPr>
                          <m:e>
                            <m:f>
                              <m:fPr>
                                <m:ctrlPr>
                                  <a:rPr lang="it-IT" sz="1400" b="0" i="1">
                                    <a:latin typeface="Cambria Math" panose="02040503050406030204" pitchFamily="18" charset="0"/>
                                  </a:rPr>
                                </m:ctrlPr>
                              </m:fPr>
                              <m:num>
                                <m:sSubSup>
                                  <m:sSubSupPr>
                                    <m:ctrlPr>
                                      <a:rPr lang="it-IT" sz="1400" b="0" i="1">
                                        <a:latin typeface="Cambria Math" panose="02040503050406030204" pitchFamily="18" charset="0"/>
                                      </a:rPr>
                                    </m:ctrlPr>
                                  </m:sSubSup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up>
                                    <m:r>
                                      <a:rPr lang="it-IT" sz="1400" b="0" i="1">
                                        <a:latin typeface="Cambria Math" panose="02040503050406030204" pitchFamily="18" charset="0"/>
                                      </a:rPr>
                                      <m:t>2</m:t>
                                    </m:r>
                                  </m:sup>
                                </m:sSubSup>
                                <m:sSup>
                                  <m:sSupPr>
                                    <m:ctrlPr>
                                      <a:rPr lang="it-IT" sz="1400" b="0" i="1">
                                        <a:latin typeface="Cambria Math" panose="02040503050406030204" pitchFamily="18" charset="0"/>
                                      </a:rPr>
                                    </m:ctrlPr>
                                  </m:sSupPr>
                                  <m:e>
                                    <m:r>
                                      <a:rPr lang="it-IT" sz="1400" b="0" i="1">
                                        <a:latin typeface="Cambria Math" panose="02040503050406030204" pitchFamily="18" charset="0"/>
                                      </a:rPr>
                                      <m:t> </m:t>
                                    </m:r>
                                    <m:r>
                                      <a:rPr lang="it-IT" sz="1400" b="0" i="1">
                                        <a:latin typeface="Cambria Math" panose="02040503050406030204" pitchFamily="18" charset="0"/>
                                      </a:rPr>
                                      <m:t>𝑒</m:t>
                                    </m:r>
                                  </m:e>
                                  <m:sup>
                                    <m:f>
                                      <m:fPr>
                                        <m:ctrlPr>
                                          <a:rPr lang="it-IT" sz="1400" b="0" i="1">
                                            <a:latin typeface="Cambria Math" panose="02040503050406030204" pitchFamily="18" charset="0"/>
                                          </a:rPr>
                                        </m:ctrlPr>
                                      </m:fPr>
                                      <m:num>
                                        <m:sSub>
                                          <m:sSubPr>
                                            <m:ctrlPr>
                                              <a:rPr lang="it-IT" sz="1400" b="0" i="1">
                                                <a:latin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Sub>
                                      </m:num>
                                      <m:den>
                                        <m:r>
                                          <a:rPr lang="it-IT" sz="1400" b="0" i="1">
                                            <a:latin typeface="Cambria Math" panose="02040503050406030204" pitchFamily="18" charset="0"/>
                                          </a:rPr>
                                          <m:t>𝑇</m:t>
                                        </m:r>
                                      </m:den>
                                    </m:f>
                                  </m:sup>
                                </m:sSup>
                              </m:num>
                              <m:den>
                                <m:sSup>
                                  <m:sSupPr>
                                    <m:ctrlPr>
                                      <a:rPr lang="it-IT" sz="1400" b="0" i="1">
                                        <a:latin typeface="Cambria Math" panose="02040503050406030204" pitchFamily="18" charset="0"/>
                                      </a:rPr>
                                    </m:ctrlPr>
                                  </m:sSupPr>
                                  <m:e>
                                    <m:r>
                                      <a:rPr lang="it-IT" sz="1400" b="0" i="1">
                                        <a:latin typeface="Cambria Math" panose="02040503050406030204" pitchFamily="18" charset="0"/>
                                      </a:rPr>
                                      <m:t>𝑇</m:t>
                                    </m:r>
                                  </m:e>
                                  <m:sup>
                                    <m:r>
                                      <a:rPr lang="it-IT" sz="1400" b="0" i="1">
                                        <a:latin typeface="Cambria Math" panose="02040503050406030204" pitchFamily="18" charset="0"/>
                                      </a:rPr>
                                      <m:t>2</m:t>
                                    </m:r>
                                  </m:sup>
                                </m:sSup>
                                <m:sSup>
                                  <m:sSupPr>
                                    <m:ctrlPr>
                                      <a:rPr lang="it-IT" sz="1400" b="0" i="1">
                                        <a:latin typeface="Cambria Math" panose="02040503050406030204" pitchFamily="18" charset="0"/>
                                      </a:rPr>
                                    </m:ctrlPr>
                                  </m:sSupPr>
                                  <m:e>
                                    <m:d>
                                      <m:dPr>
                                        <m:ctrlPr>
                                          <a:rPr lang="it-IT" sz="1400" b="0" i="1">
                                            <a:latin typeface="Cambria Math" panose="02040503050406030204" pitchFamily="18" charset="0"/>
                                          </a:rPr>
                                        </m:ctrlPr>
                                      </m:dPr>
                                      <m:e>
                                        <m:sSup>
                                          <m:sSupPr>
                                            <m:ctrlPr>
                                              <a:rPr lang="it-IT" sz="1400" b="0" i="1">
                                                <a:latin typeface="Cambria Math" panose="02040503050406030204" pitchFamily="18" charset="0"/>
                                              </a:rPr>
                                            </m:ctrlPr>
                                          </m:sSupPr>
                                          <m:e>
                                            <m:r>
                                              <a:rPr lang="it-IT" sz="1400" b="0" i="1">
                                                <a:latin typeface="Cambria Math" panose="02040503050406030204" pitchFamily="18" charset="0"/>
                                              </a:rPr>
                                              <m:t>𝑒</m:t>
                                            </m:r>
                                          </m:e>
                                          <m:sup>
                                            <m:f>
                                              <m:fPr>
                                                <m:ctrlPr>
                                                  <a:rPr lang="it-IT" sz="1400" b="0" i="1">
                                                    <a:latin typeface="Cambria Math" panose="02040503050406030204" pitchFamily="18" charset="0"/>
                                                  </a:rPr>
                                                </m:ctrlPr>
                                              </m:fPr>
                                              <m:num>
                                                <m:sSub>
                                                  <m:sSubPr>
                                                    <m:ctrlPr>
                                                      <a:rPr lang="it-IT" sz="1400" b="0" i="1">
                                                        <a:latin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Sub>
                                              </m:num>
                                              <m:den>
                                                <m:r>
                                                  <a:rPr lang="it-IT" sz="1400" b="0" i="1">
                                                    <a:latin typeface="Cambria Math" panose="02040503050406030204" pitchFamily="18" charset="0"/>
                                                  </a:rPr>
                                                  <m:t>𝑇</m:t>
                                                </m:r>
                                              </m:den>
                                            </m:f>
                                          </m:sup>
                                        </m:sSup>
                                        <m:r>
                                          <a:rPr lang="it-IT" sz="1400" b="0" i="1">
                                            <a:latin typeface="Cambria Math" panose="02040503050406030204" pitchFamily="18" charset="0"/>
                                          </a:rPr>
                                          <m:t>−1</m:t>
                                        </m:r>
                                      </m:e>
                                    </m:d>
                                  </m:e>
                                  <m:sup>
                                    <m:r>
                                      <a:rPr lang="it-IT" sz="1400" b="0" i="1">
                                        <a:latin typeface="Cambria Math" panose="02040503050406030204" pitchFamily="18" charset="0"/>
                                      </a:rPr>
                                      <m:t>2</m:t>
                                    </m:r>
                                  </m:sup>
                                </m:sSup>
                              </m:den>
                            </m:f>
                          </m:e>
                        </m:d>
                      </m:e>
                    </m:nary>
                  </m:oMath>
                </m:oMathPara>
              </a14:m>
              <a:endParaRPr lang="en-US" sz="1400"/>
            </a:p>
          </xdr:txBody>
        </xdr:sp>
      </mc:Choice>
      <mc:Fallback xmlns="">
        <xdr:sp macro="" textlink="">
          <xdr:nvSpPr>
            <xdr:cNvPr id="80" name="TextBox 79">
              <a:extLst>
                <a:ext uri="{FF2B5EF4-FFF2-40B4-BE49-F238E27FC236}">
                  <a16:creationId xmlns:a16="http://schemas.microsoft.com/office/drawing/2014/main" id="{B67F23DF-F706-1B4E-A285-F3C45EFAB153}"/>
                </a:ext>
              </a:extLst>
            </xdr:cNvPr>
            <xdr:cNvSpPr txBox="1"/>
          </xdr:nvSpPr>
          <xdr:spPr>
            <a:xfrm>
              <a:off x="9186937" y="51092980"/>
              <a:ext cx="1932324" cy="755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400" b="0" i="0">
                  <a:latin typeface="Cambria Math" panose="02040503050406030204" pitchFamily="18" charset="0"/>
                </a:rPr>
                <a:t>𝑅∑_𝑖▒((</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𝑣𝑖𝑏,𝑖)^2 〖 𝑒〗^(</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𝑣𝑖𝑏,𝑖)/𝑇))/(𝑇^2 (𝑒^(</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𝑣𝑖𝑏,𝑖)/𝑇)−1)^2 )) </a:t>
              </a:r>
              <a:endParaRPr lang="en-US" sz="1400"/>
            </a:p>
          </xdr:txBody>
        </xdr:sp>
      </mc:Fallback>
    </mc:AlternateContent>
    <xdr:clientData/>
  </xdr:oneCellAnchor>
  <xdr:oneCellAnchor>
    <xdr:from>
      <xdr:col>9</xdr:col>
      <xdr:colOff>1035243</xdr:colOff>
      <xdr:row>216</xdr:row>
      <xdr:rowOff>34446</xdr:rowOff>
    </xdr:from>
    <xdr:ext cx="282578" cy="411278"/>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D677208A-2B63-D240-B799-68B093B3820D}"/>
                </a:ext>
              </a:extLst>
            </xdr:cNvPr>
            <xdr:cNvSpPr txBox="1"/>
          </xdr:nvSpPr>
          <xdr:spPr>
            <a:xfrm>
              <a:off x="12019447" y="54587426"/>
              <a:ext cx="282578"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US" sz="1400" i="1">
                            <a:latin typeface="Cambria Math" panose="02040503050406030204" pitchFamily="18" charset="0"/>
                          </a:rPr>
                        </m:ctrlPr>
                      </m:fPr>
                      <m:num>
                        <m:r>
                          <a:rPr lang="it-IT" sz="1400" b="0" i="1">
                            <a:latin typeface="Cambria Math" panose="02040503050406030204" pitchFamily="18" charset="0"/>
                          </a:rPr>
                          <m:t>3</m:t>
                        </m:r>
                      </m:num>
                      <m:den>
                        <m:r>
                          <a:rPr lang="it-IT" sz="1400" b="0" i="1">
                            <a:latin typeface="Cambria Math" panose="02040503050406030204" pitchFamily="18" charset="0"/>
                          </a:rPr>
                          <m:t>2</m:t>
                        </m:r>
                      </m:den>
                    </m:f>
                    <m:r>
                      <a:rPr lang="it-IT" sz="1400" b="0" i="1">
                        <a:latin typeface="Cambria Math" panose="02040503050406030204" pitchFamily="18" charset="0"/>
                      </a:rPr>
                      <m:t>𝑅</m:t>
                    </m:r>
                  </m:oMath>
                </m:oMathPara>
              </a14:m>
              <a:endParaRPr lang="en-US" sz="1400"/>
            </a:p>
          </xdr:txBody>
        </xdr:sp>
      </mc:Choice>
      <mc:Fallback xmlns="">
        <xdr:sp macro="" textlink="">
          <xdr:nvSpPr>
            <xdr:cNvPr id="81" name="TextBox 80">
              <a:extLst>
                <a:ext uri="{FF2B5EF4-FFF2-40B4-BE49-F238E27FC236}">
                  <a16:creationId xmlns:a16="http://schemas.microsoft.com/office/drawing/2014/main" id="{D677208A-2B63-D240-B799-68B093B3820D}"/>
                </a:ext>
              </a:extLst>
            </xdr:cNvPr>
            <xdr:cNvSpPr txBox="1"/>
          </xdr:nvSpPr>
          <xdr:spPr>
            <a:xfrm>
              <a:off x="12019447" y="54587426"/>
              <a:ext cx="282578"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400" b="0" i="0">
                  <a:latin typeface="Cambria Math" panose="02040503050406030204" pitchFamily="18" charset="0"/>
                </a:rPr>
                <a:t>3</a:t>
              </a:r>
              <a:r>
                <a:rPr lang="en-US" sz="1400" b="0" i="0">
                  <a:latin typeface="Cambria Math" panose="02040503050406030204" pitchFamily="18" charset="0"/>
                </a:rPr>
                <a:t>/</a:t>
              </a:r>
              <a:r>
                <a:rPr lang="it-IT" sz="1400" b="0" i="0">
                  <a:latin typeface="Cambria Math" panose="02040503050406030204" pitchFamily="18" charset="0"/>
                </a:rPr>
                <a:t>2 𝑅</a:t>
              </a:r>
              <a:endParaRPr lang="en-US" sz="1400"/>
            </a:p>
          </xdr:txBody>
        </xdr:sp>
      </mc:Fallback>
    </mc:AlternateContent>
    <xdr:clientData/>
  </xdr:oneCellAnchor>
  <xdr:oneCellAnchor>
    <xdr:from>
      <xdr:col>11</xdr:col>
      <xdr:colOff>218296</xdr:colOff>
      <xdr:row>213</xdr:row>
      <xdr:rowOff>146049</xdr:rowOff>
    </xdr:from>
    <xdr:ext cx="282578" cy="411278"/>
    <xdr:sp macro="" textlink="">
      <xdr:nvSpPr>
        <xdr:cNvPr id="82" name="TextBox 81">
          <a:extLst>
            <a:ext uri="{FF2B5EF4-FFF2-40B4-BE49-F238E27FC236}">
              <a16:creationId xmlns:a16="http://schemas.microsoft.com/office/drawing/2014/main" id="{FFAC3BD0-1CF0-FB4C-A23E-264667CAECBD}"/>
            </a:ext>
          </a:extLst>
        </xdr:cNvPr>
        <xdr:cNvSpPr txBox="1"/>
      </xdr:nvSpPr>
      <xdr:spPr>
        <a:xfrm>
          <a:off x="13144209" y="50927732"/>
          <a:ext cx="282578"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400"/>
            <a:t>0</a:t>
          </a:r>
        </a:p>
      </xdr:txBody>
    </xdr:sp>
    <xdr:clientData/>
  </xdr:oneCellAnchor>
  <xdr:twoCellAnchor>
    <xdr:from>
      <xdr:col>6</xdr:col>
      <xdr:colOff>1025769</xdr:colOff>
      <xdr:row>212</xdr:row>
      <xdr:rowOff>61058</xdr:rowOff>
    </xdr:from>
    <xdr:to>
      <xdr:col>7</xdr:col>
      <xdr:colOff>378558</xdr:colOff>
      <xdr:row>214</xdr:row>
      <xdr:rowOff>67164</xdr:rowOff>
    </xdr:to>
    <xdr:cxnSp macro="">
      <xdr:nvCxnSpPr>
        <xdr:cNvPr id="84" name="Straight Arrow Connector 83">
          <a:extLst>
            <a:ext uri="{FF2B5EF4-FFF2-40B4-BE49-F238E27FC236}">
              <a16:creationId xmlns:a16="http://schemas.microsoft.com/office/drawing/2014/main" id="{A8248C63-95AD-8C51-B428-1D1F8CDE8C2C}"/>
            </a:ext>
          </a:extLst>
        </xdr:cNvPr>
        <xdr:cNvCxnSpPr/>
      </xdr:nvCxnSpPr>
      <xdr:spPr>
        <a:xfrm flipH="1">
          <a:off x="9042644" y="50641250"/>
          <a:ext cx="696058" cy="40908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177800</xdr:colOff>
      <xdr:row>212</xdr:row>
      <xdr:rowOff>42496</xdr:rowOff>
    </xdr:from>
    <xdr:to>
      <xdr:col>8</xdr:col>
      <xdr:colOff>390525</xdr:colOff>
      <xdr:row>215</xdr:row>
      <xdr:rowOff>152400</xdr:rowOff>
    </xdr:to>
    <xdr:cxnSp macro="">
      <xdr:nvCxnSpPr>
        <xdr:cNvPr id="85" name="Straight Arrow Connector 84">
          <a:extLst>
            <a:ext uri="{FF2B5EF4-FFF2-40B4-BE49-F238E27FC236}">
              <a16:creationId xmlns:a16="http://schemas.microsoft.com/office/drawing/2014/main" id="{3D240A77-968A-2E45-BC81-7238C6146753}"/>
            </a:ext>
          </a:extLst>
        </xdr:cNvPr>
        <xdr:cNvCxnSpPr/>
      </xdr:nvCxnSpPr>
      <xdr:spPr>
        <a:xfrm flipH="1">
          <a:off x="10401300" y="50296396"/>
          <a:ext cx="212725" cy="71950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427403</xdr:colOff>
      <xdr:row>212</xdr:row>
      <xdr:rowOff>48846</xdr:rowOff>
    </xdr:from>
    <xdr:to>
      <xdr:col>9</xdr:col>
      <xdr:colOff>854807</xdr:colOff>
      <xdr:row>216</xdr:row>
      <xdr:rowOff>42740</xdr:rowOff>
    </xdr:to>
    <xdr:cxnSp macro="">
      <xdr:nvCxnSpPr>
        <xdr:cNvPr id="87" name="Straight Arrow Connector 86">
          <a:extLst>
            <a:ext uri="{FF2B5EF4-FFF2-40B4-BE49-F238E27FC236}">
              <a16:creationId xmlns:a16="http://schemas.microsoft.com/office/drawing/2014/main" id="{929BFFCC-8E08-C849-80EA-26EA8CFB7D97}"/>
            </a:ext>
          </a:extLst>
        </xdr:cNvPr>
        <xdr:cNvCxnSpPr/>
      </xdr:nvCxnSpPr>
      <xdr:spPr>
        <a:xfrm>
          <a:off x="11472740" y="50629038"/>
          <a:ext cx="427404" cy="79985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500674</xdr:colOff>
      <xdr:row>212</xdr:row>
      <xdr:rowOff>42741</xdr:rowOff>
    </xdr:from>
    <xdr:to>
      <xdr:col>11</xdr:col>
      <xdr:colOff>116010</xdr:colOff>
      <xdr:row>213</xdr:row>
      <xdr:rowOff>195384</xdr:rowOff>
    </xdr:to>
    <xdr:cxnSp macro="">
      <xdr:nvCxnSpPr>
        <xdr:cNvPr id="90" name="Straight Arrow Connector 89">
          <a:extLst>
            <a:ext uri="{FF2B5EF4-FFF2-40B4-BE49-F238E27FC236}">
              <a16:creationId xmlns:a16="http://schemas.microsoft.com/office/drawing/2014/main" id="{1F662DD2-8E14-2A48-9254-B80A2354CA81}"/>
            </a:ext>
          </a:extLst>
        </xdr:cNvPr>
        <xdr:cNvCxnSpPr/>
      </xdr:nvCxnSpPr>
      <xdr:spPr>
        <a:xfrm>
          <a:off x="12474087" y="50622933"/>
          <a:ext cx="567836" cy="35413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772161</xdr:colOff>
      <xdr:row>211</xdr:row>
      <xdr:rowOff>233681</xdr:rowOff>
    </xdr:from>
    <xdr:to>
      <xdr:col>14</xdr:col>
      <xdr:colOff>650241</xdr:colOff>
      <xdr:row>214</xdr:row>
      <xdr:rowOff>162561</xdr:rowOff>
    </xdr:to>
    <xdr:sp macro="" textlink="">
      <xdr:nvSpPr>
        <xdr:cNvPr id="93" name="Rectangle 92">
          <a:extLst>
            <a:ext uri="{FF2B5EF4-FFF2-40B4-BE49-F238E27FC236}">
              <a16:creationId xmlns:a16="http://schemas.microsoft.com/office/drawing/2014/main" id="{09EB672E-6720-1A4B-BC2A-0023DC67095C}"/>
            </a:ext>
          </a:extLst>
        </xdr:cNvPr>
        <xdr:cNvSpPr/>
      </xdr:nvSpPr>
      <xdr:spPr>
        <a:xfrm>
          <a:off x="13716001" y="50444401"/>
          <a:ext cx="2987040" cy="690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No</a:t>
          </a:r>
          <a:r>
            <a:rPr lang="en-US" sz="1100" b="1" baseline="0"/>
            <a:t> contribution from the electronic motion, due to the lack of T dependence in the partition function</a:t>
          </a:r>
          <a:endParaRPr lang="en-US" sz="1100" b="1"/>
        </a:p>
      </xdr:txBody>
    </xdr:sp>
    <xdr:clientData/>
  </xdr:twoCellAnchor>
  <xdr:twoCellAnchor>
    <xdr:from>
      <xdr:col>9</xdr:col>
      <xdr:colOff>425450</xdr:colOff>
      <xdr:row>232</xdr:row>
      <xdr:rowOff>88900</xdr:rowOff>
    </xdr:from>
    <xdr:to>
      <xdr:col>14</xdr:col>
      <xdr:colOff>863600</xdr:colOff>
      <xdr:row>245</xdr:row>
      <xdr:rowOff>25400</xdr:rowOff>
    </xdr:to>
    <xdr:graphicFrame macro="">
      <xdr:nvGraphicFramePr>
        <xdr:cNvPr id="95" name="Chart 94">
          <a:extLst>
            <a:ext uri="{FF2B5EF4-FFF2-40B4-BE49-F238E27FC236}">
              <a16:creationId xmlns:a16="http://schemas.microsoft.com/office/drawing/2014/main" id="{CC261C4D-CCD8-9AD7-E6F6-03C6D4035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452528</xdr:colOff>
      <xdr:row>252</xdr:row>
      <xdr:rowOff>131380</xdr:rowOff>
    </xdr:from>
    <xdr:to>
      <xdr:col>6</xdr:col>
      <xdr:colOff>613104</xdr:colOff>
      <xdr:row>252</xdr:row>
      <xdr:rowOff>145977</xdr:rowOff>
    </xdr:to>
    <xdr:cxnSp macro="">
      <xdr:nvCxnSpPr>
        <xdr:cNvPr id="106" name="Straight Arrow Connector 105">
          <a:extLst>
            <a:ext uri="{FF2B5EF4-FFF2-40B4-BE49-F238E27FC236}">
              <a16:creationId xmlns:a16="http://schemas.microsoft.com/office/drawing/2014/main" id="{ED0DD984-E0C8-6741-804C-1B040B480A93}"/>
            </a:ext>
          </a:extLst>
        </xdr:cNvPr>
        <xdr:cNvCxnSpPr/>
      </xdr:nvCxnSpPr>
      <xdr:spPr>
        <a:xfrm>
          <a:off x="6006661" y="49847647"/>
          <a:ext cx="2632843" cy="1459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1067016</xdr:colOff>
      <xdr:row>255</xdr:row>
      <xdr:rowOff>105207</xdr:rowOff>
    </xdr:from>
    <xdr:ext cx="1450440" cy="683845"/>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05EC4CD9-7D22-5B49-88A6-B24D3EAECF8C}"/>
                </a:ext>
              </a:extLst>
            </xdr:cNvPr>
            <xdr:cNvSpPr txBox="1"/>
          </xdr:nvSpPr>
          <xdr:spPr>
            <a:xfrm>
              <a:off x="7988140" y="60922426"/>
              <a:ext cx="1450440" cy="683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it-IT" sz="1400" b="0" i="1">
                        <a:latin typeface="Cambria Math" panose="02040503050406030204" pitchFamily="18" charset="0"/>
                      </a:rPr>
                      <m:t>𝑅</m:t>
                    </m:r>
                    <m:r>
                      <a:rPr lang="it-IT" sz="1400" b="0" i="1">
                        <a:latin typeface="Cambria Math" panose="02040503050406030204" pitchFamily="18" charset="0"/>
                      </a:rPr>
                      <m:t> </m:t>
                    </m:r>
                    <m:r>
                      <a:rPr lang="it-IT" sz="1400" b="0" i="1">
                        <a:latin typeface="Cambria Math" panose="02040503050406030204" pitchFamily="18" charset="0"/>
                      </a:rPr>
                      <m:t>𝑙𝑛</m:t>
                    </m:r>
                    <m:d>
                      <m:dPr>
                        <m:ctrlPr>
                          <a:rPr lang="it-IT" sz="1400" b="0" i="1">
                            <a:latin typeface="Cambria Math" panose="02040503050406030204" pitchFamily="18" charset="0"/>
                          </a:rPr>
                        </m:ctrlPr>
                      </m:dPr>
                      <m:e>
                        <m:f>
                          <m:fPr>
                            <m:ctrlPr>
                              <a:rPr lang="it-IT" sz="1400" b="0" i="1">
                                <a:latin typeface="Cambria Math" panose="02040503050406030204" pitchFamily="18" charset="0"/>
                              </a:rPr>
                            </m:ctrlPr>
                          </m:fPr>
                          <m:num>
                            <m:acc>
                              <m:accPr>
                                <m:chr m:val="̃"/>
                                <m:ctrlPr>
                                  <a:rPr lang="it-IT" sz="1400" b="0" i="1">
                                    <a:latin typeface="Cambria Math" panose="02040503050406030204" pitchFamily="18" charset="0"/>
                                  </a:rPr>
                                </m:ctrlPr>
                              </m:accPr>
                              <m:e>
                                <m:r>
                                  <a:rPr lang="it-IT" sz="1400" b="0" i="1">
                                    <a:latin typeface="Cambria Math" panose="02040503050406030204" pitchFamily="18" charset="0"/>
                                  </a:rPr>
                                  <m:t>𝑉</m:t>
                                </m:r>
                              </m:e>
                            </m:acc>
                          </m:num>
                          <m:den>
                            <m:sSub>
                              <m:sSubPr>
                                <m:ctrlPr>
                                  <a:rPr lang="it-IT" sz="1400" b="0" i="1">
                                    <a:latin typeface="Cambria Math" panose="02040503050406030204" pitchFamily="18" charset="0"/>
                                  </a:rPr>
                                </m:ctrlPr>
                              </m:sSubPr>
                              <m:e>
                                <m:r>
                                  <a:rPr lang="it-IT" sz="1400" b="0" i="1">
                                    <a:latin typeface="Cambria Math" panose="02040503050406030204" pitchFamily="18" charset="0"/>
                                  </a:rPr>
                                  <m:t>𝑁</m:t>
                                </m:r>
                              </m:e>
                              <m:sub>
                                <m:r>
                                  <a:rPr lang="it-IT" sz="1400" b="0" i="1">
                                    <a:latin typeface="Cambria Math" panose="02040503050406030204" pitchFamily="18" charset="0"/>
                                  </a:rPr>
                                  <m:t>𝑎𝑣𝑜</m:t>
                                </m:r>
                              </m:sub>
                            </m:sSub>
                          </m:den>
                        </m:f>
                        <m:sSup>
                          <m:sSupPr>
                            <m:ctrlPr>
                              <a:rPr lang="it-IT" sz="1400" b="0" i="1">
                                <a:latin typeface="Cambria Math" panose="02040503050406030204" pitchFamily="18" charset="0"/>
                              </a:rPr>
                            </m:ctrlPr>
                          </m:sSupPr>
                          <m:e>
                            <m:r>
                              <a:rPr lang="it-IT" sz="1400" b="0" i="1">
                                <a:latin typeface="Cambria Math" panose="02040503050406030204" pitchFamily="18" charset="0"/>
                              </a:rPr>
                              <m:t>𝑒</m:t>
                            </m:r>
                          </m:e>
                          <m:sup>
                            <m:f>
                              <m:fPr>
                                <m:ctrlPr>
                                  <a:rPr lang="it-IT" sz="1400" b="0" i="1">
                                    <a:latin typeface="Cambria Math" panose="02040503050406030204" pitchFamily="18" charset="0"/>
                                  </a:rPr>
                                </m:ctrlPr>
                              </m:fPr>
                              <m:num>
                                <m:r>
                                  <a:rPr lang="it-IT" sz="1400" b="0" i="1">
                                    <a:latin typeface="Cambria Math" panose="02040503050406030204" pitchFamily="18" charset="0"/>
                                  </a:rPr>
                                  <m:t>5</m:t>
                                </m:r>
                              </m:num>
                              <m:den>
                                <m:r>
                                  <a:rPr lang="it-IT" sz="1400" b="0" i="1">
                                    <a:latin typeface="Cambria Math" panose="02040503050406030204" pitchFamily="18" charset="0"/>
                                  </a:rPr>
                                  <m:t>2</m:t>
                                </m:r>
                              </m:den>
                            </m:f>
                          </m:sup>
                        </m:sSup>
                        <m:r>
                          <a:rPr lang="it-IT" sz="1400" b="0" i="1">
                            <a:latin typeface="Cambria Math" panose="02040503050406030204" pitchFamily="18" charset="0"/>
                          </a:rPr>
                          <m:t> </m:t>
                        </m:r>
                        <m:r>
                          <a:rPr lang="it-IT" sz="1400" b="0" i="1">
                            <a:latin typeface="Cambria Math" panose="02040503050406030204" pitchFamily="18" charset="0"/>
                          </a:rPr>
                          <m:t>𝐴</m:t>
                        </m:r>
                      </m:e>
                    </m:d>
                  </m:oMath>
                </m:oMathPara>
              </a14:m>
              <a:endParaRPr lang="en-US" sz="1400"/>
            </a:p>
          </xdr:txBody>
        </xdr:sp>
      </mc:Choice>
      <mc:Fallback xmlns="">
        <xdr:sp macro="" textlink="">
          <xdr:nvSpPr>
            <xdr:cNvPr id="107" name="TextBox 106">
              <a:extLst>
                <a:ext uri="{FF2B5EF4-FFF2-40B4-BE49-F238E27FC236}">
                  <a16:creationId xmlns:a16="http://schemas.microsoft.com/office/drawing/2014/main" id="{05EC4CD9-7D22-5B49-88A6-B24D3EAECF8C}"/>
                </a:ext>
              </a:extLst>
            </xdr:cNvPr>
            <xdr:cNvSpPr txBox="1"/>
          </xdr:nvSpPr>
          <xdr:spPr>
            <a:xfrm>
              <a:off x="7988140" y="60922426"/>
              <a:ext cx="1450440" cy="683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400" b="0" i="0">
                  <a:latin typeface="Cambria Math" panose="02040503050406030204" pitchFamily="18" charset="0"/>
                </a:rPr>
                <a:t>𝑅 𝑙𝑛(𝑉 ̃/𝑁_𝑎𝑣𝑜  𝑒^(5/2)  𝐴)</a:t>
              </a:r>
              <a:endParaRPr lang="en-US" sz="1400"/>
            </a:p>
          </xdr:txBody>
        </xdr:sp>
      </mc:Fallback>
    </mc:AlternateContent>
    <xdr:clientData/>
  </xdr:oneCellAnchor>
  <xdr:oneCellAnchor>
    <xdr:from>
      <xdr:col>6</xdr:col>
      <xdr:colOff>970337</xdr:colOff>
      <xdr:row>257</xdr:row>
      <xdr:rowOff>214150</xdr:rowOff>
    </xdr:from>
    <xdr:ext cx="3071931" cy="82990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656C150C-5C35-DE4B-A61E-D5194C67AAFC}"/>
                </a:ext>
              </a:extLst>
            </xdr:cNvPr>
            <xdr:cNvSpPr txBox="1"/>
          </xdr:nvSpPr>
          <xdr:spPr>
            <a:xfrm>
              <a:off x="8981106" y="61489771"/>
              <a:ext cx="3071931" cy="829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400" b="0" i="1">
                        <a:latin typeface="Cambria Math" panose="02040503050406030204" pitchFamily="18" charset="0"/>
                      </a:rPr>
                      <m:t>𝑅</m:t>
                    </m:r>
                    <m:nary>
                      <m:naryPr>
                        <m:chr m:val="∑"/>
                        <m:supHide m:val="on"/>
                        <m:ctrlPr>
                          <a:rPr lang="it-IT" sz="1400" b="0" i="1">
                            <a:latin typeface="Cambria Math" panose="02040503050406030204" pitchFamily="18" charset="0"/>
                          </a:rPr>
                        </m:ctrlPr>
                      </m:naryPr>
                      <m:sub>
                        <m:r>
                          <m:rPr>
                            <m:brk m:alnAt="7"/>
                          </m:rPr>
                          <a:rPr lang="it-IT" sz="1400" b="0" i="1">
                            <a:latin typeface="Cambria Math" panose="02040503050406030204" pitchFamily="18" charset="0"/>
                          </a:rPr>
                          <m:t>𝑖</m:t>
                        </m:r>
                      </m:sub>
                      <m:sup/>
                      <m:e>
                        <m:d>
                          <m:dPr>
                            <m:ctrlPr>
                              <a:rPr lang="it-IT" sz="1400" b="0" i="1">
                                <a:latin typeface="Cambria Math" panose="02040503050406030204" pitchFamily="18" charset="0"/>
                              </a:rPr>
                            </m:ctrlPr>
                          </m:dPr>
                          <m:e>
                            <m:f>
                              <m:fPr>
                                <m:ctrlPr>
                                  <a:rPr lang="it-IT" sz="1400" b="0" i="1">
                                    <a:latin typeface="Cambria Math" panose="02040503050406030204" pitchFamily="18" charset="0"/>
                                  </a:rPr>
                                </m:ctrlPr>
                              </m:fPr>
                              <m:num>
                                <m:f>
                                  <m:fPr>
                                    <m:ctrlPr>
                                      <a:rPr lang="it-IT" sz="1400" b="0" i="1">
                                        <a:latin typeface="Cambria Math" panose="02040503050406030204" pitchFamily="18" charset="0"/>
                                      </a:rPr>
                                    </m:ctrlPr>
                                  </m:fPr>
                                  <m:num>
                                    <m:sSub>
                                      <m:sSubPr>
                                        <m:ctrlPr>
                                          <a:rPr lang="it-IT" sz="1400" b="0" i="1">
                                            <a:latin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Sub>
                                  </m:num>
                                  <m:den>
                                    <m:r>
                                      <a:rPr lang="it-IT" sz="1400" b="0" i="1">
                                        <a:latin typeface="Cambria Math" panose="02040503050406030204" pitchFamily="18" charset="0"/>
                                      </a:rPr>
                                      <m:t>𝑇</m:t>
                                    </m:r>
                                  </m:den>
                                </m:f>
                              </m:num>
                              <m:den>
                                <m:d>
                                  <m:dPr>
                                    <m:ctrlPr>
                                      <a:rPr lang="it-IT" sz="1400" b="0" i="1">
                                        <a:latin typeface="Cambria Math" panose="02040503050406030204" pitchFamily="18" charset="0"/>
                                      </a:rPr>
                                    </m:ctrlPr>
                                  </m:dPr>
                                  <m:e>
                                    <m:sSup>
                                      <m:sSupPr>
                                        <m:ctrlPr>
                                          <a:rPr lang="it-IT" sz="1400" b="0" i="1">
                                            <a:latin typeface="Cambria Math" panose="02040503050406030204" pitchFamily="18" charset="0"/>
                                          </a:rPr>
                                        </m:ctrlPr>
                                      </m:sSupPr>
                                      <m:e>
                                        <m:r>
                                          <a:rPr lang="it-IT" sz="1400" b="0" i="1">
                                            <a:latin typeface="Cambria Math" panose="02040503050406030204" pitchFamily="18" charset="0"/>
                                          </a:rPr>
                                          <m:t>𝑒</m:t>
                                        </m:r>
                                      </m:e>
                                      <m:sup>
                                        <m:f>
                                          <m:fPr>
                                            <m:ctrlPr>
                                              <a:rPr lang="it-IT" sz="1400" b="0" i="1">
                                                <a:latin typeface="Cambria Math" panose="02040503050406030204" pitchFamily="18" charset="0"/>
                                              </a:rPr>
                                            </m:ctrlPr>
                                          </m:fPr>
                                          <m:num>
                                            <m:sSub>
                                              <m:sSubPr>
                                                <m:ctrlPr>
                                                  <a:rPr lang="it-IT" sz="1400" b="0" i="1">
                                                    <a:latin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Sub>
                                          </m:num>
                                          <m:den>
                                            <m:r>
                                              <a:rPr lang="it-IT" sz="1400" b="0" i="1">
                                                <a:latin typeface="Cambria Math" panose="02040503050406030204" pitchFamily="18" charset="0"/>
                                              </a:rPr>
                                              <m:t>𝑇</m:t>
                                            </m:r>
                                          </m:den>
                                        </m:f>
                                      </m:sup>
                                    </m:sSup>
                                    <m:r>
                                      <a:rPr lang="it-IT" sz="1400" b="0" i="1">
                                        <a:latin typeface="Cambria Math" panose="02040503050406030204" pitchFamily="18" charset="0"/>
                                      </a:rPr>
                                      <m:t>−1</m:t>
                                    </m:r>
                                  </m:e>
                                </m:d>
                              </m:den>
                            </m:f>
                            <m:r>
                              <a:rPr lang="it-IT" sz="1400" b="0" i="1">
                                <a:latin typeface="Cambria Math" panose="02040503050406030204" pitchFamily="18" charset="0"/>
                              </a:rPr>
                              <m:t>−</m:t>
                            </m:r>
                            <m:r>
                              <a:rPr lang="it-IT" sz="1400" b="0" i="1">
                                <a:latin typeface="Cambria Math" panose="02040503050406030204" pitchFamily="18" charset="0"/>
                              </a:rPr>
                              <m:t>𝑙𝑛</m:t>
                            </m:r>
                            <m:d>
                              <m:dPr>
                                <m:ctrlPr>
                                  <a:rPr lang="it-IT" sz="1400" b="0" i="1">
                                    <a:latin typeface="Cambria Math" panose="02040503050406030204" pitchFamily="18" charset="0"/>
                                  </a:rPr>
                                </m:ctrlPr>
                              </m:dPr>
                              <m:e>
                                <m:r>
                                  <a:rPr lang="it-IT" sz="1400" b="0" i="1">
                                    <a:latin typeface="Cambria Math" panose="02040503050406030204" pitchFamily="18" charset="0"/>
                                  </a:rPr>
                                  <m:t>1−</m:t>
                                </m:r>
                                <m:sSup>
                                  <m:sSupPr>
                                    <m:ctrlPr>
                                      <a:rPr lang="it-IT" sz="1400" b="0" i="1">
                                        <a:latin typeface="Cambria Math" panose="02040503050406030204" pitchFamily="18" charset="0"/>
                                      </a:rPr>
                                    </m:ctrlPr>
                                  </m:sSupPr>
                                  <m:e>
                                    <m:r>
                                      <a:rPr lang="it-IT" sz="1400" b="0" i="1">
                                        <a:latin typeface="Cambria Math" panose="02040503050406030204" pitchFamily="18" charset="0"/>
                                      </a:rPr>
                                      <m:t>𝑒</m:t>
                                    </m:r>
                                  </m:e>
                                  <m:sup>
                                    <m:r>
                                      <a:rPr lang="it-IT" sz="1400" b="0" i="1">
                                        <a:latin typeface="Cambria Math" panose="02040503050406030204" pitchFamily="18" charset="0"/>
                                      </a:rPr>
                                      <m:t>−</m:t>
                                    </m:r>
                                    <m:f>
                                      <m:fPr>
                                        <m:ctrlPr>
                                          <a:rPr lang="it-IT" sz="1400" b="0" i="1">
                                            <a:latin typeface="Cambria Math" panose="02040503050406030204" pitchFamily="18" charset="0"/>
                                          </a:rPr>
                                        </m:ctrlPr>
                                      </m:fPr>
                                      <m:num>
                                        <m:sSub>
                                          <m:sSubPr>
                                            <m:ctrlPr>
                                              <a:rPr lang="it-IT" sz="1400" b="0" i="1">
                                                <a:latin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rPr>
                                              <m:t>𝑣𝑖𝑏</m:t>
                                            </m:r>
                                            <m:r>
                                              <a:rPr lang="it-IT" sz="1400" b="0" i="1">
                                                <a:latin typeface="Cambria Math" panose="02040503050406030204" pitchFamily="18" charset="0"/>
                                              </a:rPr>
                                              <m:t>,</m:t>
                                            </m:r>
                                            <m:r>
                                              <a:rPr lang="it-IT" sz="1400" b="0" i="1">
                                                <a:latin typeface="Cambria Math" panose="02040503050406030204" pitchFamily="18" charset="0"/>
                                              </a:rPr>
                                              <m:t>𝑖</m:t>
                                            </m:r>
                                          </m:sub>
                                        </m:sSub>
                                      </m:num>
                                      <m:den>
                                        <m:r>
                                          <a:rPr lang="it-IT" sz="1400" b="0" i="1">
                                            <a:latin typeface="Cambria Math" panose="02040503050406030204" pitchFamily="18" charset="0"/>
                                          </a:rPr>
                                          <m:t>𝑇</m:t>
                                        </m:r>
                                      </m:den>
                                    </m:f>
                                  </m:sup>
                                </m:sSup>
                              </m:e>
                            </m:d>
                          </m:e>
                        </m:d>
                      </m:e>
                    </m:nary>
                  </m:oMath>
                </m:oMathPara>
              </a14:m>
              <a:endParaRPr lang="en-US" sz="1400"/>
            </a:p>
          </xdr:txBody>
        </xdr:sp>
      </mc:Choice>
      <mc:Fallback xmlns="">
        <xdr:sp macro="" textlink="">
          <xdr:nvSpPr>
            <xdr:cNvPr id="108" name="TextBox 107">
              <a:extLst>
                <a:ext uri="{FF2B5EF4-FFF2-40B4-BE49-F238E27FC236}">
                  <a16:creationId xmlns:a16="http://schemas.microsoft.com/office/drawing/2014/main" id="{656C150C-5C35-DE4B-A61E-D5194C67AAFC}"/>
                </a:ext>
              </a:extLst>
            </xdr:cNvPr>
            <xdr:cNvSpPr txBox="1"/>
          </xdr:nvSpPr>
          <xdr:spPr>
            <a:xfrm>
              <a:off x="8981106" y="61489771"/>
              <a:ext cx="3071931" cy="829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400" b="0" i="0">
                  <a:latin typeface="Cambria Math" panose="02040503050406030204" pitchFamily="18" charset="0"/>
                </a:rPr>
                <a:t>𝑅∑_𝑖▒((</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𝑣𝑖𝑏,𝑖)/𝑇)/((𝑒^(</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𝑣𝑖𝑏,𝑖)/𝑇)−1) )−𝑙𝑛(1−𝑒^(−</a:t>
              </a:r>
              <a:r>
                <a:rPr lang="it-IT" sz="1400" b="0" i="0">
                  <a:latin typeface="Cambria Math" panose="02040503050406030204" pitchFamily="18" charset="0"/>
                  <a:ea typeface="Cambria Math" panose="02040503050406030204" pitchFamily="18" charset="0"/>
                </a:rPr>
                <a:t>𝜗_(</a:t>
              </a:r>
              <a:r>
                <a:rPr lang="it-IT" sz="1400" b="0" i="0">
                  <a:latin typeface="Cambria Math" panose="02040503050406030204" pitchFamily="18" charset="0"/>
                </a:rPr>
                <a:t>𝑣𝑖𝑏,𝑖)/𝑇) )) </a:t>
              </a:r>
              <a:endParaRPr lang="en-US" sz="1400"/>
            </a:p>
          </xdr:txBody>
        </xdr:sp>
      </mc:Fallback>
    </mc:AlternateContent>
    <xdr:clientData/>
  </xdr:oneCellAnchor>
  <xdr:oneCellAnchor>
    <xdr:from>
      <xdr:col>10</xdr:col>
      <xdr:colOff>65895</xdr:colOff>
      <xdr:row>256</xdr:row>
      <xdr:rowOff>195140</xdr:rowOff>
    </xdr:from>
    <xdr:ext cx="1219133" cy="556340"/>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E50C2797-8BD4-074E-B099-D1B7379FE19F}"/>
                </a:ext>
              </a:extLst>
            </xdr:cNvPr>
            <xdr:cNvSpPr txBox="1"/>
          </xdr:nvSpPr>
          <xdr:spPr>
            <a:xfrm>
              <a:off x="12232345" y="61215258"/>
              <a:ext cx="1219133" cy="556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it-IT" sz="1400" b="0" i="1">
                        <a:latin typeface="Cambria Math" panose="02040503050406030204" pitchFamily="18" charset="0"/>
                      </a:rPr>
                      <m:t>𝑅𝑙𝑛</m:t>
                    </m:r>
                    <m:d>
                      <m:dPr>
                        <m:ctrlPr>
                          <a:rPr lang="it-IT" sz="1400" b="0" i="1">
                            <a:latin typeface="Cambria Math" panose="02040503050406030204" pitchFamily="18" charset="0"/>
                          </a:rPr>
                        </m:ctrlPr>
                      </m:dPr>
                      <m:e>
                        <m:f>
                          <m:fPr>
                            <m:ctrlPr>
                              <a:rPr lang="it-IT" sz="1400" b="0" i="1">
                                <a:latin typeface="Cambria Math" panose="02040503050406030204" pitchFamily="18" charset="0"/>
                              </a:rPr>
                            </m:ctrlPr>
                          </m:fPr>
                          <m:num>
                            <m:r>
                              <a:rPr lang="it-IT" sz="1400" b="0" i="1">
                                <a:latin typeface="Cambria Math" panose="02040503050406030204" pitchFamily="18" charset="0"/>
                              </a:rPr>
                              <m:t>𝑒𝑇</m:t>
                            </m:r>
                          </m:num>
                          <m:den>
                            <m:r>
                              <a:rPr lang="it-IT" sz="1400" b="0" i="1">
                                <a:latin typeface="Cambria Math" panose="02040503050406030204" pitchFamily="18" charset="0"/>
                                <a:ea typeface="Cambria Math" panose="02040503050406030204" pitchFamily="18" charset="0"/>
                              </a:rPr>
                              <m:t>𝜎</m:t>
                            </m:r>
                            <m:r>
                              <a:rPr lang="it-IT" sz="1400" b="0" i="1">
                                <a:latin typeface="Cambria Math" panose="02040503050406030204" pitchFamily="18" charset="0"/>
                                <a:ea typeface="Cambria Math" panose="02040503050406030204" pitchFamily="18" charset="0"/>
                              </a:rPr>
                              <m:t> </m:t>
                            </m:r>
                            <m:sSub>
                              <m:sSubPr>
                                <m:ctrlPr>
                                  <a:rPr lang="it-IT" sz="1400" b="0" i="1">
                                    <a:latin typeface="Cambria Math" panose="02040503050406030204" pitchFamily="18" charset="0"/>
                                    <a:ea typeface="Cambria Math" panose="02040503050406030204" pitchFamily="18" charset="0"/>
                                  </a:rPr>
                                </m:ctrlPr>
                              </m:sSubPr>
                              <m:e>
                                <m:r>
                                  <a:rPr lang="it-IT" sz="1400" b="0" i="1">
                                    <a:latin typeface="Cambria Math" panose="02040503050406030204" pitchFamily="18" charset="0"/>
                                    <a:ea typeface="Cambria Math" panose="02040503050406030204" pitchFamily="18" charset="0"/>
                                  </a:rPr>
                                  <m:t>𝜗</m:t>
                                </m:r>
                              </m:e>
                              <m:sub>
                                <m:r>
                                  <a:rPr lang="it-IT" sz="1400" b="0" i="1">
                                    <a:latin typeface="Cambria Math" panose="02040503050406030204" pitchFamily="18" charset="0"/>
                                    <a:ea typeface="Cambria Math" panose="02040503050406030204" pitchFamily="18" charset="0"/>
                                  </a:rPr>
                                  <m:t>𝑟𝑜𝑡</m:t>
                                </m:r>
                              </m:sub>
                            </m:sSub>
                          </m:den>
                        </m:f>
                      </m:e>
                    </m:d>
                  </m:oMath>
                </m:oMathPara>
              </a14:m>
              <a:endParaRPr lang="en-US" sz="1400"/>
            </a:p>
          </xdr:txBody>
        </xdr:sp>
      </mc:Choice>
      <mc:Fallback xmlns="">
        <xdr:sp macro="" textlink="">
          <xdr:nvSpPr>
            <xdr:cNvPr id="109" name="TextBox 108">
              <a:extLst>
                <a:ext uri="{FF2B5EF4-FFF2-40B4-BE49-F238E27FC236}">
                  <a16:creationId xmlns:a16="http://schemas.microsoft.com/office/drawing/2014/main" id="{E50C2797-8BD4-074E-B099-D1B7379FE19F}"/>
                </a:ext>
              </a:extLst>
            </xdr:cNvPr>
            <xdr:cNvSpPr txBox="1"/>
          </xdr:nvSpPr>
          <xdr:spPr>
            <a:xfrm>
              <a:off x="12232345" y="61215258"/>
              <a:ext cx="1219133" cy="556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400" b="0" i="0">
                  <a:latin typeface="Cambria Math" panose="02040503050406030204" pitchFamily="18" charset="0"/>
                </a:rPr>
                <a:t>𝑅𝑙𝑛(𝑒𝑇/(</a:t>
              </a:r>
              <a:r>
                <a:rPr lang="it-IT" sz="1400" b="0" i="0">
                  <a:latin typeface="Cambria Math" panose="02040503050406030204" pitchFamily="18" charset="0"/>
                  <a:ea typeface="Cambria Math" panose="02040503050406030204" pitchFamily="18" charset="0"/>
                </a:rPr>
                <a:t>𝜎 𝜗_𝑟𝑜𝑡 ))</a:t>
              </a:r>
              <a:endParaRPr lang="en-US" sz="1400"/>
            </a:p>
          </xdr:txBody>
        </xdr:sp>
      </mc:Fallback>
    </mc:AlternateContent>
    <xdr:clientData/>
  </xdr:oneCellAnchor>
  <xdr:oneCellAnchor>
    <xdr:from>
      <xdr:col>11</xdr:col>
      <xdr:colOff>218296</xdr:colOff>
      <xdr:row>254</xdr:row>
      <xdr:rowOff>146049</xdr:rowOff>
    </xdr:from>
    <xdr:ext cx="1645372" cy="411278"/>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F613D8AC-729B-F04C-80B8-D41812D9E83A}"/>
                </a:ext>
              </a:extLst>
            </xdr:cNvPr>
            <xdr:cNvSpPr txBox="1"/>
          </xdr:nvSpPr>
          <xdr:spPr>
            <a:xfrm>
              <a:off x="13474391" y="60760369"/>
              <a:ext cx="1645372"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it-IT" sz="1400" b="0" i="1">
                        <a:latin typeface="Cambria Math" panose="02040503050406030204" pitchFamily="18" charset="0"/>
                      </a:rPr>
                      <m:t>𝑅</m:t>
                    </m:r>
                    <m:r>
                      <a:rPr lang="it-IT" sz="1400" b="0" i="1">
                        <a:latin typeface="Cambria Math" panose="02040503050406030204" pitchFamily="18" charset="0"/>
                      </a:rPr>
                      <m:t> </m:t>
                    </m:r>
                    <m:r>
                      <m:rPr>
                        <m:sty m:val="p"/>
                      </m:rPr>
                      <a:rPr lang="it-IT" sz="1400" b="0" i="0">
                        <a:latin typeface="Cambria Math" panose="02040503050406030204" pitchFamily="18" charset="0"/>
                      </a:rPr>
                      <m:t>ln</m:t>
                    </m:r>
                    <m:r>
                      <a:rPr lang="it-IT" sz="1400" b="0" i="0">
                        <a:latin typeface="Cambria Math" panose="02040503050406030204" pitchFamily="18" charset="0"/>
                      </a:rPr>
                      <m:t>⁡(</m:t>
                    </m:r>
                    <m:sSub>
                      <m:sSubPr>
                        <m:ctrlPr>
                          <a:rPr lang="it-IT" sz="1400" b="0" i="1">
                            <a:latin typeface="Cambria Math" panose="02040503050406030204" pitchFamily="18" charset="0"/>
                          </a:rPr>
                        </m:ctrlPr>
                      </m:sSubPr>
                      <m:e>
                        <m:r>
                          <a:rPr lang="it-IT" sz="1400" b="0" i="1">
                            <a:latin typeface="Cambria Math" panose="02040503050406030204" pitchFamily="18" charset="0"/>
                          </a:rPr>
                          <m:t>𝑄</m:t>
                        </m:r>
                      </m:e>
                      <m:sub>
                        <m:r>
                          <a:rPr lang="it-IT" sz="1400" b="0" i="1">
                            <a:latin typeface="Cambria Math" panose="02040503050406030204" pitchFamily="18" charset="0"/>
                          </a:rPr>
                          <m:t>𝑒𝑙</m:t>
                        </m:r>
                      </m:sub>
                    </m:sSub>
                    <m:r>
                      <a:rPr lang="it-IT" sz="1400" b="0" i="0">
                        <a:latin typeface="Cambria Math" panose="02040503050406030204" pitchFamily="18" charset="0"/>
                      </a:rPr>
                      <m:t>)</m:t>
                    </m:r>
                  </m:oMath>
                </m:oMathPara>
              </a14:m>
              <a:endParaRPr lang="en-US" sz="1400"/>
            </a:p>
          </xdr:txBody>
        </xdr:sp>
      </mc:Choice>
      <mc:Fallback xmlns="">
        <xdr:sp macro="" textlink="">
          <xdr:nvSpPr>
            <xdr:cNvPr id="110" name="TextBox 109">
              <a:extLst>
                <a:ext uri="{FF2B5EF4-FFF2-40B4-BE49-F238E27FC236}">
                  <a16:creationId xmlns:a16="http://schemas.microsoft.com/office/drawing/2014/main" id="{F613D8AC-729B-F04C-80B8-D41812D9E83A}"/>
                </a:ext>
              </a:extLst>
            </xdr:cNvPr>
            <xdr:cNvSpPr txBox="1"/>
          </xdr:nvSpPr>
          <xdr:spPr>
            <a:xfrm>
              <a:off x="13474391" y="60760369"/>
              <a:ext cx="1645372" cy="4112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400" b="0" i="0">
                  <a:latin typeface="Cambria Math" panose="02040503050406030204" pitchFamily="18" charset="0"/>
                </a:rPr>
                <a:t>𝑅 ln⁡(𝑄_𝑒𝑙)</a:t>
              </a:r>
              <a:endParaRPr lang="en-US" sz="1400"/>
            </a:p>
          </xdr:txBody>
        </xdr:sp>
      </mc:Fallback>
    </mc:AlternateContent>
    <xdr:clientData/>
  </xdr:oneCellAnchor>
  <xdr:twoCellAnchor>
    <xdr:from>
      <xdr:col>6</xdr:col>
      <xdr:colOff>1025769</xdr:colOff>
      <xdr:row>253</xdr:row>
      <xdr:rowOff>61058</xdr:rowOff>
    </xdr:from>
    <xdr:to>
      <xdr:col>7</xdr:col>
      <xdr:colOff>378558</xdr:colOff>
      <xdr:row>255</xdr:row>
      <xdr:rowOff>67164</xdr:rowOff>
    </xdr:to>
    <xdr:cxnSp macro="">
      <xdr:nvCxnSpPr>
        <xdr:cNvPr id="111" name="Straight Arrow Connector 110">
          <a:extLst>
            <a:ext uri="{FF2B5EF4-FFF2-40B4-BE49-F238E27FC236}">
              <a16:creationId xmlns:a16="http://schemas.microsoft.com/office/drawing/2014/main" id="{671C3A9E-A52B-F947-B122-D1FC02E704F4}"/>
            </a:ext>
          </a:extLst>
        </xdr:cNvPr>
        <xdr:cNvCxnSpPr/>
      </xdr:nvCxnSpPr>
      <xdr:spPr>
        <a:xfrm flipH="1">
          <a:off x="9052169" y="50132925"/>
          <a:ext cx="707456" cy="4125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105207</xdr:colOff>
      <xdr:row>253</xdr:row>
      <xdr:rowOff>42496</xdr:rowOff>
    </xdr:from>
    <xdr:to>
      <xdr:col>8</xdr:col>
      <xdr:colOff>390525</xdr:colOff>
      <xdr:row>257</xdr:row>
      <xdr:rowOff>195385</xdr:rowOff>
    </xdr:to>
    <xdr:cxnSp macro="">
      <xdr:nvCxnSpPr>
        <xdr:cNvPr id="112" name="Straight Arrow Connector 111">
          <a:extLst>
            <a:ext uri="{FF2B5EF4-FFF2-40B4-BE49-F238E27FC236}">
              <a16:creationId xmlns:a16="http://schemas.microsoft.com/office/drawing/2014/main" id="{92B7CCCD-B87F-A043-A21D-BC2FE06E9189}"/>
            </a:ext>
          </a:extLst>
        </xdr:cNvPr>
        <xdr:cNvCxnSpPr/>
      </xdr:nvCxnSpPr>
      <xdr:spPr>
        <a:xfrm flipH="1">
          <a:off x="10325325" y="60453916"/>
          <a:ext cx="285318" cy="101709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427403</xdr:colOff>
      <xdr:row>253</xdr:row>
      <xdr:rowOff>48846</xdr:rowOff>
    </xdr:from>
    <xdr:to>
      <xdr:col>10</xdr:col>
      <xdr:colOff>172840</xdr:colOff>
      <xdr:row>256</xdr:row>
      <xdr:rowOff>157811</xdr:rowOff>
    </xdr:to>
    <xdr:cxnSp macro="">
      <xdr:nvCxnSpPr>
        <xdr:cNvPr id="113" name="Straight Arrow Connector 112">
          <a:extLst>
            <a:ext uri="{FF2B5EF4-FFF2-40B4-BE49-F238E27FC236}">
              <a16:creationId xmlns:a16="http://schemas.microsoft.com/office/drawing/2014/main" id="{942D57B3-FA86-CF44-B9CC-10E7A58EE3EC}"/>
            </a:ext>
          </a:extLst>
        </xdr:cNvPr>
        <xdr:cNvCxnSpPr/>
      </xdr:nvCxnSpPr>
      <xdr:spPr>
        <a:xfrm>
          <a:off x="11474149" y="60460266"/>
          <a:ext cx="865141" cy="71766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500674</xdr:colOff>
      <xdr:row>253</xdr:row>
      <xdr:rowOff>42741</xdr:rowOff>
    </xdr:from>
    <xdr:to>
      <xdr:col>11</xdr:col>
      <xdr:colOff>548580</xdr:colOff>
      <xdr:row>254</xdr:row>
      <xdr:rowOff>187869</xdr:rowOff>
    </xdr:to>
    <xdr:cxnSp macro="">
      <xdr:nvCxnSpPr>
        <xdr:cNvPr id="114" name="Straight Arrow Connector 113">
          <a:extLst>
            <a:ext uri="{FF2B5EF4-FFF2-40B4-BE49-F238E27FC236}">
              <a16:creationId xmlns:a16="http://schemas.microsoft.com/office/drawing/2014/main" id="{E95B03C0-9571-3048-B1F8-4E34E10F302C}"/>
            </a:ext>
          </a:extLst>
        </xdr:cNvPr>
        <xdr:cNvCxnSpPr/>
      </xdr:nvCxnSpPr>
      <xdr:spPr>
        <a:xfrm>
          <a:off x="12667124" y="60454161"/>
          <a:ext cx="1137551" cy="34802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372532</xdr:colOff>
      <xdr:row>253</xdr:row>
      <xdr:rowOff>101601</xdr:rowOff>
    </xdr:from>
    <xdr:ext cx="1303867" cy="305725"/>
    <mc:AlternateContent xmlns:mc="http://schemas.openxmlformats.org/markup-compatibility/2006" xmlns:a14="http://schemas.microsoft.com/office/drawing/2010/main">
      <mc:Choice Requires="a14">
        <xdr:sp macro="" textlink="">
          <xdr:nvSpPr>
            <xdr:cNvPr id="121" name="CasellaDiTesto 25">
              <a:extLst>
                <a:ext uri="{FF2B5EF4-FFF2-40B4-BE49-F238E27FC236}">
                  <a16:creationId xmlns:a16="http://schemas.microsoft.com/office/drawing/2014/main" id="{98E13531-24CB-CD49-A632-EF49BD2AA275}"/>
                </a:ext>
              </a:extLst>
            </xdr:cNvPr>
            <xdr:cNvSpPr txBox="1"/>
          </xdr:nvSpPr>
          <xdr:spPr>
            <a:xfrm>
              <a:off x="7298265" y="60909201"/>
              <a:ext cx="1303867" cy="30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it-IT" sz="1050" b="1" i="1">
                            <a:latin typeface="Cambria Math" panose="02040503050406030204" pitchFamily="18" charset="0"/>
                          </a:rPr>
                        </m:ctrlPr>
                      </m:accPr>
                      <m:e>
                        <m:r>
                          <a:rPr lang="it-IT" sz="1050" b="1" i="1">
                            <a:latin typeface="Cambria Math" panose="02040503050406030204" pitchFamily="18" charset="0"/>
                          </a:rPr>
                          <m:t>𝑽</m:t>
                        </m:r>
                      </m:e>
                    </m:acc>
                    <m:r>
                      <a:rPr lang="it-IT" sz="1050" b="1" i="1">
                        <a:latin typeface="Cambria Math" panose="02040503050406030204" pitchFamily="18" charset="0"/>
                      </a:rPr>
                      <m:t>=</m:t>
                    </m:r>
                    <m:f>
                      <m:fPr>
                        <m:ctrlPr>
                          <a:rPr lang="it-IT" sz="1050" b="1" i="1">
                            <a:latin typeface="Cambria Math" panose="02040503050406030204" pitchFamily="18" charset="0"/>
                          </a:rPr>
                        </m:ctrlPr>
                      </m:fPr>
                      <m:num>
                        <m:r>
                          <a:rPr lang="it-IT" sz="1050" b="1" i="1">
                            <a:latin typeface="Cambria Math" panose="02040503050406030204" pitchFamily="18" charset="0"/>
                          </a:rPr>
                          <m:t>𝑹</m:t>
                        </m:r>
                        <m:r>
                          <a:rPr lang="it-IT" sz="1050" b="1" i="1">
                            <a:latin typeface="Cambria Math" panose="02040503050406030204" pitchFamily="18" charset="0"/>
                          </a:rPr>
                          <m:t> </m:t>
                        </m:r>
                        <m:r>
                          <a:rPr lang="it-IT" sz="1050" b="1" i="1">
                            <a:latin typeface="Cambria Math" panose="02040503050406030204" pitchFamily="18" charset="0"/>
                          </a:rPr>
                          <m:t>𝑻</m:t>
                        </m:r>
                      </m:num>
                      <m:den>
                        <m:r>
                          <a:rPr lang="it-IT" sz="1050" b="1" i="1">
                            <a:latin typeface="Cambria Math" panose="02040503050406030204" pitchFamily="18" charset="0"/>
                          </a:rPr>
                          <m:t>𝑷</m:t>
                        </m:r>
                      </m:den>
                    </m:f>
                  </m:oMath>
                </m:oMathPara>
              </a14:m>
              <a:endParaRPr lang="it-IT" sz="1050" b="1"/>
            </a:p>
          </xdr:txBody>
        </xdr:sp>
      </mc:Choice>
      <mc:Fallback xmlns="">
        <xdr:sp macro="" textlink="">
          <xdr:nvSpPr>
            <xdr:cNvPr id="121" name="CasellaDiTesto 25">
              <a:extLst>
                <a:ext uri="{FF2B5EF4-FFF2-40B4-BE49-F238E27FC236}">
                  <a16:creationId xmlns:a16="http://schemas.microsoft.com/office/drawing/2014/main" id="{98E13531-24CB-CD49-A632-EF49BD2AA275}"/>
                </a:ext>
              </a:extLst>
            </xdr:cNvPr>
            <xdr:cNvSpPr txBox="1"/>
          </xdr:nvSpPr>
          <xdr:spPr>
            <a:xfrm>
              <a:off x="7298265" y="60909201"/>
              <a:ext cx="1303867" cy="305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050" b="1" i="0">
                  <a:latin typeface="Cambria Math" panose="02040503050406030204" pitchFamily="18" charset="0"/>
                </a:rPr>
                <a:t>𝑽 ̃=(𝑹 𝑻)/𝑷</a:t>
              </a:r>
              <a:endParaRPr lang="it-IT" sz="1050" b="1"/>
            </a:p>
          </xdr:txBody>
        </xdr:sp>
      </mc:Fallback>
    </mc:AlternateContent>
    <xdr:clientData/>
  </xdr:oneCellAnchor>
  <xdr:twoCellAnchor>
    <xdr:from>
      <xdr:col>6</xdr:col>
      <xdr:colOff>287867</xdr:colOff>
      <xdr:row>253</xdr:row>
      <xdr:rowOff>194733</xdr:rowOff>
    </xdr:from>
    <xdr:to>
      <xdr:col>6</xdr:col>
      <xdr:colOff>700036</xdr:colOff>
      <xdr:row>255</xdr:row>
      <xdr:rowOff>105207</xdr:rowOff>
    </xdr:to>
    <xdr:cxnSp macro="">
      <xdr:nvCxnSpPr>
        <xdr:cNvPr id="123" name="Curved Connector 122">
          <a:extLst>
            <a:ext uri="{FF2B5EF4-FFF2-40B4-BE49-F238E27FC236}">
              <a16:creationId xmlns:a16="http://schemas.microsoft.com/office/drawing/2014/main" id="{EB701971-6F19-78AB-A7BE-787397812EC6}"/>
            </a:ext>
          </a:extLst>
        </xdr:cNvPr>
        <xdr:cNvCxnSpPr>
          <a:endCxn id="107" idx="0"/>
        </xdr:cNvCxnSpPr>
      </xdr:nvCxnSpPr>
      <xdr:spPr>
        <a:xfrm>
          <a:off x="8305800" y="61002333"/>
          <a:ext cx="412169" cy="316874"/>
        </a:xfrm>
        <a:prstGeom prst="curved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1000646</xdr:colOff>
      <xdr:row>280</xdr:row>
      <xdr:rowOff>177520</xdr:rowOff>
    </xdr:from>
    <xdr:to>
      <xdr:col>17</xdr:col>
      <xdr:colOff>1244599</xdr:colOff>
      <xdr:row>298</xdr:row>
      <xdr:rowOff>41868</xdr:rowOff>
    </xdr:to>
    <xdr:graphicFrame macro="">
      <xdr:nvGraphicFramePr>
        <xdr:cNvPr id="126" name="Chart 125">
          <a:extLst>
            <a:ext uri="{FF2B5EF4-FFF2-40B4-BE49-F238E27FC236}">
              <a16:creationId xmlns:a16="http://schemas.microsoft.com/office/drawing/2014/main" id="{D8D7C8EE-19B6-8CF0-6191-79A87A166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4A28-E1E8-F84A-AD17-148A134F4736}">
  <dimension ref="A3:AC293"/>
  <sheetViews>
    <sheetView tabSelected="1" topLeftCell="A173" zoomScale="89" zoomScaleNormal="125" workbookViewId="0">
      <selection activeCell="L188" sqref="L188"/>
    </sheetView>
  </sheetViews>
  <sheetFormatPr baseColWidth="10" defaultRowHeight="16" x14ac:dyDescent="0.2"/>
  <cols>
    <col min="1" max="1" width="17.1640625" customWidth="1"/>
    <col min="2" max="2" width="17" customWidth="1"/>
    <col min="3" max="3" width="18.6640625" customWidth="1"/>
    <col min="4" max="4" width="20" customWidth="1"/>
    <col min="5" max="5" width="18" customWidth="1"/>
    <col min="6" max="6" width="14.33203125" customWidth="1"/>
    <col min="7" max="7" width="16.83203125" customWidth="1"/>
    <col min="8" max="8" width="11.33203125" customWidth="1"/>
    <col min="9" max="9" width="10.83203125" customWidth="1"/>
    <col min="10" max="10" width="14.6640625" customWidth="1"/>
    <col min="11" max="11" width="14.33203125" customWidth="1"/>
    <col min="12" max="12" width="14.1640625" customWidth="1"/>
    <col min="13" max="13" width="16" customWidth="1"/>
    <col min="14" max="14" width="13.33203125" customWidth="1"/>
    <col min="15" max="15" width="14.1640625" customWidth="1"/>
    <col min="16" max="16" width="24" customWidth="1"/>
    <col min="17" max="17" width="21" customWidth="1"/>
    <col min="18" max="18" width="20" customWidth="1"/>
    <col min="22" max="22" width="14.83203125" customWidth="1"/>
    <col min="24" max="24" width="15.6640625" customWidth="1"/>
    <col min="25" max="25" width="17.33203125" customWidth="1"/>
    <col min="26" max="26" width="18.33203125" customWidth="1"/>
    <col min="27" max="27" width="16.83203125" customWidth="1"/>
    <col min="28" max="28" width="16.1640625" customWidth="1"/>
  </cols>
  <sheetData>
    <row r="3" spans="1:22" x14ac:dyDescent="0.2">
      <c r="A3" s="2"/>
      <c r="B3" s="2"/>
    </row>
    <row r="4" spans="1:22" ht="20" thickBot="1" x14ac:dyDescent="0.3">
      <c r="A4" s="3"/>
      <c r="B4" s="3"/>
    </row>
    <row r="5" spans="1:22" ht="23" customHeight="1" thickBot="1" x14ac:dyDescent="0.35">
      <c r="A5" s="145" t="s">
        <v>0</v>
      </c>
      <c r="B5" s="146"/>
      <c r="D5" s="10" t="s">
        <v>13</v>
      </c>
      <c r="E5" s="11"/>
      <c r="F5" s="11"/>
      <c r="G5" s="11"/>
      <c r="H5" s="11"/>
      <c r="I5" s="11"/>
      <c r="J5" s="11"/>
      <c r="K5" s="11"/>
      <c r="L5" s="12"/>
      <c r="N5" s="29" t="s">
        <v>17</v>
      </c>
      <c r="O5" s="30"/>
      <c r="P5" s="30"/>
      <c r="Q5" s="31"/>
      <c r="S5" s="41" t="s">
        <v>34</v>
      </c>
      <c r="T5" s="42"/>
      <c r="U5" s="42"/>
      <c r="V5" s="43"/>
    </row>
    <row r="6" spans="1:22" ht="32" customHeight="1" x14ac:dyDescent="0.3">
      <c r="A6" s="137" t="s">
        <v>1</v>
      </c>
      <c r="B6" s="144">
        <v>6.0221399999999997E+23</v>
      </c>
      <c r="D6" s="23" t="s">
        <v>21</v>
      </c>
      <c r="E6" s="5" t="s">
        <v>7</v>
      </c>
      <c r="F6" s="5" t="s">
        <v>8</v>
      </c>
      <c r="G6" s="5" t="s">
        <v>14</v>
      </c>
      <c r="H6" s="5" t="s">
        <v>9</v>
      </c>
      <c r="I6" s="5" t="s">
        <v>10</v>
      </c>
      <c r="J6" s="6" t="s">
        <v>15</v>
      </c>
      <c r="K6" s="5" t="s">
        <v>11</v>
      </c>
      <c r="L6" s="14" t="s">
        <v>12</v>
      </c>
      <c r="N6" s="40" t="s">
        <v>32</v>
      </c>
      <c r="O6" s="26" t="s">
        <v>18</v>
      </c>
      <c r="P6" s="26" t="s">
        <v>19</v>
      </c>
      <c r="Q6" s="32" t="s">
        <v>20</v>
      </c>
      <c r="S6" s="44" t="s">
        <v>32</v>
      </c>
      <c r="T6" s="45" t="s">
        <v>33</v>
      </c>
      <c r="U6" s="45" t="s">
        <v>35</v>
      </c>
      <c r="V6" s="46" t="s">
        <v>78</v>
      </c>
    </row>
    <row r="7" spans="1:22" ht="22" x14ac:dyDescent="0.3">
      <c r="A7" s="140" t="s">
        <v>2</v>
      </c>
      <c r="B7" s="141">
        <v>8.3143999999999991</v>
      </c>
      <c r="D7" s="13" t="s">
        <v>7</v>
      </c>
      <c r="E7" s="7">
        <v>1</v>
      </c>
      <c r="F7" s="22">
        <v>272.10700000000003</v>
      </c>
      <c r="G7" s="7">
        <v>219474.63</v>
      </c>
      <c r="H7" s="8">
        <v>627.50300000000004</v>
      </c>
      <c r="I7" s="7">
        <v>2625.5</v>
      </c>
      <c r="J7" s="7">
        <v>315777</v>
      </c>
      <c r="K7" s="9">
        <v>4.3599999999999999E-18</v>
      </c>
      <c r="L7" s="15">
        <v>6579660000000000</v>
      </c>
      <c r="N7" s="33" t="s">
        <v>18</v>
      </c>
      <c r="O7" s="27">
        <v>1</v>
      </c>
      <c r="P7" s="27">
        <v>0.52917999956390005</v>
      </c>
      <c r="Q7" s="34">
        <v>5.2917999999999999E-11</v>
      </c>
      <c r="S7" s="47" t="s">
        <v>33</v>
      </c>
      <c r="T7" s="48">
        <v>1</v>
      </c>
      <c r="U7" s="49">
        <v>9.1093800000000005E-31</v>
      </c>
      <c r="V7" s="50">
        <f>U7*V8</f>
        <v>5.4875783132530122E-4</v>
      </c>
    </row>
    <row r="8" spans="1:22" ht="22" x14ac:dyDescent="0.3">
      <c r="A8" s="134" t="s">
        <v>3</v>
      </c>
      <c r="B8" s="135">
        <v>1.38065E-23</v>
      </c>
      <c r="D8" s="13" t="s">
        <v>8</v>
      </c>
      <c r="E8" s="7">
        <v>3.6750199999999997E-2</v>
      </c>
      <c r="F8" s="7">
        <v>1</v>
      </c>
      <c r="G8" s="7">
        <v>8065.73</v>
      </c>
      <c r="H8" s="7">
        <v>23.0609</v>
      </c>
      <c r="I8" s="7">
        <v>96.486900000000006</v>
      </c>
      <c r="J8" s="7">
        <v>11604.9</v>
      </c>
      <c r="K8" s="9">
        <v>1.6021E-19</v>
      </c>
      <c r="L8" s="15">
        <v>2.41804E+19</v>
      </c>
      <c r="N8" s="33" t="s">
        <v>19</v>
      </c>
      <c r="O8" s="28">
        <v>1.8897299999999999</v>
      </c>
      <c r="P8" s="27">
        <v>1</v>
      </c>
      <c r="Q8" s="34">
        <v>1E-10</v>
      </c>
      <c r="S8" s="47" t="s">
        <v>35</v>
      </c>
      <c r="T8" s="49">
        <v>1.098E+30</v>
      </c>
      <c r="U8" s="48">
        <v>1</v>
      </c>
      <c r="V8" s="50">
        <f>1/U9</f>
        <v>6.0240963855421691E+26</v>
      </c>
    </row>
    <row r="9" spans="1:22" ht="22" thickBot="1" x14ac:dyDescent="0.3">
      <c r="A9" s="140" t="s">
        <v>4</v>
      </c>
      <c r="B9" s="142">
        <v>1.6021760000000001E-16</v>
      </c>
      <c r="D9" s="13" t="s">
        <v>14</v>
      </c>
      <c r="E9" s="9">
        <v>4.5563300000000003E-6</v>
      </c>
      <c r="F9" s="9">
        <v>1.23981E-4</v>
      </c>
      <c r="G9" s="7">
        <v>1</v>
      </c>
      <c r="H9" s="7">
        <v>2.8591100000000002E-3</v>
      </c>
      <c r="I9" s="7">
        <v>1.19627E-2</v>
      </c>
      <c r="J9" s="7">
        <v>1.42879</v>
      </c>
      <c r="K9" s="9">
        <v>1.9863000000000001E-23</v>
      </c>
      <c r="L9" s="16">
        <v>29979300000</v>
      </c>
      <c r="N9" s="35" t="s">
        <v>20</v>
      </c>
      <c r="O9" s="36">
        <v>18900000000</v>
      </c>
      <c r="P9" s="36">
        <v>10000000000</v>
      </c>
      <c r="Q9" s="37">
        <v>1</v>
      </c>
      <c r="S9" s="51" t="s">
        <v>78</v>
      </c>
      <c r="T9" s="52">
        <f>U9*T8</f>
        <v>1822.6799999999998</v>
      </c>
      <c r="U9" s="52">
        <v>1.6599999999999999E-27</v>
      </c>
      <c r="V9" s="53">
        <v>1</v>
      </c>
    </row>
    <row r="10" spans="1:22" ht="21" x14ac:dyDescent="0.3">
      <c r="A10" s="133" t="s">
        <v>5</v>
      </c>
      <c r="B10" s="136">
        <v>9.1092999999999998E-31</v>
      </c>
      <c r="D10" s="13" t="s">
        <v>9</v>
      </c>
      <c r="E10" s="7">
        <v>1.59362E-3</v>
      </c>
      <c r="F10" s="7">
        <v>4.3363400000000003E-2</v>
      </c>
      <c r="G10" s="8">
        <v>349.75700000000001</v>
      </c>
      <c r="H10" s="7">
        <v>1</v>
      </c>
      <c r="I10" s="8">
        <v>418.4</v>
      </c>
      <c r="J10" s="8">
        <v>503.22800000000001</v>
      </c>
      <c r="K10" s="9">
        <v>6.9500000000000005E-21</v>
      </c>
      <c r="L10" s="15">
        <v>10485400000000</v>
      </c>
    </row>
    <row r="11" spans="1:22" ht="22" x14ac:dyDescent="0.3">
      <c r="A11" s="140" t="s">
        <v>16</v>
      </c>
      <c r="B11" s="147">
        <v>8.8541799999999997E-12</v>
      </c>
      <c r="D11" s="13" t="s">
        <v>10</v>
      </c>
      <c r="E11" s="7">
        <v>3.8088E-4</v>
      </c>
      <c r="F11" s="7">
        <v>1.0364099999999999E-2</v>
      </c>
      <c r="G11" s="8">
        <v>83.593000000000004</v>
      </c>
      <c r="H11" s="7">
        <v>0.23900099999999999</v>
      </c>
      <c r="I11" s="7">
        <v>1</v>
      </c>
      <c r="J11" s="8">
        <v>120.274</v>
      </c>
      <c r="K11" s="9">
        <v>1.6599999999999999E-21</v>
      </c>
      <c r="L11" s="15">
        <v>2506070000000</v>
      </c>
    </row>
    <row r="12" spans="1:22" ht="22" x14ac:dyDescent="0.3">
      <c r="A12" s="133" t="s">
        <v>6</v>
      </c>
      <c r="B12" s="136">
        <v>5.2917700000000002E-12</v>
      </c>
      <c r="D12" s="17" t="s">
        <v>15</v>
      </c>
      <c r="E12" s="7">
        <v>3.1667800000000002E-6</v>
      </c>
      <c r="F12" s="54">
        <v>8.6170500000000004E-5</v>
      </c>
      <c r="G12" s="7">
        <v>0.69502799999999998</v>
      </c>
      <c r="H12" s="7">
        <v>1.9871699999999999E-3</v>
      </c>
      <c r="I12" s="7">
        <v>8.3143499999999999E-3</v>
      </c>
      <c r="J12" s="7">
        <v>1</v>
      </c>
      <c r="K12" s="9">
        <v>1.38054E-23</v>
      </c>
      <c r="L12" s="16">
        <v>20836400000</v>
      </c>
    </row>
    <row r="13" spans="1:22" ht="19" x14ac:dyDescent="0.25">
      <c r="A13" s="140" t="s">
        <v>71</v>
      </c>
      <c r="B13" s="143">
        <f>298.15</f>
        <v>298.14999999999998</v>
      </c>
      <c r="D13" s="13" t="s">
        <v>11</v>
      </c>
      <c r="E13" s="9">
        <v>2.294E+17</v>
      </c>
      <c r="F13" s="9">
        <v>6.24181E+18</v>
      </c>
      <c r="G13" s="9">
        <v>5.0344500000000003E+22</v>
      </c>
      <c r="H13" s="9">
        <v>1.44E+20</v>
      </c>
      <c r="I13" s="9">
        <v>6.02E+20</v>
      </c>
      <c r="J13" s="9">
        <v>7.2435399999999999E+22</v>
      </c>
      <c r="K13" s="7">
        <v>1</v>
      </c>
      <c r="L13" s="15">
        <v>1.5093E+33</v>
      </c>
    </row>
    <row r="14" spans="1:22" ht="20" thickBot="1" x14ac:dyDescent="0.3">
      <c r="A14" s="140" t="s">
        <v>76</v>
      </c>
      <c r="B14" s="156">
        <v>6.626068E-34</v>
      </c>
      <c r="D14" s="18" t="s">
        <v>12</v>
      </c>
      <c r="E14" s="19">
        <v>1.5198300000000001E-16</v>
      </c>
      <c r="F14" s="19">
        <v>4.13558E-15</v>
      </c>
      <c r="G14" s="19">
        <v>3.3356499999999997E-11</v>
      </c>
      <c r="H14" s="19">
        <v>9.5370200000000003E-14</v>
      </c>
      <c r="I14" s="20"/>
      <c r="J14" s="19">
        <v>4.7993E-11</v>
      </c>
      <c r="K14" s="19">
        <v>6.62561E-34</v>
      </c>
      <c r="L14" s="21">
        <v>1</v>
      </c>
    </row>
    <row r="15" spans="1:22" ht="19" x14ac:dyDescent="0.25">
      <c r="A15" s="133" t="s">
        <v>72</v>
      </c>
      <c r="B15" s="138">
        <v>1</v>
      </c>
    </row>
    <row r="16" spans="1:22" ht="19" x14ac:dyDescent="0.25">
      <c r="A16" s="140" t="s">
        <v>74</v>
      </c>
      <c r="B16" s="143">
        <v>101325</v>
      </c>
    </row>
    <row r="17" spans="1:27" ht="21" x14ac:dyDescent="0.25">
      <c r="A17" s="137" t="s">
        <v>73</v>
      </c>
      <c r="B17" s="139">
        <v>299792459</v>
      </c>
    </row>
    <row r="18" spans="1:27" ht="34" thickBot="1" x14ac:dyDescent="0.5">
      <c r="A18" s="249" t="s">
        <v>125</v>
      </c>
      <c r="B18" s="249"/>
      <c r="C18" s="249"/>
      <c r="D18" s="249"/>
      <c r="E18" s="249"/>
      <c r="F18" s="249"/>
      <c r="G18" s="249"/>
      <c r="H18" s="249"/>
      <c r="I18" s="249"/>
      <c r="J18" s="249"/>
      <c r="K18" s="249"/>
      <c r="L18" s="249"/>
      <c r="M18" s="249"/>
      <c r="N18" s="249"/>
      <c r="O18" s="249"/>
      <c r="P18" s="249"/>
      <c r="Q18" s="249"/>
      <c r="R18" s="249"/>
      <c r="S18" s="249"/>
      <c r="T18" s="249"/>
      <c r="U18" s="249"/>
      <c r="V18" s="249"/>
    </row>
    <row r="19" spans="1:27" ht="17" thickTop="1" x14ac:dyDescent="0.2"/>
    <row r="20" spans="1:27" ht="17" thickBot="1" x14ac:dyDescent="0.25"/>
    <row r="21" spans="1:27" ht="20" thickBot="1" x14ac:dyDescent="0.3">
      <c r="A21" s="39" t="s">
        <v>23</v>
      </c>
      <c r="B21" s="1"/>
      <c r="C21" s="91" t="s">
        <v>26</v>
      </c>
      <c r="D21" s="72"/>
      <c r="E21" s="72"/>
      <c r="F21" s="73"/>
      <c r="G21" s="1"/>
      <c r="H21" s="39" t="s">
        <v>39</v>
      </c>
      <c r="I21" s="1"/>
      <c r="J21" s="1"/>
      <c r="M21" s="1"/>
      <c r="N21" s="1"/>
      <c r="O21" s="71" t="s">
        <v>57</v>
      </c>
      <c r="P21" s="72"/>
      <c r="Q21" s="72"/>
      <c r="R21" s="73"/>
      <c r="S21" s="1"/>
      <c r="T21" s="1"/>
      <c r="U21" s="1"/>
      <c r="V21" s="1"/>
      <c r="W21" s="1"/>
      <c r="X21" s="1"/>
      <c r="Y21" s="1"/>
      <c r="Z21" s="1"/>
      <c r="AA21" s="1"/>
    </row>
    <row r="22" spans="1:27" ht="20" thickBot="1" x14ac:dyDescent="0.3">
      <c r="A22" s="38">
        <v>298.14999999999998</v>
      </c>
      <c r="B22" s="1"/>
      <c r="C22" s="92"/>
      <c r="D22" s="106" t="s">
        <v>36</v>
      </c>
      <c r="E22" s="107" t="s">
        <v>37</v>
      </c>
      <c r="F22" s="108" t="s">
        <v>38</v>
      </c>
      <c r="G22" s="1"/>
      <c r="H22" s="116" t="s">
        <v>65</v>
      </c>
      <c r="I22" s="117" t="s">
        <v>9</v>
      </c>
      <c r="J22" s="117" t="s">
        <v>10</v>
      </c>
      <c r="K22" s="193" t="s">
        <v>8</v>
      </c>
      <c r="L22" s="118" t="s">
        <v>11</v>
      </c>
      <c r="M22" s="1"/>
      <c r="N22" s="1"/>
      <c r="O22" s="89"/>
      <c r="P22" s="82" t="s">
        <v>43</v>
      </c>
      <c r="Q22" s="83" t="s">
        <v>58</v>
      </c>
      <c r="R22" s="84" t="s">
        <v>44</v>
      </c>
      <c r="S22" s="1"/>
      <c r="T22" s="1"/>
      <c r="U22" s="1"/>
      <c r="V22" s="1"/>
      <c r="W22" s="1"/>
      <c r="X22" s="1"/>
      <c r="Y22" s="1"/>
      <c r="Z22" s="1"/>
      <c r="AA22" s="1"/>
    </row>
    <row r="23" spans="1:27" ht="22" thickBot="1" x14ac:dyDescent="0.3">
      <c r="A23" s="1"/>
      <c r="B23" s="1"/>
      <c r="C23" s="55" t="s">
        <v>31</v>
      </c>
      <c r="D23" s="63">
        <v>22.483920000000001</v>
      </c>
      <c r="E23" s="64">
        <v>90.874970000000005</v>
      </c>
      <c r="F23" s="65">
        <v>90.882649999999998</v>
      </c>
      <c r="G23" s="1"/>
      <c r="H23" s="119">
        <v>7.4619000000000005E-2</v>
      </c>
      <c r="I23" s="120">
        <f>H23*$H$7</f>
        <v>46.823646357000008</v>
      </c>
      <c r="J23" s="120">
        <f>H23*$I$7</f>
        <v>195.91218450000002</v>
      </c>
      <c r="K23" s="194">
        <f>H23*$F$7</f>
        <v>20.304352233000003</v>
      </c>
      <c r="L23" s="239">
        <f>H23*$K$7</f>
        <v>3.2533884000000002E-19</v>
      </c>
      <c r="M23" s="1"/>
      <c r="N23" s="1"/>
      <c r="O23" s="74" t="s">
        <v>45</v>
      </c>
      <c r="P23" s="93">
        <v>49.015000000000001</v>
      </c>
      <c r="Q23" s="85">
        <v>10.109</v>
      </c>
      <c r="R23" s="86">
        <v>56.628999999999998</v>
      </c>
      <c r="S23" s="1"/>
      <c r="T23" s="1"/>
      <c r="U23" s="1"/>
      <c r="V23" s="1"/>
      <c r="W23" s="1"/>
      <c r="X23" s="1"/>
      <c r="Y23" s="1"/>
      <c r="Z23" s="1"/>
      <c r="AA23" s="1"/>
    </row>
    <row r="24" spans="1:27" ht="22" thickBot="1" x14ac:dyDescent="0.3">
      <c r="A24" s="39" t="s">
        <v>24</v>
      </c>
      <c r="B24" s="1"/>
      <c r="C24" s="56" t="s">
        <v>29</v>
      </c>
      <c r="D24" s="66">
        <f>D23*$U$9</f>
        <v>3.7323307200000001E-26</v>
      </c>
      <c r="E24" s="66">
        <f t="shared" ref="E24:F24" si="0">E23*$U$9</f>
        <v>1.5085245020000001E-25</v>
      </c>
      <c r="F24" s="66">
        <f t="shared" si="0"/>
        <v>1.5086519899999998E-25</v>
      </c>
      <c r="G24" s="1"/>
      <c r="M24" s="1"/>
      <c r="N24" s="1"/>
      <c r="O24" s="75" t="s">
        <v>46</v>
      </c>
      <c r="P24" s="93">
        <v>0</v>
      </c>
      <c r="Q24" s="85">
        <v>0</v>
      </c>
      <c r="R24" s="86">
        <v>0</v>
      </c>
      <c r="S24" s="1"/>
      <c r="T24" s="1"/>
      <c r="U24" s="1"/>
      <c r="V24" s="1"/>
      <c r="W24" s="1"/>
      <c r="X24" s="1"/>
      <c r="Y24" s="1"/>
      <c r="Z24" s="1"/>
      <c r="AA24" s="1"/>
    </row>
    <row r="25" spans="1:27" ht="22" thickBot="1" x14ac:dyDescent="0.3">
      <c r="A25" s="38">
        <v>1</v>
      </c>
      <c r="B25" s="1"/>
      <c r="C25" s="57" t="s">
        <v>30</v>
      </c>
      <c r="D25" s="68">
        <f>D24*($Q$8)^2</f>
        <v>3.7323307200000006E-46</v>
      </c>
      <c r="E25" s="69">
        <f>E24*($Q$8)^2</f>
        <v>1.5085245020000001E-45</v>
      </c>
      <c r="F25" s="70">
        <f t="shared" ref="F25" si="1">F24*($Q$8)^2</f>
        <v>1.5086519899999998E-45</v>
      </c>
      <c r="G25" s="1"/>
      <c r="M25" s="1"/>
      <c r="N25" s="1"/>
      <c r="O25" s="75" t="s">
        <v>47</v>
      </c>
      <c r="P25" s="93">
        <v>0.88900000000000001</v>
      </c>
      <c r="Q25" s="85">
        <v>2.9809999999999999</v>
      </c>
      <c r="R25" s="86">
        <v>36.134</v>
      </c>
      <c r="S25" s="1"/>
      <c r="T25" s="1"/>
      <c r="U25" s="1"/>
      <c r="V25" s="1"/>
      <c r="W25" s="1"/>
      <c r="X25" s="1"/>
      <c r="Y25" s="1"/>
      <c r="Z25" s="1"/>
      <c r="AA25" s="1"/>
    </row>
    <row r="26" spans="1:27" ht="20" thickBot="1" x14ac:dyDescent="0.3">
      <c r="A26" s="1"/>
      <c r="B26" s="1"/>
      <c r="C26" s="1"/>
      <c r="D26" s="1"/>
      <c r="E26" s="1"/>
      <c r="F26" s="1"/>
      <c r="G26" s="1"/>
      <c r="H26" s="39" t="s">
        <v>40</v>
      </c>
      <c r="I26" s="1"/>
      <c r="J26" s="1"/>
      <c r="K26" s="1"/>
      <c r="M26" s="1"/>
      <c r="N26" s="1"/>
      <c r="O26" s="75" t="s">
        <v>48</v>
      </c>
      <c r="P26" s="93">
        <v>0.88900000000000001</v>
      </c>
      <c r="Q26" s="85">
        <v>2.9809999999999999</v>
      </c>
      <c r="R26" s="86">
        <v>18.48</v>
      </c>
      <c r="S26" s="1"/>
      <c r="T26" s="1"/>
      <c r="U26" s="1"/>
      <c r="V26" s="1"/>
      <c r="W26" s="1"/>
      <c r="X26" s="1"/>
      <c r="Y26" s="1"/>
      <c r="Z26" s="1"/>
      <c r="AA26" s="1"/>
    </row>
    <row r="27" spans="1:27" ht="20" thickBot="1" x14ac:dyDescent="0.3">
      <c r="A27" s="39" t="s">
        <v>25</v>
      </c>
      <c r="B27" s="1"/>
      <c r="C27" s="39" t="s">
        <v>27</v>
      </c>
      <c r="D27" s="1"/>
      <c r="E27" s="1"/>
      <c r="F27" s="1"/>
      <c r="G27" s="1"/>
      <c r="H27" s="116" t="s">
        <v>65</v>
      </c>
      <c r="I27" s="117" t="s">
        <v>9</v>
      </c>
      <c r="J27" s="117" t="s">
        <v>10</v>
      </c>
      <c r="K27" s="193" t="s">
        <v>8</v>
      </c>
      <c r="L27" s="118" t="s">
        <v>11</v>
      </c>
      <c r="M27" s="1"/>
      <c r="N27" s="1"/>
      <c r="O27" s="76" t="s">
        <v>49</v>
      </c>
      <c r="P27" s="100">
        <v>47.237000000000002</v>
      </c>
      <c r="Q27" s="87">
        <v>4.1470000000000002</v>
      </c>
      <c r="R27" s="88">
        <v>2.0150000000000001</v>
      </c>
      <c r="S27" s="1"/>
      <c r="T27" s="1"/>
      <c r="U27" s="1"/>
      <c r="V27" s="1"/>
      <c r="W27" s="1"/>
      <c r="X27" s="1"/>
      <c r="Y27" s="1"/>
      <c r="Z27" s="1"/>
      <c r="AA27" s="1"/>
    </row>
    <row r="28" spans="1:27" ht="20" thickBot="1" x14ac:dyDescent="0.3">
      <c r="A28" s="38">
        <v>30.046949999999999</v>
      </c>
      <c r="B28" s="1"/>
      <c r="C28" s="109" t="s">
        <v>36</v>
      </c>
      <c r="D28" s="110" t="s">
        <v>37</v>
      </c>
      <c r="E28" s="111" t="s">
        <v>38</v>
      </c>
      <c r="F28" s="1"/>
      <c r="G28" s="1"/>
      <c r="H28" s="112">
        <v>7.8109999999999999E-2</v>
      </c>
      <c r="I28" s="120">
        <f>H28*$H$7</f>
        <v>49.014259330000002</v>
      </c>
      <c r="J28" s="120">
        <f>H28*$I$7</f>
        <v>205.07780499999998</v>
      </c>
      <c r="K28" s="121">
        <f>H28*$F$7</f>
        <v>21.254277770000002</v>
      </c>
      <c r="L28" s="239">
        <f>H28*$K$7</f>
        <v>3.405596E-19</v>
      </c>
      <c r="M28" s="1"/>
      <c r="N28" s="1"/>
      <c r="O28" s="1"/>
      <c r="P28" s="1"/>
      <c r="Q28" s="1"/>
      <c r="R28" s="1"/>
      <c r="S28" s="1"/>
      <c r="T28" s="1"/>
      <c r="U28" s="1"/>
      <c r="V28" s="1"/>
      <c r="W28" s="1"/>
      <c r="X28" s="1"/>
      <c r="Y28" s="1"/>
      <c r="Z28" s="1"/>
      <c r="AA28" s="1"/>
    </row>
    <row r="29" spans="1:27" ht="20" thickBot="1" x14ac:dyDescent="0.3">
      <c r="A29" s="1"/>
      <c r="B29" s="1"/>
      <c r="C29" s="112">
        <v>3.8522599999999998</v>
      </c>
      <c r="D29" s="113">
        <v>0.95311000000000001</v>
      </c>
      <c r="E29" s="114">
        <v>0.95303000000000004</v>
      </c>
      <c r="F29" s="1"/>
      <c r="G29" s="1"/>
      <c r="L29" s="1"/>
      <c r="M29" s="1"/>
      <c r="N29" s="1"/>
      <c r="O29" s="1"/>
      <c r="P29" s="1"/>
      <c r="Q29" s="1"/>
      <c r="R29" s="1"/>
      <c r="S29" s="1"/>
      <c r="T29" s="1"/>
      <c r="U29" s="1"/>
      <c r="V29" s="1"/>
      <c r="W29" s="1"/>
      <c r="X29" s="1"/>
      <c r="Y29" s="1"/>
      <c r="Z29" s="1"/>
      <c r="AA29" s="1"/>
    </row>
    <row r="30" spans="1:27" ht="20" thickBot="1" x14ac:dyDescent="0.3">
      <c r="A30" s="39" t="s">
        <v>22</v>
      </c>
      <c r="B30" s="1"/>
      <c r="F30" s="1"/>
      <c r="G30" s="1"/>
      <c r="M30" s="1"/>
      <c r="O30" s="99" t="s">
        <v>59</v>
      </c>
      <c r="P30" s="97"/>
      <c r="Q30" s="97"/>
      <c r="R30" s="98"/>
      <c r="S30" s="1"/>
      <c r="T30" s="1"/>
      <c r="U30" s="1"/>
      <c r="V30" s="1"/>
      <c r="W30" s="1"/>
      <c r="X30" s="1"/>
      <c r="Y30" s="1"/>
      <c r="Z30" s="1"/>
      <c r="AA30" s="1"/>
    </row>
    <row r="31" spans="1:27" ht="20" thickBot="1" x14ac:dyDescent="0.3">
      <c r="A31" s="38">
        <v>2</v>
      </c>
      <c r="B31" s="1"/>
      <c r="C31" s="39" t="s">
        <v>28</v>
      </c>
      <c r="D31" s="1"/>
      <c r="E31" s="1"/>
      <c r="F31" s="1"/>
      <c r="G31" s="1"/>
      <c r="H31" s="39" t="s">
        <v>41</v>
      </c>
      <c r="I31" s="1"/>
      <c r="J31" s="1"/>
      <c r="K31" s="1"/>
      <c r="L31" s="1"/>
      <c r="M31" s="1"/>
      <c r="N31" s="1"/>
      <c r="O31" s="96"/>
      <c r="P31" s="77" t="s">
        <v>50</v>
      </c>
      <c r="Q31" s="78" t="s">
        <v>51</v>
      </c>
      <c r="R31" s="79" t="s">
        <v>52</v>
      </c>
      <c r="S31" s="1"/>
      <c r="T31" s="1"/>
      <c r="U31" s="1"/>
      <c r="V31" s="1"/>
      <c r="W31" s="1"/>
      <c r="X31" s="1"/>
      <c r="Y31" s="1"/>
      <c r="Z31" s="1"/>
      <c r="AA31" s="1"/>
    </row>
    <row r="32" spans="1:27" ht="20" thickBot="1" x14ac:dyDescent="0.3">
      <c r="A32" s="1"/>
      <c r="B32" s="1"/>
      <c r="C32" s="105" t="s">
        <v>36</v>
      </c>
      <c r="D32" s="105" t="s">
        <v>37</v>
      </c>
      <c r="E32" s="105" t="s">
        <v>38</v>
      </c>
      <c r="F32" s="1"/>
      <c r="G32" s="1"/>
      <c r="H32" s="116" t="s">
        <v>65</v>
      </c>
      <c r="I32" s="117" t="s">
        <v>9</v>
      </c>
      <c r="J32" s="117" t="s">
        <v>10</v>
      </c>
      <c r="K32" s="193" t="s">
        <v>8</v>
      </c>
      <c r="L32" s="118" t="s">
        <v>11</v>
      </c>
      <c r="M32" s="1"/>
      <c r="N32" s="1"/>
      <c r="O32" s="74" t="s">
        <v>46</v>
      </c>
      <c r="P32" s="94">
        <v>1</v>
      </c>
      <c r="Q32" s="95">
        <v>0</v>
      </c>
      <c r="R32" s="95">
        <v>0</v>
      </c>
      <c r="S32" s="1"/>
      <c r="T32" s="1"/>
      <c r="U32" s="1"/>
      <c r="V32" s="1"/>
      <c r="W32" s="1"/>
      <c r="X32" s="1"/>
      <c r="Y32" s="1"/>
      <c r="Z32" s="1"/>
      <c r="AA32" s="1"/>
    </row>
    <row r="33" spans="1:27" ht="20" thickBot="1" x14ac:dyDescent="0.3">
      <c r="A33" s="1"/>
      <c r="B33" s="1"/>
      <c r="C33" s="58">
        <v>80.268090000000001</v>
      </c>
      <c r="D33" s="59">
        <v>19.85961</v>
      </c>
      <c r="E33" s="60">
        <v>19.85793</v>
      </c>
      <c r="F33" s="1"/>
      <c r="G33" s="1"/>
      <c r="H33" s="112">
        <v>7.9053999999999999E-2</v>
      </c>
      <c r="I33" s="120">
        <f>H33*$H$7</f>
        <v>49.606622162000001</v>
      </c>
      <c r="J33" s="120">
        <f>H33*$I$7</f>
        <v>207.55627699999999</v>
      </c>
      <c r="K33" s="121">
        <f>H33*$F$7</f>
        <v>21.511146778000001</v>
      </c>
      <c r="L33" s="239">
        <f>H33*$K$7</f>
        <v>3.4467544000000001E-19</v>
      </c>
      <c r="M33" s="1"/>
      <c r="N33" s="1"/>
      <c r="O33" s="75" t="s">
        <v>47</v>
      </c>
      <c r="P33" s="93">
        <v>6473750</v>
      </c>
      <c r="Q33" s="85">
        <v>6.8111560000000004</v>
      </c>
      <c r="R33" s="85">
        <v>15.683266</v>
      </c>
      <c r="S33" s="1"/>
      <c r="T33" s="1"/>
      <c r="U33" s="1"/>
      <c r="V33" s="1"/>
      <c r="W33" s="1"/>
      <c r="X33" s="1"/>
      <c r="Y33" s="1"/>
      <c r="Z33" s="1"/>
      <c r="AA33" s="1"/>
    </row>
    <row r="34" spans="1:27" ht="19" x14ac:dyDescent="0.25">
      <c r="A34" s="1"/>
      <c r="B34" s="1"/>
      <c r="E34" s="1"/>
      <c r="F34" s="1"/>
      <c r="G34" s="1"/>
      <c r="M34" s="1"/>
      <c r="N34" s="1"/>
      <c r="O34" s="75" t="s">
        <v>48</v>
      </c>
      <c r="P34" s="93">
        <v>2439.02</v>
      </c>
      <c r="Q34" s="85">
        <v>3.3872149999999999</v>
      </c>
      <c r="R34" s="85">
        <v>7.7993509999999997</v>
      </c>
      <c r="S34" s="1"/>
      <c r="T34" s="1"/>
      <c r="U34" s="1"/>
      <c r="V34" s="1"/>
      <c r="W34" s="1"/>
      <c r="X34" s="1"/>
      <c r="Y34" s="1"/>
      <c r="Z34" s="1"/>
      <c r="AA34" s="1"/>
    </row>
    <row r="35" spans="1:27" ht="19" x14ac:dyDescent="0.25">
      <c r="A35" s="1"/>
      <c r="B35" s="1"/>
      <c r="E35" s="1"/>
      <c r="F35" s="1"/>
      <c r="H35" s="1"/>
      <c r="I35" s="1"/>
      <c r="J35" s="1"/>
      <c r="K35" s="1"/>
      <c r="L35" s="1"/>
      <c r="M35" s="1"/>
      <c r="N35" s="1"/>
      <c r="O35" s="75" t="s">
        <v>53</v>
      </c>
      <c r="P35" s="93">
        <v>1.03238E-24</v>
      </c>
      <c r="Q35" s="85">
        <v>-23.986160000000002</v>
      </c>
      <c r="R35" s="85">
        <v>-55.230175000000003</v>
      </c>
      <c r="S35" s="1"/>
      <c r="T35" s="1"/>
      <c r="U35" s="1"/>
      <c r="V35" s="1"/>
      <c r="W35" s="1"/>
      <c r="X35" s="1"/>
      <c r="Y35" s="1"/>
      <c r="Z35" s="1"/>
      <c r="AA35" s="1"/>
    </row>
    <row r="36" spans="1:27" ht="20" thickBot="1" x14ac:dyDescent="0.3">
      <c r="A36" s="1"/>
      <c r="B36" s="1"/>
      <c r="C36" s="39" t="s">
        <v>62</v>
      </c>
      <c r="D36" s="1"/>
      <c r="E36" s="1"/>
      <c r="F36" s="1"/>
      <c r="H36" s="39" t="s">
        <v>42</v>
      </c>
      <c r="I36" s="1"/>
      <c r="J36" s="1"/>
      <c r="K36" s="1"/>
      <c r="L36" s="1"/>
      <c r="M36" s="1"/>
      <c r="N36" s="1"/>
      <c r="O36" s="75" t="s">
        <v>54</v>
      </c>
      <c r="P36" s="93">
        <v>21674100000</v>
      </c>
      <c r="Q36" s="85">
        <v>10.335941</v>
      </c>
      <c r="R36" s="85">
        <v>23.799385000000001</v>
      </c>
      <c r="S36" s="1"/>
      <c r="T36" s="1"/>
      <c r="U36" s="1"/>
      <c r="V36" s="1"/>
      <c r="W36" s="1"/>
      <c r="X36" s="1"/>
      <c r="Y36" s="1"/>
      <c r="Z36" s="1"/>
      <c r="AA36" s="1"/>
    </row>
    <row r="37" spans="1:27" ht="20" thickBot="1" x14ac:dyDescent="0.3">
      <c r="A37" s="1"/>
      <c r="B37" s="1"/>
      <c r="C37" s="103" t="s">
        <v>63</v>
      </c>
      <c r="D37" s="62">
        <v>195911.1</v>
      </c>
      <c r="E37" s="1"/>
      <c r="F37" s="1"/>
      <c r="H37" s="116" t="s">
        <v>65</v>
      </c>
      <c r="I37" s="117" t="s">
        <v>9</v>
      </c>
      <c r="J37" s="117" t="s">
        <v>10</v>
      </c>
      <c r="K37" s="118" t="s">
        <v>8</v>
      </c>
      <c r="L37" s="118" t="s">
        <v>11</v>
      </c>
      <c r="M37" s="1"/>
      <c r="N37" s="1"/>
      <c r="O37" s="75" t="s">
        <v>55</v>
      </c>
      <c r="P37" s="93">
        <v>6.5383600000000003E-35</v>
      </c>
      <c r="Q37" s="85">
        <v>-34.184531</v>
      </c>
      <c r="R37" s="85">
        <v>-78.712791999999993</v>
      </c>
      <c r="S37" s="1"/>
      <c r="T37" s="1"/>
      <c r="U37" s="1"/>
      <c r="V37" s="1"/>
      <c r="W37" s="1"/>
      <c r="X37" s="1"/>
      <c r="Y37" s="1"/>
      <c r="Z37" s="1"/>
      <c r="AA37" s="1"/>
    </row>
    <row r="38" spans="1:27" ht="20" thickBot="1" x14ac:dyDescent="0.3">
      <c r="A38" s="1"/>
      <c r="B38" s="1"/>
      <c r="C38" s="104" t="s">
        <v>64</v>
      </c>
      <c r="D38" s="115">
        <v>46.823880000000003</v>
      </c>
      <c r="E38" s="1"/>
      <c r="F38" s="1"/>
      <c r="H38" s="112">
        <v>5.2148E-2</v>
      </c>
      <c r="I38" s="120">
        <f>H38*$H$7</f>
        <v>32.723026444000006</v>
      </c>
      <c r="J38" s="120">
        <f>H38*$I$7</f>
        <v>136.91457399999999</v>
      </c>
      <c r="K38" s="121">
        <f>H38*$F$7</f>
        <v>14.189835836000002</v>
      </c>
      <c r="L38" s="239">
        <f>H38*$K$7</f>
        <v>2.2736528000000001E-19</v>
      </c>
      <c r="M38" s="1"/>
      <c r="N38" s="1"/>
      <c r="O38" s="76" t="s">
        <v>56</v>
      </c>
      <c r="P38" s="93">
        <v>1.3726799999999999</v>
      </c>
      <c r="Q38" s="85">
        <v>0.137571</v>
      </c>
      <c r="R38" s="85">
        <v>0.31676799999999999</v>
      </c>
      <c r="S38" s="1"/>
      <c r="T38" s="1"/>
      <c r="U38" s="1"/>
      <c r="V38" s="1"/>
      <c r="W38" s="1"/>
      <c r="X38" s="1"/>
      <c r="Y38" s="1"/>
      <c r="Z38" s="1"/>
      <c r="AA38" s="1"/>
    </row>
    <row r="39" spans="1:27" ht="19" x14ac:dyDescent="0.25">
      <c r="A39" s="1"/>
      <c r="B39" s="1"/>
      <c r="C39" s="1"/>
      <c r="D39" s="1"/>
      <c r="E39" s="1"/>
      <c r="F39" s="1"/>
      <c r="J39" s="1"/>
      <c r="K39" s="1"/>
      <c r="L39" s="1"/>
      <c r="M39" s="1"/>
      <c r="N39" s="1"/>
      <c r="O39" s="102"/>
      <c r="P39" s="1"/>
      <c r="Q39" s="1"/>
      <c r="R39" s="1"/>
      <c r="S39" s="1"/>
      <c r="T39" s="1"/>
      <c r="U39" s="1"/>
      <c r="V39" s="1"/>
      <c r="W39" s="1"/>
      <c r="X39" s="1"/>
      <c r="Y39" s="1"/>
      <c r="Z39" s="1"/>
      <c r="AA39" s="1"/>
    </row>
    <row r="40" spans="1:27" ht="20" thickBot="1" x14ac:dyDescent="0.3">
      <c r="A40" s="1"/>
      <c r="B40" s="1"/>
      <c r="C40" s="1"/>
      <c r="D40" s="1"/>
      <c r="E40" s="1"/>
      <c r="F40" s="1"/>
      <c r="J40" s="1"/>
      <c r="K40" s="1"/>
      <c r="L40" s="1"/>
      <c r="M40" s="1"/>
      <c r="N40" s="1"/>
      <c r="O40" s="102"/>
      <c r="P40" s="1"/>
      <c r="Q40" s="1"/>
      <c r="R40" s="1"/>
      <c r="S40" s="1"/>
      <c r="T40" s="1"/>
      <c r="U40" s="1"/>
      <c r="V40" s="1"/>
      <c r="W40" s="1"/>
      <c r="X40" s="1"/>
      <c r="Y40" s="1"/>
      <c r="Z40" s="1"/>
      <c r="AA40" s="1"/>
    </row>
    <row r="41" spans="1:27" ht="64" customHeight="1" thickBot="1" x14ac:dyDescent="0.3">
      <c r="A41" s="1"/>
      <c r="B41" s="1"/>
      <c r="D41" s="243" t="s">
        <v>60</v>
      </c>
      <c r="E41" s="129" t="s">
        <v>61</v>
      </c>
      <c r="F41" s="129" t="s">
        <v>69</v>
      </c>
      <c r="G41" s="244" t="s">
        <v>70</v>
      </c>
      <c r="I41" s="1"/>
      <c r="J41" s="1"/>
      <c r="K41" s="1"/>
      <c r="L41" s="1"/>
      <c r="M41" s="1"/>
      <c r="N41" s="1"/>
      <c r="O41" s="1"/>
      <c r="P41" s="1"/>
      <c r="Q41" s="1"/>
      <c r="R41" s="1"/>
      <c r="S41" s="1"/>
      <c r="T41" s="1"/>
      <c r="U41" s="1"/>
      <c r="V41" s="1"/>
      <c r="W41" s="1"/>
      <c r="X41" s="1"/>
      <c r="Y41" s="1"/>
      <c r="Z41" s="1"/>
      <c r="AA41" s="1"/>
    </row>
    <row r="42" spans="1:27" ht="19" x14ac:dyDescent="0.25">
      <c r="A42" s="1"/>
      <c r="B42" s="1"/>
      <c r="C42" s="240">
        <v>1</v>
      </c>
      <c r="D42" s="63">
        <v>439.44</v>
      </c>
      <c r="E42" s="64">
        <v>305.42860000000002</v>
      </c>
      <c r="F42" s="245">
        <f>E42*$L$9</f>
        <v>9156535627980</v>
      </c>
      <c r="G42" s="65">
        <v>1.0078</v>
      </c>
      <c r="H42" s="101"/>
      <c r="K42" s="1"/>
      <c r="L42" s="1"/>
      <c r="M42" s="1"/>
      <c r="N42" s="1"/>
      <c r="O42" s="1"/>
      <c r="P42" s="1"/>
      <c r="Q42" s="1"/>
      <c r="R42" s="1"/>
      <c r="S42" s="1"/>
      <c r="T42" s="1"/>
      <c r="U42" s="1"/>
      <c r="V42" s="1"/>
      <c r="W42" s="1"/>
      <c r="X42" s="1"/>
      <c r="Y42" s="1"/>
      <c r="Z42" s="1"/>
      <c r="AA42" s="1"/>
    </row>
    <row r="43" spans="1:27" ht="19" x14ac:dyDescent="0.25">
      <c r="A43" s="1"/>
      <c r="B43" s="1"/>
      <c r="C43" s="241">
        <f>C42+1</f>
        <v>2</v>
      </c>
      <c r="D43" s="246">
        <v>1182.8499999999999</v>
      </c>
      <c r="E43" s="85">
        <v>822.1259</v>
      </c>
      <c r="F43" s="67">
        <f t="shared" ref="F43:F59" si="2">E43*$L$9</f>
        <v>24646758993870</v>
      </c>
      <c r="G43" s="86">
        <v>1.0576000000000001</v>
      </c>
      <c r="H43" s="101"/>
      <c r="K43" s="1"/>
      <c r="L43" s="1"/>
      <c r="M43" s="1"/>
      <c r="N43" s="1"/>
      <c r="O43" s="1"/>
      <c r="P43" s="1"/>
      <c r="Q43" s="1"/>
      <c r="R43" s="1"/>
      <c r="S43" s="1"/>
      <c r="T43" s="1"/>
      <c r="U43" s="1"/>
      <c r="V43" s="1"/>
      <c r="W43" s="1"/>
      <c r="X43" s="1"/>
      <c r="Y43" s="1"/>
      <c r="Z43" s="1"/>
      <c r="AA43" s="1"/>
    </row>
    <row r="44" spans="1:27" ht="20" thickBot="1" x14ac:dyDescent="0.3">
      <c r="A44" s="1"/>
      <c r="B44" s="1"/>
      <c r="C44" s="241">
        <f t="shared" ref="C44:C59" si="3">C43+1</f>
        <v>3</v>
      </c>
      <c r="D44" s="246">
        <v>1185.9000000000001</v>
      </c>
      <c r="E44" s="85">
        <v>824.24069999999995</v>
      </c>
      <c r="F44" s="67">
        <f t="shared" si="2"/>
        <v>24710159217510</v>
      </c>
      <c r="G44" s="86">
        <v>1.0577000000000001</v>
      </c>
      <c r="H44" s="101"/>
      <c r="J44" s="190" t="s">
        <v>94</v>
      </c>
      <c r="M44" s="1"/>
      <c r="N44" s="1"/>
      <c r="O44" s="1"/>
      <c r="P44" s="1"/>
      <c r="Q44" s="1"/>
      <c r="R44" s="1"/>
      <c r="S44" s="1"/>
      <c r="T44" s="1"/>
      <c r="U44" s="1"/>
      <c r="V44" s="1"/>
      <c r="W44" s="1"/>
      <c r="X44" s="1"/>
      <c r="Y44" s="1"/>
      <c r="Z44" s="1"/>
      <c r="AA44" s="1"/>
    </row>
    <row r="45" spans="1:27" ht="20" thickBot="1" x14ac:dyDescent="0.3">
      <c r="A45" s="1"/>
      <c r="B45" s="1"/>
      <c r="C45" s="241">
        <f t="shared" si="3"/>
        <v>4</v>
      </c>
      <c r="D45" s="246">
        <v>1435.19</v>
      </c>
      <c r="E45" s="85">
        <v>997.51020000000005</v>
      </c>
      <c r="F45" s="67">
        <f t="shared" si="2"/>
        <v>29904657538860</v>
      </c>
      <c r="G45" s="86">
        <v>3.3182999999999998</v>
      </c>
      <c r="H45" s="101"/>
      <c r="J45" s="165">
        <v>1</v>
      </c>
      <c r="K45" s="166">
        <f>J45+1</f>
        <v>2</v>
      </c>
      <c r="L45" s="167">
        <f>K45+1</f>
        <v>3</v>
      </c>
      <c r="M45" s="167">
        <f t="shared" ref="M45:O45" si="4">L45+1</f>
        <v>4</v>
      </c>
      <c r="N45" s="167">
        <f t="shared" si="4"/>
        <v>5</v>
      </c>
      <c r="O45" s="167">
        <f t="shared" si="4"/>
        <v>6</v>
      </c>
      <c r="P45" s="1"/>
      <c r="Q45" s="1"/>
      <c r="R45" s="1"/>
      <c r="S45" s="1"/>
      <c r="T45" s="1"/>
      <c r="U45" s="1"/>
      <c r="V45" s="1"/>
      <c r="W45" s="1"/>
      <c r="X45" s="1"/>
      <c r="Y45" s="1"/>
      <c r="Z45" s="1"/>
      <c r="AA45" s="1"/>
    </row>
    <row r="46" spans="1:27" ht="19" x14ac:dyDescent="0.25">
      <c r="A46" s="1"/>
      <c r="B46" s="1"/>
      <c r="C46" s="241">
        <f t="shared" si="3"/>
        <v>5</v>
      </c>
      <c r="D46" s="246">
        <v>1752.48</v>
      </c>
      <c r="E46" s="85">
        <v>1218.0335</v>
      </c>
      <c r="F46" s="67">
        <f t="shared" si="2"/>
        <v>36515791706550</v>
      </c>
      <c r="G46" s="86">
        <v>1.4651000000000001</v>
      </c>
      <c r="H46" s="101"/>
      <c r="J46" s="85">
        <v>-79.820728836399994</v>
      </c>
      <c r="K46" s="85">
        <v>-79.832474544999997</v>
      </c>
      <c r="L46" s="85">
        <v>-79.840587526299998</v>
      </c>
      <c r="M46" s="85">
        <v>-79.841602807499996</v>
      </c>
      <c r="N46" s="85">
        <v>-79.841640703600007</v>
      </c>
      <c r="O46" s="85">
        <v>-79.841640703600007</v>
      </c>
      <c r="P46" s="1"/>
      <c r="Q46" s="1"/>
      <c r="R46" s="1"/>
      <c r="S46" s="1"/>
      <c r="T46" s="1"/>
      <c r="U46" s="1"/>
      <c r="V46" s="1"/>
      <c r="W46" s="1"/>
      <c r="X46" s="1"/>
      <c r="Y46" s="1"/>
      <c r="Z46" s="1"/>
      <c r="AA46" s="1"/>
    </row>
    <row r="47" spans="1:27" ht="19" x14ac:dyDescent="0.25">
      <c r="A47" s="1"/>
      <c r="B47" s="1"/>
      <c r="C47" s="241">
        <f t="shared" si="3"/>
        <v>6</v>
      </c>
      <c r="D47" s="246">
        <v>1753.93</v>
      </c>
      <c r="E47" s="85">
        <v>1219.0435</v>
      </c>
      <c r="F47" s="67">
        <f t="shared" si="2"/>
        <v>36546070799550</v>
      </c>
      <c r="G47" s="86">
        <v>1.4662999999999999</v>
      </c>
      <c r="H47" s="101"/>
      <c r="P47" s="1"/>
      <c r="Q47" s="1"/>
      <c r="R47" s="1"/>
      <c r="S47" s="1"/>
      <c r="T47" s="1"/>
      <c r="U47" s="1"/>
      <c r="V47" s="1"/>
      <c r="W47" s="1"/>
      <c r="X47" s="1"/>
      <c r="Y47" s="1"/>
      <c r="Z47" s="1"/>
      <c r="AA47" s="1"/>
    </row>
    <row r="48" spans="1:27" ht="19" x14ac:dyDescent="0.25">
      <c r="A48" s="1"/>
      <c r="B48" s="1"/>
      <c r="C48" s="241">
        <f t="shared" si="3"/>
        <v>7</v>
      </c>
      <c r="D48" s="246">
        <v>2025</v>
      </c>
      <c r="E48" s="85">
        <v>1407.4453000000001</v>
      </c>
      <c r="F48" s="67">
        <f t="shared" si="2"/>
        <v>42194224882290</v>
      </c>
      <c r="G48" s="86">
        <v>1.1983999999999999</v>
      </c>
      <c r="H48" s="101"/>
      <c r="K48" s="1"/>
      <c r="L48" s="1"/>
      <c r="M48" s="1"/>
      <c r="N48" s="1"/>
      <c r="O48" s="1"/>
      <c r="P48" s="1"/>
      <c r="Q48" s="1"/>
      <c r="R48" s="1"/>
      <c r="S48" s="1"/>
      <c r="T48" s="1"/>
      <c r="U48" s="1"/>
      <c r="V48" s="1"/>
      <c r="W48" s="1"/>
      <c r="X48" s="1"/>
      <c r="Y48" s="1"/>
      <c r="Z48" s="1"/>
      <c r="AA48" s="1"/>
    </row>
    <row r="49" spans="1:27" ht="19" x14ac:dyDescent="0.25">
      <c r="A49" s="1"/>
      <c r="B49" s="1"/>
      <c r="C49" s="241">
        <f t="shared" si="3"/>
        <v>8</v>
      </c>
      <c r="D49" s="246">
        <v>2055.81</v>
      </c>
      <c r="E49" s="85">
        <v>1428.8607</v>
      </c>
      <c r="F49" s="67">
        <f t="shared" si="2"/>
        <v>42836243583510</v>
      </c>
      <c r="G49" s="86">
        <v>1.2474000000000001</v>
      </c>
      <c r="H49" s="101"/>
      <c r="K49" s="1"/>
      <c r="L49" s="1"/>
      <c r="M49" s="1"/>
      <c r="N49" s="1"/>
      <c r="O49" s="1"/>
      <c r="P49" s="1"/>
      <c r="Q49" s="1"/>
      <c r="R49" s="1"/>
      <c r="S49" s="1"/>
      <c r="T49" s="1"/>
      <c r="U49" s="1"/>
      <c r="V49" s="1"/>
      <c r="W49" s="1"/>
      <c r="X49" s="1"/>
      <c r="Y49" s="1"/>
      <c r="Z49" s="1"/>
      <c r="AA49" s="1"/>
    </row>
    <row r="50" spans="1:27" ht="19" x14ac:dyDescent="0.25">
      <c r="A50" s="1"/>
      <c r="B50" s="1"/>
      <c r="C50" s="241">
        <f t="shared" si="3"/>
        <v>9</v>
      </c>
      <c r="D50" s="246">
        <v>2168.9499999999998</v>
      </c>
      <c r="E50" s="85">
        <v>1507.4948999999999</v>
      </c>
      <c r="F50" s="67">
        <f t="shared" si="2"/>
        <v>45193641855570</v>
      </c>
      <c r="G50" s="86">
        <v>1.0192000000000001</v>
      </c>
      <c r="H50" s="101"/>
      <c r="K50" s="1"/>
      <c r="L50" s="1"/>
      <c r="M50" s="1"/>
      <c r="N50" s="1"/>
      <c r="O50" s="1"/>
      <c r="P50" s="1"/>
      <c r="Q50" s="1"/>
      <c r="R50" s="1"/>
      <c r="S50" s="1"/>
      <c r="T50" s="1"/>
      <c r="U50" s="1"/>
      <c r="V50" s="1"/>
      <c r="W50" s="1"/>
      <c r="X50" s="1"/>
      <c r="Y50" s="1"/>
      <c r="Z50" s="1"/>
      <c r="AA50" s="1"/>
    </row>
    <row r="51" spans="1:27" ht="19" x14ac:dyDescent="0.25">
      <c r="A51" s="1"/>
      <c r="B51" s="1"/>
      <c r="C51" s="241">
        <f t="shared" si="3"/>
        <v>10</v>
      </c>
      <c r="D51" s="246">
        <v>2169.38</v>
      </c>
      <c r="E51" s="85">
        <v>1507.7928999999999</v>
      </c>
      <c r="F51" s="67">
        <f t="shared" si="2"/>
        <v>45202575686970</v>
      </c>
      <c r="G51" s="86">
        <v>1.0186999999999999</v>
      </c>
      <c r="H51" s="101"/>
      <c r="K51" s="1"/>
      <c r="L51" s="1"/>
      <c r="M51" s="1"/>
      <c r="N51" s="1"/>
      <c r="O51" s="1"/>
      <c r="P51" s="1"/>
      <c r="Q51" s="1"/>
      <c r="R51" s="1"/>
      <c r="S51" s="1"/>
      <c r="T51" s="1"/>
      <c r="U51" s="1"/>
      <c r="V51" s="1"/>
      <c r="W51" s="1"/>
      <c r="X51" s="1"/>
      <c r="Y51" s="1"/>
      <c r="Z51" s="1"/>
      <c r="AA51" s="1"/>
    </row>
    <row r="52" spans="1:27" ht="19" x14ac:dyDescent="0.25">
      <c r="A52" s="1"/>
      <c r="B52" s="1"/>
      <c r="C52" s="241">
        <f t="shared" si="3"/>
        <v>11</v>
      </c>
      <c r="D52" s="246">
        <v>2170.9699999999998</v>
      </c>
      <c r="E52" s="85">
        <v>1508.9046000000001</v>
      </c>
      <c r="F52" s="67">
        <f t="shared" si="2"/>
        <v>45235903674780</v>
      </c>
      <c r="G52" s="86">
        <v>1.0620000000000001</v>
      </c>
      <c r="H52" s="101"/>
      <c r="K52" s="1"/>
      <c r="L52" s="1"/>
      <c r="M52" s="1"/>
      <c r="N52" s="1"/>
      <c r="O52" s="1"/>
      <c r="P52" s="1"/>
      <c r="Q52" s="1"/>
      <c r="R52" s="1"/>
      <c r="S52" s="1"/>
      <c r="T52" s="1"/>
      <c r="U52" s="1"/>
      <c r="V52" s="1"/>
      <c r="W52" s="1"/>
      <c r="X52" s="1"/>
      <c r="Y52" s="1"/>
      <c r="Z52" s="1"/>
      <c r="AA52" s="1"/>
    </row>
    <row r="53" spans="1:27" ht="19" x14ac:dyDescent="0.25">
      <c r="A53" s="1"/>
      <c r="B53" s="1"/>
      <c r="C53" s="241">
        <f t="shared" si="3"/>
        <v>12</v>
      </c>
      <c r="D53" s="246">
        <v>2171.83</v>
      </c>
      <c r="E53" s="85">
        <v>1509.4971</v>
      </c>
      <c r="F53" s="67">
        <f t="shared" si="2"/>
        <v>45253666410030</v>
      </c>
      <c r="G53" s="86">
        <v>1.0622</v>
      </c>
      <c r="H53" s="101"/>
      <c r="K53" s="1"/>
      <c r="L53" s="1"/>
      <c r="M53" s="1"/>
      <c r="N53" s="1"/>
      <c r="O53" s="1"/>
      <c r="P53" s="1"/>
      <c r="Q53" s="1"/>
      <c r="R53" s="1"/>
      <c r="S53" s="1"/>
      <c r="T53" s="1"/>
      <c r="U53" s="1"/>
      <c r="V53" s="1"/>
      <c r="W53" s="1"/>
      <c r="X53" s="1"/>
      <c r="Y53" s="1"/>
      <c r="Z53" s="1"/>
      <c r="AA53" s="1"/>
    </row>
    <row r="54" spans="1:27" ht="19" x14ac:dyDescent="0.25">
      <c r="A54" s="1"/>
      <c r="B54" s="1"/>
      <c r="C54" s="241">
        <f t="shared" si="3"/>
        <v>13</v>
      </c>
      <c r="D54" s="246">
        <v>4372.25</v>
      </c>
      <c r="E54" s="85">
        <v>3038.8712</v>
      </c>
      <c r="F54" s="67">
        <f t="shared" si="2"/>
        <v>91103231366160</v>
      </c>
      <c r="G54" s="86">
        <v>1.034</v>
      </c>
      <c r="H54" s="101"/>
      <c r="K54" s="1"/>
      <c r="L54" s="1"/>
      <c r="M54" s="1"/>
      <c r="N54" s="1"/>
      <c r="O54" s="1"/>
      <c r="P54" s="1"/>
      <c r="Q54" s="1"/>
      <c r="R54" s="1"/>
      <c r="S54" s="1"/>
      <c r="T54" s="1"/>
      <c r="U54" s="1"/>
      <c r="V54" s="1"/>
      <c r="W54" s="1"/>
      <c r="X54" s="1"/>
      <c r="Y54" s="1"/>
      <c r="Z54" s="1"/>
      <c r="AA54" s="1"/>
    </row>
    <row r="55" spans="1:27" ht="19" x14ac:dyDescent="0.25">
      <c r="A55" s="1"/>
      <c r="B55" s="1"/>
      <c r="C55" s="241">
        <f t="shared" si="3"/>
        <v>14</v>
      </c>
      <c r="D55" s="246">
        <v>4373.6899999999996</v>
      </c>
      <c r="E55" s="85">
        <v>3039.8696</v>
      </c>
      <c r="F55" s="67">
        <f t="shared" si="2"/>
        <v>91133162699280</v>
      </c>
      <c r="G55" s="86">
        <v>1.0366</v>
      </c>
      <c r="H55" s="1"/>
      <c r="K55" s="1"/>
      <c r="L55" s="1"/>
      <c r="M55" s="1"/>
      <c r="N55" s="1"/>
      <c r="O55" s="1"/>
      <c r="P55" s="1"/>
      <c r="Q55" s="1"/>
      <c r="R55" s="1"/>
      <c r="S55" s="1"/>
      <c r="T55" s="1"/>
      <c r="U55" s="1"/>
      <c r="V55" s="1"/>
      <c r="W55" s="1"/>
      <c r="X55" s="1"/>
      <c r="Y55" s="1"/>
      <c r="Z55" s="1"/>
      <c r="AA55" s="1"/>
    </row>
    <row r="56" spans="1:27" ht="19" x14ac:dyDescent="0.25">
      <c r="A56" s="1"/>
      <c r="B56" s="1"/>
      <c r="C56" s="241">
        <f t="shared" si="3"/>
        <v>15</v>
      </c>
      <c r="D56" s="246">
        <v>4448.09</v>
      </c>
      <c r="E56" s="85">
        <v>3091.5839000000001</v>
      </c>
      <c r="F56" s="67">
        <f t="shared" si="2"/>
        <v>92683521213270</v>
      </c>
      <c r="G56" s="86">
        <v>1.1015999999999999</v>
      </c>
      <c r="H56" s="1"/>
      <c r="K56" s="1"/>
      <c r="L56" s="1"/>
      <c r="M56" s="1"/>
      <c r="N56" s="1"/>
      <c r="O56" s="1"/>
      <c r="P56" s="1"/>
      <c r="Q56" s="1"/>
      <c r="R56" s="1"/>
      <c r="S56" s="1"/>
      <c r="T56" s="1"/>
      <c r="U56" s="1"/>
      <c r="V56" s="1"/>
      <c r="W56" s="1"/>
      <c r="X56" s="1"/>
      <c r="Y56" s="1"/>
      <c r="Z56" s="1"/>
      <c r="AA56" s="1"/>
    </row>
    <row r="57" spans="1:27" ht="19" x14ac:dyDescent="0.25">
      <c r="A57" s="1"/>
      <c r="B57" s="1"/>
      <c r="C57" s="241">
        <f t="shared" si="3"/>
        <v>16</v>
      </c>
      <c r="D57" s="246">
        <v>4452.03</v>
      </c>
      <c r="E57" s="85">
        <v>3094.3207000000002</v>
      </c>
      <c r="F57" s="67">
        <f t="shared" si="2"/>
        <v>92765568561510</v>
      </c>
      <c r="G57" s="86">
        <v>1.1015999999999999</v>
      </c>
      <c r="H57" s="1"/>
      <c r="K57" s="1"/>
      <c r="L57" s="1"/>
      <c r="M57" s="1"/>
      <c r="N57" s="1"/>
      <c r="O57" s="1"/>
      <c r="P57" s="1"/>
      <c r="Q57" s="1"/>
      <c r="R57" s="1"/>
      <c r="S57" s="1"/>
      <c r="T57" s="1"/>
      <c r="U57" s="1"/>
      <c r="V57" s="1"/>
      <c r="W57" s="1"/>
      <c r="X57" s="1"/>
      <c r="Y57" s="1"/>
      <c r="Z57" s="1"/>
      <c r="AA57" s="1"/>
    </row>
    <row r="58" spans="1:27" ht="19" x14ac:dyDescent="0.25">
      <c r="A58" s="1"/>
      <c r="B58" s="1"/>
      <c r="C58" s="241">
        <f t="shared" si="3"/>
        <v>17</v>
      </c>
      <c r="D58" s="246">
        <v>4481.8</v>
      </c>
      <c r="E58" s="85">
        <v>3115.0074</v>
      </c>
      <c r="F58" s="67">
        <f t="shared" si="2"/>
        <v>93385741346820</v>
      </c>
      <c r="G58" s="86">
        <v>1.1028</v>
      </c>
      <c r="H58" s="1"/>
      <c r="K58" s="1"/>
      <c r="L58" s="1"/>
      <c r="M58" s="1"/>
      <c r="N58" s="1"/>
      <c r="O58" s="1"/>
      <c r="P58" s="1"/>
      <c r="Q58" s="1"/>
      <c r="R58" s="1"/>
      <c r="S58" s="1"/>
      <c r="T58" s="1"/>
      <c r="U58" s="1"/>
      <c r="V58" s="1"/>
      <c r="W58" s="1"/>
      <c r="X58" s="1"/>
      <c r="Y58" s="1"/>
      <c r="Z58" s="1"/>
      <c r="AA58" s="1"/>
    </row>
    <row r="59" spans="1:27" ht="20" thickBot="1" x14ac:dyDescent="0.3">
      <c r="A59" s="1"/>
      <c r="B59" s="1"/>
      <c r="C59" s="242">
        <f t="shared" si="3"/>
        <v>18</v>
      </c>
      <c r="D59" s="247">
        <v>4485.74</v>
      </c>
      <c r="E59" s="87">
        <v>3117.7501999999999</v>
      </c>
      <c r="F59" s="69">
        <f t="shared" si="2"/>
        <v>93467968570860</v>
      </c>
      <c r="G59" s="88">
        <v>1.1028</v>
      </c>
      <c r="H59" s="1"/>
      <c r="K59" s="1"/>
      <c r="L59" s="1"/>
      <c r="M59" s="1"/>
      <c r="N59" s="1"/>
      <c r="O59" s="1"/>
      <c r="P59" s="1"/>
      <c r="Q59" s="1"/>
      <c r="R59" s="1"/>
      <c r="S59" s="1"/>
      <c r="T59" s="1"/>
      <c r="U59" s="1"/>
      <c r="V59" s="1"/>
      <c r="W59" s="1"/>
      <c r="X59" s="1"/>
      <c r="Y59" s="1"/>
      <c r="Z59" s="1"/>
      <c r="AA59" s="1"/>
    </row>
    <row r="60" spans="1:27" ht="19" x14ac:dyDescent="0.25">
      <c r="A60" s="1"/>
      <c r="B60" s="1"/>
      <c r="C60" s="1"/>
      <c r="D60" s="1"/>
      <c r="E60" s="1"/>
      <c r="F60" s="1"/>
      <c r="G60" s="1"/>
      <c r="H60" s="1"/>
      <c r="K60" s="1"/>
      <c r="L60" s="1"/>
      <c r="M60" s="1"/>
      <c r="N60" s="1"/>
      <c r="O60" s="1"/>
      <c r="P60" s="1"/>
      <c r="Q60" s="1"/>
      <c r="R60" s="1"/>
      <c r="S60" s="1"/>
      <c r="T60" s="1"/>
      <c r="U60" s="1"/>
      <c r="V60" s="1"/>
      <c r="W60" s="1"/>
      <c r="X60" s="1"/>
      <c r="Y60" s="1"/>
      <c r="Z60" s="1"/>
      <c r="AA60" s="1"/>
    </row>
    <row r="61" spans="1:27" ht="19"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34" thickBot="1" x14ac:dyDescent="0.5">
      <c r="A62" s="249" t="s">
        <v>126</v>
      </c>
      <c r="B62" s="249"/>
      <c r="C62" s="249"/>
      <c r="D62" s="249"/>
      <c r="E62" s="249"/>
      <c r="F62" s="249"/>
      <c r="G62" s="249"/>
      <c r="H62" s="249"/>
      <c r="I62" s="249"/>
      <c r="J62" s="249"/>
      <c r="K62" s="249"/>
      <c r="L62" s="249"/>
      <c r="M62" s="249"/>
      <c r="N62" s="249"/>
      <c r="O62" s="249"/>
      <c r="P62" s="249"/>
      <c r="Q62" s="249"/>
      <c r="R62" s="249"/>
      <c r="S62" s="249"/>
      <c r="T62" s="249"/>
      <c r="U62" s="249"/>
      <c r="V62" s="249"/>
      <c r="W62" s="1"/>
      <c r="X62" s="1"/>
      <c r="Y62" s="1"/>
      <c r="Z62" s="1"/>
      <c r="AA62" s="1"/>
    </row>
    <row r="63" spans="1:27" ht="20" thickTop="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9" x14ac:dyDescent="0.25">
      <c r="A64" s="1"/>
      <c r="B64" s="1"/>
      <c r="C64" s="1"/>
      <c r="D64" s="1"/>
      <c r="E64" s="1"/>
      <c r="F64" s="1" t="s">
        <v>66</v>
      </c>
      <c r="G64" s="1"/>
      <c r="H64" s="1"/>
      <c r="I64" s="1"/>
      <c r="J64" s="1"/>
      <c r="K64" s="1"/>
      <c r="L64" s="1"/>
      <c r="M64" s="1"/>
      <c r="N64" s="1"/>
      <c r="O64" s="1"/>
      <c r="Q64" s="1"/>
      <c r="R64" s="1"/>
      <c r="S64" s="1"/>
      <c r="T64" s="1"/>
      <c r="U64" s="1"/>
      <c r="V64" s="1"/>
      <c r="W64" s="1"/>
      <c r="X64" s="1"/>
      <c r="Y64" s="1"/>
      <c r="Z64" s="1"/>
      <c r="AA64" s="1"/>
    </row>
    <row r="65" spans="2:27" ht="27" x14ac:dyDescent="0.35">
      <c r="B65" s="1"/>
      <c r="C65" s="126" t="s">
        <v>75</v>
      </c>
      <c r="D65" s="127"/>
      <c r="E65" s="1"/>
      <c r="F65" s="1"/>
      <c r="G65" s="1"/>
      <c r="H65" s="1"/>
      <c r="I65" s="1"/>
      <c r="J65" s="1"/>
      <c r="K65" s="1"/>
      <c r="L65" s="1"/>
      <c r="M65" s="1"/>
      <c r="N65" s="1"/>
      <c r="O65" s="1"/>
      <c r="Q65" s="1"/>
      <c r="R65" s="1"/>
      <c r="S65" s="1"/>
      <c r="T65" s="1"/>
      <c r="U65" s="1"/>
      <c r="V65" s="1"/>
      <c r="W65" s="1"/>
      <c r="X65" s="1"/>
      <c r="Y65" s="1"/>
      <c r="Z65" s="1"/>
      <c r="AA65" s="1"/>
    </row>
    <row r="66" spans="2:27" ht="19" x14ac:dyDescent="0.25">
      <c r="B66" s="1"/>
      <c r="C66" s="1"/>
      <c r="D66" s="1"/>
      <c r="E66" s="1"/>
      <c r="F66" s="1"/>
      <c r="G66" s="1"/>
      <c r="H66" s="1"/>
      <c r="I66" s="1"/>
      <c r="J66" s="1"/>
      <c r="K66" s="1"/>
      <c r="L66" s="1"/>
      <c r="M66" s="1"/>
      <c r="N66" s="1"/>
      <c r="O66" s="1"/>
      <c r="Q66" s="1"/>
      <c r="R66" s="1"/>
      <c r="S66" s="1"/>
      <c r="T66" s="1"/>
      <c r="U66" s="1"/>
      <c r="V66" s="1"/>
      <c r="W66" s="1"/>
      <c r="X66" s="1"/>
      <c r="Y66" s="1"/>
      <c r="Z66" s="1"/>
      <c r="AA66" s="1"/>
    </row>
    <row r="67" spans="2:27" ht="19" x14ac:dyDescent="0.25">
      <c r="B67" s="1"/>
      <c r="C67" s="1"/>
      <c r="D67" s="1"/>
      <c r="E67" s="1"/>
      <c r="F67" s="1"/>
      <c r="G67" s="1"/>
      <c r="H67" s="1"/>
      <c r="I67" s="1"/>
      <c r="J67" s="1"/>
      <c r="K67" s="1"/>
      <c r="L67" s="1"/>
      <c r="M67" s="1"/>
      <c r="N67" s="1"/>
      <c r="O67" s="1"/>
      <c r="Q67" s="1"/>
      <c r="R67" s="1"/>
      <c r="S67" s="1"/>
      <c r="T67" s="1"/>
      <c r="U67" s="1"/>
      <c r="V67" s="1"/>
      <c r="W67" s="1"/>
      <c r="X67" s="1"/>
      <c r="Y67" s="1"/>
      <c r="Z67" s="1"/>
      <c r="AA67" s="1"/>
    </row>
    <row r="68" spans="2:27" ht="19" x14ac:dyDescent="0.25">
      <c r="B68" s="1"/>
      <c r="D68" s="1"/>
      <c r="E68" s="1"/>
      <c r="F68" s="1"/>
      <c r="G68" s="1"/>
      <c r="H68" s="1"/>
      <c r="I68" s="1"/>
      <c r="J68" s="1"/>
      <c r="K68" s="1"/>
      <c r="L68" s="1"/>
      <c r="M68" s="1"/>
      <c r="N68" s="1"/>
      <c r="O68" s="1"/>
      <c r="Q68" s="1"/>
      <c r="R68" s="1"/>
      <c r="S68" s="1"/>
      <c r="T68" s="1"/>
      <c r="U68" s="1"/>
      <c r="V68" s="1"/>
      <c r="W68" s="1"/>
      <c r="X68" s="1"/>
      <c r="Y68" s="1"/>
      <c r="Z68" s="1"/>
      <c r="AA68" s="1"/>
    </row>
    <row r="69" spans="2:27" ht="19" x14ac:dyDescent="0.25">
      <c r="B69" s="1"/>
      <c r="C69" s="1"/>
      <c r="D69" s="1"/>
      <c r="E69" s="1"/>
      <c r="F69" s="1"/>
      <c r="G69" s="1"/>
      <c r="H69" s="1"/>
      <c r="I69" s="1"/>
      <c r="J69" s="1"/>
      <c r="K69" s="1"/>
      <c r="L69" s="1"/>
      <c r="M69" s="1"/>
      <c r="N69" s="1"/>
      <c r="O69" s="1"/>
      <c r="Q69" s="1"/>
      <c r="R69" s="1"/>
      <c r="S69" s="1"/>
      <c r="T69" s="1"/>
      <c r="U69" s="1"/>
      <c r="V69" s="1"/>
      <c r="W69" s="1"/>
      <c r="X69" s="1"/>
      <c r="Y69" s="1"/>
      <c r="Z69" s="1"/>
      <c r="AA69" s="1"/>
    </row>
    <row r="70" spans="2:27" ht="19" x14ac:dyDescent="0.25">
      <c r="B70" s="1"/>
      <c r="C70" s="1"/>
      <c r="D70" s="1"/>
      <c r="E70" s="1"/>
      <c r="F70" s="1"/>
      <c r="G70" s="1"/>
      <c r="H70" s="1"/>
      <c r="I70" s="1"/>
      <c r="J70" s="1"/>
      <c r="K70" s="1"/>
      <c r="L70" s="1"/>
      <c r="M70" s="1"/>
      <c r="N70" s="1"/>
      <c r="O70" s="1"/>
      <c r="Q70" s="1"/>
      <c r="R70" s="1"/>
      <c r="S70" s="1"/>
      <c r="T70" s="1"/>
      <c r="U70" s="1"/>
      <c r="V70" s="1"/>
      <c r="W70" s="1"/>
      <c r="X70" s="1"/>
      <c r="Y70" s="1"/>
      <c r="Z70" s="1"/>
      <c r="AA70" s="1"/>
    </row>
    <row r="71" spans="2:27" ht="19" x14ac:dyDescent="0.25">
      <c r="B71" s="1"/>
      <c r="C71" s="1"/>
      <c r="D71" s="1"/>
      <c r="E71" s="1"/>
      <c r="F71" s="1"/>
      <c r="G71" s="1"/>
      <c r="H71" s="1"/>
      <c r="I71" s="1"/>
      <c r="J71" s="1"/>
      <c r="K71" s="1"/>
      <c r="L71" s="1"/>
      <c r="M71" s="1"/>
      <c r="N71" s="1"/>
      <c r="O71" s="1"/>
      <c r="Q71" s="1"/>
      <c r="R71" s="1"/>
      <c r="S71" s="1"/>
      <c r="T71" s="1"/>
      <c r="U71" s="1"/>
      <c r="V71" s="1"/>
      <c r="W71" s="1"/>
      <c r="X71" s="1"/>
      <c r="Y71" s="1"/>
      <c r="Z71" s="1"/>
      <c r="AA71" s="1"/>
    </row>
    <row r="72" spans="2:27" ht="20" thickBot="1" x14ac:dyDescent="0.3">
      <c r="B72" s="1"/>
      <c r="C72" s="1"/>
      <c r="D72" s="1"/>
      <c r="E72" s="1"/>
      <c r="F72" s="1"/>
      <c r="G72" s="1"/>
      <c r="H72" s="1"/>
      <c r="I72" s="1"/>
      <c r="J72" s="1"/>
      <c r="K72" s="1"/>
      <c r="L72" s="1"/>
      <c r="M72" s="1"/>
      <c r="N72" s="1"/>
      <c r="O72" s="1"/>
      <c r="Q72" s="1"/>
      <c r="R72" s="1"/>
      <c r="S72" s="1"/>
      <c r="T72" s="1"/>
      <c r="U72" s="1"/>
      <c r="V72" s="1"/>
      <c r="W72" s="1"/>
      <c r="X72" s="1"/>
      <c r="Y72" s="1"/>
      <c r="Z72" s="1"/>
      <c r="AA72" s="1"/>
    </row>
    <row r="73" spans="2:27" ht="30" customHeight="1" thickBot="1" x14ac:dyDescent="0.35">
      <c r="B73" s="1"/>
      <c r="C73" s="155" t="s">
        <v>68</v>
      </c>
      <c r="D73" s="151" t="s">
        <v>67</v>
      </c>
      <c r="E73" s="155" t="s">
        <v>77</v>
      </c>
      <c r="F73" s="1"/>
      <c r="G73" s="1"/>
      <c r="H73" s="160" t="s">
        <v>83</v>
      </c>
      <c r="I73" s="161"/>
      <c r="J73" s="161"/>
      <c r="K73" s="161"/>
      <c r="L73" s="161"/>
      <c r="M73" s="161"/>
      <c r="N73" s="161"/>
      <c r="O73" s="1"/>
      <c r="Q73" s="1"/>
      <c r="R73" s="1"/>
      <c r="S73" s="1"/>
      <c r="T73" s="1"/>
      <c r="U73" s="1"/>
      <c r="V73" s="1"/>
      <c r="W73" s="1"/>
      <c r="X73" s="1"/>
      <c r="Y73" s="1"/>
      <c r="Z73" s="1"/>
      <c r="AA73" s="1"/>
    </row>
    <row r="74" spans="2:27" ht="20" thickBot="1" x14ac:dyDescent="0.3">
      <c r="B74" s="1"/>
      <c r="C74" s="148">
        <v>300</v>
      </c>
      <c r="D74" s="157">
        <f t="shared" ref="D74:D91" si="5">C74*$B$8/$B$16</f>
        <v>4.0877868245743891E-26</v>
      </c>
      <c r="E74" s="152">
        <f xml:space="preserve"> (2*PI()*$A$28*$U$9*$B$8*C74/($B$14^2))^(3/2)*D74</f>
        <v>6571437.4429959673</v>
      </c>
      <c r="F74" s="4"/>
      <c r="G74" s="1"/>
      <c r="H74" s="1"/>
      <c r="I74" s="1"/>
      <c r="J74" s="1"/>
      <c r="K74" s="1"/>
      <c r="L74" s="1"/>
      <c r="M74" s="1"/>
      <c r="N74" s="1"/>
      <c r="O74" s="1"/>
      <c r="Q74" s="1"/>
      <c r="R74" s="1"/>
      <c r="S74" s="1"/>
      <c r="T74" s="1"/>
      <c r="U74" s="1"/>
      <c r="V74" s="1"/>
      <c r="W74" s="1"/>
      <c r="X74" s="1"/>
      <c r="Y74" s="1"/>
      <c r="Z74" s="1"/>
      <c r="AA74" s="1"/>
    </row>
    <row r="75" spans="2:27" ht="20" thickBot="1" x14ac:dyDescent="0.3">
      <c r="B75" s="1"/>
      <c r="C75" s="149">
        <f>C74+100</f>
        <v>400</v>
      </c>
      <c r="D75" s="158">
        <f t="shared" si="5"/>
        <v>5.4503824327658529E-26</v>
      </c>
      <c r="E75" s="153">
        <f t="shared" ref="E75:E91" si="6" xml:space="preserve"> (2*PI()*$A$28*$U$9*$B$8*C75/($B$14^2))^(3/2)*D75</f>
        <v>13489853.072627708</v>
      </c>
      <c r="F75" s="1"/>
      <c r="G75" s="1"/>
      <c r="L75" s="155" t="s">
        <v>82</v>
      </c>
      <c r="M75" s="1"/>
      <c r="N75" s="1"/>
      <c r="O75" s="1"/>
      <c r="Q75" s="1"/>
      <c r="R75" s="1"/>
      <c r="S75" s="1"/>
      <c r="T75" s="1"/>
      <c r="U75" s="1"/>
      <c r="V75" s="1"/>
      <c r="W75" s="1"/>
      <c r="X75" s="1"/>
      <c r="Y75" s="1"/>
      <c r="Z75" s="1"/>
      <c r="AA75" s="1"/>
    </row>
    <row r="76" spans="2:27" ht="19" x14ac:dyDescent="0.25">
      <c r="B76" s="1"/>
      <c r="C76" s="149">
        <f t="shared" ref="C76:C91" si="7">C75+100</f>
        <v>500</v>
      </c>
      <c r="D76" s="158">
        <f t="shared" si="5"/>
        <v>6.812978040957315E-26</v>
      </c>
      <c r="E76" s="153">
        <f t="shared" si="6"/>
        <v>23565803.497562602</v>
      </c>
      <c r="F76" s="1"/>
      <c r="G76" s="1"/>
      <c r="K76" s="80" t="s">
        <v>79</v>
      </c>
      <c r="L76" s="130">
        <f xml:space="preserve"> (2*PI()*$A$28*$U$9*$B$8*A22/($B$14^2))^(3/2)*D74</f>
        <v>6510745.4546223069</v>
      </c>
      <c r="M76" s="1"/>
      <c r="N76" s="1"/>
      <c r="O76" s="1"/>
      <c r="Q76" s="1"/>
      <c r="R76" s="1"/>
      <c r="S76" s="1"/>
      <c r="T76" s="1"/>
      <c r="U76" s="1"/>
      <c r="V76" s="1"/>
      <c r="W76" s="1"/>
      <c r="X76" s="1"/>
      <c r="Y76" s="1"/>
      <c r="Z76" s="1"/>
      <c r="AA76" s="1"/>
    </row>
    <row r="77" spans="2:27" ht="20" thickBot="1" x14ac:dyDescent="0.3">
      <c r="B77" s="1"/>
      <c r="C77" s="149">
        <f t="shared" si="7"/>
        <v>600</v>
      </c>
      <c r="D77" s="158">
        <f t="shared" si="5"/>
        <v>8.1755736491487783E-26</v>
      </c>
      <c r="E77" s="153">
        <f t="shared" si="6"/>
        <v>37173663.824685179</v>
      </c>
      <c r="F77" s="1"/>
      <c r="G77" s="1"/>
      <c r="K77" s="81" t="s">
        <v>80</v>
      </c>
      <c r="L77" s="132">
        <f>P33</f>
        <v>6473750</v>
      </c>
      <c r="M77" s="1"/>
      <c r="N77" s="1"/>
      <c r="O77" s="1"/>
      <c r="Q77" s="1"/>
      <c r="R77" s="1"/>
      <c r="S77" s="1"/>
      <c r="T77" s="1"/>
      <c r="U77" s="1"/>
      <c r="V77" s="1"/>
      <c r="W77" s="1"/>
      <c r="X77" s="1"/>
      <c r="Y77" s="1"/>
      <c r="Z77" s="1"/>
      <c r="AA77" s="1"/>
    </row>
    <row r="78" spans="2:27" ht="22" x14ac:dyDescent="0.3">
      <c r="B78" s="1"/>
      <c r="C78" s="149">
        <f t="shared" si="7"/>
        <v>700</v>
      </c>
      <c r="D78" s="158">
        <f t="shared" si="5"/>
        <v>9.5381692573402415E-26</v>
      </c>
      <c r="E78" s="153">
        <f t="shared" si="6"/>
        <v>54651532.068616025</v>
      </c>
      <c r="F78" s="1"/>
      <c r="G78" s="1"/>
      <c r="H78" s="1"/>
      <c r="I78" s="1"/>
      <c r="K78" s="25" t="s">
        <v>81</v>
      </c>
      <c r="L78" s="162">
        <f>ABS(L76-L77)/L76</f>
        <v>5.6822148677371379E-3</v>
      </c>
      <c r="M78" s="1"/>
      <c r="N78" s="1"/>
      <c r="O78" s="1"/>
      <c r="Q78" s="1"/>
      <c r="R78" s="1"/>
      <c r="S78" s="1"/>
      <c r="T78" s="1"/>
      <c r="U78" s="1"/>
      <c r="V78" s="1"/>
      <c r="W78" s="1"/>
      <c r="X78" s="1"/>
      <c r="Y78" s="1"/>
      <c r="Z78" s="1"/>
      <c r="AA78" s="1"/>
    </row>
    <row r="79" spans="2:27" ht="19" x14ac:dyDescent="0.25">
      <c r="B79" s="1"/>
      <c r="C79" s="149">
        <f t="shared" si="7"/>
        <v>800</v>
      </c>
      <c r="D79" s="158">
        <f t="shared" si="5"/>
        <v>1.0900764865531706E-25</v>
      </c>
      <c r="E79" s="153">
        <f t="shared" si="6"/>
        <v>76310132.678922117</v>
      </c>
      <c r="F79" s="1"/>
      <c r="G79" s="1"/>
      <c r="Q79" s="1"/>
      <c r="R79" s="1"/>
      <c r="S79" s="1"/>
      <c r="T79" s="1"/>
      <c r="U79" s="1"/>
      <c r="V79" s="1"/>
      <c r="W79" s="1"/>
      <c r="X79" s="1"/>
      <c r="Y79" s="1"/>
      <c r="Z79" s="1"/>
      <c r="AA79" s="1"/>
    </row>
    <row r="80" spans="2:27" ht="19" x14ac:dyDescent="0.25">
      <c r="B80" s="1"/>
      <c r="C80" s="149">
        <f t="shared" si="7"/>
        <v>900</v>
      </c>
      <c r="D80" s="158">
        <f t="shared" si="5"/>
        <v>1.2263360473723168E-25</v>
      </c>
      <c r="E80" s="153">
        <f t="shared" si="6"/>
        <v>102438571.7702668</v>
      </c>
      <c r="F80" s="1"/>
      <c r="G80" s="1"/>
      <c r="Q80" s="1"/>
      <c r="R80" s="1"/>
      <c r="S80" s="1"/>
      <c r="T80" s="1"/>
      <c r="U80" s="1"/>
      <c r="V80" s="1"/>
      <c r="W80" s="1"/>
      <c r="X80" s="1"/>
      <c r="Y80" s="1"/>
      <c r="Z80" s="1"/>
      <c r="AA80" s="1"/>
    </row>
    <row r="81" spans="2:27" ht="19" x14ac:dyDescent="0.25">
      <c r="B81" s="1"/>
      <c r="C81" s="149">
        <f t="shared" si="7"/>
        <v>1000</v>
      </c>
      <c r="D81" s="158">
        <f t="shared" si="5"/>
        <v>1.362595608191463E-25</v>
      </c>
      <c r="E81" s="153">
        <f t="shared" si="6"/>
        <v>133308315.65788789</v>
      </c>
      <c r="F81" s="1"/>
      <c r="G81" s="1"/>
      <c r="Q81" s="1"/>
      <c r="R81" s="1"/>
      <c r="S81" s="1"/>
      <c r="T81" s="1"/>
      <c r="U81" s="1"/>
      <c r="V81" s="1"/>
      <c r="W81" s="1"/>
      <c r="X81" s="1"/>
      <c r="Y81" s="1"/>
      <c r="Z81" s="1"/>
      <c r="AA81" s="1"/>
    </row>
    <row r="82" spans="2:27" ht="19" x14ac:dyDescent="0.25">
      <c r="C82" s="149">
        <f t="shared" si="7"/>
        <v>1100</v>
      </c>
      <c r="D82" s="158">
        <f t="shared" si="5"/>
        <v>1.4988551690106094E-25</v>
      </c>
      <c r="E82" s="153">
        <f t="shared" si="6"/>
        <v>169176078.60595047</v>
      </c>
    </row>
    <row r="83" spans="2:27" ht="19" x14ac:dyDescent="0.25">
      <c r="C83" s="149">
        <f t="shared" si="7"/>
        <v>1200</v>
      </c>
      <c r="D83" s="158">
        <f t="shared" si="5"/>
        <v>1.6351147298297557E-25</v>
      </c>
      <c r="E83" s="153">
        <f t="shared" si="6"/>
        <v>210285998.17587215</v>
      </c>
    </row>
    <row r="84" spans="2:27" ht="19" x14ac:dyDescent="0.25">
      <c r="C84" s="149">
        <f t="shared" si="7"/>
        <v>1300</v>
      </c>
      <c r="D84" s="158">
        <f t="shared" si="5"/>
        <v>1.7713742906489019E-25</v>
      </c>
      <c r="E84" s="153">
        <f t="shared" si="6"/>
        <v>256871322.65187597</v>
      </c>
    </row>
    <row r="85" spans="2:27" ht="19" x14ac:dyDescent="0.25">
      <c r="C85" s="149">
        <f t="shared" si="7"/>
        <v>1400</v>
      </c>
      <c r="D85" s="158">
        <f t="shared" si="5"/>
        <v>1.9076338514680483E-25</v>
      </c>
      <c r="E85" s="153">
        <f t="shared" si="6"/>
        <v>309155751.42362052</v>
      </c>
    </row>
    <row r="86" spans="2:27" ht="19" x14ac:dyDescent="0.25">
      <c r="C86" s="149">
        <f t="shared" si="7"/>
        <v>1500</v>
      </c>
      <c r="D86" s="158">
        <f t="shared" si="5"/>
        <v>2.043893412287195E-25</v>
      </c>
      <c r="E86" s="153">
        <f t="shared" si="6"/>
        <v>367354520.81066382</v>
      </c>
    </row>
    <row r="87" spans="2:27" ht="19" x14ac:dyDescent="0.25">
      <c r="C87" s="149">
        <f t="shared" si="7"/>
        <v>1600</v>
      </c>
      <c r="D87" s="158">
        <f t="shared" si="5"/>
        <v>2.1801529731063412E-25</v>
      </c>
      <c r="E87" s="153">
        <f t="shared" si="6"/>
        <v>431675298.32408905</v>
      </c>
    </row>
    <row r="88" spans="2:27" ht="19" x14ac:dyDescent="0.25">
      <c r="C88" s="149">
        <f t="shared" si="7"/>
        <v>1700</v>
      </c>
      <c r="D88" s="158">
        <f t="shared" si="5"/>
        <v>2.3164125339254876E-25</v>
      </c>
      <c r="E88" s="153">
        <f t="shared" si="6"/>
        <v>502318929.61670303</v>
      </c>
    </row>
    <row r="89" spans="2:27" ht="19" x14ac:dyDescent="0.25">
      <c r="C89" s="149">
        <f t="shared" si="7"/>
        <v>1800</v>
      </c>
      <c r="D89" s="158">
        <f t="shared" si="5"/>
        <v>2.4526720947446336E-25</v>
      </c>
      <c r="E89" s="153">
        <f t="shared" si="6"/>
        <v>579480070.03056562</v>
      </c>
    </row>
    <row r="90" spans="2:27" ht="19" x14ac:dyDescent="0.25">
      <c r="C90" s="149">
        <f t="shared" si="7"/>
        <v>1900</v>
      </c>
      <c r="D90" s="158">
        <f t="shared" si="5"/>
        <v>2.58893165556378E-25</v>
      </c>
      <c r="E90" s="153">
        <f t="shared" si="6"/>
        <v>663347724.27354527</v>
      </c>
    </row>
    <row r="91" spans="2:27" ht="20" thickBot="1" x14ac:dyDescent="0.3">
      <c r="C91" s="150">
        <f t="shared" si="7"/>
        <v>2000</v>
      </c>
      <c r="D91" s="159">
        <f t="shared" si="5"/>
        <v>2.725191216382926E-25</v>
      </c>
      <c r="E91" s="154">
        <f t="shared" si="6"/>
        <v>754105711.92199683</v>
      </c>
    </row>
    <row r="101" spans="3:29" ht="22" customHeight="1" x14ac:dyDescent="0.25">
      <c r="F101" s="1" t="s">
        <v>66</v>
      </c>
    </row>
    <row r="102" spans="3:29" ht="27" x14ac:dyDescent="0.35">
      <c r="C102" s="126" t="s">
        <v>84</v>
      </c>
      <c r="D102" s="163"/>
      <c r="E102" s="1"/>
      <c r="F102" s="1"/>
      <c r="G102" s="1"/>
    </row>
    <row r="103" spans="3:29" ht="19" x14ac:dyDescent="0.25">
      <c r="E103" s="1"/>
      <c r="G103" s="1"/>
    </row>
    <row r="104" spans="3:29" ht="20" thickBot="1" x14ac:dyDescent="0.3">
      <c r="E104" s="1"/>
      <c r="F104" s="1"/>
      <c r="G104" s="1"/>
    </row>
    <row r="105" spans="3:29" ht="20" thickBot="1" x14ac:dyDescent="0.3">
      <c r="C105" s="172" t="s">
        <v>86</v>
      </c>
      <c r="E105" s="1"/>
      <c r="F105" s="1"/>
      <c r="G105" s="1"/>
    </row>
    <row r="106" spans="3:29" ht="22" thickBot="1" x14ac:dyDescent="0.3">
      <c r="C106" s="173" t="s">
        <v>87</v>
      </c>
      <c r="D106" s="112" cm="1">
        <f t="array" ref="D106">INDEX($E:$E,(COLUMN(D106)-4)*1+42)</f>
        <v>305.42860000000002</v>
      </c>
      <c r="E106" s="112" cm="1">
        <f t="array" ref="E106">INDEX($E:$E,(COLUMN(E106)-4)*1+42)</f>
        <v>822.1259</v>
      </c>
      <c r="F106" s="112" cm="1">
        <f t="array" ref="F106">INDEX($E:$E,(COLUMN(F106)-4)*1+42)</f>
        <v>824.24069999999995</v>
      </c>
      <c r="G106" s="112" cm="1">
        <f t="array" ref="G106">INDEX($E:$E,(COLUMN(G106)-4)*1+42)</f>
        <v>997.51020000000005</v>
      </c>
      <c r="H106" s="112" cm="1">
        <f t="array" ref="H106">INDEX($E:$E,(COLUMN(H106)-4)*1+42)</f>
        <v>1218.0335</v>
      </c>
      <c r="I106" s="112" cm="1">
        <f t="array" ref="I106">INDEX($E:$E,(COLUMN(I106)-4)*1+42)</f>
        <v>1219.0435</v>
      </c>
      <c r="J106" s="112" cm="1">
        <f t="array" ref="J106">INDEX($E:$E,(COLUMN(J106)-4)*1+42)</f>
        <v>1407.4453000000001</v>
      </c>
      <c r="K106" s="112" cm="1">
        <f t="array" ref="K106">INDEX($E:$E,(COLUMN(K106)-4)*1+42)</f>
        <v>1428.8607</v>
      </c>
      <c r="L106" s="112" cm="1">
        <f t="array" ref="L106">INDEX($E:$E,(COLUMN(L106)-4)*1+42)</f>
        <v>1507.4948999999999</v>
      </c>
      <c r="M106" s="112" cm="1">
        <f t="array" ref="M106">INDEX($E:$E,(COLUMN(M106)-4)*1+42)</f>
        <v>1507.7928999999999</v>
      </c>
      <c r="N106" s="112" cm="1">
        <f t="array" ref="N106">INDEX($E:$E,(COLUMN(N106)-4)*1+42)</f>
        <v>1508.9046000000001</v>
      </c>
      <c r="O106" s="112" cm="1">
        <f t="array" ref="O106">INDEX($E:$E,(COLUMN(O106)-4)*1+42)</f>
        <v>1509.4971</v>
      </c>
      <c r="P106" s="112" cm="1">
        <f t="array" ref="P106">INDEX($E:$E,(COLUMN(P106)-4)*1+42)</f>
        <v>3038.8712</v>
      </c>
      <c r="Q106" s="112" cm="1">
        <f t="array" ref="Q106">INDEX($E:$E,(COLUMN(Q106)-4)*1+42)</f>
        <v>3039.8696</v>
      </c>
      <c r="R106" s="112" cm="1">
        <f t="array" ref="R106">INDEX($E:$E,(COLUMN(R106)-4)*1+42)</f>
        <v>3091.5839000000001</v>
      </c>
      <c r="S106" s="112" cm="1">
        <f t="array" ref="S106">INDEX($E:$E,(COLUMN(S106)-4)*1+42)</f>
        <v>3094.3207000000002</v>
      </c>
      <c r="T106" s="112" cm="1">
        <f t="array" ref="T106">INDEX($E:$E,(COLUMN(T106)-4)*1+42)</f>
        <v>3115.0074</v>
      </c>
      <c r="U106" s="112" cm="1">
        <f t="array" ref="U106">INDEX($E:$E,(COLUMN(U106)-4)*1+42)</f>
        <v>3117.7501999999999</v>
      </c>
    </row>
    <row r="107" spans="3:29" ht="20" thickBot="1" x14ac:dyDescent="0.3">
      <c r="C107" s="174" t="s">
        <v>88</v>
      </c>
      <c r="D107" s="245">
        <f t="shared" ref="D107:U107" si="8">D106*$L$9</f>
        <v>9156535627980</v>
      </c>
      <c r="E107" s="67">
        <f t="shared" si="8"/>
        <v>24646758993870</v>
      </c>
      <c r="F107" s="67">
        <f t="shared" si="8"/>
        <v>24710159217510</v>
      </c>
      <c r="G107" s="67">
        <f t="shared" si="8"/>
        <v>29904657538860</v>
      </c>
      <c r="H107" s="67">
        <f t="shared" si="8"/>
        <v>36515791706550</v>
      </c>
      <c r="I107" s="67">
        <f t="shared" si="8"/>
        <v>36546070799550</v>
      </c>
      <c r="J107" s="67">
        <f t="shared" si="8"/>
        <v>42194224882290</v>
      </c>
      <c r="K107" s="67">
        <f t="shared" si="8"/>
        <v>42836243583510</v>
      </c>
      <c r="L107" s="67">
        <f t="shared" si="8"/>
        <v>45193641855570</v>
      </c>
      <c r="M107" s="67">
        <f t="shared" si="8"/>
        <v>45202575686970</v>
      </c>
      <c r="N107" s="67">
        <f t="shared" si="8"/>
        <v>45235903674780</v>
      </c>
      <c r="O107" s="67">
        <f t="shared" si="8"/>
        <v>45253666410030</v>
      </c>
      <c r="P107" s="67">
        <f t="shared" si="8"/>
        <v>91103231366160</v>
      </c>
      <c r="Q107" s="67">
        <f t="shared" si="8"/>
        <v>91133162699280</v>
      </c>
      <c r="R107" s="67">
        <f t="shared" si="8"/>
        <v>92683521213270</v>
      </c>
      <c r="S107" s="67">
        <f t="shared" si="8"/>
        <v>92765568561510</v>
      </c>
      <c r="T107" s="67">
        <f t="shared" si="8"/>
        <v>93385741346820</v>
      </c>
      <c r="U107" s="69">
        <f t="shared" si="8"/>
        <v>93467968570860</v>
      </c>
    </row>
    <row r="108" spans="3:29" ht="17" thickBot="1" x14ac:dyDescent="0.25"/>
    <row r="109" spans="3:29" ht="30" customHeight="1" thickBot="1" x14ac:dyDescent="0.5">
      <c r="C109" s="256" t="s">
        <v>89</v>
      </c>
      <c r="D109" s="257"/>
      <c r="E109" s="257"/>
      <c r="F109" s="257"/>
      <c r="G109" s="257"/>
      <c r="H109" s="257"/>
      <c r="I109" s="257"/>
      <c r="J109" s="257"/>
      <c r="K109" s="257"/>
      <c r="L109" s="257"/>
      <c r="M109" s="257"/>
      <c r="N109" s="257"/>
      <c r="O109" s="257"/>
      <c r="P109" s="257"/>
      <c r="Q109" s="257"/>
      <c r="R109" s="257"/>
      <c r="S109" s="257"/>
      <c r="T109" s="257"/>
      <c r="U109" s="258"/>
      <c r="V109" s="182" t="s">
        <v>90</v>
      </c>
    </row>
    <row r="110" spans="3:29" ht="38" customHeight="1" thickBot="1" x14ac:dyDescent="0.35">
      <c r="C110" s="164" t="s">
        <v>85</v>
      </c>
      <c r="D110" s="168">
        <v>1</v>
      </c>
      <c r="E110" s="169">
        <f t="shared" ref="E110:U110" si="9">D110+1</f>
        <v>2</v>
      </c>
      <c r="F110" s="169">
        <f t="shared" si="9"/>
        <v>3</v>
      </c>
      <c r="G110" s="169">
        <f t="shared" si="9"/>
        <v>4</v>
      </c>
      <c r="H110" s="169">
        <f t="shared" si="9"/>
        <v>5</v>
      </c>
      <c r="I110" s="169">
        <f t="shared" si="9"/>
        <v>6</v>
      </c>
      <c r="J110" s="169">
        <f t="shared" si="9"/>
        <v>7</v>
      </c>
      <c r="K110" s="169">
        <f t="shared" si="9"/>
        <v>8</v>
      </c>
      <c r="L110" s="170">
        <f t="shared" si="9"/>
        <v>9</v>
      </c>
      <c r="M110" s="170">
        <f t="shared" si="9"/>
        <v>10</v>
      </c>
      <c r="N110" s="170">
        <f t="shared" si="9"/>
        <v>11</v>
      </c>
      <c r="O110" s="170">
        <f t="shared" si="9"/>
        <v>12</v>
      </c>
      <c r="P110" s="170">
        <f t="shared" si="9"/>
        <v>13</v>
      </c>
      <c r="Q110" s="170">
        <f t="shared" si="9"/>
        <v>14</v>
      </c>
      <c r="R110" s="170">
        <f t="shared" si="9"/>
        <v>15</v>
      </c>
      <c r="S110" s="170">
        <f t="shared" si="9"/>
        <v>16</v>
      </c>
      <c r="T110" s="170">
        <f t="shared" si="9"/>
        <v>17</v>
      </c>
      <c r="U110" s="170">
        <f t="shared" si="9"/>
        <v>18</v>
      </c>
      <c r="V110" s="90"/>
      <c r="X110" s="160" t="s">
        <v>83</v>
      </c>
      <c r="Y110" s="161"/>
      <c r="Z110" s="161"/>
      <c r="AA110" s="161"/>
      <c r="AB110" s="161"/>
      <c r="AC110" s="1"/>
    </row>
    <row r="111" spans="3:29" ht="20" thickBot="1" x14ac:dyDescent="0.3">
      <c r="C111" s="171">
        <v>298.14999999999998</v>
      </c>
      <c r="D111" s="177">
        <f t="shared" ref="D111:L120" si="10">EXP(-($B$14*D$107)/(2*$B$8*$C111))/(1-EXP(-($B$14*D$107)/($B$8*$C111)))</f>
        <v>0.62073857502944141</v>
      </c>
      <c r="E111" s="178">
        <f t="shared" si="10"/>
        <v>0.14021828788639018</v>
      </c>
      <c r="F111" s="178">
        <f t="shared" si="10"/>
        <v>0.13947730450523407</v>
      </c>
      <c r="G111" s="178">
        <f t="shared" si="10"/>
        <v>9.0837431206460886E-2</v>
      </c>
      <c r="H111" s="178">
        <f t="shared" si="10"/>
        <v>5.3071340300246933E-2</v>
      </c>
      <c r="I111" s="178">
        <f t="shared" si="10"/>
        <v>5.2941441481109956E-2</v>
      </c>
      <c r="J111" s="178">
        <f t="shared" si="10"/>
        <v>3.3546581031358547E-2</v>
      </c>
      <c r="K111" s="178">
        <f t="shared" si="10"/>
        <v>3.1853669970555568E-2</v>
      </c>
      <c r="L111" s="179">
        <f t="shared" si="10"/>
        <v>2.6340314594215264E-2</v>
      </c>
      <c r="M111" s="179">
        <f t="shared" ref="M111:U126" si="11">EXP(-($B$14*M$107)/(2*$B$8*$C111))/(1-EXP(-($B$14*M$107)/($B$8*$C111)))</f>
        <v>2.6321355777832463E-2</v>
      </c>
      <c r="N111" s="179">
        <f t="shared" si="11"/>
        <v>2.6250749873492137E-2</v>
      </c>
      <c r="O111" s="179">
        <f t="shared" si="11"/>
        <v>2.6213196835014906E-2</v>
      </c>
      <c r="P111" s="179">
        <f t="shared" si="11"/>
        <v>6.5405632307597198E-4</v>
      </c>
      <c r="Q111" s="179">
        <f t="shared" si="11"/>
        <v>6.524826081555896E-4</v>
      </c>
      <c r="R111" s="179">
        <f t="shared" si="11"/>
        <v>5.7594140660609217E-4</v>
      </c>
      <c r="S111" s="179">
        <f t="shared" si="11"/>
        <v>5.7215072346657821E-4</v>
      </c>
      <c r="T111" s="179">
        <f t="shared" si="11"/>
        <v>5.4429353059665846E-4</v>
      </c>
      <c r="U111" s="179">
        <f t="shared" si="11"/>
        <v>5.4070331720797594E-4</v>
      </c>
      <c r="V111" s="181">
        <f xml:space="preserve"> PRODUCT(D111:U111)</f>
        <v>6.5373435452722565E-35</v>
      </c>
    </row>
    <row r="112" spans="3:29" ht="20" thickBot="1" x14ac:dyDescent="0.3">
      <c r="C112" s="123">
        <v>300</v>
      </c>
      <c r="D112" s="176">
        <f t="shared" si="10"/>
        <v>0.62526190374955981</v>
      </c>
      <c r="E112" s="175">
        <f t="shared" si="10"/>
        <v>0.14201189533994502</v>
      </c>
      <c r="F112" s="175">
        <f t="shared" si="10"/>
        <v>0.14126535408193719</v>
      </c>
      <c r="G112" s="175">
        <f t="shared" si="10"/>
        <v>9.2218449141268102E-2</v>
      </c>
      <c r="H112" s="175">
        <f t="shared" si="10"/>
        <v>5.4047543178976309E-2</v>
      </c>
      <c r="I112" s="175">
        <f t="shared" si="10"/>
        <v>5.391604266461001E-2</v>
      </c>
      <c r="J112" s="175">
        <f t="shared" si="10"/>
        <v>3.4258156675973234E-2</v>
      </c>
      <c r="K112" s="175">
        <f t="shared" si="10"/>
        <v>3.2539571392418934E-2</v>
      </c>
      <c r="L112" s="180">
        <f t="shared" si="10"/>
        <v>2.693866897735054E-2</v>
      </c>
      <c r="M112" s="180">
        <f t="shared" si="11"/>
        <v>2.6919397788624233E-2</v>
      </c>
      <c r="N112" s="180">
        <f t="shared" si="11"/>
        <v>2.6847627823285584E-2</v>
      </c>
      <c r="O112" s="180">
        <f t="shared" si="11"/>
        <v>2.6809455186465173E-2</v>
      </c>
      <c r="P112" s="180">
        <f t="shared" si="11"/>
        <v>6.8430892963463913E-4</v>
      </c>
      <c r="Q112" s="180">
        <f t="shared" si="11"/>
        <v>6.8267256554759134E-4</v>
      </c>
      <c r="R112" s="180">
        <f t="shared" si="11"/>
        <v>6.0305369754884051E-4</v>
      </c>
      <c r="S112" s="180">
        <f t="shared" si="11"/>
        <v>5.9910896480722456E-4</v>
      </c>
      <c r="T112" s="180">
        <f t="shared" si="11"/>
        <v>5.7011466759961452E-4</v>
      </c>
      <c r="U112" s="180">
        <f t="shared" si="11"/>
        <v>5.6637724902101666E-4</v>
      </c>
      <c r="V112" s="181">
        <f t="shared" ref="V112:V129" si="12" xml:space="preserve"> PRODUCT(D112:U112)</f>
        <v>1.06890672487093E-34</v>
      </c>
      <c r="Z112" s="155" t="s">
        <v>82</v>
      </c>
    </row>
    <row r="113" spans="3:26" ht="20" thickBot="1" x14ac:dyDescent="0.3">
      <c r="C113" s="124">
        <f>C112+100</f>
        <v>400</v>
      </c>
      <c r="D113" s="176">
        <f t="shared" si="10"/>
        <v>0.8660275135527552</v>
      </c>
      <c r="E113" s="175">
        <f t="shared" si="10"/>
        <v>0.24045926944484058</v>
      </c>
      <c r="F113" s="175">
        <f t="shared" si="10"/>
        <v>0.2394469768946203</v>
      </c>
      <c r="G113" s="175">
        <f t="shared" si="10"/>
        <v>0.17102403470763725</v>
      </c>
      <c r="H113" s="175">
        <f t="shared" si="10"/>
        <v>0.11326665628866407</v>
      </c>
      <c r="I113" s="175">
        <f t="shared" si="10"/>
        <v>0.11305590507159644</v>
      </c>
      <c r="J113" s="175">
        <f t="shared" si="10"/>
        <v>8.0066174769303347E-2</v>
      </c>
      <c r="K113" s="175">
        <f t="shared" si="10"/>
        <v>7.7004689445755101E-2</v>
      </c>
      <c r="L113" s="180">
        <f t="shared" si="10"/>
        <v>6.6752625930542681E-2</v>
      </c>
      <c r="M113" s="180">
        <f t="shared" si="11"/>
        <v>6.6716542716075189E-2</v>
      </c>
      <c r="N113" s="180">
        <f t="shared" si="11"/>
        <v>6.658210797464359E-2</v>
      </c>
      <c r="O113" s="180">
        <f t="shared" si="11"/>
        <v>6.6510571245512046E-2</v>
      </c>
      <c r="P113" s="180">
        <f t="shared" si="11"/>
        <v>4.2310365523183522E-3</v>
      </c>
      <c r="Q113" s="180">
        <f t="shared" si="11"/>
        <v>4.2234458703016226E-3</v>
      </c>
      <c r="R113" s="180">
        <f t="shared" si="11"/>
        <v>3.8483388193903127E-3</v>
      </c>
      <c r="S113" s="180">
        <f t="shared" si="11"/>
        <v>3.8294430512823621E-3</v>
      </c>
      <c r="T113" s="180">
        <f t="shared" si="11"/>
        <v>3.6895845489741757E-3</v>
      </c>
      <c r="U113" s="180">
        <f t="shared" si="11"/>
        <v>3.6714287058209143E-3</v>
      </c>
      <c r="V113" s="181">
        <f t="shared" si="12"/>
        <v>4.7368169626482121E-26</v>
      </c>
      <c r="Y113" s="80" t="s">
        <v>79</v>
      </c>
      <c r="Z113" s="130">
        <f>V111</f>
        <v>6.5373435452722565E-35</v>
      </c>
    </row>
    <row r="114" spans="3:26" ht="20" thickBot="1" x14ac:dyDescent="0.3">
      <c r="C114" s="124">
        <f t="shared" ref="C114:C129" si="13">C113+100</f>
        <v>500</v>
      </c>
      <c r="D114" s="176">
        <f t="shared" si="10"/>
        <v>1.1019897961122427</v>
      </c>
      <c r="E114" s="175">
        <f t="shared" si="10"/>
        <v>0.33814835866351056</v>
      </c>
      <c r="F114" s="175">
        <f t="shared" si="10"/>
        <v>0.33690924929480665</v>
      </c>
      <c r="G114" s="175">
        <f t="shared" si="10"/>
        <v>0.25237241477693684</v>
      </c>
      <c r="H114" s="175">
        <f t="shared" si="10"/>
        <v>0.17871354111448312</v>
      </c>
      <c r="I114" s="175">
        <f t="shared" si="10"/>
        <v>0.1784379870182374</v>
      </c>
      <c r="J114" s="175">
        <f t="shared" si="10"/>
        <v>0.13433408546976952</v>
      </c>
      <c r="K114" s="175">
        <f t="shared" si="10"/>
        <v>0.13012021361046697</v>
      </c>
      <c r="L114" s="180">
        <f t="shared" si="10"/>
        <v>0.11581045346903757</v>
      </c>
      <c r="M114" s="180">
        <f t="shared" si="11"/>
        <v>0.11575949631065989</v>
      </c>
      <c r="N114" s="180">
        <f t="shared" si="11"/>
        <v>0.11556960655146002</v>
      </c>
      <c r="O114" s="180">
        <f t="shared" si="11"/>
        <v>0.11546853520693053</v>
      </c>
      <c r="P114" s="180">
        <f t="shared" si="11"/>
        <v>1.2624680753784645E-2</v>
      </c>
      <c r="Q114" s="180">
        <f t="shared" si="11"/>
        <v>1.2606552959549638E-2</v>
      </c>
      <c r="R114" s="180">
        <f t="shared" si="11"/>
        <v>1.170234663571823E-2</v>
      </c>
      <c r="S114" s="180">
        <f t="shared" si="11"/>
        <v>1.1656345002998822E-2</v>
      </c>
      <c r="T114" s="180">
        <f t="shared" si="11"/>
        <v>1.13144339137747E-2</v>
      </c>
      <c r="U114" s="180">
        <f t="shared" si="11"/>
        <v>1.1269860631315741E-2</v>
      </c>
      <c r="V114" s="181">
        <f t="shared" si="12"/>
        <v>8.7464256006690152E-21</v>
      </c>
      <c r="Y114" s="81" t="s">
        <v>80</v>
      </c>
      <c r="Z114" s="132">
        <f>P37</f>
        <v>6.5383600000000003E-35</v>
      </c>
    </row>
    <row r="115" spans="3:26" ht="23" thickBot="1" x14ac:dyDescent="0.35">
      <c r="C115" s="124">
        <f t="shared" si="13"/>
        <v>600</v>
      </c>
      <c r="D115" s="176">
        <f t="shared" si="10"/>
        <v>1.3353157221567631</v>
      </c>
      <c r="E115" s="175">
        <f t="shared" si="10"/>
        <v>0.43354767374911013</v>
      </c>
      <c r="F115" s="175">
        <f t="shared" si="10"/>
        <v>0.43209613886454923</v>
      </c>
      <c r="G115" s="175">
        <f t="shared" si="10"/>
        <v>0.33283977112188695</v>
      </c>
      <c r="H115" s="175">
        <f t="shared" si="10"/>
        <v>0.2453663802242208</v>
      </c>
      <c r="I115" s="175">
        <f t="shared" si="10"/>
        <v>0.24503566554514941</v>
      </c>
      <c r="J115" s="175">
        <f t="shared" si="10"/>
        <v>0.19153515950264946</v>
      </c>
      <c r="K115" s="175">
        <f t="shared" si="10"/>
        <v>0.18634927780318755</v>
      </c>
      <c r="L115" s="180">
        <f t="shared" si="10"/>
        <v>0.16860937923097152</v>
      </c>
      <c r="M115" s="180">
        <f t="shared" si="11"/>
        <v>0.1685458157578138</v>
      </c>
      <c r="N115" s="180">
        <f t="shared" si="11"/>
        <v>0.16830892276998824</v>
      </c>
      <c r="O115" s="180">
        <f t="shared" si="11"/>
        <v>0.16818281638313917</v>
      </c>
      <c r="P115" s="180">
        <f t="shared" si="11"/>
        <v>2.6177206267119141E-2</v>
      </c>
      <c r="Q115" s="180">
        <f t="shared" si="11"/>
        <v>2.6145846429571629E-2</v>
      </c>
      <c r="R115" s="180">
        <f t="shared" si="11"/>
        <v>2.4571965401704227E-2</v>
      </c>
      <c r="S115" s="180">
        <f t="shared" si="11"/>
        <v>2.4491371092462664E-2</v>
      </c>
      <c r="T115" s="180">
        <f t="shared" si="11"/>
        <v>2.3890690648817509E-2</v>
      </c>
      <c r="U115" s="180">
        <f t="shared" si="11"/>
        <v>2.381216451240661E-2</v>
      </c>
      <c r="V115" s="181">
        <f t="shared" si="12"/>
        <v>3.36784458901195E-17</v>
      </c>
      <c r="Y115" s="25" t="s">
        <v>81</v>
      </c>
      <c r="Z115" s="162">
        <f>ABS(Z113-Z114)/Z113</f>
        <v>1.5548436772592412E-4</v>
      </c>
    </row>
    <row r="116" spans="3:26" ht="20" thickBot="1" x14ac:dyDescent="0.3">
      <c r="C116" s="124">
        <f t="shared" si="13"/>
        <v>700</v>
      </c>
      <c r="D116" s="176">
        <f t="shared" si="10"/>
        <v>1.5670623802501338</v>
      </c>
      <c r="E116" s="175">
        <f t="shared" si="10"/>
        <v>0.5268320623064805</v>
      </c>
      <c r="F116" s="175">
        <f t="shared" si="10"/>
        <v>0.52517276203765906</v>
      </c>
      <c r="G116" s="175">
        <f t="shared" si="10"/>
        <v>0.4117363349964458</v>
      </c>
      <c r="H116" s="175">
        <f t="shared" si="10"/>
        <v>0.31147476376003452</v>
      </c>
      <c r="I116" s="175">
        <f t="shared" si="10"/>
        <v>0.31109415796684503</v>
      </c>
      <c r="J116" s="175">
        <f t="shared" si="10"/>
        <v>0.24922050925747372</v>
      </c>
      <c r="K116" s="175">
        <f t="shared" si="10"/>
        <v>0.24318106043375484</v>
      </c>
      <c r="L116" s="180">
        <f t="shared" si="10"/>
        <v>0.2224430700079722</v>
      </c>
      <c r="M116" s="180">
        <f t="shared" si="11"/>
        <v>0.22236852292456888</v>
      </c>
      <c r="N116" s="180">
        <f t="shared" si="11"/>
        <v>0.22209067898477691</v>
      </c>
      <c r="O116" s="180">
        <f t="shared" si="11"/>
        <v>0.2219427623914266</v>
      </c>
      <c r="P116" s="180">
        <f t="shared" si="11"/>
        <v>4.4108462469021441E-2</v>
      </c>
      <c r="Q116" s="180">
        <f t="shared" si="11"/>
        <v>4.4063052604455075E-2</v>
      </c>
      <c r="R116" s="180">
        <f t="shared" si="11"/>
        <v>4.1774225054331739E-2</v>
      </c>
      <c r="S116" s="180">
        <f t="shared" si="11"/>
        <v>4.1656488658821163E-2</v>
      </c>
      <c r="T116" s="180">
        <f t="shared" si="11"/>
        <v>4.0777291550115863E-2</v>
      </c>
      <c r="U116" s="180">
        <f t="shared" si="11"/>
        <v>4.0662132058853183E-2</v>
      </c>
      <c r="V116" s="181">
        <f t="shared" si="12"/>
        <v>1.4334010333891447E-14</v>
      </c>
    </row>
    <row r="117" spans="3:26" ht="20" thickBot="1" x14ac:dyDescent="0.3">
      <c r="C117" s="124">
        <f t="shared" si="13"/>
        <v>800</v>
      </c>
      <c r="D117" s="176">
        <f t="shared" si="10"/>
        <v>1.7977946212588893</v>
      </c>
      <c r="E117" s="175">
        <f t="shared" si="10"/>
        <v>0.61843557683590289</v>
      </c>
      <c r="F117" s="175">
        <f t="shared" si="10"/>
        <v>0.61656948786506294</v>
      </c>
      <c r="G117" s="175">
        <f t="shared" si="10"/>
        <v>0.48913234190379945</v>
      </c>
      <c r="H117" s="175">
        <f t="shared" si="10"/>
        <v>0.37655708801264098</v>
      </c>
      <c r="I117" s="175">
        <f t="shared" si="10"/>
        <v>0.37612927946558727</v>
      </c>
      <c r="J117" s="175">
        <f t="shared" si="10"/>
        <v>0.30644315127267624</v>
      </c>
      <c r="K117" s="175">
        <f t="shared" si="10"/>
        <v>0.29961978362500075</v>
      </c>
      <c r="L117" s="180">
        <f t="shared" si="10"/>
        <v>0.27614617951231657</v>
      </c>
      <c r="M117" s="180">
        <f t="shared" si="11"/>
        <v>0.2760616600318449</v>
      </c>
      <c r="N117" s="180">
        <f t="shared" si="11"/>
        <v>0.27574663841666597</v>
      </c>
      <c r="O117" s="180">
        <f t="shared" si="11"/>
        <v>0.27557892323302452</v>
      </c>
      <c r="P117" s="180">
        <f t="shared" si="11"/>
        <v>6.5322211960890844E-2</v>
      </c>
      <c r="Q117" s="180">
        <f t="shared" si="11"/>
        <v>6.5263094694032145E-2</v>
      </c>
      <c r="R117" s="180">
        <f t="shared" si="11"/>
        <v>6.2274169818766427E-2</v>
      </c>
      <c r="S117" s="180">
        <f t="shared" si="11"/>
        <v>6.2119921382464437E-2</v>
      </c>
      <c r="T117" s="180">
        <f t="shared" si="11"/>
        <v>6.0966474957764187E-2</v>
      </c>
      <c r="U117" s="180">
        <f t="shared" si="11"/>
        <v>6.0815182801667034E-2</v>
      </c>
      <c r="V117" s="181">
        <f t="shared" si="12"/>
        <v>1.5445542871836268E-12</v>
      </c>
    </row>
    <row r="118" spans="3:26" ht="20" thickBot="1" x14ac:dyDescent="0.3">
      <c r="C118" s="124">
        <f t="shared" si="13"/>
        <v>900</v>
      </c>
      <c r="D118" s="176">
        <f t="shared" si="10"/>
        <v>2.0278387589064866</v>
      </c>
      <c r="E118" s="175">
        <f t="shared" si="10"/>
        <v>0.70874666230025973</v>
      </c>
      <c r="F118" s="175">
        <f t="shared" si="10"/>
        <v>0.70667340641828247</v>
      </c>
      <c r="G118" s="175">
        <f t="shared" si="10"/>
        <v>0.56526591106001078</v>
      </c>
      <c r="H118" s="175">
        <f t="shared" si="10"/>
        <v>0.44057968178343915</v>
      </c>
      <c r="I118" s="175">
        <f t="shared" si="10"/>
        <v>0.44010597787655603</v>
      </c>
      <c r="J118" s="175">
        <f t="shared" si="10"/>
        <v>0.36290174176011086</v>
      </c>
      <c r="K118" s="175">
        <f t="shared" si="10"/>
        <v>0.35533354476218837</v>
      </c>
      <c r="L118" s="180">
        <f t="shared" si="10"/>
        <v>0.32927588832263233</v>
      </c>
      <c r="M118" s="180">
        <f t="shared" si="11"/>
        <v>0.32918199288217137</v>
      </c>
      <c r="N118" s="180">
        <f t="shared" si="11"/>
        <v>0.32883201998859979</v>
      </c>
      <c r="O118" s="180">
        <f t="shared" si="11"/>
        <v>0.32864569369071639</v>
      </c>
      <c r="P118" s="180">
        <f t="shared" si="11"/>
        <v>8.8811594382593062E-2</v>
      </c>
      <c r="Q118" s="180">
        <f t="shared" si="11"/>
        <v>8.8739639663315273E-2</v>
      </c>
      <c r="R118" s="180">
        <f t="shared" si="11"/>
        <v>8.5093491421067785E-2</v>
      </c>
      <c r="S118" s="180">
        <f t="shared" si="11"/>
        <v>8.4904881128187795E-2</v>
      </c>
      <c r="T118" s="180">
        <f t="shared" si="11"/>
        <v>8.3493055471197564E-2</v>
      </c>
      <c r="U118" s="180">
        <f t="shared" si="11"/>
        <v>8.3307684268432464E-2</v>
      </c>
      <c r="V118" s="181">
        <f t="shared" si="12"/>
        <v>6.6596710257787473E-11</v>
      </c>
    </row>
    <row r="119" spans="3:26" ht="20" thickBot="1" x14ac:dyDescent="0.3">
      <c r="C119" s="124">
        <f t="shared" si="13"/>
        <v>1000</v>
      </c>
      <c r="D119" s="176">
        <f t="shared" si="10"/>
        <v>2.2573955562823524</v>
      </c>
      <c r="E119" s="175">
        <f t="shared" si="10"/>
        <v>0.79806496185054732</v>
      </c>
      <c r="F119" s="175">
        <f t="shared" si="10"/>
        <v>0.79578371194929143</v>
      </c>
      <c r="G119" s="175">
        <f t="shared" si="10"/>
        <v>0.64037657683401528</v>
      </c>
      <c r="H119" s="175">
        <f t="shared" si="10"/>
        <v>0.50364995530881529</v>
      </c>
      <c r="I119" s="175">
        <f t="shared" si="10"/>
        <v>0.50313094318096951</v>
      </c>
      <c r="J119" s="175">
        <f t="shared" si="10"/>
        <v>0.41855609042295722</v>
      </c>
      <c r="K119" s="175">
        <f t="shared" si="10"/>
        <v>0.4102642758944961</v>
      </c>
      <c r="L119" s="180">
        <f t="shared" si="10"/>
        <v>0.38170735681250778</v>
      </c>
      <c r="M119" s="180">
        <f t="shared" si="11"/>
        <v>0.38160442639048581</v>
      </c>
      <c r="N119" s="180">
        <f t="shared" si="11"/>
        <v>0.38122077550690114</v>
      </c>
      <c r="O119" s="180">
        <f t="shared" si="11"/>
        <v>0.38101651752436361</v>
      </c>
      <c r="P119" s="180">
        <f t="shared" si="11"/>
        <v>0.1137869480601106</v>
      </c>
      <c r="Q119" s="180">
        <f t="shared" si="11"/>
        <v>0.1137031647550636</v>
      </c>
      <c r="R119" s="180">
        <f t="shared" si="11"/>
        <v>0.10945063354885746</v>
      </c>
      <c r="S119" s="180">
        <f t="shared" si="11"/>
        <v>0.10923027434931339</v>
      </c>
      <c r="T119" s="180">
        <f t="shared" si="11"/>
        <v>0.10757956701498442</v>
      </c>
      <c r="U119" s="180">
        <f t="shared" si="11"/>
        <v>0.1073626683240743</v>
      </c>
      <c r="V119" s="181">
        <f t="shared" si="12"/>
        <v>1.5100011630829544E-9</v>
      </c>
    </row>
    <row r="120" spans="3:26" ht="20" thickBot="1" x14ac:dyDescent="0.3">
      <c r="C120" s="124">
        <f t="shared" si="13"/>
        <v>1100</v>
      </c>
      <c r="D120" s="176">
        <f t="shared" si="10"/>
        <v>2.4865949787228145</v>
      </c>
      <c r="E120" s="175">
        <f t="shared" si="10"/>
        <v>0.88661328260382666</v>
      </c>
      <c r="F120" s="175">
        <f t="shared" si="10"/>
        <v>0.88412311786524311</v>
      </c>
      <c r="G120" s="175">
        <f t="shared" si="10"/>
        <v>0.71466563661151616</v>
      </c>
      <c r="H120" s="175">
        <f t="shared" si="10"/>
        <v>0.56590570430307141</v>
      </c>
      <c r="I120" s="175">
        <f t="shared" si="10"/>
        <v>0.56534159823866537</v>
      </c>
      <c r="J120" s="175">
        <f t="shared" si="10"/>
        <v>0.47346355029868126</v>
      </c>
      <c r="K120" s="175">
        <f t="shared" si="10"/>
        <v>0.46445909168708449</v>
      </c>
      <c r="L120" s="180">
        <f t="shared" si="10"/>
        <v>0.43344858439139539</v>
      </c>
      <c r="M120" s="180">
        <f t="shared" si="11"/>
        <v>0.43333680768252608</v>
      </c>
      <c r="N120" s="180">
        <f t="shared" si="11"/>
        <v>0.43292018375420666</v>
      </c>
      <c r="O120" s="180">
        <f t="shared" si="11"/>
        <v>0.43269837045199394</v>
      </c>
      <c r="P120" s="180">
        <f t="shared" si="11"/>
        <v>0.13967607284448225</v>
      </c>
      <c r="Q120" s="180">
        <f t="shared" si="11"/>
        <v>0.13958141496045534</v>
      </c>
      <c r="R120" s="180">
        <f t="shared" si="11"/>
        <v>0.13477110635314515</v>
      </c>
      <c r="S120" s="180">
        <f t="shared" si="11"/>
        <v>0.13452152570613826</v>
      </c>
      <c r="T120" s="180">
        <f t="shared" si="11"/>
        <v>0.13265089287936443</v>
      </c>
      <c r="U120" s="180">
        <f t="shared" si="11"/>
        <v>0.13240496029933516</v>
      </c>
      <c r="V120" s="181">
        <f t="shared" si="12"/>
        <v>2.1406854190081182E-8</v>
      </c>
    </row>
    <row r="121" spans="3:26" ht="20" thickBot="1" x14ac:dyDescent="0.3">
      <c r="C121" s="124">
        <f t="shared" si="13"/>
        <v>1200</v>
      </c>
      <c r="D121" s="176">
        <f t="shared" ref="D121:L129" si="14">EXP(-($B$14*D$107)/(2*$B$8*$C121))/(1-EXP(-($B$14*D$107)/($B$8*$C121)))</f>
        <v>2.7155247366084416</v>
      </c>
      <c r="E121" s="175">
        <f t="shared" si="14"/>
        <v>0.97455662551257261</v>
      </c>
      <c r="F121" s="175">
        <f t="shared" si="14"/>
        <v>0.9718566668101164</v>
      </c>
      <c r="G121" s="175">
        <f t="shared" si="14"/>
        <v>0.78829315057870541</v>
      </c>
      <c r="H121" s="175">
        <f t="shared" si="14"/>
        <v>0.62747743848127757</v>
      </c>
      <c r="I121" s="175">
        <f t="shared" si="14"/>
        <v>0.62686826172683852</v>
      </c>
      <c r="J121" s="175">
        <f t="shared" si="14"/>
        <v>0.52771102911025414</v>
      </c>
      <c r="K121" s="175">
        <f t="shared" si="14"/>
        <v>0.51799907417875135</v>
      </c>
      <c r="L121" s="180">
        <f t="shared" si="14"/>
        <v>0.48455793136894848</v>
      </c>
      <c r="M121" s="180">
        <f t="shared" si="11"/>
        <v>0.4844374072360762</v>
      </c>
      <c r="N121" s="180">
        <f t="shared" si="11"/>
        <v>0.48398817985291037</v>
      </c>
      <c r="O121" s="180">
        <f t="shared" si="11"/>
        <v>0.48374900871174198</v>
      </c>
      <c r="P121" s="180">
        <f t="shared" si="11"/>
        <v>0.16608296008763224</v>
      </c>
      <c r="Q121" s="180">
        <f t="shared" si="11"/>
        <v>0.16597825000533972</v>
      </c>
      <c r="R121" s="180">
        <f t="shared" si="11"/>
        <v>0.1606523659042845</v>
      </c>
      <c r="S121" s="180">
        <f t="shared" si="11"/>
        <v>0.16037577494699526</v>
      </c>
      <c r="T121" s="180">
        <f t="shared" si="11"/>
        <v>0.15830185483720921</v>
      </c>
      <c r="U121" s="180">
        <f t="shared" si="11"/>
        <v>0.1580290842961421</v>
      </c>
      <c r="V121" s="181">
        <f t="shared" si="12"/>
        <v>2.1286965890386778E-7</v>
      </c>
    </row>
    <row r="122" spans="3:26" ht="20" thickBot="1" x14ac:dyDescent="0.3">
      <c r="C122" s="124">
        <f t="shared" si="13"/>
        <v>1300</v>
      </c>
      <c r="D122" s="176">
        <f t="shared" si="14"/>
        <v>2.9442461051677564</v>
      </c>
      <c r="E122" s="175">
        <f t="shared" si="14"/>
        <v>1.0620181192909683</v>
      </c>
      <c r="F122" s="175">
        <f t="shared" si="14"/>
        <v>1.0591075749257965</v>
      </c>
      <c r="G122" s="175">
        <f t="shared" si="14"/>
        <v>0.86138423589575663</v>
      </c>
      <c r="H122" s="175">
        <f t="shared" si="14"/>
        <v>0.68847767387969927</v>
      </c>
      <c r="I122" s="175">
        <f t="shared" si="14"/>
        <v>0.68782335449283194</v>
      </c>
      <c r="J122" s="175">
        <f t="shared" si="14"/>
        <v>0.58138767681574399</v>
      </c>
      <c r="K122" s="175">
        <f t="shared" si="14"/>
        <v>0.5709700743397258</v>
      </c>
      <c r="L122" s="180">
        <f t="shared" si="14"/>
        <v>0.53510810195534064</v>
      </c>
      <c r="M122" s="180">
        <f t="shared" si="11"/>
        <v>0.53497887647829678</v>
      </c>
      <c r="N122" s="180">
        <f t="shared" si="11"/>
        <v>0.53449721813098583</v>
      </c>
      <c r="O122" s="180">
        <f t="shared" si="11"/>
        <v>0.53424078146167731</v>
      </c>
      <c r="P122" s="180">
        <f t="shared" si="11"/>
        <v>0.1927418219376707</v>
      </c>
      <c r="Q122" s="180">
        <f t="shared" si="11"/>
        <v>0.19262773400001817</v>
      </c>
      <c r="R122" s="180">
        <f t="shared" si="11"/>
        <v>0.1868210671683618</v>
      </c>
      <c r="S122" s="180">
        <f t="shared" si="11"/>
        <v>0.18651929914587306</v>
      </c>
      <c r="T122" s="180">
        <f t="shared" si="11"/>
        <v>0.18425592003697516</v>
      </c>
      <c r="U122" s="180">
        <f t="shared" si="11"/>
        <v>0.18395814107224606</v>
      </c>
      <c r="V122" s="181">
        <f t="shared" si="12"/>
        <v>1.6074389455571003E-6</v>
      </c>
    </row>
    <row r="123" spans="3:26" ht="20" thickBot="1" x14ac:dyDescent="0.3">
      <c r="C123" s="124">
        <f t="shared" si="13"/>
        <v>1400</v>
      </c>
      <c r="D123" s="176">
        <f t="shared" si="14"/>
        <v>3.1728031555409504</v>
      </c>
      <c r="E123" s="175">
        <f t="shared" si="14"/>
        <v>1.1490907502001082</v>
      </c>
      <c r="F123" s="175">
        <f t="shared" si="14"/>
        <v>1.145968925039637</v>
      </c>
      <c r="G123" s="175">
        <f t="shared" si="14"/>
        <v>0.93403650372032998</v>
      </c>
      <c r="H123" s="175">
        <f t="shared" si="14"/>
        <v>0.74899989484360208</v>
      </c>
      <c r="I123" s="175">
        <f t="shared" si="14"/>
        <v>0.74830031661605445</v>
      </c>
      <c r="J123" s="175">
        <f t="shared" si="14"/>
        <v>0.63457480676739997</v>
      </c>
      <c r="K123" s="175">
        <f t="shared" si="14"/>
        <v>0.62345155802122032</v>
      </c>
      <c r="L123" s="180">
        <f t="shared" si="14"/>
        <v>0.58517101007465833</v>
      </c>
      <c r="M123" s="180">
        <f t="shared" si="11"/>
        <v>0.58503309848143303</v>
      </c>
      <c r="N123" s="180">
        <f t="shared" si="11"/>
        <v>0.58451906642159257</v>
      </c>
      <c r="O123" s="180">
        <f t="shared" si="11"/>
        <v>0.58424539502280526</v>
      </c>
      <c r="P123" s="180">
        <f t="shared" si="11"/>
        <v>0.21947864081798305</v>
      </c>
      <c r="Q123" s="180">
        <f t="shared" si="11"/>
        <v>0.21935571194858122</v>
      </c>
      <c r="R123" s="180">
        <f t="shared" si="11"/>
        <v>0.21309608744553529</v>
      </c>
      <c r="S123" s="180">
        <f t="shared" si="11"/>
        <v>0.2127706151810331</v>
      </c>
      <c r="T123" s="180">
        <f t="shared" si="11"/>
        <v>0.21032890853107175</v>
      </c>
      <c r="U123" s="180">
        <f t="shared" si="11"/>
        <v>0.21000759678139808</v>
      </c>
      <c r="V123" s="181">
        <f t="shared" si="12"/>
        <v>9.7543178377886607E-6</v>
      </c>
    </row>
    <row r="124" spans="3:26" ht="20" thickBot="1" x14ac:dyDescent="0.3">
      <c r="C124" s="124">
        <f t="shared" si="13"/>
        <v>1500</v>
      </c>
      <c r="D124" s="176">
        <f t="shared" si="14"/>
        <v>3.4012283809752213</v>
      </c>
      <c r="E124" s="175">
        <f t="shared" si="14"/>
        <v>1.2358456780419615</v>
      </c>
      <c r="F124" s="175">
        <f t="shared" si="14"/>
        <v>1.2325119683205559</v>
      </c>
      <c r="G124" s="175">
        <f t="shared" si="14"/>
        <v>1.0063264603070916</v>
      </c>
      <c r="H124" s="175">
        <f t="shared" si="14"/>
        <v>0.80912065676708689</v>
      </c>
      <c r="I124" s="175">
        <f t="shared" si="14"/>
        <v>0.80837568633667622</v>
      </c>
      <c r="J124" s="175">
        <f t="shared" si="14"/>
        <v>0.68734303582831435</v>
      </c>
      <c r="K124" s="175">
        <f t="shared" si="14"/>
        <v>0.67551313386309897</v>
      </c>
      <c r="L124" s="180">
        <f t="shared" si="14"/>
        <v>0.63481199988737869</v>
      </c>
      <c r="M124" s="180">
        <f t="shared" si="11"/>
        <v>0.63466539959483292</v>
      </c>
      <c r="N124" s="180">
        <f t="shared" si="11"/>
        <v>0.6341189845208508</v>
      </c>
      <c r="O124" s="180">
        <f t="shared" si="11"/>
        <v>0.63382807365088334</v>
      </c>
      <c r="P124" s="180">
        <f t="shared" si="11"/>
        <v>0.24618234783234871</v>
      </c>
      <c r="Q124" s="180">
        <f t="shared" si="11"/>
        <v>0.24605099777825659</v>
      </c>
      <c r="R124" s="180">
        <f t="shared" si="11"/>
        <v>0.23936025137585742</v>
      </c>
      <c r="S124" s="180">
        <f t="shared" si="11"/>
        <v>0.23901223521854162</v>
      </c>
      <c r="T124" s="180">
        <f t="shared" si="11"/>
        <v>0.23640098563856704</v>
      </c>
      <c r="U124" s="180">
        <f t="shared" si="11"/>
        <v>0.23605730759724841</v>
      </c>
      <c r="V124" s="181">
        <f t="shared" si="12"/>
        <v>4.9581202393477749E-5</v>
      </c>
    </row>
    <row r="125" spans="3:26" ht="20" thickBot="1" x14ac:dyDescent="0.3">
      <c r="C125" s="124">
        <f t="shared" si="13"/>
        <v>1600</v>
      </c>
      <c r="D125" s="176">
        <f t="shared" si="14"/>
        <v>3.6295462559357157</v>
      </c>
      <c r="E125" s="175">
        <f t="shared" si="14"/>
        <v>1.3223380870581436</v>
      </c>
      <c r="F125" s="175">
        <f t="shared" si="14"/>
        <v>1.3187919703004765</v>
      </c>
      <c r="G125" s="175">
        <f t="shared" si="14"/>
        <v>1.0783145258285232</v>
      </c>
      <c r="H125" s="175">
        <f t="shared" si="14"/>
        <v>0.86890239589994334</v>
      </c>
      <c r="I125" s="175">
        <f t="shared" si="14"/>
        <v>0.86811189705455483</v>
      </c>
      <c r="J125" s="175">
        <f t="shared" si="14"/>
        <v>0.73975233565180609</v>
      </c>
      <c r="K125" s="175">
        <f t="shared" si="14"/>
        <v>0.72721425320109279</v>
      </c>
      <c r="L125" s="180">
        <f t="shared" si="14"/>
        <v>0.68408820134105763</v>
      </c>
      <c r="M125" s="180">
        <f t="shared" si="11"/>
        <v>0.68393289975504823</v>
      </c>
      <c r="N125" s="180">
        <f t="shared" si="11"/>
        <v>0.68335405493889056</v>
      </c>
      <c r="O125" s="180">
        <f t="shared" si="11"/>
        <v>0.68304587985744181</v>
      </c>
      <c r="P125" s="180">
        <f t="shared" si="11"/>
        <v>0.27278433744686664</v>
      </c>
      <c r="Q125" s="180">
        <f t="shared" si="11"/>
        <v>0.27264489040944456</v>
      </c>
      <c r="R125" s="180">
        <f t="shared" si="11"/>
        <v>0.26553994610980863</v>
      </c>
      <c r="S125" s="180">
        <f t="shared" si="11"/>
        <v>0.26517028859824326</v>
      </c>
      <c r="T125" s="180">
        <f t="shared" si="11"/>
        <v>0.26239633930020795</v>
      </c>
      <c r="U125" s="180">
        <f t="shared" si="11"/>
        <v>0.26203120504383604</v>
      </c>
      <c r="V125" s="181">
        <f t="shared" si="12"/>
        <v>2.1777878658240792E-4</v>
      </c>
    </row>
    <row r="126" spans="3:26" ht="20" thickBot="1" x14ac:dyDescent="0.3">
      <c r="C126" s="124">
        <f t="shared" si="13"/>
        <v>1700</v>
      </c>
      <c r="D126" s="176">
        <f t="shared" si="14"/>
        <v>3.85777556107776</v>
      </c>
      <c r="E126" s="175">
        <f t="shared" si="14"/>
        <v>1.4086113206885613</v>
      </c>
      <c r="F126" s="175">
        <f t="shared" si="14"/>
        <v>1.4048523447348511</v>
      </c>
      <c r="G126" s="175">
        <f t="shared" si="14"/>
        <v>1.1500488367574966</v>
      </c>
      <c r="H126" s="175">
        <f t="shared" si="14"/>
        <v>0.92839609010259616</v>
      </c>
      <c r="I126" s="175">
        <f t="shared" si="14"/>
        <v>0.92755993111172863</v>
      </c>
      <c r="J126" s="175">
        <f t="shared" si="14"/>
        <v>0.79185314053549483</v>
      </c>
      <c r="K126" s="175">
        <f t="shared" si="14"/>
        <v>0.77860511401914323</v>
      </c>
      <c r="L126" s="180">
        <f t="shared" si="14"/>
        <v>0.73304864335014308</v>
      </c>
      <c r="M126" s="180">
        <f t="shared" si="11"/>
        <v>0.7328846225513006</v>
      </c>
      <c r="N126" s="180">
        <f t="shared" si="11"/>
        <v>0.7322732813397419</v>
      </c>
      <c r="O126" s="180">
        <f t="shared" si="11"/>
        <v>0.73194780664887105</v>
      </c>
      <c r="P126" s="180">
        <f t="shared" si="11"/>
        <v>0.29924431224931575</v>
      </c>
      <c r="Q126" s="180">
        <f t="shared" si="11"/>
        <v>0.29909701647467379</v>
      </c>
      <c r="R126" s="180">
        <f t="shared" si="11"/>
        <v>0.29159087617101637</v>
      </c>
      <c r="S126" s="180">
        <f t="shared" si="11"/>
        <v>0.29120027301818324</v>
      </c>
      <c r="T126" s="180">
        <f t="shared" si="11"/>
        <v>0.28826890659953641</v>
      </c>
      <c r="U126" s="180">
        <f t="shared" si="11"/>
        <v>0.28788301966214075</v>
      </c>
      <c r="V126" s="181">
        <f t="shared" si="12"/>
        <v>8.465478741534777E-4</v>
      </c>
    </row>
    <row r="127" spans="3:26" ht="20" thickBot="1" x14ac:dyDescent="0.3">
      <c r="C127" s="124">
        <f t="shared" si="13"/>
        <v>1800</v>
      </c>
      <c r="D127" s="176">
        <f t="shared" si="14"/>
        <v>4.0859309451088439</v>
      </c>
      <c r="E127" s="175">
        <f t="shared" si="14"/>
        <v>1.4946998317334301</v>
      </c>
      <c r="F127" s="175">
        <f t="shared" si="14"/>
        <v>1.4907276044529643</v>
      </c>
      <c r="G127" s="175">
        <f t="shared" si="14"/>
        <v>1.2215680938123008</v>
      </c>
      <c r="H127" s="175">
        <f t="shared" si="14"/>
        <v>0.98764352042931081</v>
      </c>
      <c r="I127" s="175">
        <f t="shared" si="14"/>
        <v>0.98676157755384664</v>
      </c>
      <c r="J127" s="175">
        <f t="shared" si="14"/>
        <v>0.84368772569763417</v>
      </c>
      <c r="K127" s="175">
        <f t="shared" si="14"/>
        <v>0.82972791958885683</v>
      </c>
      <c r="L127" s="180">
        <f t="shared" si="14"/>
        <v>0.78173504234902369</v>
      </c>
      <c r="M127" s="180">
        <f t="shared" ref="M127:U129" si="15">EXP(-($B$14*M$107)/(2*$B$8*$C127))/(1-EXP(-($B$14*M$107)/($B$8*$C127)))</f>
        <v>0.78156228190921806</v>
      </c>
      <c r="N127" s="180">
        <f t="shared" si="15"/>
        <v>0.78091836824591898</v>
      </c>
      <c r="O127" s="180">
        <f t="shared" si="15"/>
        <v>0.78057555350772423</v>
      </c>
      <c r="P127" s="180">
        <f t="shared" si="15"/>
        <v>0.32554065230194401</v>
      </c>
      <c r="Q127" s="180">
        <f t="shared" si="15"/>
        <v>0.32538569654401306</v>
      </c>
      <c r="R127" s="180">
        <f t="shared" si="15"/>
        <v>0.31748827885414027</v>
      </c>
      <c r="S127" s="180">
        <f t="shared" si="15"/>
        <v>0.3170772625621569</v>
      </c>
      <c r="T127" s="180">
        <f t="shared" si="15"/>
        <v>0.31399252807424533</v>
      </c>
      <c r="U127" s="180">
        <f t="shared" si="15"/>
        <v>0.31358642846396406</v>
      </c>
      <c r="V127" s="181">
        <f t="shared" si="12"/>
        <v>2.9669325928770528E-3</v>
      </c>
    </row>
    <row r="128" spans="3:26" ht="20" thickBot="1" x14ac:dyDescent="0.3">
      <c r="C128" s="124">
        <f t="shared" si="13"/>
        <v>1900</v>
      </c>
      <c r="D128" s="176">
        <f t="shared" si="14"/>
        <v>4.3140240001041725</v>
      </c>
      <c r="E128" s="175">
        <f t="shared" si="14"/>
        <v>1.580631312169694</v>
      </c>
      <c r="F128" s="175">
        <f t="shared" si="14"/>
        <v>1.576445492400455</v>
      </c>
      <c r="G128" s="175">
        <f t="shared" si="14"/>
        <v>1.2929036927674815</v>
      </c>
      <c r="H128" s="175">
        <f t="shared" si="14"/>
        <v>1.0466791083321663</v>
      </c>
      <c r="I128" s="175">
        <f t="shared" si="14"/>
        <v>1.0457512672410474</v>
      </c>
      <c r="J128" s="175">
        <f t="shared" si="14"/>
        <v>0.89529153884632628</v>
      </c>
      <c r="K128" s="175">
        <f t="shared" si="14"/>
        <v>0.88061813918746712</v>
      </c>
      <c r="L128" s="180">
        <f t="shared" si="14"/>
        <v>0.83018278084102082</v>
      </c>
      <c r="M128" s="180">
        <f t="shared" si="15"/>
        <v>0.83000125950688131</v>
      </c>
      <c r="N128" s="180">
        <f t="shared" si="15"/>
        <v>0.82932469422385136</v>
      </c>
      <c r="O128" s="180">
        <f t="shared" si="15"/>
        <v>0.82896449732072341</v>
      </c>
      <c r="P128" s="180">
        <f t="shared" si="15"/>
        <v>0.35166391970700278</v>
      </c>
      <c r="Q128" s="180">
        <f t="shared" si="15"/>
        <v>0.35150144652531723</v>
      </c>
      <c r="R128" s="180">
        <f t="shared" si="15"/>
        <v>0.34322026842900255</v>
      </c>
      <c r="S128" s="180">
        <f t="shared" si="15"/>
        <v>0.34278924395724619</v>
      </c>
      <c r="T128" s="180">
        <f t="shared" si="15"/>
        <v>0.33955422513142419</v>
      </c>
      <c r="U128" s="180">
        <f t="shared" si="15"/>
        <v>0.33912832470825854</v>
      </c>
      <c r="V128" s="181">
        <f t="shared" si="12"/>
        <v>9.5146667419778192E-3</v>
      </c>
    </row>
    <row r="129" spans="2:22" ht="20" thickBot="1" x14ac:dyDescent="0.3">
      <c r="C129" s="125">
        <f t="shared" si="13"/>
        <v>2000</v>
      </c>
      <c r="D129" s="176">
        <f t="shared" si="14"/>
        <v>4.542064018109996</v>
      </c>
      <c r="E129" s="175">
        <f t="shared" si="14"/>
        <v>1.6664282499884693</v>
      </c>
      <c r="F129" s="175">
        <f t="shared" si="14"/>
        <v>1.6620285397902288</v>
      </c>
      <c r="G129" s="175">
        <f t="shared" si="14"/>
        <v>1.3640813251760613</v>
      </c>
      <c r="H129" s="175">
        <f t="shared" si="14"/>
        <v>1.1055313782129279</v>
      </c>
      <c r="I129" s="175">
        <f t="shared" si="14"/>
        <v>1.1045575342675584</v>
      </c>
      <c r="J129" s="175">
        <f t="shared" si="14"/>
        <v>0.94669437313073679</v>
      </c>
      <c r="K129" s="175">
        <f t="shared" si="14"/>
        <v>0.93130563882406792</v>
      </c>
      <c r="L129" s="180">
        <f t="shared" si="14"/>
        <v>0.87842186746705286</v>
      </c>
      <c r="M129" s="180">
        <f t="shared" si="15"/>
        <v>0.87823156415120807</v>
      </c>
      <c r="N129" s="180">
        <f t="shared" si="15"/>
        <v>0.87752226867472749</v>
      </c>
      <c r="O129" s="180">
        <f t="shared" si="15"/>
        <v>0.87714464778967727</v>
      </c>
      <c r="P129" s="180">
        <f t="shared" si="15"/>
        <v>0.37761250042353367</v>
      </c>
      <c r="Q129" s="180">
        <f t="shared" si="15"/>
        <v>0.37744261668691587</v>
      </c>
      <c r="R129" s="180">
        <f t="shared" si="15"/>
        <v>0.36878333440599104</v>
      </c>
      <c r="S129" s="180">
        <f t="shared" si="15"/>
        <v>0.3683326076102959</v>
      </c>
      <c r="T129" s="180">
        <f t="shared" si="15"/>
        <v>0.36494963717197099</v>
      </c>
      <c r="U129" s="180">
        <f t="shared" si="15"/>
        <v>0.36450424797479059</v>
      </c>
      <c r="V129" s="181">
        <f t="shared" si="12"/>
        <v>2.8253085330665825E-2</v>
      </c>
    </row>
    <row r="136" spans="2:22" ht="19" x14ac:dyDescent="0.25">
      <c r="B136" s="1"/>
      <c r="C136" s="1"/>
      <c r="D136" s="1"/>
      <c r="E136" s="1"/>
      <c r="F136" s="1" t="s">
        <v>66</v>
      </c>
      <c r="G136" s="1"/>
      <c r="H136" s="1"/>
      <c r="I136" s="1"/>
      <c r="J136" s="1"/>
      <c r="K136" s="1"/>
      <c r="L136" s="1"/>
      <c r="M136" s="1"/>
      <c r="N136" s="1"/>
      <c r="O136" s="1"/>
    </row>
    <row r="137" spans="2:22" ht="27" x14ac:dyDescent="0.35">
      <c r="B137" s="1"/>
      <c r="C137" s="126" t="s">
        <v>91</v>
      </c>
      <c r="D137" s="127"/>
      <c r="E137" s="1"/>
      <c r="F137" s="1"/>
      <c r="G137" s="1"/>
      <c r="H137" s="1"/>
      <c r="I137" s="1"/>
      <c r="J137" s="1"/>
      <c r="K137" s="1"/>
      <c r="L137" s="1"/>
      <c r="M137" s="1"/>
      <c r="N137" s="1"/>
      <c r="O137" s="1"/>
    </row>
    <row r="138" spans="2:22" ht="20" thickBot="1" x14ac:dyDescent="0.3">
      <c r="B138" s="1"/>
      <c r="C138" s="1"/>
      <c r="D138" s="1"/>
      <c r="E138" s="1"/>
      <c r="F138" s="1"/>
      <c r="G138" s="1"/>
      <c r="H138" s="1"/>
      <c r="I138" s="1"/>
      <c r="J138" s="1"/>
      <c r="K138" s="1"/>
      <c r="L138" s="1"/>
      <c r="M138" s="1"/>
      <c r="N138" s="1"/>
      <c r="O138" s="1"/>
    </row>
    <row r="139" spans="2:22" ht="20" thickBot="1" x14ac:dyDescent="0.3">
      <c r="B139" s="1"/>
      <c r="C139" s="91" t="s">
        <v>26</v>
      </c>
      <c r="D139" s="72"/>
      <c r="E139" s="72"/>
      <c r="F139" s="73"/>
      <c r="G139" s="1"/>
      <c r="H139" s="1"/>
      <c r="I139" s="1"/>
      <c r="J139" s="1"/>
      <c r="K139" s="1"/>
      <c r="L139" s="1"/>
      <c r="M139" s="1"/>
      <c r="N139" s="1"/>
      <c r="O139" s="1"/>
    </row>
    <row r="140" spans="2:22" ht="20" thickBot="1" x14ac:dyDescent="0.3">
      <c r="B140" s="1"/>
      <c r="C140" s="92"/>
      <c r="D140" s="106" t="s">
        <v>36</v>
      </c>
      <c r="E140" s="107" t="s">
        <v>37</v>
      </c>
      <c r="F140" s="108" t="s">
        <v>38</v>
      </c>
      <c r="G140" s="1"/>
      <c r="H140" s="1"/>
      <c r="I140" s="1"/>
      <c r="J140" s="1"/>
      <c r="K140" s="1"/>
      <c r="L140" s="1"/>
      <c r="M140" s="1"/>
      <c r="N140" s="1"/>
      <c r="O140" s="1"/>
    </row>
    <row r="141" spans="2:22" ht="22" thickBot="1" x14ac:dyDescent="0.3">
      <c r="B141" s="1"/>
      <c r="C141" s="183" t="s">
        <v>92</v>
      </c>
      <c r="D141" s="68">
        <f>D24*($Q$8)^2</f>
        <v>3.7323307200000006E-46</v>
      </c>
      <c r="E141" s="68">
        <f>E24*($Q$8)^2</f>
        <v>1.5085245020000001E-45</v>
      </c>
      <c r="F141" s="68">
        <f>F24*($Q$8)^2</f>
        <v>1.5086519899999998E-45</v>
      </c>
      <c r="G141" s="1"/>
      <c r="H141" s="1"/>
      <c r="I141" s="1"/>
      <c r="J141" s="1"/>
      <c r="K141" s="1"/>
      <c r="L141" s="1"/>
      <c r="M141" s="1"/>
      <c r="N141" s="1"/>
      <c r="O141" s="1"/>
    </row>
    <row r="142" spans="2:22" ht="19" x14ac:dyDescent="0.25">
      <c r="B142" s="1"/>
      <c r="C142" s="1"/>
      <c r="D142" s="1"/>
      <c r="E142" s="1"/>
      <c r="F142" s="1"/>
      <c r="G142" s="1"/>
      <c r="H142" s="1"/>
      <c r="I142" s="1"/>
      <c r="J142" s="1"/>
      <c r="K142" s="1"/>
      <c r="L142" s="1"/>
      <c r="M142" s="1"/>
      <c r="N142" s="1"/>
      <c r="O142" s="1"/>
    </row>
    <row r="143" spans="2:22" ht="19" x14ac:dyDescent="0.25">
      <c r="B143" s="1"/>
      <c r="C143" s="1"/>
      <c r="D143" s="1"/>
      <c r="E143" s="1"/>
      <c r="F143" s="1"/>
      <c r="G143" s="1"/>
      <c r="H143" s="1"/>
      <c r="I143" s="1"/>
      <c r="J143" s="1"/>
      <c r="K143" s="1"/>
      <c r="L143" s="1"/>
      <c r="M143" s="1"/>
      <c r="N143" s="1"/>
      <c r="O143" s="1"/>
    </row>
    <row r="144" spans="2:22" ht="20" thickBot="1" x14ac:dyDescent="0.3">
      <c r="B144" s="1"/>
      <c r="C144" s="1"/>
      <c r="D144" s="1"/>
      <c r="E144" s="1"/>
      <c r="F144" s="1"/>
      <c r="G144" s="1"/>
      <c r="H144" s="1"/>
      <c r="I144" s="1"/>
      <c r="J144" s="1"/>
      <c r="K144" s="1"/>
      <c r="L144" s="1"/>
      <c r="M144" s="1"/>
      <c r="N144" s="1"/>
      <c r="O144" s="1"/>
    </row>
    <row r="145" spans="2:15" ht="23" thickBot="1" x14ac:dyDescent="0.35">
      <c r="B145" s="1"/>
      <c r="C145" s="184" t="s">
        <v>68</v>
      </c>
      <c r="D145" s="155" t="s">
        <v>121</v>
      </c>
      <c r="E145" s="155" t="s">
        <v>122</v>
      </c>
      <c r="F145" s="1"/>
      <c r="G145" s="1"/>
      <c r="H145" s="160" t="s">
        <v>83</v>
      </c>
      <c r="I145" s="161"/>
      <c r="J145" s="161"/>
      <c r="K145" s="161"/>
      <c r="L145" s="161"/>
      <c r="M145" s="161"/>
      <c r="N145" s="161"/>
      <c r="O145" s="1"/>
    </row>
    <row r="146" spans="2:15" ht="20" thickBot="1" x14ac:dyDescent="0.3">
      <c r="B146" s="1"/>
      <c r="C146" s="148">
        <v>300</v>
      </c>
      <c r="D146" s="152">
        <f t="shared" ref="D146:D163" si="16">(8*PI()^2*(2*PI()*$B$8*C146)^(3/2)*SQRT($D$141*$E$141*$F$141))/($H$148*$B$14^3)</f>
        <v>5534.8859435231889</v>
      </c>
      <c r="E146" s="186">
        <f>(SQRT(PI())/3)*((C146^1.5)/SQRT($C$29*$D$29*$E$29))</f>
        <v>1641.1677307014465</v>
      </c>
      <c r="F146" s="4"/>
      <c r="G146" s="1"/>
      <c r="H146" s="1"/>
      <c r="I146" s="1"/>
      <c r="J146" s="1"/>
      <c r="K146" s="1"/>
      <c r="L146" s="1"/>
      <c r="M146" s="1"/>
      <c r="N146" s="1"/>
      <c r="O146" s="1"/>
    </row>
    <row r="147" spans="2:15" ht="20" thickBot="1" x14ac:dyDescent="0.3">
      <c r="B147" s="1"/>
      <c r="C147" s="149">
        <f>C146+100</f>
        <v>400</v>
      </c>
      <c r="D147" s="153">
        <f t="shared" si="16"/>
        <v>8521.5143718053805</v>
      </c>
      <c r="E147" s="187">
        <f t="shared" ref="E147:E163" si="17">(SQRT(PI())/3)*((C147^1.5)/SQRT($C$29*$D$29*$E$29))</f>
        <v>2526.7430162821533</v>
      </c>
      <c r="F147" s="1"/>
      <c r="G147" s="1"/>
      <c r="L147" s="155" t="s">
        <v>124</v>
      </c>
      <c r="M147" s="155" t="s">
        <v>123</v>
      </c>
      <c r="N147" s="1"/>
      <c r="O147" s="1"/>
    </row>
    <row r="148" spans="2:15" ht="20" thickBot="1" x14ac:dyDescent="0.3">
      <c r="B148" s="1"/>
      <c r="C148" s="149">
        <f t="shared" ref="C148:C163" si="18">C147+100</f>
        <v>500</v>
      </c>
      <c r="D148" s="153">
        <f t="shared" si="16"/>
        <v>11909.178379123803</v>
      </c>
      <c r="E148" s="187">
        <f t="shared" si="17"/>
        <v>3531.2307162998468</v>
      </c>
      <c r="F148" s="1"/>
      <c r="G148" s="109" t="s">
        <v>120</v>
      </c>
      <c r="H148" s="114">
        <v>6</v>
      </c>
      <c r="K148" s="80" t="s">
        <v>79</v>
      </c>
      <c r="L148" s="130">
        <f>8*PI()^2*(2*PI()*$B$8*$A$22)^(3/2)*SQRT($D$141*$E$141*$F$141)/($H$148*$B$14^3)</f>
        <v>5483.7672596357852</v>
      </c>
      <c r="M148" s="128">
        <f>(SQRT(PI())/$A$31)*(($A$22^1.5)/SQRT($C$29*$D$29*$E$29))</f>
        <v>2439.0155355566308</v>
      </c>
      <c r="N148" s="1"/>
      <c r="O148" s="1"/>
    </row>
    <row r="149" spans="2:15" ht="20" thickBot="1" x14ac:dyDescent="0.3">
      <c r="B149" s="1"/>
      <c r="C149" s="149">
        <f t="shared" si="18"/>
        <v>600</v>
      </c>
      <c r="D149" s="153">
        <f t="shared" si="16"/>
        <v>15655.021535037436</v>
      </c>
      <c r="E149" s="187">
        <f t="shared" si="17"/>
        <v>4641.923325774118</v>
      </c>
      <c r="F149" s="1"/>
      <c r="G149" s="1"/>
      <c r="K149" s="81" t="s">
        <v>80</v>
      </c>
      <c r="L149" s="132">
        <f>P34</f>
        <v>2439.02</v>
      </c>
      <c r="M149" s="132">
        <f>L149</f>
        <v>2439.02</v>
      </c>
      <c r="N149" s="1"/>
      <c r="O149" s="1"/>
    </row>
    <row r="150" spans="2:15" ht="22" x14ac:dyDescent="0.3">
      <c r="B150" s="1"/>
      <c r="C150" s="149">
        <f t="shared" si="18"/>
        <v>700</v>
      </c>
      <c r="D150" s="153">
        <f t="shared" si="16"/>
        <v>19727.581843777236</v>
      </c>
      <c r="E150" s="187">
        <f t="shared" si="17"/>
        <v>5849.4919420453243</v>
      </c>
      <c r="F150" s="1"/>
      <c r="G150" s="1"/>
      <c r="H150" s="1"/>
      <c r="I150" s="1"/>
      <c r="K150" s="25" t="s">
        <v>81</v>
      </c>
      <c r="L150" s="162">
        <f>ABS(L148-L149)/L148</f>
        <v>0.55522911813693709</v>
      </c>
      <c r="M150" s="162">
        <f>ABS(M148-M149)/M148</f>
        <v>1.8304284266056199E-6</v>
      </c>
      <c r="N150" s="1"/>
      <c r="O150" s="1"/>
    </row>
    <row r="151" spans="2:15" ht="19" x14ac:dyDescent="0.25">
      <c r="B151" s="1"/>
      <c r="C151" s="149">
        <f t="shared" si="18"/>
        <v>800</v>
      </c>
      <c r="D151" s="153">
        <f t="shared" si="16"/>
        <v>24102.482393128554</v>
      </c>
      <c r="E151" s="187">
        <f t="shared" si="17"/>
        <v>7146.7084845154413</v>
      </c>
      <c r="F151" s="1"/>
      <c r="G151" s="1"/>
    </row>
    <row r="152" spans="2:15" ht="19" x14ac:dyDescent="0.25">
      <c r="B152" s="1"/>
      <c r="C152" s="149">
        <f t="shared" si="18"/>
        <v>900</v>
      </c>
      <c r="D152" s="153">
        <f t="shared" si="16"/>
        <v>28760.111004842791</v>
      </c>
      <c r="E152" s="187">
        <f t="shared" si="17"/>
        <v>8527.7576799522667</v>
      </c>
      <c r="F152" s="1"/>
      <c r="G152" s="1"/>
    </row>
    <row r="153" spans="2:15" ht="19" x14ac:dyDescent="0.25">
      <c r="B153" s="1"/>
      <c r="C153" s="149">
        <f t="shared" si="18"/>
        <v>1000</v>
      </c>
      <c r="D153" s="153">
        <f t="shared" si="16"/>
        <v>33684.243160954247</v>
      </c>
      <c r="E153" s="187">
        <f t="shared" si="17"/>
        <v>9987.8287417193969</v>
      </c>
      <c r="F153" s="1"/>
      <c r="G153" s="1"/>
    </row>
    <row r="154" spans="2:15" ht="19" x14ac:dyDescent="0.25">
      <c r="C154" s="149">
        <f t="shared" si="18"/>
        <v>1100</v>
      </c>
      <c r="D154" s="153">
        <f t="shared" si="16"/>
        <v>38861.165498236354</v>
      </c>
      <c r="E154" s="187">
        <f t="shared" si="17"/>
        <v>11522.855474155793</v>
      </c>
    </row>
    <row r="155" spans="2:15" ht="19" x14ac:dyDescent="0.25">
      <c r="C155" s="149">
        <f t="shared" si="18"/>
        <v>1200</v>
      </c>
      <c r="D155" s="153">
        <f t="shared" si="16"/>
        <v>44279.087548185751</v>
      </c>
      <c r="E155" s="187">
        <f t="shared" si="17"/>
        <v>13129.341845611574</v>
      </c>
    </row>
    <row r="156" spans="2:15" ht="19" x14ac:dyDescent="0.25">
      <c r="C156" s="149">
        <f t="shared" si="18"/>
        <v>1300</v>
      </c>
      <c r="D156" s="153">
        <f t="shared" si="16"/>
        <v>49927.730144739013</v>
      </c>
      <c r="E156" s="187">
        <f t="shared" si="17"/>
        <v>14804.239945829486</v>
      </c>
    </row>
    <row r="157" spans="2:15" ht="19" x14ac:dyDescent="0.25">
      <c r="C157" s="149">
        <f t="shared" si="18"/>
        <v>1400</v>
      </c>
      <c r="D157" s="153">
        <f t="shared" si="16"/>
        <v>55798.027592590151</v>
      </c>
      <c r="E157" s="187">
        <f t="shared" si="17"/>
        <v>16544.861674865282</v>
      </c>
    </row>
    <row r="158" spans="2:15" ht="19" x14ac:dyDescent="0.25">
      <c r="C158" s="149">
        <f t="shared" si="18"/>
        <v>1500</v>
      </c>
      <c r="D158" s="153">
        <f t="shared" si="16"/>
        <v>61881.906087129377</v>
      </c>
      <c r="E158" s="187">
        <f t="shared" si="17"/>
        <v>18348.813041637528</v>
      </c>
    </row>
    <row r="159" spans="2:15" ht="19" x14ac:dyDescent="0.25">
      <c r="C159" s="149">
        <f t="shared" si="18"/>
        <v>1600</v>
      </c>
      <c r="D159" s="153">
        <f t="shared" si="16"/>
        <v>68172.114974442477</v>
      </c>
      <c r="E159" s="187">
        <f t="shared" si="17"/>
        <v>20213.944130257234</v>
      </c>
    </row>
    <row r="160" spans="2:15" ht="19" x14ac:dyDescent="0.25">
      <c r="C160" s="149">
        <f t="shared" si="18"/>
        <v>1700</v>
      </c>
      <c r="D160" s="153">
        <f t="shared" si="16"/>
        <v>74662.095670991475</v>
      </c>
      <c r="E160" s="187">
        <f t="shared" si="17"/>
        <v>22138.310232961558</v>
      </c>
    </row>
    <row r="161" spans="2:16" ht="19" x14ac:dyDescent="0.25">
      <c r="C161" s="149">
        <f t="shared" si="18"/>
        <v>1800</v>
      </c>
      <c r="D161" s="153">
        <f t="shared" si="16"/>
        <v>81345.878076808993</v>
      </c>
      <c r="E161" s="187">
        <f t="shared" si="17"/>
        <v>24120.141135239654</v>
      </c>
    </row>
    <row r="162" spans="2:16" ht="19" x14ac:dyDescent="0.25">
      <c r="C162" s="149">
        <f t="shared" si="18"/>
        <v>1900</v>
      </c>
      <c r="D162" s="153">
        <f t="shared" si="16"/>
        <v>88217.997482493607</v>
      </c>
      <c r="E162" s="187">
        <f t="shared" si="17"/>
        <v>26157.816477643762</v>
      </c>
    </row>
    <row r="163" spans="2:16" ht="20" thickBot="1" x14ac:dyDescent="0.3">
      <c r="C163" s="150">
        <f t="shared" si="18"/>
        <v>2000</v>
      </c>
      <c r="D163" s="154">
        <f t="shared" si="16"/>
        <v>95273.42703298961</v>
      </c>
      <c r="E163" s="188">
        <f t="shared" si="17"/>
        <v>28249.845730398734</v>
      </c>
    </row>
    <row r="171" spans="2:16" ht="19" x14ac:dyDescent="0.25">
      <c r="B171" s="1"/>
      <c r="C171" s="1"/>
      <c r="D171" s="1"/>
      <c r="E171" s="1"/>
      <c r="F171" s="1"/>
      <c r="G171" s="1"/>
      <c r="H171" s="1"/>
      <c r="I171" s="1"/>
      <c r="J171" s="1"/>
      <c r="K171" s="1"/>
      <c r="L171" s="1"/>
      <c r="M171" s="1"/>
      <c r="N171" s="1"/>
      <c r="O171" s="1"/>
      <c r="P171" s="1"/>
    </row>
    <row r="172" spans="2:16" ht="19" x14ac:dyDescent="0.25">
      <c r="B172" s="1"/>
      <c r="C172" s="1"/>
      <c r="D172" s="1"/>
      <c r="E172" s="1"/>
      <c r="F172" s="1" t="s">
        <v>66</v>
      </c>
      <c r="G172" s="1"/>
      <c r="H172" s="1"/>
      <c r="I172" s="1"/>
      <c r="J172" s="1"/>
      <c r="K172" s="1"/>
      <c r="L172" s="1"/>
      <c r="M172" s="1"/>
      <c r="N172" s="1"/>
      <c r="O172" s="1"/>
    </row>
    <row r="173" spans="2:16" ht="27" x14ac:dyDescent="0.35">
      <c r="B173" s="1"/>
      <c r="C173" s="126" t="s">
        <v>93</v>
      </c>
      <c r="D173" s="127"/>
      <c r="E173" s="1"/>
      <c r="F173" s="1"/>
      <c r="G173" s="1"/>
      <c r="H173" s="1"/>
      <c r="I173" s="1"/>
      <c r="J173" s="1"/>
      <c r="K173" s="1"/>
      <c r="L173" s="1"/>
      <c r="M173" s="1"/>
      <c r="N173" s="1"/>
      <c r="O173" s="1"/>
    </row>
    <row r="174" spans="2:16" ht="19" x14ac:dyDescent="0.25">
      <c r="B174" s="1"/>
      <c r="C174" s="1"/>
      <c r="D174" s="1"/>
      <c r="E174" s="1"/>
      <c r="F174" s="1"/>
      <c r="G174" s="1"/>
      <c r="H174" s="1"/>
      <c r="I174" s="1"/>
      <c r="J174" s="1"/>
      <c r="K174" s="1"/>
      <c r="L174" s="1"/>
      <c r="M174" s="1"/>
      <c r="N174" s="1"/>
      <c r="O174" s="1"/>
    </row>
    <row r="175" spans="2:16" ht="19" x14ac:dyDescent="0.25">
      <c r="B175" s="1"/>
      <c r="G175" s="1"/>
      <c r="H175" s="1"/>
      <c r="I175" s="1"/>
      <c r="J175" s="1"/>
      <c r="K175" s="1"/>
      <c r="L175" s="1"/>
      <c r="M175" s="1"/>
      <c r="N175" s="1"/>
      <c r="O175" s="1"/>
    </row>
    <row r="176" spans="2:16" ht="19" x14ac:dyDescent="0.25">
      <c r="B176" s="1"/>
      <c r="G176" s="1"/>
      <c r="H176" s="1"/>
      <c r="I176" s="1"/>
      <c r="J176" s="1"/>
      <c r="K176" s="1"/>
      <c r="L176" s="1"/>
      <c r="M176" s="1"/>
      <c r="N176" s="1"/>
      <c r="O176" s="1"/>
    </row>
    <row r="177" spans="2:15" ht="19" x14ac:dyDescent="0.25">
      <c r="B177" s="1"/>
      <c r="G177" s="1"/>
      <c r="H177" s="1"/>
      <c r="I177" s="1"/>
      <c r="J177" s="1"/>
      <c r="K177" s="1"/>
      <c r="L177" s="1"/>
      <c r="M177" s="1"/>
      <c r="N177" s="1"/>
      <c r="O177" s="1"/>
    </row>
    <row r="178" spans="2:15" ht="20" thickBot="1" x14ac:dyDescent="0.3">
      <c r="B178" s="1"/>
      <c r="C178" s="190" t="s">
        <v>96</v>
      </c>
      <c r="F178" s="1"/>
      <c r="G178" s="1"/>
      <c r="H178" s="1"/>
      <c r="I178" s="1"/>
      <c r="J178" s="1"/>
      <c r="K178" s="1"/>
      <c r="L178" s="1"/>
      <c r="M178" s="1"/>
      <c r="N178" s="1"/>
      <c r="O178" s="1"/>
    </row>
    <row r="179" spans="2:15" ht="20" thickBot="1" x14ac:dyDescent="0.3">
      <c r="B179" s="1"/>
      <c r="C179" s="90"/>
      <c r="D179" s="165">
        <v>1</v>
      </c>
      <c r="E179" s="166">
        <f>D179+1</f>
        <v>2</v>
      </c>
      <c r="F179" s="166">
        <f t="shared" ref="F179:H179" si="19">E179+1</f>
        <v>3</v>
      </c>
      <c r="G179" s="166">
        <f t="shared" si="19"/>
        <v>4</v>
      </c>
      <c r="H179" s="248">
        <f t="shared" si="19"/>
        <v>5</v>
      </c>
      <c r="I179" s="199" t="s">
        <v>98</v>
      </c>
      <c r="J179" s="1"/>
      <c r="K179" s="1"/>
      <c r="L179" s="1"/>
      <c r="M179" s="1"/>
      <c r="N179" s="1"/>
      <c r="O179" s="1"/>
    </row>
    <row r="180" spans="2:15" ht="20" thickBot="1" x14ac:dyDescent="0.3">
      <c r="B180" s="1"/>
      <c r="C180" s="192" t="s">
        <v>97</v>
      </c>
      <c r="D180" s="197">
        <f>J$46</f>
        <v>-79.820728836399994</v>
      </c>
      <c r="E180" s="197">
        <f t="shared" ref="E180:I180" si="20">K$46</f>
        <v>-79.832474544999997</v>
      </c>
      <c r="F180" s="197">
        <f t="shared" si="20"/>
        <v>-79.840587526299998</v>
      </c>
      <c r="G180" s="197">
        <f t="shared" si="20"/>
        <v>-79.841602807499996</v>
      </c>
      <c r="H180" s="197">
        <f t="shared" si="20"/>
        <v>-79.841640703600007</v>
      </c>
      <c r="I180" s="197">
        <f t="shared" si="20"/>
        <v>-79.841640703600007</v>
      </c>
      <c r="J180" s="1"/>
      <c r="K180" s="1"/>
      <c r="L180" s="1"/>
      <c r="M180" s="1"/>
      <c r="N180" s="1"/>
      <c r="O180" s="1"/>
    </row>
    <row r="181" spans="2:15" ht="20" thickBot="1" x14ac:dyDescent="0.3">
      <c r="B181" s="1"/>
      <c r="C181" s="191" t="s">
        <v>99</v>
      </c>
      <c r="D181" s="198">
        <f>D180*$K$7</f>
        <v>-3.4801837772670396E-16</v>
      </c>
      <c r="E181" s="198">
        <f t="shared" ref="E181" si="21">E180*$K$7</f>
        <v>-3.4806958901619996E-16</v>
      </c>
      <c r="F181" s="198">
        <f>F180*$K$7</f>
        <v>-3.4810496161466798E-16</v>
      </c>
      <c r="G181" s="198">
        <f t="shared" ref="G181:I181" si="22">G180*$K$7</f>
        <v>-3.4810938824069997E-16</v>
      </c>
      <c r="H181" s="198">
        <f t="shared" si="22"/>
        <v>-3.48109553467696E-16</v>
      </c>
      <c r="I181" s="198">
        <f t="shared" si="22"/>
        <v>-3.48109553467696E-16</v>
      </c>
      <c r="N181" s="1"/>
      <c r="O181" s="1"/>
    </row>
    <row r="182" spans="2:15" ht="20" thickBot="1" x14ac:dyDescent="0.3">
      <c r="B182" s="1"/>
      <c r="D182" s="1"/>
      <c r="E182" s="1"/>
      <c r="F182" s="1"/>
      <c r="G182" s="1"/>
      <c r="N182" s="1"/>
      <c r="O182" s="1"/>
    </row>
    <row r="183" spans="2:15" ht="23" thickBot="1" x14ac:dyDescent="0.35">
      <c r="B183" s="1"/>
      <c r="C183" s="122" t="s">
        <v>100</v>
      </c>
      <c r="D183" s="1"/>
      <c r="E183" s="1"/>
      <c r="F183" s="1"/>
      <c r="G183" s="1"/>
      <c r="H183" s="160" t="s">
        <v>83</v>
      </c>
      <c r="I183" s="161"/>
      <c r="J183" s="161"/>
      <c r="K183" s="161"/>
      <c r="L183" s="161"/>
      <c r="M183" s="161"/>
      <c r="N183" s="1"/>
      <c r="O183" s="1"/>
    </row>
    <row r="184" spans="2:15" ht="20" thickBot="1" x14ac:dyDescent="0.3">
      <c r="B184" s="1"/>
      <c r="C184" s="196">
        <f>F181+L23</f>
        <v>-3.4777962277466798E-16</v>
      </c>
      <c r="F184" s="1"/>
      <c r="G184" s="1"/>
      <c r="H184" s="1"/>
      <c r="I184" s="1"/>
      <c r="J184" s="1"/>
      <c r="K184" s="1"/>
      <c r="L184" s="1"/>
      <c r="M184" s="1"/>
      <c r="N184" s="1"/>
      <c r="O184" s="1"/>
    </row>
    <row r="185" spans="2:15" ht="20" thickBot="1" x14ac:dyDescent="0.3">
      <c r="B185" s="1"/>
      <c r="F185" s="4"/>
      <c r="G185" s="1"/>
      <c r="L185" s="155" t="s">
        <v>82</v>
      </c>
      <c r="M185" s="1"/>
      <c r="N185" s="1"/>
      <c r="O185" s="1"/>
    </row>
    <row r="186" spans="2:15" ht="22" thickBot="1" x14ac:dyDescent="0.3">
      <c r="B186" s="1"/>
      <c r="C186" s="184" t="s">
        <v>68</v>
      </c>
      <c r="D186" s="185" t="s">
        <v>95</v>
      </c>
      <c r="F186" s="1"/>
      <c r="G186" s="1"/>
      <c r="K186" s="80" t="s">
        <v>79</v>
      </c>
      <c r="L186" s="130">
        <f>1</f>
        <v>1</v>
      </c>
      <c r="M186" s="1"/>
      <c r="N186" s="1"/>
      <c r="O186" s="1"/>
    </row>
    <row r="187" spans="2:15" ht="20" thickBot="1" x14ac:dyDescent="0.3">
      <c r="B187" s="1"/>
      <c r="C187" s="148">
        <v>300</v>
      </c>
      <c r="D187" s="152">
        <f>1</f>
        <v>1</v>
      </c>
      <c r="F187" s="1"/>
      <c r="G187" s="1"/>
      <c r="K187" s="81" t="s">
        <v>80</v>
      </c>
      <c r="L187" s="132">
        <f>P32</f>
        <v>1</v>
      </c>
      <c r="M187" s="1"/>
    </row>
    <row r="188" spans="2:15" ht="22" x14ac:dyDescent="0.3">
      <c r="B188" s="1"/>
      <c r="C188" s="149">
        <f>C187+100</f>
        <v>400</v>
      </c>
      <c r="D188" s="153">
        <f t="shared" ref="D188:D204" si="23">1*IFERROR(EXP(-$C$184/(C$187*$B$8)),1)</f>
        <v>1</v>
      </c>
      <c r="F188" s="1"/>
      <c r="G188" s="1"/>
      <c r="H188" s="1"/>
      <c r="I188" s="1"/>
      <c r="K188" s="25" t="s">
        <v>81</v>
      </c>
      <c r="L188" s="162">
        <f>ABS(L186-L187)/L186</f>
        <v>0</v>
      </c>
      <c r="M188" s="1"/>
    </row>
    <row r="189" spans="2:15" ht="19" x14ac:dyDescent="0.25">
      <c r="B189" s="1"/>
      <c r="C189" s="149">
        <f t="shared" ref="C189:C204" si="24">C188+100</f>
        <v>500</v>
      </c>
      <c r="D189" s="153">
        <f t="shared" si="23"/>
        <v>1</v>
      </c>
      <c r="F189" s="1"/>
      <c r="G189" s="1"/>
    </row>
    <row r="190" spans="2:15" ht="19" x14ac:dyDescent="0.25">
      <c r="C190" s="149">
        <f t="shared" si="24"/>
        <v>600</v>
      </c>
      <c r="D190" s="153">
        <f t="shared" si="23"/>
        <v>1</v>
      </c>
      <c r="F190" s="1"/>
    </row>
    <row r="191" spans="2:15" ht="19" x14ac:dyDescent="0.25">
      <c r="C191" s="149">
        <f t="shared" si="24"/>
        <v>700</v>
      </c>
      <c r="D191" s="153">
        <f t="shared" si="23"/>
        <v>1</v>
      </c>
      <c r="F191" s="1"/>
    </row>
    <row r="192" spans="2:15" ht="19" x14ac:dyDescent="0.25">
      <c r="C192" s="149">
        <f t="shared" si="24"/>
        <v>800</v>
      </c>
      <c r="D192" s="153">
        <f t="shared" si="23"/>
        <v>1</v>
      </c>
      <c r="F192" s="1"/>
    </row>
    <row r="193" spans="3:4" ht="19" x14ac:dyDescent="0.25">
      <c r="C193" s="149">
        <f t="shared" si="24"/>
        <v>900</v>
      </c>
      <c r="D193" s="153">
        <f t="shared" si="23"/>
        <v>1</v>
      </c>
    </row>
    <row r="194" spans="3:4" ht="19" x14ac:dyDescent="0.25">
      <c r="C194" s="149">
        <f t="shared" si="24"/>
        <v>1000</v>
      </c>
      <c r="D194" s="153">
        <f t="shared" si="23"/>
        <v>1</v>
      </c>
    </row>
    <row r="195" spans="3:4" ht="19" x14ac:dyDescent="0.25">
      <c r="C195" s="149">
        <f t="shared" si="24"/>
        <v>1100</v>
      </c>
      <c r="D195" s="153">
        <f t="shared" si="23"/>
        <v>1</v>
      </c>
    </row>
    <row r="196" spans="3:4" ht="19" x14ac:dyDescent="0.25">
      <c r="C196" s="149">
        <f t="shared" si="24"/>
        <v>1200</v>
      </c>
      <c r="D196" s="153">
        <f t="shared" si="23"/>
        <v>1</v>
      </c>
    </row>
    <row r="197" spans="3:4" ht="19" x14ac:dyDescent="0.25">
      <c r="C197" s="149">
        <f t="shared" si="24"/>
        <v>1300</v>
      </c>
      <c r="D197" s="153">
        <f t="shared" si="23"/>
        <v>1</v>
      </c>
    </row>
    <row r="198" spans="3:4" ht="19" x14ac:dyDescent="0.25">
      <c r="C198" s="149">
        <f t="shared" si="24"/>
        <v>1400</v>
      </c>
      <c r="D198" s="153">
        <f t="shared" si="23"/>
        <v>1</v>
      </c>
    </row>
    <row r="199" spans="3:4" ht="19" x14ac:dyDescent="0.25">
      <c r="C199" s="149">
        <f t="shared" si="24"/>
        <v>1500</v>
      </c>
      <c r="D199" s="153">
        <f t="shared" si="23"/>
        <v>1</v>
      </c>
    </row>
    <row r="200" spans="3:4" ht="19" x14ac:dyDescent="0.25">
      <c r="C200" s="149">
        <f t="shared" si="24"/>
        <v>1600</v>
      </c>
      <c r="D200" s="153">
        <f t="shared" si="23"/>
        <v>1</v>
      </c>
    </row>
    <row r="201" spans="3:4" ht="19" x14ac:dyDescent="0.25">
      <c r="C201" s="149">
        <f t="shared" si="24"/>
        <v>1700</v>
      </c>
      <c r="D201" s="153">
        <f t="shared" si="23"/>
        <v>1</v>
      </c>
    </row>
    <row r="202" spans="3:4" ht="19" x14ac:dyDescent="0.25">
      <c r="C202" s="149">
        <f t="shared" si="24"/>
        <v>1800</v>
      </c>
      <c r="D202" s="153">
        <f t="shared" si="23"/>
        <v>1</v>
      </c>
    </row>
    <row r="203" spans="3:4" ht="19" x14ac:dyDescent="0.25">
      <c r="C203" s="149">
        <f t="shared" si="24"/>
        <v>1900</v>
      </c>
      <c r="D203" s="153">
        <f t="shared" si="23"/>
        <v>1</v>
      </c>
    </row>
    <row r="204" spans="3:4" ht="20" thickBot="1" x14ac:dyDescent="0.3">
      <c r="C204" s="150">
        <f t="shared" si="24"/>
        <v>2000</v>
      </c>
      <c r="D204" s="154">
        <f t="shared" si="23"/>
        <v>1</v>
      </c>
    </row>
    <row r="210" spans="3:11" ht="17" thickBot="1" x14ac:dyDescent="0.25"/>
    <row r="211" spans="3:11" ht="20" thickBot="1" x14ac:dyDescent="0.3">
      <c r="E211" s="1"/>
      <c r="F211" s="1" t="s">
        <v>66</v>
      </c>
      <c r="G211" s="1"/>
      <c r="H211" s="250" t="s">
        <v>106</v>
      </c>
      <c r="I211" s="251"/>
      <c r="J211" s="251"/>
      <c r="K211" s="252"/>
    </row>
    <row r="212" spans="3:11" ht="28" thickBot="1" x14ac:dyDescent="0.4">
      <c r="C212" s="126" t="s">
        <v>101</v>
      </c>
      <c r="D212" s="127"/>
      <c r="E212" s="1"/>
      <c r="F212" s="1"/>
      <c r="G212" s="1"/>
      <c r="H212" s="199" t="s">
        <v>102</v>
      </c>
      <c r="I212" s="199" t="s">
        <v>103</v>
      </c>
      <c r="J212" s="199" t="s">
        <v>104</v>
      </c>
      <c r="K212" s="199" t="s">
        <v>105</v>
      </c>
    </row>
    <row r="215" spans="3:11" ht="17" thickBot="1" x14ac:dyDescent="0.25"/>
    <row r="216" spans="3:11" ht="20" thickBot="1" x14ac:dyDescent="0.25">
      <c r="D216" s="259" t="s">
        <v>115</v>
      </c>
      <c r="E216" s="260"/>
    </row>
    <row r="217" spans="3:11" ht="20" thickBot="1" x14ac:dyDescent="0.3">
      <c r="D217" s="174" t="s">
        <v>113</v>
      </c>
      <c r="E217" s="206" t="s">
        <v>111</v>
      </c>
    </row>
    <row r="218" spans="3:11" ht="19" x14ac:dyDescent="0.25">
      <c r="C218" s="74" t="s">
        <v>45</v>
      </c>
      <c r="D218" s="67">
        <f>$Q23</f>
        <v>10.109</v>
      </c>
      <c r="E218" s="130">
        <f>D218*4.184</f>
        <v>42.296056</v>
      </c>
    </row>
    <row r="219" spans="3:11" ht="19" x14ac:dyDescent="0.25">
      <c r="C219" s="75" t="s">
        <v>46</v>
      </c>
      <c r="D219" s="67">
        <f t="shared" ref="D219:D222" si="25">$Q24</f>
        <v>0</v>
      </c>
      <c r="E219" s="131">
        <f t="shared" ref="E219:E222" si="26">D219*4.184</f>
        <v>0</v>
      </c>
    </row>
    <row r="220" spans="3:11" ht="19" x14ac:dyDescent="0.25">
      <c r="C220" s="75" t="s">
        <v>47</v>
      </c>
      <c r="D220" s="67">
        <f t="shared" si="25"/>
        <v>2.9809999999999999</v>
      </c>
      <c r="E220" s="131">
        <f t="shared" si="26"/>
        <v>12.472504000000001</v>
      </c>
    </row>
    <row r="221" spans="3:11" ht="19" x14ac:dyDescent="0.25">
      <c r="C221" s="75" t="s">
        <v>48</v>
      </c>
      <c r="D221" s="67">
        <f t="shared" si="25"/>
        <v>2.9809999999999999</v>
      </c>
      <c r="E221" s="131">
        <f t="shared" si="26"/>
        <v>12.472504000000001</v>
      </c>
    </row>
    <row r="222" spans="3:11" ht="20" thickBot="1" x14ac:dyDescent="0.3">
      <c r="C222" s="76" t="s">
        <v>49</v>
      </c>
      <c r="D222" s="67">
        <f t="shared" si="25"/>
        <v>4.1470000000000002</v>
      </c>
      <c r="E222" s="131">
        <f t="shared" si="26"/>
        <v>17.351048000000002</v>
      </c>
      <c r="K222">
        <f>COLUMN(E218)</f>
        <v>5</v>
      </c>
    </row>
    <row r="223" spans="3:11" ht="24" customHeight="1" x14ac:dyDescent="0.2"/>
    <row r="224" spans="3:11" ht="17" thickBot="1" x14ac:dyDescent="0.25"/>
    <row r="225" spans="3:16" ht="23" thickBot="1" x14ac:dyDescent="0.35">
      <c r="D225" s="253" t="s">
        <v>111</v>
      </c>
      <c r="E225" s="254"/>
      <c r="F225" s="254"/>
      <c r="G225" s="254"/>
      <c r="H225" s="255"/>
      <c r="J225" s="160" t="s">
        <v>83</v>
      </c>
      <c r="K225" s="161"/>
      <c r="L225" s="161"/>
      <c r="M225" s="161"/>
      <c r="N225" s="161"/>
      <c r="O225" s="161"/>
      <c r="P225" s="1"/>
    </row>
    <row r="226" spans="3:16" ht="20" thickBot="1" x14ac:dyDescent="0.3">
      <c r="C226" s="184" t="s">
        <v>68</v>
      </c>
      <c r="D226" s="200" t="s">
        <v>110</v>
      </c>
      <c r="E226" s="201" t="s">
        <v>107</v>
      </c>
      <c r="F226" s="201" t="s">
        <v>108</v>
      </c>
      <c r="G226" s="202" t="s">
        <v>109</v>
      </c>
      <c r="H226" s="122" t="s">
        <v>112</v>
      </c>
      <c r="J226" s="1"/>
      <c r="K226" s="1"/>
      <c r="L226" s="1"/>
      <c r="M226" s="1"/>
      <c r="N226" s="1"/>
      <c r="O226" s="1"/>
      <c r="P226" s="1"/>
    </row>
    <row r="227" spans="3:16" ht="20" thickBot="1" x14ac:dyDescent="0.3">
      <c r="C227" s="171">
        <v>298.14999999999998</v>
      </c>
      <c r="D227" s="264">
        <f>3*$B$7/2</f>
        <v>12.471599999999999</v>
      </c>
      <c r="E227" s="265" cm="1">
        <f t="array" ref="E227">$B$7*SUM(($D$42:$D$59*$D$42:$D$59)*EXP($D$42:$D$59/$C227)/($C227^2*(EXP($D$42:$D$59/$C227)-1)^2))</f>
        <v>17.350607021581681</v>
      </c>
      <c r="F227" s="266">
        <f>3*$B$7/2</f>
        <v>12.471599999999999</v>
      </c>
      <c r="G227" s="267">
        <v>0</v>
      </c>
      <c r="H227" s="226">
        <f t="shared" ref="H227:H245" si="27">SUM(D227:G227)</f>
        <v>42.293807021581678</v>
      </c>
      <c r="K227" s="200" t="s">
        <v>110</v>
      </c>
      <c r="L227" s="201" t="s">
        <v>107</v>
      </c>
      <c r="M227" s="201" t="s">
        <v>108</v>
      </c>
      <c r="N227" s="202" t="s">
        <v>109</v>
      </c>
      <c r="O227" s="122" t="s">
        <v>112</v>
      </c>
      <c r="P227" s="1"/>
    </row>
    <row r="228" spans="3:16" ht="20" thickBot="1" x14ac:dyDescent="0.3">
      <c r="C228" s="148">
        <v>300</v>
      </c>
      <c r="D228" s="221">
        <f>3*$B$7/2</f>
        <v>12.471599999999999</v>
      </c>
      <c r="E228" s="262" cm="1">
        <f t="array" ref="E228">$B$7*SUM(($D$42:$D$59*$D$42:$D$59)*EXP($D$42:$D$59/$C228)/($C228^2*(EXP($D$42:$D$59/$C228)-1)^2))</f>
        <v>17.567007479830941</v>
      </c>
      <c r="F228" s="263">
        <f>3*$B$7/2</f>
        <v>12.471599999999999</v>
      </c>
      <c r="G228" s="222">
        <v>0</v>
      </c>
      <c r="H228" s="226">
        <f t="shared" si="27"/>
        <v>42.510207479830939</v>
      </c>
      <c r="J228" s="80" t="s">
        <v>79</v>
      </c>
      <c r="K228" s="130">
        <f>D$227</f>
        <v>12.471599999999999</v>
      </c>
      <c r="L228" s="130">
        <f>E$227</f>
        <v>17.350607021581681</v>
      </c>
      <c r="M228" s="130">
        <f>F$227</f>
        <v>12.471599999999999</v>
      </c>
      <c r="N228" s="130">
        <f>G$227</f>
        <v>0</v>
      </c>
      <c r="O228" s="130">
        <f>H$227</f>
        <v>42.293807021581678</v>
      </c>
      <c r="P228" s="1"/>
    </row>
    <row r="229" spans="3:16" ht="20" thickBot="1" x14ac:dyDescent="0.3">
      <c r="C229" s="149">
        <f>C228+100</f>
        <v>400</v>
      </c>
      <c r="D229" s="221">
        <f t="shared" ref="D229:D245" si="28">3*$B$7/2</f>
        <v>12.471599999999999</v>
      </c>
      <c r="E229" s="262" cm="1">
        <f t="array" ref="E229">$B$7*SUM(($D$42:$D$59*$D$42:$D$59)*EXP($D$42:$D$59/$C229)/($C229^2*(EXP($D$42:$D$59/$C229)-1)^2))</f>
        <v>30.252336906465342</v>
      </c>
      <c r="F229" s="263">
        <f t="shared" ref="F229:F245" si="29">3*$B$7/2</f>
        <v>12.471599999999999</v>
      </c>
      <c r="G229" s="222">
        <v>0</v>
      </c>
      <c r="H229" s="226">
        <f t="shared" si="27"/>
        <v>55.195536906465335</v>
      </c>
      <c r="J229" s="81" t="s">
        <v>80</v>
      </c>
      <c r="K229" s="132">
        <f>E220</f>
        <v>12.472504000000001</v>
      </c>
      <c r="L229" s="132">
        <f>E222</f>
        <v>17.351048000000002</v>
      </c>
      <c r="M229" s="132">
        <f>E221</f>
        <v>12.472504000000001</v>
      </c>
      <c r="N229" s="132">
        <f>E219</f>
        <v>0</v>
      </c>
      <c r="O229" s="132">
        <f>E218</f>
        <v>42.296056</v>
      </c>
      <c r="P229" s="1"/>
    </row>
    <row r="230" spans="3:16" ht="23" thickBot="1" x14ac:dyDescent="0.35">
      <c r="C230" s="149">
        <f t="shared" ref="C230:C245" si="30">C229+100</f>
        <v>500</v>
      </c>
      <c r="D230" s="221">
        <f t="shared" si="28"/>
        <v>12.471599999999999</v>
      </c>
      <c r="E230" s="262" cm="1">
        <f t="array" ref="E230">$B$7*SUM(($D$42:$D$59*$D$42:$D$59)*EXP($D$42:$D$59/$C230)/($C230^2*(EXP($D$42:$D$59/$C230)-1)^2))</f>
        <v>43.086325513241455</v>
      </c>
      <c r="F230" s="263">
        <f t="shared" si="29"/>
        <v>12.471599999999999</v>
      </c>
      <c r="G230" s="222">
        <v>0</v>
      </c>
      <c r="H230" s="226">
        <f t="shared" si="27"/>
        <v>68.029525513241452</v>
      </c>
      <c r="J230" s="25" t="s">
        <v>81</v>
      </c>
      <c r="K230" s="162">
        <f>IFERROR(ABS(K228-K229)/K228,0)</f>
        <v>7.2484685204946797E-5</v>
      </c>
      <c r="L230" s="162">
        <f t="shared" ref="L230:O230" si="31">IFERROR(ABS(L228-L229)/L228,0)</f>
        <v>2.5415734318296595E-5</v>
      </c>
      <c r="M230" s="162">
        <f t="shared" si="31"/>
        <v>7.2484685204946797E-5</v>
      </c>
      <c r="N230" s="162">
        <f t="shared" si="31"/>
        <v>0</v>
      </c>
      <c r="O230" s="162">
        <f t="shared" si="31"/>
        <v>5.3175123657573762E-5</v>
      </c>
      <c r="P230" s="1"/>
    </row>
    <row r="231" spans="3:16" ht="20" thickBot="1" x14ac:dyDescent="0.3">
      <c r="C231" s="149">
        <f t="shared" si="30"/>
        <v>600</v>
      </c>
      <c r="D231" s="221">
        <f t="shared" si="28"/>
        <v>12.471599999999999</v>
      </c>
      <c r="E231" s="262" cm="1">
        <f t="array" ref="E231">$B$7*SUM(($D$42:$D$59*$D$42:$D$59)*EXP($D$42:$D$59/$C231)/($C231^2*(EXP($D$42:$D$59/$C231)-1)^2))</f>
        <v>54.786033318248045</v>
      </c>
      <c r="F231" s="263">
        <f t="shared" si="29"/>
        <v>12.471599999999999</v>
      </c>
      <c r="G231" s="222">
        <v>0</v>
      </c>
      <c r="H231" s="226">
        <f t="shared" si="27"/>
        <v>79.729233318248035</v>
      </c>
    </row>
    <row r="232" spans="3:16" ht="20" thickBot="1" x14ac:dyDescent="0.3">
      <c r="C232" s="149">
        <f t="shared" si="30"/>
        <v>700</v>
      </c>
      <c r="D232" s="221">
        <f t="shared" si="28"/>
        <v>12.471599999999999</v>
      </c>
      <c r="E232" s="262" cm="1">
        <f t="array" ref="E232">$B$7*SUM(($D$42:$D$59*$D$42:$D$59)*EXP($D$42:$D$59/$C232)/($C232^2*(EXP($D$42:$D$59/$C232)-1)^2))</f>
        <v>65.160611554570465</v>
      </c>
      <c r="F232" s="263">
        <f t="shared" si="29"/>
        <v>12.471599999999999</v>
      </c>
      <c r="G232" s="222">
        <v>0</v>
      </c>
      <c r="H232" s="226">
        <f t="shared" si="27"/>
        <v>90.103811554570456</v>
      </c>
    </row>
    <row r="233" spans="3:16" ht="20" thickBot="1" x14ac:dyDescent="0.3">
      <c r="C233" s="149">
        <f t="shared" si="30"/>
        <v>800</v>
      </c>
      <c r="D233" s="221">
        <f t="shared" si="28"/>
        <v>12.471599999999999</v>
      </c>
      <c r="E233" s="262" cm="1">
        <f t="array" ref="E233">$B$7*SUM(($D$42:$D$59*$D$42:$D$59)*EXP($D$42:$D$59/$C233)/($C233^2*(EXP($D$42:$D$59/$C233)-1)^2))</f>
        <v>74.325908418846566</v>
      </c>
      <c r="F233" s="263">
        <f t="shared" si="29"/>
        <v>12.471599999999999</v>
      </c>
      <c r="G233" s="222">
        <v>0</v>
      </c>
      <c r="H233" s="226">
        <f t="shared" si="27"/>
        <v>99.269108418846557</v>
      </c>
    </row>
    <row r="234" spans="3:16" ht="20" thickBot="1" x14ac:dyDescent="0.3">
      <c r="C234" s="149">
        <f t="shared" si="30"/>
        <v>900</v>
      </c>
      <c r="D234" s="221">
        <f t="shared" si="28"/>
        <v>12.471599999999999</v>
      </c>
      <c r="E234" s="262" cm="1">
        <f t="array" ref="E234">$B$7*SUM(($D$42:$D$59*$D$42:$D$59)*EXP($D$42:$D$59/$C234)/($C234^2*(EXP($D$42:$D$59/$C234)-1)^2))</f>
        <v>82.41976269848476</v>
      </c>
      <c r="F234" s="263">
        <f t="shared" si="29"/>
        <v>12.471599999999999</v>
      </c>
      <c r="G234" s="222">
        <v>0</v>
      </c>
      <c r="H234" s="226">
        <f t="shared" si="27"/>
        <v>107.36296269848475</v>
      </c>
    </row>
    <row r="235" spans="3:16" ht="20" thickBot="1" x14ac:dyDescent="0.3">
      <c r="C235" s="149">
        <f t="shared" si="30"/>
        <v>1000</v>
      </c>
      <c r="D235" s="221">
        <f t="shared" si="28"/>
        <v>12.471599999999999</v>
      </c>
      <c r="E235" s="262" cm="1">
        <f t="array" ref="E235">$B$7*SUM(($D$42:$D$59*$D$42:$D$59)*EXP($D$42:$D$59/$C235)/($C235^2*(EXP($D$42:$D$59/$C235)-1)^2))</f>
        <v>89.556384607124286</v>
      </c>
      <c r="F235" s="263">
        <f t="shared" si="29"/>
        <v>12.471599999999999</v>
      </c>
      <c r="G235" s="222">
        <v>0</v>
      </c>
      <c r="H235" s="226">
        <f t="shared" si="27"/>
        <v>114.49958460712428</v>
      </c>
    </row>
    <row r="236" spans="3:16" ht="20" thickBot="1" x14ac:dyDescent="0.3">
      <c r="C236" s="149">
        <f t="shared" si="30"/>
        <v>1100</v>
      </c>
      <c r="D236" s="221">
        <f t="shared" si="28"/>
        <v>12.471599999999999</v>
      </c>
      <c r="E236" s="262" cm="1">
        <f t="array" ref="E236">$B$7*SUM(($D$42:$D$59*$D$42:$D$59)*EXP($D$42:$D$59/$C236)/($C236^2*(EXP($D$42:$D$59/$C236)-1)^2))</f>
        <v>95.834763459794686</v>
      </c>
      <c r="F236" s="263">
        <f t="shared" si="29"/>
        <v>12.471599999999999</v>
      </c>
      <c r="G236" s="222">
        <v>0</v>
      </c>
      <c r="H236" s="226">
        <f t="shared" si="27"/>
        <v>120.77796345979468</v>
      </c>
    </row>
    <row r="237" spans="3:16" ht="20" thickBot="1" x14ac:dyDescent="0.3">
      <c r="C237" s="149">
        <f t="shared" si="30"/>
        <v>1200</v>
      </c>
      <c r="D237" s="221">
        <f t="shared" si="28"/>
        <v>12.471599999999999</v>
      </c>
      <c r="E237" s="262" cm="1">
        <f t="array" ref="E237">$B$7*SUM(($D$42:$D$59*$D$42:$D$59)*EXP($D$42:$D$59/$C237)/($C237^2*(EXP($D$42:$D$59/$C237)-1)^2))</f>
        <v>101.3471762527122</v>
      </c>
      <c r="F237" s="263">
        <f t="shared" si="29"/>
        <v>12.471599999999999</v>
      </c>
      <c r="G237" s="222">
        <v>0</v>
      </c>
      <c r="H237" s="226">
        <f t="shared" si="27"/>
        <v>126.29037625271219</v>
      </c>
    </row>
    <row r="238" spans="3:16" ht="20" thickBot="1" x14ac:dyDescent="0.3">
      <c r="C238" s="149">
        <f t="shared" si="30"/>
        <v>1300</v>
      </c>
      <c r="D238" s="221">
        <f t="shared" si="28"/>
        <v>12.471599999999999</v>
      </c>
      <c r="E238" s="262" cm="1">
        <f t="array" ref="E238">$B$7*SUM(($D$42:$D$59*$D$42:$D$59)*EXP($D$42:$D$59/$C238)/($C238^2*(EXP($D$42:$D$59/$C238)-1)^2))</f>
        <v>106.18150770433223</v>
      </c>
      <c r="F238" s="263">
        <f t="shared" si="29"/>
        <v>12.471599999999999</v>
      </c>
      <c r="G238" s="222">
        <v>0</v>
      </c>
      <c r="H238" s="226">
        <f t="shared" si="27"/>
        <v>131.12470770433222</v>
      </c>
    </row>
    <row r="239" spans="3:16" ht="20" thickBot="1" x14ac:dyDescent="0.3">
      <c r="C239" s="149">
        <f t="shared" si="30"/>
        <v>1400</v>
      </c>
      <c r="D239" s="221">
        <f t="shared" si="28"/>
        <v>12.471599999999999</v>
      </c>
      <c r="E239" s="262" cm="1">
        <f t="array" ref="E239">$B$7*SUM(($D$42:$D$59*$D$42:$D$59)*EXP($D$42:$D$59/$C239)/($C239^2*(EXP($D$42:$D$59/$C239)-1)^2))</f>
        <v>110.42041946030784</v>
      </c>
      <c r="F239" s="263">
        <f t="shared" si="29"/>
        <v>12.471599999999999</v>
      </c>
      <c r="G239" s="222">
        <v>0</v>
      </c>
      <c r="H239" s="226">
        <f t="shared" si="27"/>
        <v>135.36361946030783</v>
      </c>
    </row>
    <row r="240" spans="3:16" ht="20" thickBot="1" x14ac:dyDescent="0.3">
      <c r="C240" s="149">
        <f t="shared" si="30"/>
        <v>1500</v>
      </c>
      <c r="D240" s="221">
        <f t="shared" si="28"/>
        <v>12.471599999999999</v>
      </c>
      <c r="E240" s="262" cm="1">
        <f t="array" ref="E240">$B$7*SUM(($D$42:$D$59*$D$42:$D$59)*EXP($D$42:$D$59/$C240)/($C240^2*(EXP($D$42:$D$59/$C240)-1)^2))</f>
        <v>114.13992078695976</v>
      </c>
      <c r="F240" s="263">
        <f t="shared" si="29"/>
        <v>12.471599999999999</v>
      </c>
      <c r="G240" s="222">
        <v>0</v>
      </c>
      <c r="H240" s="226">
        <f t="shared" si="27"/>
        <v>139.08312078695977</v>
      </c>
    </row>
    <row r="241" spans="3:11" ht="20" thickBot="1" x14ac:dyDescent="0.3">
      <c r="C241" s="149">
        <f t="shared" si="30"/>
        <v>1600</v>
      </c>
      <c r="D241" s="221">
        <f t="shared" si="28"/>
        <v>12.471599999999999</v>
      </c>
      <c r="E241" s="262" cm="1">
        <f t="array" ref="E241">$B$7*SUM(($D$42:$D$59*$D$42:$D$59)*EXP($D$42:$D$59/$C241)/($C241^2*(EXP($D$42:$D$59/$C241)-1)^2))</f>
        <v>117.40840470009321</v>
      </c>
      <c r="F241" s="263">
        <f t="shared" si="29"/>
        <v>12.471599999999999</v>
      </c>
      <c r="G241" s="222">
        <v>0</v>
      </c>
      <c r="H241" s="226">
        <f t="shared" si="27"/>
        <v>142.35160470009322</v>
      </c>
    </row>
    <row r="242" spans="3:11" ht="20" thickBot="1" x14ac:dyDescent="0.3">
      <c r="C242" s="149">
        <f t="shared" si="30"/>
        <v>1700</v>
      </c>
      <c r="D242" s="221">
        <f t="shared" si="28"/>
        <v>12.471599999999999</v>
      </c>
      <c r="E242" s="262" cm="1">
        <f t="array" ref="E242">$B$7*SUM(($D$42:$D$59*$D$42:$D$59)*EXP($D$42:$D$59/$C242)/($C242^2*(EXP($D$42:$D$59/$C242)-1)^2))</f>
        <v>120.28634828233129</v>
      </c>
      <c r="F242" s="263">
        <f t="shared" si="29"/>
        <v>12.471599999999999</v>
      </c>
      <c r="G242" s="222">
        <v>0</v>
      </c>
      <c r="H242" s="226">
        <f t="shared" si="27"/>
        <v>145.22954828233128</v>
      </c>
    </row>
    <row r="243" spans="3:11" ht="20" thickBot="1" x14ac:dyDescent="0.3">
      <c r="C243" s="149">
        <f t="shared" si="30"/>
        <v>1800</v>
      </c>
      <c r="D243" s="221">
        <f t="shared" si="28"/>
        <v>12.471599999999999</v>
      </c>
      <c r="E243" s="262" cm="1">
        <f t="array" ref="E243">$B$7*SUM(($D$42:$D$59*$D$42:$D$59)*EXP($D$42:$D$59/$C243)/($C243^2*(EXP($D$42:$D$59/$C243)-1)^2))</f>
        <v>122.82654430130388</v>
      </c>
      <c r="F243" s="263">
        <f t="shared" si="29"/>
        <v>12.471599999999999</v>
      </c>
      <c r="G243" s="222">
        <v>0</v>
      </c>
      <c r="H243" s="226">
        <f t="shared" si="27"/>
        <v>147.76974430130389</v>
      </c>
    </row>
    <row r="244" spans="3:11" ht="20" thickBot="1" x14ac:dyDescent="0.3">
      <c r="C244" s="149">
        <f t="shared" si="30"/>
        <v>1900</v>
      </c>
      <c r="D244" s="221">
        <f t="shared" si="28"/>
        <v>12.471599999999999</v>
      </c>
      <c r="E244" s="262" cm="1">
        <f t="array" ref="E244">$B$7*SUM(($D$42:$D$59*$D$42:$D$59)*EXP($D$42:$D$59/$C244)/($C244^2*(EXP($D$42:$D$59/$C244)-1)^2))</f>
        <v>125.07466475174434</v>
      </c>
      <c r="F244" s="263">
        <f t="shared" si="29"/>
        <v>12.471599999999999</v>
      </c>
      <c r="G244" s="222">
        <v>0</v>
      </c>
      <c r="H244" s="226">
        <f t="shared" si="27"/>
        <v>150.01786475174433</v>
      </c>
    </row>
    <row r="245" spans="3:11" ht="20" thickBot="1" x14ac:dyDescent="0.3">
      <c r="C245" s="150">
        <f t="shared" si="30"/>
        <v>2000</v>
      </c>
      <c r="D245" s="223">
        <f t="shared" si="28"/>
        <v>12.471599999999999</v>
      </c>
      <c r="E245" s="227" cm="1">
        <f t="array" ref="E245">$B$7*SUM(($D$42:$D$59*$D$42:$D$59)*EXP($D$42:$D$59/$C245)/($C245^2*(EXP($D$42:$D$59/$C245)-1)^2))</f>
        <v>127.06998803706077</v>
      </c>
      <c r="F245" s="228">
        <f t="shared" si="29"/>
        <v>12.471599999999999</v>
      </c>
      <c r="G245" s="224">
        <v>0</v>
      </c>
      <c r="H245" s="189">
        <f t="shared" si="27"/>
        <v>152.01318803706076</v>
      </c>
    </row>
    <row r="251" spans="3:11" ht="17" thickBot="1" x14ac:dyDescent="0.25"/>
    <row r="252" spans="3:11" ht="20" thickBot="1" x14ac:dyDescent="0.3">
      <c r="E252" s="1"/>
      <c r="F252" s="1" t="s">
        <v>66</v>
      </c>
      <c r="G252" s="1"/>
      <c r="H252" s="250" t="s">
        <v>106</v>
      </c>
      <c r="I252" s="251"/>
      <c r="J252" s="251"/>
      <c r="K252" s="252"/>
    </row>
    <row r="253" spans="3:11" ht="28" thickBot="1" x14ac:dyDescent="0.4">
      <c r="C253" s="126" t="s">
        <v>119</v>
      </c>
      <c r="D253" s="127"/>
      <c r="E253" s="1"/>
      <c r="F253" s="1"/>
      <c r="G253" s="1"/>
      <c r="H253" s="199" t="s">
        <v>102</v>
      </c>
      <c r="I253" s="199" t="s">
        <v>103</v>
      </c>
      <c r="J253" s="199" t="s">
        <v>104</v>
      </c>
      <c r="K253" s="199" t="s">
        <v>105</v>
      </c>
    </row>
    <row r="257" spans="3:10" ht="20" thickBot="1" x14ac:dyDescent="0.25">
      <c r="D257" s="261"/>
      <c r="E257" s="261"/>
    </row>
    <row r="258" spans="3:10" ht="20" thickBot="1" x14ac:dyDescent="0.25">
      <c r="D258" s="259" t="s">
        <v>114</v>
      </c>
      <c r="E258" s="260"/>
    </row>
    <row r="259" spans="3:10" ht="20" thickBot="1" x14ac:dyDescent="0.3">
      <c r="D259" s="174" t="s">
        <v>113</v>
      </c>
      <c r="E259" s="206" t="s">
        <v>111</v>
      </c>
    </row>
    <row r="260" spans="3:10" ht="19" x14ac:dyDescent="0.25">
      <c r="C260" s="74" t="s">
        <v>45</v>
      </c>
      <c r="D260" s="204">
        <f>R23</f>
        <v>56.628999999999998</v>
      </c>
      <c r="E260" s="130">
        <f>D260*4.184</f>
        <v>236.93573599999999</v>
      </c>
    </row>
    <row r="261" spans="3:10" ht="19" x14ac:dyDescent="0.25">
      <c r="C261" s="75" t="s">
        <v>46</v>
      </c>
      <c r="D261" s="204">
        <f t="shared" ref="D261:D264" si="32">R24</f>
        <v>0</v>
      </c>
      <c r="E261" s="131">
        <f t="shared" ref="E261:E264" si="33">D261*4.184</f>
        <v>0</v>
      </c>
    </row>
    <row r="262" spans="3:10" ht="19" x14ac:dyDescent="0.25">
      <c r="C262" s="75" t="s">
        <v>47</v>
      </c>
      <c r="D262" s="204">
        <f t="shared" si="32"/>
        <v>36.134</v>
      </c>
      <c r="E262" s="131">
        <f t="shared" si="33"/>
        <v>151.18465600000002</v>
      </c>
    </row>
    <row r="263" spans="3:10" ht="19" x14ac:dyDescent="0.25">
      <c r="C263" s="75" t="s">
        <v>48</v>
      </c>
      <c r="D263" s="204">
        <f t="shared" si="32"/>
        <v>18.48</v>
      </c>
      <c r="E263" s="131">
        <f t="shared" si="33"/>
        <v>77.320320000000009</v>
      </c>
    </row>
    <row r="264" spans="3:10" ht="20" thickBot="1" x14ac:dyDescent="0.3">
      <c r="C264" s="76" t="s">
        <v>49</v>
      </c>
      <c r="D264" s="204">
        <f t="shared" si="32"/>
        <v>2.0150000000000001</v>
      </c>
      <c r="E264" s="131">
        <f t="shared" si="33"/>
        <v>8.4307600000000011</v>
      </c>
    </row>
    <row r="266" spans="3:10" ht="17" thickBot="1" x14ac:dyDescent="0.25"/>
    <row r="267" spans="3:10" ht="20" thickBot="1" x14ac:dyDescent="0.3">
      <c r="C267" s="91" t="s">
        <v>26</v>
      </c>
      <c r="D267" s="211"/>
      <c r="E267" s="211"/>
      <c r="F267" s="211"/>
      <c r="G267" s="212"/>
      <c r="I267" s="116" t="s">
        <v>117</v>
      </c>
      <c r="J267" s="213">
        <f>($B$14^2)/(8*PI()*PI()*$G$271*$B$8)</f>
        <v>0.18595448614746521</v>
      </c>
    </row>
    <row r="268" spans="3:10" ht="20" thickBot="1" x14ac:dyDescent="0.3">
      <c r="C268" s="208"/>
      <c r="D268" s="106" t="s">
        <v>36</v>
      </c>
      <c r="E268" s="107" t="s">
        <v>37</v>
      </c>
      <c r="F268" s="108" t="s">
        <v>38</v>
      </c>
      <c r="G268" s="122" t="s">
        <v>112</v>
      </c>
      <c r="I268" s="105"/>
      <c r="J268" s="105"/>
    </row>
    <row r="269" spans="3:10" ht="22" thickBot="1" x14ac:dyDescent="0.3">
      <c r="C269" s="55" t="s">
        <v>31</v>
      </c>
      <c r="D269" s="63">
        <f>D$23</f>
        <v>22.483920000000001</v>
      </c>
      <c r="E269" s="63">
        <f t="shared" ref="E269:F269" si="34">E$23</f>
        <v>90.874970000000005</v>
      </c>
      <c r="F269" s="63">
        <f t="shared" si="34"/>
        <v>90.882649999999998</v>
      </c>
      <c r="G269" s="61">
        <f>SQRT(F269^2 + E269^2 + D269^2)</f>
        <v>130.47391655840565</v>
      </c>
      <c r="J269" s="105"/>
    </row>
    <row r="270" spans="3:10" ht="22" thickBot="1" x14ac:dyDescent="0.3">
      <c r="C270" s="56" t="s">
        <v>29</v>
      </c>
      <c r="D270" s="66">
        <f>D269*$U$9</f>
        <v>3.7323307200000001E-26</v>
      </c>
      <c r="E270" s="66">
        <f t="shared" ref="E270" si="35">E269*$U$9</f>
        <v>1.5085245020000001E-25</v>
      </c>
      <c r="F270" s="209">
        <f t="shared" ref="F270" si="36">F269*$U$9</f>
        <v>1.5086519899999998E-25</v>
      </c>
      <c r="G270" s="61">
        <f t="shared" ref="G270:G271" si="37">SQRT(F270^2 + E270^2 + D270^2)</f>
        <v>2.1658670148695337E-25</v>
      </c>
    </row>
    <row r="271" spans="3:10" ht="22" thickBot="1" x14ac:dyDescent="0.3">
      <c r="C271" s="57" t="s">
        <v>30</v>
      </c>
      <c r="D271" s="68">
        <f>D270*($Q$8)^2</f>
        <v>3.7323307200000006E-46</v>
      </c>
      <c r="E271" s="69">
        <f>E270*($Q$8)^2</f>
        <v>1.5085245020000001E-45</v>
      </c>
      <c r="F271" s="205">
        <f t="shared" ref="F271" si="38">F270*($Q$8)^2</f>
        <v>1.5086519899999998E-45</v>
      </c>
      <c r="G271" s="61">
        <f t="shared" si="37"/>
        <v>2.1658670148695338E-45</v>
      </c>
    </row>
    <row r="272" spans="3:10" ht="17" thickBot="1" x14ac:dyDescent="0.25"/>
    <row r="273" spans="1:18" ht="20" thickBot="1" x14ac:dyDescent="0.3">
      <c r="F273" s="253" t="s">
        <v>111</v>
      </c>
      <c r="G273" s="254"/>
      <c r="H273" s="254"/>
      <c r="I273" s="254"/>
      <c r="J273" s="255"/>
    </row>
    <row r="274" spans="1:18" ht="23" thickBot="1" x14ac:dyDescent="0.35">
      <c r="C274" s="184" t="s">
        <v>68</v>
      </c>
      <c r="D274" s="207" t="s">
        <v>118</v>
      </c>
      <c r="E274" s="171" t="s">
        <v>116</v>
      </c>
      <c r="F274" s="232" t="s">
        <v>110</v>
      </c>
      <c r="G274" s="210" t="s">
        <v>107</v>
      </c>
      <c r="H274" s="210" t="s">
        <v>108</v>
      </c>
      <c r="I274" s="233" t="s">
        <v>109</v>
      </c>
      <c r="J274" s="122" t="s">
        <v>112</v>
      </c>
      <c r="L274" s="160" t="s">
        <v>83</v>
      </c>
      <c r="M274" s="161"/>
      <c r="N274" s="161"/>
      <c r="O274" s="161"/>
      <c r="P274" s="161"/>
      <c r="Q274" s="161"/>
    </row>
    <row r="275" spans="1:18" ht="20" thickBot="1" x14ac:dyDescent="0.3">
      <c r="C275" s="171">
        <v>298.14999999999998</v>
      </c>
      <c r="D275" s="214">
        <f>$B$7*C275/$B$16</f>
        <v>2.4465219442388352E-2</v>
      </c>
      <c r="E275" s="229">
        <f>((2*PI()*$A$28*$U$9*$B$8*$C275)/($B$14*$B$14))^(3/2)</f>
        <v>1.5927311609015205E+32</v>
      </c>
      <c r="F275" s="217">
        <f t="shared" ref="F275:F293" si="39">$B$7*LN(($D275/$B$6)*EXP(5/2)*E275)</f>
        <v>151.17882811230029</v>
      </c>
      <c r="G275" s="225" cm="1">
        <f t="array" ref="G275">$B$7*SUM((($D$42:$D$59)/$C275)/(EXP($D$42:$D$59/$C275)-1)-LN(1-EXP(-$D$42:$D$59/$C275)))</f>
        <v>8.432307080230645</v>
      </c>
      <c r="H275" s="234">
        <f t="shared" ref="H275:H293" si="40">$B$7*LN(EXP(1)*$C275/($A$31*$J$267))</f>
        <v>63.910322328638216</v>
      </c>
      <c r="I275" s="220">
        <v>0</v>
      </c>
      <c r="J275" s="203">
        <f>SUM(F275:I275)</f>
        <v>223.52145752116917</v>
      </c>
      <c r="L275" s="1"/>
      <c r="M275" s="1"/>
      <c r="N275" s="1"/>
      <c r="O275" s="1"/>
      <c r="P275" s="1"/>
      <c r="Q275" s="1"/>
    </row>
    <row r="276" spans="1:18" ht="20" thickBot="1" x14ac:dyDescent="0.3">
      <c r="C276" s="148">
        <v>300</v>
      </c>
      <c r="D276" s="214">
        <f>$B$7*C276/$B$16</f>
        <v>2.4617024426350848E-2</v>
      </c>
      <c r="E276" s="229">
        <f>((2*PI()*$A$28*$U$9*$B$8*$C276)/($B$14*$B$14))^(3/2)</f>
        <v>1.6075783119341529E+32</v>
      </c>
      <c r="F276" s="217">
        <f t="shared" si="39"/>
        <v>151.30740530068439</v>
      </c>
      <c r="G276" s="225" cm="1">
        <f t="array" ref="G276">$B$7*SUM((($D$42:$D$50)/$C276)/(EXP($D$42:$D$50/$C276)-1)-LN(1-EXP(-$D$42:$D$50/$C276)))</f>
        <v>8.3919178865992414</v>
      </c>
      <c r="H276" s="234">
        <f t="shared" si="40"/>
        <v>63.961753203991883</v>
      </c>
      <c r="I276" s="220">
        <v>0</v>
      </c>
      <c r="J276" s="203">
        <f>SUM(F276:I276)</f>
        <v>223.66107639127551</v>
      </c>
      <c r="N276" s="200" t="s">
        <v>110</v>
      </c>
      <c r="O276" s="201" t="s">
        <v>107</v>
      </c>
      <c r="P276" s="201" t="s">
        <v>108</v>
      </c>
      <c r="Q276" s="202" t="s">
        <v>109</v>
      </c>
      <c r="R276" s="122" t="s">
        <v>112</v>
      </c>
    </row>
    <row r="277" spans="1:18" ht="20" thickBot="1" x14ac:dyDescent="0.3">
      <c r="C277" s="149">
        <f>C276+100</f>
        <v>400</v>
      </c>
      <c r="D277" s="215">
        <f t="shared" ref="D277:D293" si="41">$B$7*C277/$B$16</f>
        <v>3.2822699235134464E-2</v>
      </c>
      <c r="E277" s="230">
        <f t="shared" ref="E277:E293" si="42">(2*PI()*$A$28*$U$9*$B$8*$C277/($B$14)^2)^(3/2)</f>
        <v>2.4750287230362555E+32</v>
      </c>
      <c r="F277" s="235">
        <f t="shared" si="39"/>
        <v>157.28716485866718</v>
      </c>
      <c r="G277" s="218" cm="1">
        <f t="array" ref="G277">$B$7*SUM((($D$42:$D$50)/$C277)/(EXP($D$42:$D$50/$C277)-1)-LN(1-EXP(-$D$42:$D$50/$C277)))</f>
        <v>14.581329824449908</v>
      </c>
      <c r="H277" s="219">
        <f t="shared" si="40"/>
        <v>66.35365702718498</v>
      </c>
      <c r="I277" s="222">
        <v>0</v>
      </c>
      <c r="J277" s="203">
        <f t="shared" ref="J277:J293" si="43">SUM(F277:I277)</f>
        <v>238.22215171030206</v>
      </c>
      <c r="M277" s="80" t="s">
        <v>79</v>
      </c>
      <c r="N277" s="238">
        <f>F$275</f>
        <v>151.17882811230029</v>
      </c>
      <c r="O277" s="238">
        <f>G$275</f>
        <v>8.432307080230645</v>
      </c>
      <c r="P277" s="238">
        <f>H$275</f>
        <v>63.910322328638216</v>
      </c>
      <c r="Q277" s="238">
        <f>I$275</f>
        <v>0</v>
      </c>
      <c r="R277" s="238">
        <f>J$275</f>
        <v>223.52145752116917</v>
      </c>
    </row>
    <row r="278" spans="1:18" ht="20" thickBot="1" x14ac:dyDescent="0.3">
      <c r="C278" s="149">
        <f t="shared" ref="C278:C293" si="44">C277+100</f>
        <v>500</v>
      </c>
      <c r="D278" s="215">
        <f t="shared" si="41"/>
        <v>4.1028374043918084E-2</v>
      </c>
      <c r="E278" s="230">
        <f t="shared" si="42"/>
        <v>3.4589577943584988E+32</v>
      </c>
      <c r="F278" s="235">
        <f t="shared" si="39"/>
        <v>161.92542671628439</v>
      </c>
      <c r="G278" s="218" cm="1">
        <f t="array" ref="G278">$B$7*SUM((($D$42:$D$50)/$C278)/(EXP($D$42:$D$50/$C278)-1)-LN(1-EXP(-$D$42:$D$50/$C278)))</f>
        <v>21.617814177319779</v>
      </c>
      <c r="H278" s="219">
        <f t="shared" si="40"/>
        <v>68.208961770231838</v>
      </c>
      <c r="I278" s="222">
        <v>0</v>
      </c>
      <c r="J278" s="203">
        <f t="shared" si="43"/>
        <v>251.75220266383602</v>
      </c>
      <c r="M278" s="81" t="s">
        <v>80</v>
      </c>
      <c r="N278" s="238">
        <f>E262</f>
        <v>151.18465600000002</v>
      </c>
      <c r="O278" s="238">
        <f>E264</f>
        <v>8.4307600000000011</v>
      </c>
      <c r="P278" s="238">
        <f>E263</f>
        <v>77.320320000000009</v>
      </c>
      <c r="Q278" s="238">
        <f>E261</f>
        <v>0</v>
      </c>
      <c r="R278" s="238">
        <f>E260</f>
        <v>236.93573599999999</v>
      </c>
    </row>
    <row r="279" spans="1:18" ht="23" thickBot="1" x14ac:dyDescent="0.35">
      <c r="C279" s="149">
        <f t="shared" si="44"/>
        <v>600</v>
      </c>
      <c r="D279" s="215">
        <f t="shared" si="41"/>
        <v>4.9234048852701696E-2</v>
      </c>
      <c r="E279" s="230">
        <f t="shared" si="42"/>
        <v>4.5469181026282622E+32</v>
      </c>
      <c r="F279" s="235">
        <f t="shared" si="39"/>
        <v>165.71516259580343</v>
      </c>
      <c r="G279" s="218" cm="1">
        <f t="array" ref="G279">$B$7*SUM((($D$42:$D$50)/$C279)/(EXP($D$42:$D$50/$C279)-1)-LN(1-EXP(-$D$42:$D$50/$C279)))</f>
        <v>28.926283671754074</v>
      </c>
      <c r="H279" s="219">
        <f t="shared" si="40"/>
        <v>69.724856122039498</v>
      </c>
      <c r="I279" s="222">
        <v>0</v>
      </c>
      <c r="J279" s="203">
        <f t="shared" si="43"/>
        <v>264.36630238959702</v>
      </c>
      <c r="L279" s="1"/>
      <c r="M279" s="25" t="s">
        <v>81</v>
      </c>
      <c r="N279" s="162">
        <f>IFERROR(ABS(N277-N278)/N277,0)</f>
        <v>3.8549628757502992E-5</v>
      </c>
      <c r="O279" s="162">
        <f t="shared" ref="O279:R279" si="45">IFERROR(ABS(O277-O278)/O277,0)</f>
        <v>1.8347057524398824E-4</v>
      </c>
      <c r="P279" s="162">
        <f t="shared" si="45"/>
        <v>0.20982522357507769</v>
      </c>
      <c r="Q279" s="162">
        <f t="shared" si="45"/>
        <v>0</v>
      </c>
      <c r="R279" s="162">
        <f t="shared" si="45"/>
        <v>6.0013381388945131E-2</v>
      </c>
    </row>
    <row r="280" spans="1:18" ht="20" thickBot="1" x14ac:dyDescent="0.3">
      <c r="A280" s="24"/>
      <c r="C280" s="149">
        <f t="shared" si="44"/>
        <v>700</v>
      </c>
      <c r="D280" s="215">
        <f t="shared" si="41"/>
        <v>5.7439723661485309E-2</v>
      </c>
      <c r="E280" s="230">
        <f t="shared" si="42"/>
        <v>5.729771677783776E+32</v>
      </c>
      <c r="F280" s="235">
        <f t="shared" si="39"/>
        <v>168.91933862669296</v>
      </c>
      <c r="G280" s="218" cm="1">
        <f t="array" ref="G280">$B$7*SUM((($D$42:$D$50)/$C280)/(EXP($D$42:$D$50/$C280)-1)-LN(1-EXP(-$D$42:$D$50/$C280)))</f>
        <v>36.149568567947043</v>
      </c>
      <c r="H280" s="219">
        <f t="shared" si="40"/>
        <v>71.006526534395249</v>
      </c>
      <c r="I280" s="222">
        <v>0</v>
      </c>
      <c r="J280" s="203">
        <f t="shared" si="43"/>
        <v>276.07543372903524</v>
      </c>
    </row>
    <row r="281" spans="1:18" ht="20" thickBot="1" x14ac:dyDescent="0.3">
      <c r="A281" s="24"/>
      <c r="C281" s="149">
        <f t="shared" si="44"/>
        <v>800</v>
      </c>
      <c r="D281" s="215">
        <f t="shared" si="41"/>
        <v>6.5645398470268929E-2</v>
      </c>
      <c r="E281" s="230">
        <f t="shared" si="42"/>
        <v>7.0004383747616906E+32</v>
      </c>
      <c r="F281" s="235">
        <f t="shared" si="39"/>
        <v>171.69492215378622</v>
      </c>
      <c r="G281" s="218" cm="1">
        <f t="array" ref="G281">$B$7*SUM((($D$42:$D$50)/$C281)/(EXP($D$42:$D$50/$C281)-1)-LN(1-EXP(-$D$42:$D$50/$C281)))</f>
        <v>43.104672000414141</v>
      </c>
      <c r="H281" s="219">
        <f t="shared" si="40"/>
        <v>72.116759945232573</v>
      </c>
      <c r="I281" s="222">
        <v>0</v>
      </c>
      <c r="J281" s="203">
        <f t="shared" si="43"/>
        <v>286.91635409943291</v>
      </c>
    </row>
    <row r="282" spans="1:18" ht="20" thickBot="1" x14ac:dyDescent="0.3">
      <c r="C282" s="149">
        <f t="shared" si="44"/>
        <v>900</v>
      </c>
      <c r="D282" s="215">
        <f t="shared" si="41"/>
        <v>7.3851073279052548E-2</v>
      </c>
      <c r="E282" s="230">
        <f t="shared" si="42"/>
        <v>8.3532219402473749E+32</v>
      </c>
      <c r="F282" s="235">
        <f t="shared" si="39"/>
        <v>174.14316033293977</v>
      </c>
      <c r="G282" s="218" cm="1">
        <f t="array" ref="G282">$B$7*SUM((($D$42:$D$50)/$C282)/(EXP($D$42:$D$50/$C282)-1)-LN(1-EXP(-$D$42:$D$50/$C282)))</f>
        <v>49.713132484834098</v>
      </c>
      <c r="H282" s="219">
        <f t="shared" si="40"/>
        <v>73.096055216894015</v>
      </c>
      <c r="I282" s="222">
        <v>0</v>
      </c>
      <c r="J282" s="203">
        <f t="shared" si="43"/>
        <v>296.95234803466786</v>
      </c>
    </row>
    <row r="283" spans="1:18" ht="20" thickBot="1" x14ac:dyDescent="0.3">
      <c r="C283" s="149">
        <f t="shared" si="44"/>
        <v>1000</v>
      </c>
      <c r="D283" s="215">
        <f t="shared" si="41"/>
        <v>8.2056748087836168E-2</v>
      </c>
      <c r="E283" s="230">
        <f t="shared" si="42"/>
        <v>9.7834100489157217E+32</v>
      </c>
      <c r="F283" s="235">
        <f t="shared" si="39"/>
        <v>176.33318401140332</v>
      </c>
      <c r="G283" s="218" cm="1">
        <f t="array" ref="G283">$B$7*SUM((($D$42:$D$50)/$C283)/(EXP($D$42:$D$50/$C283)-1)-LN(1-EXP(-$D$42:$D$50/$C283)))</f>
        <v>55.952730604060939</v>
      </c>
      <c r="H283" s="219">
        <f t="shared" si="40"/>
        <v>73.972064688279445</v>
      </c>
      <c r="I283" s="222">
        <v>0</v>
      </c>
      <c r="J283" s="203">
        <f t="shared" si="43"/>
        <v>306.2579793037437</v>
      </c>
    </row>
    <row r="284" spans="1:18" ht="20" thickBot="1" x14ac:dyDescent="0.3">
      <c r="C284" s="149">
        <f t="shared" si="44"/>
        <v>1100</v>
      </c>
      <c r="D284" s="215">
        <f t="shared" si="41"/>
        <v>9.0262422896619773E-2</v>
      </c>
      <c r="E284" s="230">
        <f t="shared" si="42"/>
        <v>1.1287019727037616E+33</v>
      </c>
      <c r="F284" s="235">
        <f t="shared" si="39"/>
        <v>178.31430140881608</v>
      </c>
      <c r="G284" s="218" cm="1">
        <f t="array" ref="G284">$B$7*SUM((($D$42:$D$50)/$C284)/(EXP($D$42:$D$50/$C284)-1)-LN(1-EXP(-$D$42:$D$50/$C284)))</f>
        <v>61.829561008055819</v>
      </c>
      <c r="H284" s="219">
        <f t="shared" si="40"/>
        <v>74.764511647244518</v>
      </c>
      <c r="I284" s="222">
        <v>0</v>
      </c>
      <c r="J284" s="203">
        <f t="shared" si="43"/>
        <v>314.9083740641164</v>
      </c>
    </row>
    <row r="285" spans="1:18" ht="20" thickBot="1" x14ac:dyDescent="0.3">
      <c r="C285" s="149">
        <f t="shared" si="44"/>
        <v>1200</v>
      </c>
      <c r="D285" s="215">
        <f t="shared" si="41"/>
        <v>9.8468097705403393E-2</v>
      </c>
      <c r="E285" s="230">
        <f t="shared" si="42"/>
        <v>1.2860626495473295E+33</v>
      </c>
      <c r="F285" s="235">
        <f t="shared" si="39"/>
        <v>180.12291989092247</v>
      </c>
      <c r="G285" s="218" cm="1">
        <f t="array" ref="G285">$B$7*SUM((($D$42:$D$50)/$C285)/(EXP($D$42:$D$50/$C285)-1)-LN(1-EXP(-$D$42:$D$50/$C285)))</f>
        <v>67.362912658441516</v>
      </c>
      <c r="H285" s="219">
        <f t="shared" si="40"/>
        <v>75.487959040087105</v>
      </c>
      <c r="I285" s="222">
        <v>0</v>
      </c>
      <c r="J285" s="203">
        <f t="shared" si="43"/>
        <v>322.97379158945108</v>
      </c>
    </row>
    <row r="286" spans="1:18" ht="20" thickBot="1" x14ac:dyDescent="0.3">
      <c r="C286" s="149">
        <f t="shared" si="44"/>
        <v>1300</v>
      </c>
      <c r="D286" s="215">
        <f t="shared" si="41"/>
        <v>0.10667377251418701</v>
      </c>
      <c r="E286" s="230">
        <f t="shared" si="42"/>
        <v>1.4501244824874201E+33</v>
      </c>
      <c r="F286" s="235">
        <f t="shared" si="39"/>
        <v>181.7866876126246</v>
      </c>
      <c r="G286" s="218" cm="1">
        <f t="array" ref="G286">$B$7*SUM((($D$42:$D$50)/$C286)/(EXP($D$42:$D$50/$C286)-1)-LN(1-EXP(-$D$42:$D$50/$C286)))</f>
        <v>72.57733790170218</v>
      </c>
      <c r="H286" s="219">
        <f t="shared" si="40"/>
        <v>76.15346612876796</v>
      </c>
      <c r="I286" s="222">
        <v>0</v>
      </c>
      <c r="J286" s="203">
        <f t="shared" si="43"/>
        <v>330.51749164309473</v>
      </c>
    </row>
    <row r="287" spans="1:18" ht="20" thickBot="1" x14ac:dyDescent="0.3">
      <c r="C287" s="149">
        <f t="shared" si="44"/>
        <v>1400</v>
      </c>
      <c r="D287" s="215">
        <f t="shared" si="41"/>
        <v>0.11487944732297062</v>
      </c>
      <c r="E287" s="230">
        <f t="shared" si="42"/>
        <v>1.6206241632046164E+33</v>
      </c>
      <c r="F287" s="235">
        <f t="shared" si="39"/>
        <v>183.32709592181197</v>
      </c>
      <c r="G287" s="218" cm="1">
        <f t="array" ref="G287">$B$7*SUM((($D$42:$D$50)/$C287)/(EXP($D$42:$D$50/$C287)-1)-LN(1-EXP(-$D$42:$D$50/$C287)))</f>
        <v>77.498599835307743</v>
      </c>
      <c r="H287" s="219">
        <f t="shared" si="40"/>
        <v>76.769629452442857</v>
      </c>
      <c r="I287" s="222">
        <v>0</v>
      </c>
      <c r="J287" s="203">
        <f t="shared" si="43"/>
        <v>337.59532520956259</v>
      </c>
    </row>
    <row r="288" spans="1:18" ht="20" thickBot="1" x14ac:dyDescent="0.3">
      <c r="C288" s="149">
        <f t="shared" si="44"/>
        <v>1500</v>
      </c>
      <c r="D288" s="215">
        <f t="shared" si="41"/>
        <v>0.12308512213175424</v>
      </c>
      <c r="E288" s="230">
        <f t="shared" si="42"/>
        <v>1.797327192319584E+33</v>
      </c>
      <c r="F288" s="235">
        <f t="shared" si="39"/>
        <v>184.76118174853968</v>
      </c>
      <c r="G288" s="218" cm="1">
        <f t="array" ref="G288">$B$7*SUM((($D$42:$D$50)/$C288)/(EXP($D$42:$D$50/$C288)-1)-LN(1-EXP(-$D$42:$D$50/$C288)))</f>
        <v>82.151681663331004</v>
      </c>
      <c r="H288" s="219">
        <f t="shared" si="40"/>
        <v>77.343263783133963</v>
      </c>
      <c r="I288" s="222">
        <v>0</v>
      </c>
      <c r="J288" s="203">
        <f t="shared" si="43"/>
        <v>344.25612719500469</v>
      </c>
    </row>
    <row r="289" spans="3:10" ht="20" thickBot="1" x14ac:dyDescent="0.3">
      <c r="C289" s="149">
        <f t="shared" si="44"/>
        <v>1600</v>
      </c>
      <c r="D289" s="215">
        <f t="shared" si="41"/>
        <v>0.13129079694053786</v>
      </c>
      <c r="E289" s="230">
        <f t="shared" si="42"/>
        <v>1.9800229784290153E+33</v>
      </c>
      <c r="F289" s="235">
        <f t="shared" si="39"/>
        <v>186.10267944890526</v>
      </c>
      <c r="G289" s="218" cm="1">
        <f t="array" ref="G289">$B$7*SUM((($D$42:$D$50)/$C289)/(EXP($D$42:$D$50/$C289)-1)-LN(1-EXP(-$D$42:$D$50/$C289)))</f>
        <v>86.559883872372708</v>
      </c>
      <c r="H289" s="219">
        <f t="shared" si="40"/>
        <v>77.879862863280181</v>
      </c>
      <c r="I289" s="222">
        <v>0</v>
      </c>
      <c r="J289" s="203">
        <f t="shared" si="43"/>
        <v>350.54242618455817</v>
      </c>
    </row>
    <row r="290" spans="3:10" ht="20" thickBot="1" x14ac:dyDescent="0.3">
      <c r="C290" s="149">
        <f t="shared" si="44"/>
        <v>1700</v>
      </c>
      <c r="D290" s="215">
        <f t="shared" si="41"/>
        <v>0.13949647174932148</v>
      </c>
      <c r="E290" s="230">
        <f t="shared" si="42"/>
        <v>2.1685210309471637E+33</v>
      </c>
      <c r="F290" s="235">
        <f t="shared" si="39"/>
        <v>187.36282283798161</v>
      </c>
      <c r="G290" s="218" cm="1">
        <f t="array" ref="G290">$B$7*SUM((($D$42:$D$50)/$C290)/(EXP($D$42:$D$50/$C290)-1)-LN(1-EXP(-$D$42:$D$50/$C290)))</f>
        <v>90.744489215088805</v>
      </c>
      <c r="H290" s="219">
        <f t="shared" si="40"/>
        <v>78.38392021891076</v>
      </c>
      <c r="I290" s="222">
        <v>0</v>
      </c>
      <c r="J290" s="203">
        <f t="shared" si="43"/>
        <v>356.49123227198118</v>
      </c>
    </row>
    <row r="291" spans="3:10" ht="20" thickBot="1" x14ac:dyDescent="0.3">
      <c r="C291" s="149">
        <f t="shared" si="44"/>
        <v>1800</v>
      </c>
      <c r="D291" s="215">
        <f t="shared" si="41"/>
        <v>0.1477021465581051</v>
      </c>
      <c r="E291" s="230">
        <f t="shared" si="42"/>
        <v>2.3626479514820739E+33</v>
      </c>
      <c r="F291" s="235">
        <f t="shared" si="39"/>
        <v>188.55091762805884</v>
      </c>
      <c r="G291" s="218" cm="1">
        <f t="array" ref="G291">$B$7*SUM((($D$42:$D$50)/$C291)/(EXP($D$42:$D$50/$C291)-1)-LN(1-EXP(-$D$42:$D$50/$C291)))</f>
        <v>94.72471760891213</v>
      </c>
      <c r="H291" s="219">
        <f t="shared" si="40"/>
        <v>78.859158134941623</v>
      </c>
      <c r="I291" s="222">
        <v>0</v>
      </c>
      <c r="J291" s="203">
        <f t="shared" si="43"/>
        <v>362.13479337191256</v>
      </c>
    </row>
    <row r="292" spans="3:10" ht="20" thickBot="1" x14ac:dyDescent="0.3">
      <c r="C292" s="149">
        <f t="shared" si="44"/>
        <v>1900</v>
      </c>
      <c r="D292" s="215">
        <f t="shared" si="41"/>
        <v>0.15590782136688872</v>
      </c>
      <c r="E292" s="230">
        <f t="shared" si="42"/>
        <v>2.5622450204429636E+33</v>
      </c>
      <c r="F292" s="235">
        <f t="shared" si="39"/>
        <v>189.67475888938284</v>
      </c>
      <c r="G292" s="218" cm="1">
        <f t="array" ref="G292">$B$7*SUM((($D$42:$D$50)/$C292)/(EXP($D$42:$D$50/$C292)-1)-LN(1-EXP(-$D$42:$D$50/$C292)))</f>
        <v>98.517822317417028</v>
      </c>
      <c r="H292" s="219">
        <f t="shared" si="40"/>
        <v>79.308694639471199</v>
      </c>
      <c r="I292" s="222">
        <v>0</v>
      </c>
      <c r="J292" s="203">
        <f t="shared" si="43"/>
        <v>367.50127584627108</v>
      </c>
    </row>
    <row r="293" spans="3:10" ht="20" thickBot="1" x14ac:dyDescent="0.3">
      <c r="C293" s="150">
        <f t="shared" si="44"/>
        <v>2000</v>
      </c>
      <c r="D293" s="216">
        <f t="shared" si="41"/>
        <v>0.16411349617567234</v>
      </c>
      <c r="E293" s="231">
        <f t="shared" si="42"/>
        <v>2.7671662354867754E+33</v>
      </c>
      <c r="F293" s="236">
        <f t="shared" si="39"/>
        <v>190.74094130652236</v>
      </c>
      <c r="G293" s="227" cm="1">
        <f t="array" ref="G293">$B$7*SUM((($D$42:$D$50)/$C293)/(EXP($D$42:$D$50/$C293)-1)-LN(1-EXP(-$D$42:$D$50/$C293)))</f>
        <v>102.13924820811376</v>
      </c>
      <c r="H293" s="237">
        <f t="shared" si="40"/>
        <v>79.735167606327053</v>
      </c>
      <c r="I293" s="224">
        <v>0</v>
      </c>
      <c r="J293" s="195">
        <f t="shared" si="43"/>
        <v>372.61535712096315</v>
      </c>
    </row>
  </sheetData>
  <mergeCells count="10">
    <mergeCell ref="F273:J273"/>
    <mergeCell ref="D216:E216"/>
    <mergeCell ref="D258:E258"/>
    <mergeCell ref="H252:K252"/>
    <mergeCell ref="D257:E257"/>
    <mergeCell ref="A18:V18"/>
    <mergeCell ref="A62:V62"/>
    <mergeCell ref="H211:K211"/>
    <mergeCell ref="D225:H225"/>
    <mergeCell ref="C109:U10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Cabiati</dc:creator>
  <cp:lastModifiedBy>Edoardo Cabiati</cp:lastModifiedBy>
  <dcterms:created xsi:type="dcterms:W3CDTF">2024-08-14T21:56:07Z</dcterms:created>
  <dcterms:modified xsi:type="dcterms:W3CDTF">2024-08-15T23:45:13Z</dcterms:modified>
</cp:coreProperties>
</file>