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edoardocabiati/Desktop/Cose_brutte_PoliMI/V anno/II semestre/Molecular Modelling for Processes/MMfP/Project4/"/>
    </mc:Choice>
  </mc:AlternateContent>
  <xr:revisionPtr revIDLastSave="0" documentId="13_ncr:1_{B6413F76-DB3B-5C48-B8BB-A9B70085A83D}" xr6:coauthVersionLast="47" xr6:coauthVersionMax="47" xr10:uidLastSave="{00000000-0000-0000-0000-000000000000}"/>
  <bookViews>
    <workbookView xWindow="0" yWindow="760" windowWidth="30240" windowHeight="17740" xr2:uid="{BCAB5495-7A25-E24D-B8BB-73108533BADD}"/>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62" i="1" l="1" a="1"/>
  <c r="G262" i="1"/>
  <c r="G265" i="1" a="1"/>
  <c r="G265" i="1" s="1"/>
  <c r="G266" i="1" a="1"/>
  <c r="G266" i="1" s="1"/>
  <c r="G267" i="1" a="1"/>
  <c r="G267" i="1" s="1"/>
  <c r="G268" i="1" a="1"/>
  <c r="G268" i="1" s="1"/>
  <c r="G269" i="1" a="1"/>
  <c r="G269" i="1" s="1"/>
  <c r="G270" i="1" a="1"/>
  <c r="G270" i="1" s="1"/>
  <c r="G271" i="1" a="1"/>
  <c r="G271" i="1" s="1"/>
  <c r="G272" i="1" a="1"/>
  <c r="G272" i="1"/>
  <c r="G273" i="1" a="1"/>
  <c r="G273" i="1" s="1"/>
  <c r="G274" i="1" a="1"/>
  <c r="G274" i="1" s="1"/>
  <c r="G275" i="1" a="1"/>
  <c r="G275" i="1" s="1"/>
  <c r="G276" i="1" a="1"/>
  <c r="G276" i="1"/>
  <c r="G277" i="1" a="1"/>
  <c r="G277" i="1" s="1"/>
  <c r="G278" i="1" a="1"/>
  <c r="G278" i="1" s="1"/>
  <c r="G279" i="1" a="1"/>
  <c r="G279" i="1" s="1"/>
  <c r="G280" i="1" a="1"/>
  <c r="G280" i="1"/>
  <c r="G264" i="1" a="1"/>
  <c r="G264" i="1" s="1"/>
  <c r="G263" i="1" a="1"/>
  <c r="G263" i="1" s="1"/>
  <c r="F215" i="1"/>
  <c r="F216" i="1"/>
  <c r="F217" i="1"/>
  <c r="F218" i="1"/>
  <c r="F219" i="1"/>
  <c r="F220" i="1"/>
  <c r="F221" i="1"/>
  <c r="F222" i="1"/>
  <c r="F223" i="1"/>
  <c r="F224" i="1"/>
  <c r="F225" i="1"/>
  <c r="F226" i="1"/>
  <c r="F227" i="1"/>
  <c r="F228" i="1"/>
  <c r="F229" i="1"/>
  <c r="F230" i="1"/>
  <c r="F231" i="1"/>
  <c r="F232" i="1"/>
  <c r="F214" i="1"/>
  <c r="E217" i="1" a="1"/>
  <c r="E217" i="1" s="1"/>
  <c r="E218" i="1" a="1"/>
  <c r="E218" i="1"/>
  <c r="E219" i="1" a="1"/>
  <c r="E219" i="1" s="1"/>
  <c r="E220" i="1" a="1"/>
  <c r="E220" i="1" s="1"/>
  <c r="E221" i="1" a="1"/>
  <c r="E221" i="1" s="1"/>
  <c r="E222" i="1" a="1"/>
  <c r="E222" i="1" s="1"/>
  <c r="E223" i="1" a="1"/>
  <c r="E223" i="1" s="1"/>
  <c r="E224" i="1" a="1"/>
  <c r="E224" i="1"/>
  <c r="E225" i="1" a="1"/>
  <c r="E225" i="1" s="1"/>
  <c r="E226" i="1" a="1"/>
  <c r="E226" i="1"/>
  <c r="E227" i="1" a="1"/>
  <c r="E227" i="1" s="1"/>
  <c r="E228" i="1" a="1"/>
  <c r="E228" i="1"/>
  <c r="E229" i="1" a="1"/>
  <c r="E229" i="1" s="1"/>
  <c r="E230" i="1" a="1"/>
  <c r="E230" i="1"/>
  <c r="E231" i="1" a="1"/>
  <c r="E231" i="1" s="1"/>
  <c r="E232" i="1" a="1"/>
  <c r="E232" i="1" s="1"/>
  <c r="E215" i="1" a="1"/>
  <c r="E215" i="1" s="1"/>
  <c r="E216" i="1" a="1"/>
  <c r="E216" i="1" s="1"/>
  <c r="E214" i="1"/>
  <c r="C172" i="1"/>
  <c r="F167" i="1"/>
  <c r="G169" i="1"/>
  <c r="E168" i="1"/>
  <c r="F168" i="1"/>
  <c r="G168" i="1"/>
  <c r="D168" i="1"/>
  <c r="D137" i="1"/>
  <c r="C131" i="1"/>
  <c r="L140" i="1"/>
  <c r="L139" i="1"/>
  <c r="D138" i="1"/>
  <c r="D139" i="1"/>
  <c r="D140" i="1"/>
  <c r="D141" i="1"/>
  <c r="D142" i="1"/>
  <c r="D144" i="1"/>
  <c r="D145" i="1"/>
  <c r="D146" i="1"/>
  <c r="D147" i="1"/>
  <c r="D148" i="1"/>
  <c r="D149" i="1"/>
  <c r="D150" i="1"/>
  <c r="D152" i="1"/>
  <c r="D153" i="1"/>
  <c r="D154" i="1"/>
  <c r="D134" i="1"/>
  <c r="D132" i="1"/>
  <c r="D133" i="1"/>
  <c r="D151" i="1" l="1"/>
  <c r="D143" i="1"/>
  <c r="M45" i="1"/>
  <c r="L175" i="1"/>
  <c r="D176" i="1"/>
  <c r="D177" i="1"/>
  <c r="D178" i="1"/>
  <c r="D179" i="1"/>
  <c r="D180" i="1"/>
  <c r="D181" i="1"/>
  <c r="D182" i="1"/>
  <c r="D183" i="1"/>
  <c r="D184" i="1"/>
  <c r="D185" i="1"/>
  <c r="D186" i="1"/>
  <c r="D187" i="1"/>
  <c r="D188" i="1"/>
  <c r="D189" i="1"/>
  <c r="D190" i="1"/>
  <c r="D191" i="1"/>
  <c r="D192" i="1"/>
  <c r="D175" i="1"/>
  <c r="E256" i="1"/>
  <c r="F256" i="1"/>
  <c r="F257" i="1" s="1"/>
  <c r="F258" i="1" s="1"/>
  <c r="D256" i="1"/>
  <c r="D248" i="1"/>
  <c r="D249" i="1"/>
  <c r="D250" i="1"/>
  <c r="E250" i="1" s="1"/>
  <c r="P265" i="1" s="1"/>
  <c r="D251" i="1"/>
  <c r="E251" i="1" s="1"/>
  <c r="O265" i="1" s="1"/>
  <c r="D247" i="1"/>
  <c r="E247" i="1" s="1"/>
  <c r="R265" i="1" s="1"/>
  <c r="D206" i="1"/>
  <c r="D207" i="1"/>
  <c r="D208" i="1"/>
  <c r="E208" i="1" s="1"/>
  <c r="M216" i="1" s="1"/>
  <c r="D209" i="1"/>
  <c r="E209" i="1" s="1"/>
  <c r="L216" i="1" s="1"/>
  <c r="D205" i="1"/>
  <c r="D97" i="1" a="1"/>
  <c r="D97" i="1" s="1"/>
  <c r="D98" i="1" s="1"/>
  <c r="D103" i="1" s="1"/>
  <c r="E103" i="1" s="1"/>
  <c r="G256" i="1"/>
  <c r="F169" i="1"/>
  <c r="Q264" i="1"/>
  <c r="K215" i="1"/>
  <c r="M215" i="1"/>
  <c r="N215" i="1"/>
  <c r="D214" i="1"/>
  <c r="E248" i="1"/>
  <c r="Q265" i="1" s="1"/>
  <c r="Q266" i="1" s="1"/>
  <c r="E249" i="1"/>
  <c r="N265" i="1" s="1"/>
  <c r="O264" i="1"/>
  <c r="E262" i="1"/>
  <c r="D262" i="1"/>
  <c r="D263" i="1"/>
  <c r="E263" i="1"/>
  <c r="E257" i="1"/>
  <c r="E258" i="1" s="1"/>
  <c r="D257" i="1"/>
  <c r="D258" i="1" s="1"/>
  <c r="C264" i="1"/>
  <c r="C265" i="1" s="1"/>
  <c r="D265" i="1" s="1"/>
  <c r="E206" i="1"/>
  <c r="N216" i="1" s="1"/>
  <c r="N217" i="1" s="1"/>
  <c r="E207" i="1"/>
  <c r="K216" i="1" s="1"/>
  <c r="K217" i="1" s="1"/>
  <c r="E205" i="1"/>
  <c r="O216" i="1" s="1"/>
  <c r="D215" i="1"/>
  <c r="D216" i="1"/>
  <c r="D217" i="1"/>
  <c r="D218" i="1"/>
  <c r="D219" i="1"/>
  <c r="D220" i="1"/>
  <c r="D221" i="1"/>
  <c r="D222" i="1"/>
  <c r="D223" i="1"/>
  <c r="D224" i="1"/>
  <c r="D225" i="1"/>
  <c r="D226" i="1"/>
  <c r="D227" i="1"/>
  <c r="D228" i="1"/>
  <c r="D229" i="1"/>
  <c r="D230" i="1"/>
  <c r="D231" i="1"/>
  <c r="D232" i="1"/>
  <c r="C216" i="1"/>
  <c r="L176" i="1"/>
  <c r="L177" i="1" s="1"/>
  <c r="L38" i="1"/>
  <c r="L33" i="1"/>
  <c r="L28" i="1"/>
  <c r="L23" i="1"/>
  <c r="E169" i="1"/>
  <c r="D169" i="1"/>
  <c r="E167" i="1"/>
  <c r="K45" i="1"/>
  <c r="L45" i="1" s="1"/>
  <c r="C176" i="1"/>
  <c r="C177" i="1" s="1"/>
  <c r="C178" i="1" s="1"/>
  <c r="C179" i="1" s="1"/>
  <c r="E24" i="1"/>
  <c r="E25" i="1" s="1"/>
  <c r="F24" i="1"/>
  <c r="F25" i="1" s="1"/>
  <c r="D24" i="1"/>
  <c r="D25" i="1" s="1"/>
  <c r="C138" i="1"/>
  <c r="C139" i="1" s="1"/>
  <c r="I105" i="1"/>
  <c r="C104" i="1"/>
  <c r="C105" i="1" s="1"/>
  <c r="C106" i="1" s="1"/>
  <c r="C107" i="1" s="1"/>
  <c r="C108" i="1" s="1"/>
  <c r="C109" i="1" s="1"/>
  <c r="C110" i="1" s="1"/>
  <c r="C111" i="1" s="1"/>
  <c r="C112" i="1" s="1"/>
  <c r="C113" i="1" s="1"/>
  <c r="C114" i="1" s="1"/>
  <c r="C115" i="1" s="1"/>
  <c r="C116" i="1" s="1"/>
  <c r="C117" i="1" s="1"/>
  <c r="C118" i="1" s="1"/>
  <c r="C119" i="1" s="1"/>
  <c r="C120" i="1" s="1"/>
  <c r="L68" i="1"/>
  <c r="T9" i="1"/>
  <c r="V8" i="1"/>
  <c r="V7" i="1" s="1"/>
  <c r="D65" i="1"/>
  <c r="L67" i="1" s="1"/>
  <c r="F42" i="1"/>
  <c r="C66" i="1"/>
  <c r="D66" i="1" s="1"/>
  <c r="K38" i="1"/>
  <c r="J38" i="1"/>
  <c r="I38" i="1"/>
  <c r="K33" i="1"/>
  <c r="J33" i="1"/>
  <c r="I33" i="1"/>
  <c r="K28" i="1"/>
  <c r="J28" i="1"/>
  <c r="I28" i="1"/>
  <c r="K23" i="1"/>
  <c r="J23" i="1"/>
  <c r="I23" i="1"/>
  <c r="B13" i="1"/>
  <c r="M217" i="1" l="1"/>
  <c r="O266" i="1"/>
  <c r="G258" i="1"/>
  <c r="G257" i="1"/>
  <c r="H214" i="1"/>
  <c r="O215" i="1" s="1"/>
  <c r="O217" i="1" s="1"/>
  <c r="L215" i="1"/>
  <c r="L217" i="1" s="1"/>
  <c r="F262" i="1"/>
  <c r="N264" i="1" s="1"/>
  <c r="N266" i="1" s="1"/>
  <c r="D118" i="1"/>
  <c r="E118" i="1" s="1"/>
  <c r="D110" i="1"/>
  <c r="E110" i="1" s="1"/>
  <c r="H216" i="1"/>
  <c r="F263" i="1"/>
  <c r="D117" i="1"/>
  <c r="E117" i="1" s="1"/>
  <c r="D109" i="1"/>
  <c r="E109" i="1" s="1"/>
  <c r="D116" i="1"/>
  <c r="E116" i="1" s="1"/>
  <c r="D115" i="1"/>
  <c r="E115" i="1" s="1"/>
  <c r="D107" i="1"/>
  <c r="E107" i="1" s="1"/>
  <c r="J254" i="1"/>
  <c r="H262" i="1" s="1"/>
  <c r="D113" i="1"/>
  <c r="E113" i="1" s="1"/>
  <c r="E265" i="1"/>
  <c r="F265" i="1" s="1"/>
  <c r="D108" i="1"/>
  <c r="E108" i="1" s="1"/>
  <c r="D114" i="1"/>
  <c r="E114" i="1" s="1"/>
  <c r="D102" i="1"/>
  <c r="E102" i="1" s="1"/>
  <c r="D112" i="1"/>
  <c r="E112" i="1" s="1"/>
  <c r="D104" i="1"/>
  <c r="E104" i="1" s="1"/>
  <c r="H215" i="1"/>
  <c r="E264" i="1"/>
  <c r="D264" i="1"/>
  <c r="D106" i="1"/>
  <c r="E106" i="1" s="1"/>
  <c r="D105" i="1"/>
  <c r="E105" i="1" s="1"/>
  <c r="D120" i="1"/>
  <c r="E120" i="1" s="1"/>
  <c r="D119" i="1"/>
  <c r="E119" i="1" s="1"/>
  <c r="D111" i="1"/>
  <c r="E111" i="1" s="1"/>
  <c r="C217" i="1"/>
  <c r="C266" i="1"/>
  <c r="C267" i="1"/>
  <c r="C180" i="1"/>
  <c r="C140" i="1"/>
  <c r="L69" i="1"/>
  <c r="E65" i="1"/>
  <c r="E66" i="1"/>
  <c r="C67" i="1"/>
  <c r="C68" i="1"/>
  <c r="H264" i="1" l="1"/>
  <c r="J262" i="1"/>
  <c r="R264" i="1" s="1"/>
  <c r="R266" i="1" s="1"/>
  <c r="P264" i="1"/>
  <c r="P266" i="1" s="1"/>
  <c r="H266" i="1"/>
  <c r="H263" i="1"/>
  <c r="J263" i="1" s="1"/>
  <c r="H265" i="1"/>
  <c r="J265" i="1" s="1"/>
  <c r="F264" i="1"/>
  <c r="L141" i="1"/>
  <c r="C218" i="1"/>
  <c r="H217" i="1"/>
  <c r="E267" i="1"/>
  <c r="D267" i="1"/>
  <c r="F267" i="1" s="1"/>
  <c r="E266" i="1"/>
  <c r="D266" i="1"/>
  <c r="H267" i="1"/>
  <c r="C268" i="1"/>
  <c r="C181" i="1"/>
  <c r="C141" i="1"/>
  <c r="D67" i="1"/>
  <c r="E67" i="1" s="1"/>
  <c r="C69" i="1"/>
  <c r="D68" i="1"/>
  <c r="E68" i="1" s="1"/>
  <c r="J264" i="1" l="1"/>
  <c r="F266" i="1"/>
  <c r="J266" i="1"/>
  <c r="J267" i="1"/>
  <c r="C219" i="1"/>
  <c r="H218" i="1"/>
  <c r="E268" i="1"/>
  <c r="D268" i="1"/>
  <c r="H268" i="1"/>
  <c r="C269" i="1"/>
  <c r="C182" i="1"/>
  <c r="C142" i="1"/>
  <c r="C70" i="1"/>
  <c r="D69" i="1"/>
  <c r="E69" i="1" s="1"/>
  <c r="F268" i="1" l="1"/>
  <c r="J268" i="1"/>
  <c r="C220" i="1"/>
  <c r="H219" i="1"/>
  <c r="D269" i="1"/>
  <c r="E269" i="1"/>
  <c r="H269" i="1"/>
  <c r="C270" i="1"/>
  <c r="C183" i="1"/>
  <c r="C143" i="1"/>
  <c r="C71" i="1"/>
  <c r="D70" i="1"/>
  <c r="E70" i="1" s="1"/>
  <c r="C221" i="1" l="1"/>
  <c r="H220" i="1"/>
  <c r="E270" i="1"/>
  <c r="D270" i="1"/>
  <c r="F270" i="1" s="1"/>
  <c r="H270" i="1"/>
  <c r="F269" i="1"/>
  <c r="J269" i="1" s="1"/>
  <c r="C271" i="1"/>
  <c r="C184" i="1"/>
  <c r="C144" i="1"/>
  <c r="C72" i="1"/>
  <c r="D71" i="1"/>
  <c r="E71" i="1" s="1"/>
  <c r="J270" i="1" l="1"/>
  <c r="C222" i="1"/>
  <c r="H221" i="1"/>
  <c r="E271" i="1"/>
  <c r="D271" i="1"/>
  <c r="F271" i="1" s="1"/>
  <c r="H271" i="1"/>
  <c r="C272" i="1"/>
  <c r="C185" i="1"/>
  <c r="C145" i="1"/>
  <c r="C73" i="1"/>
  <c r="D72" i="1"/>
  <c r="E72" i="1" s="1"/>
  <c r="J271" i="1" l="1"/>
  <c r="C223" i="1"/>
  <c r="H222" i="1"/>
  <c r="E272" i="1"/>
  <c r="D272" i="1"/>
  <c r="H272" i="1"/>
  <c r="C273" i="1"/>
  <c r="C186" i="1"/>
  <c r="C146" i="1"/>
  <c r="C74" i="1"/>
  <c r="D73" i="1"/>
  <c r="E73" i="1" s="1"/>
  <c r="F272" i="1" l="1"/>
  <c r="J272" i="1" s="1"/>
  <c r="C224" i="1"/>
  <c r="H223" i="1"/>
  <c r="E273" i="1"/>
  <c r="D273" i="1"/>
  <c r="H273" i="1"/>
  <c r="C274" i="1"/>
  <c r="C187" i="1"/>
  <c r="C147" i="1"/>
  <c r="C75" i="1"/>
  <c r="D74" i="1"/>
  <c r="E74" i="1" s="1"/>
  <c r="F273" i="1" l="1"/>
  <c r="J273" i="1" s="1"/>
  <c r="C225" i="1"/>
  <c r="H224" i="1"/>
  <c r="E274" i="1"/>
  <c r="D274" i="1"/>
  <c r="F274" i="1" s="1"/>
  <c r="H274" i="1"/>
  <c r="C275" i="1"/>
  <c r="C188" i="1"/>
  <c r="C148" i="1"/>
  <c r="C76" i="1"/>
  <c r="D75" i="1"/>
  <c r="E75" i="1" s="1"/>
  <c r="J274" i="1" l="1"/>
  <c r="C226" i="1"/>
  <c r="H225" i="1"/>
  <c r="E275" i="1"/>
  <c r="D275" i="1"/>
  <c r="H275" i="1"/>
  <c r="C276" i="1"/>
  <c r="C189" i="1"/>
  <c r="C149" i="1"/>
  <c r="C77" i="1"/>
  <c r="D76" i="1"/>
  <c r="E76" i="1" s="1"/>
  <c r="F275" i="1" l="1"/>
  <c r="J275" i="1"/>
  <c r="C227" i="1"/>
  <c r="H226" i="1"/>
  <c r="E276" i="1"/>
  <c r="D276" i="1"/>
  <c r="H276" i="1"/>
  <c r="C277" i="1"/>
  <c r="C190" i="1"/>
  <c r="C150" i="1"/>
  <c r="C78" i="1"/>
  <c r="D77" i="1"/>
  <c r="E77" i="1" s="1"/>
  <c r="F276" i="1" l="1"/>
  <c r="J276" i="1" s="1"/>
  <c r="C228" i="1"/>
  <c r="H227" i="1"/>
  <c r="D277" i="1"/>
  <c r="E277" i="1"/>
  <c r="H277" i="1"/>
  <c r="C278" i="1"/>
  <c r="C191" i="1"/>
  <c r="C151" i="1"/>
  <c r="C79" i="1"/>
  <c r="D78" i="1"/>
  <c r="E78" i="1" s="1"/>
  <c r="C229" i="1" l="1"/>
  <c r="H228" i="1"/>
  <c r="E278" i="1"/>
  <c r="D278" i="1"/>
  <c r="F278" i="1" s="1"/>
  <c r="H278" i="1"/>
  <c r="F277" i="1"/>
  <c r="J277" i="1" s="1"/>
  <c r="C279" i="1"/>
  <c r="C192" i="1"/>
  <c r="C152" i="1"/>
  <c r="C80" i="1"/>
  <c r="D79" i="1"/>
  <c r="E79" i="1" s="1"/>
  <c r="J278" i="1" l="1"/>
  <c r="C230" i="1"/>
  <c r="H229" i="1"/>
  <c r="E279" i="1"/>
  <c r="D279" i="1"/>
  <c r="H279" i="1"/>
  <c r="C280" i="1"/>
  <c r="C153" i="1"/>
  <c r="C81" i="1"/>
  <c r="D80" i="1"/>
  <c r="E80" i="1" s="1"/>
  <c r="F279" i="1" l="1"/>
  <c r="J279" i="1" s="1"/>
  <c r="C231" i="1"/>
  <c r="H230" i="1"/>
  <c r="E280" i="1"/>
  <c r="D280" i="1"/>
  <c r="H280" i="1"/>
  <c r="C154" i="1"/>
  <c r="C82" i="1"/>
  <c r="D81" i="1"/>
  <c r="E81" i="1" s="1"/>
  <c r="F280" i="1" l="1"/>
  <c r="J280" i="1" s="1"/>
  <c r="C232" i="1"/>
  <c r="H232" i="1" s="1"/>
  <c r="H231" i="1"/>
  <c r="D82" i="1"/>
  <c r="E82" i="1"/>
  <c r="I104" i="1"/>
  <c r="I10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<sst xmlns="http://schemas.openxmlformats.org/spreadsheetml/2006/main" count="241" uniqueCount="128">
  <si>
    <t>TABLE OF CONSTANTS</t>
  </si>
  <si>
    <r>
      <rPr>
        <b/>
        <sz val="14"/>
        <color theme="1"/>
        <rFont val="Aptos Narrow"/>
        <scheme val="minor"/>
      </rPr>
      <t>N</t>
    </r>
    <r>
      <rPr>
        <b/>
        <vertAlign val="subscript"/>
        <sz val="14"/>
        <color theme="1"/>
        <rFont val="Aptos Narrow"/>
        <scheme val="minor"/>
      </rPr>
      <t>avo</t>
    </r>
    <r>
      <rPr>
        <b/>
        <sz val="14"/>
        <color theme="1"/>
        <rFont val="Aptos Narrow"/>
        <scheme val="minor"/>
      </rPr>
      <t xml:space="preserve"> </t>
    </r>
    <r>
      <rPr>
        <sz val="14"/>
        <color theme="1"/>
        <rFont val="Aptos Narrow"/>
        <scheme val="minor"/>
      </rPr>
      <t>[ mol</t>
    </r>
    <r>
      <rPr>
        <vertAlign val="superscript"/>
        <sz val="14"/>
        <color theme="1"/>
        <rFont val="Aptos Narrow"/>
        <scheme val="minor"/>
      </rPr>
      <t>-1</t>
    </r>
    <r>
      <rPr>
        <sz val="14"/>
        <color theme="1"/>
        <rFont val="Aptos Narrow (Corpo)"/>
      </rPr>
      <t xml:space="preserve"> ]</t>
    </r>
  </si>
  <si>
    <r>
      <rPr>
        <b/>
        <sz val="14"/>
        <color theme="1"/>
        <rFont val="Aptos Narrow"/>
        <scheme val="minor"/>
      </rPr>
      <t>R</t>
    </r>
    <r>
      <rPr>
        <sz val="14"/>
        <color theme="1"/>
        <rFont val="Aptos Narrow"/>
        <scheme val="minor"/>
      </rPr>
      <t xml:space="preserve"> [ J mol</t>
    </r>
    <r>
      <rPr>
        <vertAlign val="superscript"/>
        <sz val="14"/>
        <color theme="1"/>
        <rFont val="Aptos Narrow"/>
        <scheme val="minor"/>
      </rPr>
      <t xml:space="preserve">-1 </t>
    </r>
    <r>
      <rPr>
        <sz val="14"/>
        <color theme="1"/>
        <rFont val="Aptos Narrow"/>
        <scheme val="minor"/>
      </rPr>
      <t xml:space="preserve">K </t>
    </r>
    <r>
      <rPr>
        <vertAlign val="superscript"/>
        <sz val="14"/>
        <color theme="1"/>
        <rFont val="Aptos Narrow"/>
        <scheme val="minor"/>
      </rPr>
      <t>-1</t>
    </r>
    <r>
      <rPr>
        <sz val="14"/>
        <color theme="1"/>
        <rFont val="Aptos Narrow (Corpo)"/>
      </rPr>
      <t xml:space="preserve"> ]</t>
    </r>
  </si>
  <si>
    <r>
      <rPr>
        <b/>
        <sz val="14"/>
        <color rgb="FF202122"/>
        <rFont val="Aptos Narrow"/>
        <scheme val="minor"/>
      </rPr>
      <t>k</t>
    </r>
    <r>
      <rPr>
        <b/>
        <vertAlign val="subscript"/>
        <sz val="14"/>
        <color rgb="FF202122"/>
        <rFont val="Aptos Narrow"/>
        <scheme val="minor"/>
      </rPr>
      <t>b</t>
    </r>
    <r>
      <rPr>
        <vertAlign val="subscript"/>
        <sz val="14"/>
        <color rgb="FF202122"/>
        <rFont val="Aptos Narrow"/>
        <scheme val="minor"/>
      </rPr>
      <t xml:space="preserve"> </t>
    </r>
    <r>
      <rPr>
        <sz val="14"/>
        <color rgb="FF202122"/>
        <rFont val="Aptos Narrow (Corpo)"/>
      </rPr>
      <t xml:space="preserve">[ </t>
    </r>
    <r>
      <rPr>
        <sz val="14"/>
        <color rgb="FF202122"/>
        <rFont val="Aptos Narrow"/>
        <scheme val="minor"/>
      </rPr>
      <t>J K</t>
    </r>
    <r>
      <rPr>
        <vertAlign val="superscript"/>
        <sz val="14"/>
        <color rgb="FF202122"/>
        <rFont val="Aptos Narrow"/>
        <scheme val="minor"/>
      </rPr>
      <t>-1</t>
    </r>
    <r>
      <rPr>
        <sz val="14"/>
        <color rgb="FF202122"/>
        <rFont val="Aptos Narrow (Corpo)"/>
      </rPr>
      <t xml:space="preserve"> ]</t>
    </r>
  </si>
  <si>
    <r>
      <rPr>
        <b/>
        <sz val="14"/>
        <color theme="1"/>
        <rFont val="Aptos Narrow"/>
        <scheme val="minor"/>
      </rPr>
      <t>e</t>
    </r>
    <r>
      <rPr>
        <sz val="14"/>
        <color theme="1"/>
        <rFont val="Aptos Narrow"/>
        <scheme val="minor"/>
      </rPr>
      <t xml:space="preserve"> [ C ]</t>
    </r>
  </si>
  <si>
    <r>
      <rPr>
        <b/>
        <sz val="14"/>
        <color theme="1"/>
        <rFont val="Aptos Narrow"/>
        <scheme val="minor"/>
      </rPr>
      <t>m</t>
    </r>
    <r>
      <rPr>
        <b/>
        <vertAlign val="subscript"/>
        <sz val="14"/>
        <color theme="1"/>
        <rFont val="Aptos Narrow (Corpo)"/>
      </rPr>
      <t xml:space="preserve">e </t>
    </r>
    <r>
      <rPr>
        <sz val="14"/>
        <color theme="1"/>
        <rFont val="Aptos Narrow"/>
        <scheme val="minor"/>
      </rPr>
      <t>[ kg ]</t>
    </r>
  </si>
  <si>
    <r>
      <rPr>
        <b/>
        <sz val="14"/>
        <color theme="1"/>
        <rFont val="Aptos Narrow"/>
        <scheme val="minor"/>
      </rPr>
      <t>a</t>
    </r>
    <r>
      <rPr>
        <b/>
        <vertAlign val="subscript"/>
        <sz val="14"/>
        <color theme="1"/>
        <rFont val="Aptos Narrow (Corpo)"/>
      </rPr>
      <t>0</t>
    </r>
    <r>
      <rPr>
        <sz val="14"/>
        <color theme="1"/>
        <rFont val="Aptos Narrow"/>
        <scheme val="minor"/>
      </rPr>
      <t xml:space="preserve"> [ m ]</t>
    </r>
  </si>
  <si>
    <t>hartree</t>
  </si>
  <si>
    <t>eV</t>
  </si>
  <si>
    <t>kcal/mol</t>
  </si>
  <si>
    <t>kJ/mol</t>
  </si>
  <si>
    <t>J</t>
  </si>
  <si>
    <t>Hz</t>
  </si>
  <si>
    <t>TABLE OF CONVERSIONS (ENERGY)</t>
  </si>
  <si>
    <r>
      <t>cm</t>
    </r>
    <r>
      <rPr>
        <b/>
        <vertAlign val="superscript"/>
        <sz val="14"/>
        <color theme="1"/>
        <rFont val="Aptos Narrow"/>
        <scheme val="minor"/>
      </rPr>
      <t>-1</t>
    </r>
  </si>
  <si>
    <r>
      <t>o</t>
    </r>
    <r>
      <rPr>
        <b/>
        <sz val="14"/>
        <color theme="1"/>
        <rFont val="Aptos Narrow"/>
        <scheme val="minor"/>
      </rPr>
      <t>K</t>
    </r>
  </si>
  <si>
    <r>
      <rPr>
        <b/>
        <sz val="14"/>
        <color theme="1"/>
        <rFont val="Aptos Narrow"/>
        <scheme val="minor"/>
      </rPr>
      <t>eps</t>
    </r>
    <r>
      <rPr>
        <b/>
        <vertAlign val="subscript"/>
        <sz val="14"/>
        <color theme="1"/>
        <rFont val="Aptos Narrow (Corpo)"/>
      </rPr>
      <t>0</t>
    </r>
    <r>
      <rPr>
        <sz val="14"/>
        <color theme="1"/>
        <rFont val="Aptos Narrow"/>
        <scheme val="minor"/>
      </rPr>
      <t xml:space="preserve"> [ F m</t>
    </r>
    <r>
      <rPr>
        <vertAlign val="superscript"/>
        <sz val="14"/>
        <color theme="1"/>
        <rFont val="Aptos Narrow (Body)"/>
      </rPr>
      <t>-1</t>
    </r>
    <r>
      <rPr>
        <sz val="14"/>
        <color theme="1"/>
        <rFont val="Aptos Narrow"/>
        <scheme val="minor"/>
      </rPr>
      <t>]</t>
    </r>
  </si>
  <si>
    <t>TABLE OF CONVERSIONS (DISTANCE)</t>
  </si>
  <si>
    <t>a0</t>
  </si>
  <si>
    <t>angstrom</t>
  </si>
  <si>
    <t>m</t>
  </si>
  <si>
    <t xml:space="preserve">                      out
in</t>
  </si>
  <si>
    <t>Rotational Symmetry Number</t>
  </si>
  <si>
    <t>Temperature [ K ]</t>
  </si>
  <si>
    <t>Pressure [Atm]</t>
  </si>
  <si>
    <t>Molecular Mass [ amu ]</t>
  </si>
  <si>
    <t xml:space="preserve">Principal Moments of Inertia </t>
  </si>
  <si>
    <t>Rotational Constants [ GHZ ]</t>
  </si>
  <si>
    <r>
      <t>[ kg Å</t>
    </r>
    <r>
      <rPr>
        <b/>
        <vertAlign val="superscript"/>
        <sz val="14"/>
        <color theme="1"/>
        <rFont val="Aptos Narrow (Body)"/>
      </rPr>
      <t>2</t>
    </r>
    <r>
      <rPr>
        <b/>
        <sz val="14"/>
        <color theme="1"/>
        <rFont val="Aptos Narrow"/>
        <family val="2"/>
        <scheme val="minor"/>
      </rPr>
      <t xml:space="preserve"> ]</t>
    </r>
  </si>
  <si>
    <r>
      <t>[ kg m</t>
    </r>
    <r>
      <rPr>
        <b/>
        <vertAlign val="superscript"/>
        <sz val="14"/>
        <color theme="1"/>
        <rFont val="Aptos Narrow (Body)"/>
      </rPr>
      <t>2</t>
    </r>
    <r>
      <rPr>
        <b/>
        <sz val="14"/>
        <color theme="1"/>
        <rFont val="Aptos Narrow"/>
        <family val="2"/>
        <scheme val="minor"/>
      </rPr>
      <t xml:space="preserve"> ]</t>
    </r>
  </si>
  <si>
    <r>
      <t>[ amu Å</t>
    </r>
    <r>
      <rPr>
        <b/>
        <vertAlign val="superscript"/>
        <sz val="14"/>
        <color theme="1"/>
        <rFont val="Aptos Narrow (Body)"/>
      </rPr>
      <t xml:space="preserve">2 </t>
    </r>
    <r>
      <rPr>
        <b/>
        <sz val="14"/>
        <color theme="1"/>
        <rFont val="Aptos Narrow"/>
        <family val="2"/>
        <scheme val="minor"/>
      </rPr>
      <t>]</t>
    </r>
  </si>
  <si>
    <t xml:space="preserve">                   out
in</t>
  </si>
  <si>
    <r>
      <t>m</t>
    </r>
    <r>
      <rPr>
        <b/>
        <vertAlign val="subscript"/>
        <sz val="14"/>
        <color theme="1"/>
        <rFont val="Aptos Narrow (Body)"/>
      </rPr>
      <t>e</t>
    </r>
  </si>
  <si>
    <t>TABLE OF CONVERSIONS (MASS)</t>
  </si>
  <si>
    <t>kg</t>
  </si>
  <si>
    <t>x</t>
  </si>
  <si>
    <t>y</t>
  </si>
  <si>
    <t>z</t>
  </si>
  <si>
    <t>Zero-point Correction [ Hartree/Particle ]</t>
  </si>
  <si>
    <t>Thermal Correction to Energy [ Hartree/Particle ]</t>
  </si>
  <si>
    <t>Thermal Correction to Enthalpy [ Hartree/Particle ]</t>
  </si>
  <si>
    <t>Thermal Correction to Gibbs Free Energy [ Hartree/Particle ]</t>
  </si>
  <si>
    <t>E (Thermal) [KCal/Mol]</t>
  </si>
  <si>
    <t>S [Cal/Mol-Kelvin]</t>
  </si>
  <si>
    <t>Total</t>
  </si>
  <si>
    <t>Electronic</t>
  </si>
  <si>
    <t>Translational</t>
  </si>
  <si>
    <t>Rotational</t>
  </si>
  <si>
    <t>Vibrational</t>
  </si>
  <si>
    <t>Q</t>
  </si>
  <si>
    <t>Log10(Q)</t>
  </si>
  <si>
    <t>Ln(Q)</t>
  </si>
  <si>
    <t>Total Bot</t>
  </si>
  <si>
    <t>Total V=0</t>
  </si>
  <si>
    <t>Vib (Bot)</t>
  </si>
  <si>
    <t>Vib (V=0)</t>
  </si>
  <si>
    <t>INTERNAL ENERGY, HEAT CAPACITY,ENTROPY</t>
  </si>
  <si>
    <r>
      <t>C</t>
    </r>
    <r>
      <rPr>
        <b/>
        <vertAlign val="subscript"/>
        <sz val="14"/>
        <rFont val="Calibri"/>
        <family val="2"/>
      </rPr>
      <t>V</t>
    </r>
    <r>
      <rPr>
        <b/>
        <sz val="14"/>
        <rFont val="Calibri"/>
        <family val="2"/>
      </rPr>
      <t xml:space="preserve"> [Cal/Mol-Kelvin]</t>
    </r>
  </si>
  <si>
    <t>MOLECULAR PARTITION FUNCTION</t>
  </si>
  <si>
    <t>Vibrational Temperatures
 [ K ]</t>
  </si>
  <si>
    <t>Harmonic 
Frequencies 
[ cm^-1 ]</t>
  </si>
  <si>
    <t>Zero-point Vibrational Energy</t>
  </si>
  <si>
    <t xml:space="preserve"> [ J/mol ]</t>
  </si>
  <si>
    <t xml:space="preserve"> [ Kcal/mol ]</t>
  </si>
  <si>
    <t>Hartree</t>
  </si>
  <si>
    <t xml:space="preserve"> from theory...</t>
  </si>
  <si>
    <r>
      <t>Volume [ m</t>
    </r>
    <r>
      <rPr>
        <b/>
        <vertAlign val="superscript"/>
        <sz val="14"/>
        <color rgb="FFFF0000"/>
        <rFont val="Aptos Narrow (Body)"/>
      </rPr>
      <t>3</t>
    </r>
    <r>
      <rPr>
        <b/>
        <sz val="14"/>
        <color rgb="FFFF0000"/>
        <rFont val="Aptos Narrow (Body)"/>
      </rPr>
      <t xml:space="preserve"> ]</t>
    </r>
  </si>
  <si>
    <t>Temperatures[K]</t>
  </si>
  <si>
    <t>Harmonic 
Frequencies 
[ Hz ]</t>
  </si>
  <si>
    <t>Reduced Masses [ amu ]</t>
  </si>
  <si>
    <r>
      <rPr>
        <b/>
        <sz val="14"/>
        <color theme="1"/>
        <rFont val="Aptos Narrow"/>
        <scheme val="minor"/>
      </rPr>
      <t>Tamb</t>
    </r>
    <r>
      <rPr>
        <sz val="14"/>
        <color theme="1"/>
        <rFont val="Aptos Narrow"/>
        <scheme val="minor"/>
      </rPr>
      <t xml:space="preserve"> [ K ]</t>
    </r>
  </si>
  <si>
    <r>
      <rPr>
        <b/>
        <sz val="14"/>
        <color theme="1"/>
        <rFont val="Aptos Narrow"/>
        <scheme val="minor"/>
      </rPr>
      <t xml:space="preserve">P </t>
    </r>
    <r>
      <rPr>
        <sz val="14"/>
        <color theme="1"/>
        <rFont val="Aptos Narrow"/>
        <scheme val="minor"/>
      </rPr>
      <t>[ atm ]</t>
    </r>
  </si>
  <si>
    <r>
      <rPr>
        <b/>
        <sz val="14"/>
        <color theme="1"/>
        <rFont val="Aptos Narrow"/>
        <scheme val="minor"/>
      </rPr>
      <t>c</t>
    </r>
    <r>
      <rPr>
        <sz val="14"/>
        <color theme="1"/>
        <rFont val="Aptos Narrow"/>
        <scheme val="minor"/>
      </rPr>
      <t xml:space="preserve"> [ m s</t>
    </r>
    <r>
      <rPr>
        <vertAlign val="superscript"/>
        <sz val="14"/>
        <color theme="1"/>
        <rFont val="Aptos Narrow (Body)"/>
      </rPr>
      <t>-1</t>
    </r>
    <r>
      <rPr>
        <sz val="14"/>
        <color theme="1"/>
        <rFont val="Aptos Narrow"/>
        <scheme val="minor"/>
      </rPr>
      <t xml:space="preserve"> ]</t>
    </r>
  </si>
  <si>
    <r>
      <rPr>
        <b/>
        <sz val="14"/>
        <color theme="1"/>
        <rFont val="Aptos Narrow"/>
        <scheme val="minor"/>
      </rPr>
      <t xml:space="preserve">P </t>
    </r>
    <r>
      <rPr>
        <sz val="14"/>
        <color theme="1"/>
        <rFont val="Aptos Narrow"/>
        <scheme val="minor"/>
      </rPr>
      <t>[ Pa ]</t>
    </r>
  </si>
  <si>
    <t>1. TRANSLATIONAL P.F.</t>
  </si>
  <si>
    <r>
      <rPr>
        <b/>
        <sz val="14"/>
        <color theme="1"/>
        <rFont val="Aptos Narrow"/>
        <scheme val="minor"/>
      </rPr>
      <t>h</t>
    </r>
    <r>
      <rPr>
        <sz val="14"/>
        <color theme="1"/>
        <rFont val="Aptos Narrow"/>
        <scheme val="minor"/>
      </rPr>
      <t xml:space="preserve"> [ J s ]</t>
    </r>
  </si>
  <si>
    <r>
      <t>Q</t>
    </r>
    <r>
      <rPr>
        <b/>
        <vertAlign val="subscript"/>
        <sz val="14"/>
        <color rgb="FFFF0000"/>
        <rFont val="Aptos Narrow (Body)"/>
      </rPr>
      <t>transl</t>
    </r>
  </si>
  <si>
    <t>u</t>
  </si>
  <si>
    <t>Theoretical</t>
  </si>
  <si>
    <t>Gaussian</t>
  </si>
  <si>
    <t>P. Error</t>
  </si>
  <si>
    <t>298.15 K</t>
  </si>
  <si>
    <t>COMPARISON AT 298.15 K (Gaussian output is actually set at 298.15 K)</t>
  </si>
  <si>
    <t>2. VIBRATIONAL  P.F.</t>
  </si>
  <si>
    <t xml:space="preserve">                               i
T[K]</t>
  </si>
  <si>
    <t>Harmonic Freq.</t>
  </si>
  <si>
    <r>
      <t>[ cm</t>
    </r>
    <r>
      <rPr>
        <b/>
        <vertAlign val="superscript"/>
        <sz val="14"/>
        <color rgb="FFFF0000"/>
        <rFont val="Aptos Narrow (Body)"/>
      </rPr>
      <t>-1</t>
    </r>
    <r>
      <rPr>
        <b/>
        <sz val="14"/>
        <color rgb="FFFF0000"/>
        <rFont val="Aptos Narrow (Body)"/>
      </rPr>
      <t xml:space="preserve"> ]</t>
    </r>
  </si>
  <si>
    <t>[ Hz ]</t>
  </si>
  <si>
    <r>
      <t>Q</t>
    </r>
    <r>
      <rPr>
        <b/>
        <vertAlign val="subscript"/>
        <sz val="20"/>
        <color rgb="FFFF0000"/>
        <rFont val="Aptos Narrow (Body)"/>
      </rPr>
      <t>i,vib</t>
    </r>
  </si>
  <si>
    <r>
      <t>Q</t>
    </r>
    <r>
      <rPr>
        <b/>
        <vertAlign val="subscript"/>
        <sz val="20"/>
        <color theme="1"/>
        <rFont val="Aptos Narrow (Body)"/>
      </rPr>
      <t>tot</t>
    </r>
  </si>
  <si>
    <t>3. ROTATIONAL P.F.</t>
  </si>
  <si>
    <t>4. ELECTRONIC P.F.</t>
  </si>
  <si>
    <t>Energies SCF [ Hartree ]</t>
  </si>
  <si>
    <r>
      <t>Q</t>
    </r>
    <r>
      <rPr>
        <b/>
        <vertAlign val="subscript"/>
        <sz val="14"/>
        <color rgb="FFFF0000"/>
        <rFont val="Aptos Narrow (Body)"/>
      </rPr>
      <t>el</t>
    </r>
  </si>
  <si>
    <t xml:space="preserve">Energies SCF </t>
  </si>
  <si>
    <t>[ Hartree ]</t>
  </si>
  <si>
    <t>final</t>
  </si>
  <si>
    <t>[ J ]</t>
  </si>
  <si>
    <r>
      <t>E</t>
    </r>
    <r>
      <rPr>
        <b/>
        <vertAlign val="subscript"/>
        <sz val="14"/>
        <color rgb="FFFF0000"/>
        <rFont val="Aptos Narrow (Body)"/>
      </rPr>
      <t>el</t>
    </r>
    <r>
      <rPr>
        <b/>
        <sz val="14"/>
        <color rgb="FFFF0000"/>
        <rFont val="Aptos Narrow"/>
        <scheme val="minor"/>
      </rPr>
      <t xml:space="preserve"> [ J ]</t>
    </r>
  </si>
  <si>
    <t>5. HEAT CAPACITY</t>
  </si>
  <si>
    <t>TRANS.</t>
  </si>
  <si>
    <t>VIBR.</t>
  </si>
  <si>
    <t>ROT.</t>
  </si>
  <si>
    <t>ELECT.</t>
  </si>
  <si>
    <t>CONTRIBUTES</t>
  </si>
  <si>
    <t>Vibration</t>
  </si>
  <si>
    <t>Rotation</t>
  </si>
  <si>
    <t>Electron</t>
  </si>
  <si>
    <t xml:space="preserve">Translation </t>
  </si>
  <si>
    <t>[ J mol-1 K -1 ]</t>
  </si>
  <si>
    <t>TOT</t>
  </si>
  <si>
    <t>[Cal/Mol-Kelvin]</t>
  </si>
  <si>
    <t>Entropy</t>
  </si>
  <si>
    <t>Heat Capacity (V=const)</t>
  </si>
  <si>
    <t>Transl. Factor (A)</t>
  </si>
  <si>
    <t>ϑrot</t>
  </si>
  <si>
    <t>Vtilde</t>
  </si>
  <si>
    <t>6. ENTROPY</t>
  </si>
  <si>
    <t>Theoretical 𝜎</t>
  </si>
  <si>
    <t>EXPERIMENTAL DATA - CO</t>
  </si>
  <si>
    <t>THEORETICAL DATA - CO</t>
  </si>
  <si>
    <t>Rotational Temperature [ K ]</t>
  </si>
  <si>
    <r>
      <t>Q</t>
    </r>
    <r>
      <rPr>
        <b/>
        <vertAlign val="subscript"/>
        <sz val="14"/>
        <color rgb="FFFF0000"/>
        <rFont val="Aptos Narrow (Body)"/>
      </rPr>
      <t>rot</t>
    </r>
    <r>
      <rPr>
        <b/>
        <sz val="14"/>
        <color rgb="FFFF0000"/>
        <rFont val="Aptos Narrow"/>
        <scheme val="minor"/>
      </rPr>
      <t>(1) and 𝜎=1</t>
    </r>
  </si>
  <si>
    <r>
      <t>r</t>
    </r>
    <r>
      <rPr>
        <b/>
        <vertAlign val="subscript"/>
        <sz val="14"/>
        <color rgb="FFFF0000"/>
        <rFont val="Aptos Narrow (Body)"/>
      </rPr>
      <t>e</t>
    </r>
    <r>
      <rPr>
        <b/>
        <sz val="14"/>
        <color rgb="FFFF0000"/>
        <rFont val="Aptos Narrow"/>
        <scheme val="minor"/>
      </rPr>
      <t xml:space="preserve"> [m]</t>
    </r>
  </si>
  <si>
    <r>
      <t>m</t>
    </r>
    <r>
      <rPr>
        <b/>
        <vertAlign val="subscript"/>
        <sz val="14"/>
        <color rgb="FFFF0000"/>
        <rFont val="Aptos Narrow (Body)"/>
      </rPr>
      <t>b</t>
    </r>
    <r>
      <rPr>
        <b/>
        <sz val="14"/>
        <color rgb="FFFF0000"/>
        <rFont val="Aptos Narrow"/>
        <scheme val="minor"/>
      </rPr>
      <t xml:space="preserve"> [kg]</t>
    </r>
  </si>
  <si>
    <r>
      <t>m</t>
    </r>
    <r>
      <rPr>
        <b/>
        <vertAlign val="subscript"/>
        <sz val="14"/>
        <color rgb="FFFF0000"/>
        <rFont val="Aptos Narrow (Body)"/>
      </rPr>
      <t>a</t>
    </r>
    <r>
      <rPr>
        <b/>
        <sz val="14"/>
        <color rgb="FFFF0000"/>
        <rFont val="Aptos Narrow"/>
        <family val="2"/>
        <scheme val="minor"/>
      </rPr>
      <t xml:space="preserve"> [kg]</t>
    </r>
  </si>
  <si>
    <r>
      <t>Moment of Inertia [kg m</t>
    </r>
    <r>
      <rPr>
        <b/>
        <vertAlign val="superscript"/>
        <sz val="14"/>
        <color rgb="FFFF0000"/>
        <rFont val="Aptos Narrow (Body)"/>
      </rPr>
      <t>2</t>
    </r>
    <r>
      <rPr>
        <b/>
        <sz val="14"/>
        <color rgb="FFFF0000"/>
        <rFont val="Aptos Narrow"/>
        <scheme val="minor"/>
      </rPr>
      <t>]</t>
    </r>
  </si>
  <si>
    <t>𝜎=1 and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</si>
</sst>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0"/>
    <numFmt numFmtId="165" formatCode="#,##0.0"/>
    <numFmt numFmtId="166" formatCode="#,##0.00000"/>
    <numFmt numFmtId="167" formatCode="0.000E+00"/>
  </numFmts>
  <fonts count="43" x14ac:knownFonts="1">
    <font>
      <sz val="12"/>
      <color theme="1"/>
      <name val="Aptos Narrow"/>
      <family val="2"/>
      <scheme val="minor"/>
    </font>
    <font>
      <sz val="14"/>
      <color rgb="FF202122"/>
      <name val="Arial"/>
      <family val="2"/>
    </font>
    <font>
      <sz val="14"/>
      <color theme="1"/>
      <name val="Aptos Narrow"/>
      <family val="2"/>
      <scheme val="minor"/>
    </font>
    <font>
      <sz val="14"/>
      <color theme="1"/>
      <name val="Aptos Narrow (Corpo)"/>
    </font>
    <font>
      <sz val="12"/>
      <color theme="1"/>
      <name val="Aptos Narrow"/>
      <scheme val="minor"/>
    </font>
    <font>
      <sz val="14"/>
      <color theme="1"/>
      <name val="Aptos Narrow"/>
      <scheme val="minor"/>
    </font>
    <font>
      <vertAlign val="superscript"/>
      <sz val="14"/>
      <color theme="1"/>
      <name val="Aptos Narrow"/>
      <scheme val="minor"/>
    </font>
    <font>
      <sz val="14"/>
      <color rgb="FF202122"/>
      <name val="Aptos Narrow"/>
      <scheme val="minor"/>
    </font>
    <font>
      <vertAlign val="subscript"/>
      <sz val="14"/>
      <color rgb="FF202122"/>
      <name val="Aptos Narrow"/>
      <scheme val="minor"/>
    </font>
    <font>
      <sz val="14"/>
      <color rgb="FF202122"/>
      <name val="Aptos Narrow (Corpo)"/>
    </font>
    <font>
      <vertAlign val="superscript"/>
      <sz val="14"/>
      <color rgb="FF202122"/>
      <name val="Aptos Narrow"/>
      <scheme val="minor"/>
    </font>
    <font>
      <b/>
      <sz val="14"/>
      <color theme="1"/>
      <name val="Aptos Narrow"/>
      <scheme val="minor"/>
    </font>
    <font>
      <b/>
      <vertAlign val="subscript"/>
      <sz val="14"/>
      <color theme="1"/>
      <name val="Aptos Narrow"/>
      <scheme val="minor"/>
    </font>
    <font>
      <b/>
      <sz val="14"/>
      <color rgb="FF202122"/>
      <name val="Aptos Narrow"/>
      <scheme val="minor"/>
    </font>
    <font>
      <b/>
      <vertAlign val="subscript"/>
      <sz val="14"/>
      <color rgb="FF202122"/>
      <name val="Aptos Narrow"/>
      <scheme val="minor"/>
    </font>
    <font>
      <b/>
      <vertAlign val="subscript"/>
      <sz val="14"/>
      <color theme="1"/>
      <name val="Aptos Narrow (Corpo)"/>
    </font>
    <font>
      <b/>
      <sz val="12"/>
      <color theme="1"/>
      <name val="Aptos Narrow"/>
      <scheme val="minor"/>
    </font>
    <font>
      <b/>
      <vertAlign val="superscript"/>
      <sz val="14"/>
      <color theme="1"/>
      <name val="Aptos Narrow"/>
      <scheme val="minor"/>
    </font>
    <font>
      <sz val="14"/>
      <color rgb="FF000000"/>
      <name val="Aptos Narrow"/>
      <scheme val="minor"/>
    </font>
    <font>
      <b/>
      <sz val="16"/>
      <color theme="1"/>
      <name val="Aptos Narrow"/>
      <scheme val="minor"/>
    </font>
    <font>
      <vertAlign val="superscript"/>
      <sz val="14"/>
      <color theme="1"/>
      <name val="Aptos Narrow (Body)"/>
    </font>
    <font>
      <b/>
      <sz val="10"/>
      <color theme="1"/>
      <name val="Aptos Narrow (Body)"/>
    </font>
    <font>
      <b/>
      <sz val="14"/>
      <color theme="1"/>
      <name val="Aptos Narrow (Body)"/>
    </font>
    <font>
      <b/>
      <sz val="16"/>
      <color theme="1"/>
      <name val="Aptos Narrow (Body)"/>
    </font>
    <font>
      <b/>
      <sz val="14"/>
      <color rgb="FFFF0000"/>
      <name val="Aptos Narrow"/>
      <scheme val="minor"/>
    </font>
    <font>
      <b/>
      <sz val="14"/>
      <color theme="1"/>
      <name val="Aptos Narrow"/>
      <family val="2"/>
      <scheme val="minor"/>
    </font>
    <font>
      <b/>
      <vertAlign val="superscript"/>
      <sz val="14"/>
      <color theme="1"/>
      <name val="Aptos Narrow (Body)"/>
    </font>
    <font>
      <b/>
      <vertAlign val="subscript"/>
      <sz val="14"/>
      <color theme="1"/>
      <name val="Aptos Narrow (Body)"/>
    </font>
    <font>
      <b/>
      <sz val="14"/>
      <color rgb="FFFF0000"/>
      <name val="Aptos Narrow (Body)"/>
    </font>
    <font>
      <b/>
      <sz val="14"/>
      <name val="Calibri"/>
      <family val="2"/>
    </font>
    <font>
      <b/>
      <vertAlign val="subscript"/>
      <sz val="14"/>
      <name val="Calibri"/>
      <family val="2"/>
    </font>
    <font>
      <b/>
      <sz val="14"/>
      <color rgb="FFFF0000"/>
      <name val="Calibri"/>
      <family val="2"/>
    </font>
    <font>
      <b/>
      <sz val="20"/>
      <color theme="1"/>
      <name val="Aptos Narrow (Body)"/>
    </font>
    <font>
      <sz val="20"/>
      <color theme="1"/>
      <name val="Aptos Narrow"/>
      <family val="2"/>
      <scheme val="minor"/>
    </font>
    <font>
      <b/>
      <sz val="14"/>
      <color rgb="FFFF0000"/>
      <name val="Aptos Narrow"/>
      <family val="2"/>
      <scheme val="minor"/>
    </font>
    <font>
      <b/>
      <vertAlign val="superscript"/>
      <sz val="14"/>
      <color rgb="FFFF0000"/>
      <name val="Aptos Narrow (Body)"/>
    </font>
    <font>
      <b/>
      <vertAlign val="subscript"/>
      <sz val="14"/>
      <color rgb="FFFF0000"/>
      <name val="Aptos Narrow (Body)"/>
    </font>
    <font>
      <b/>
      <sz val="20"/>
      <color rgb="FFFF0000"/>
      <name val="Aptos Narrow (Body)"/>
    </font>
    <font>
      <b/>
      <vertAlign val="subscript"/>
      <sz val="20"/>
      <color rgb="FFFF0000"/>
      <name val="Aptos Narrow (Body)"/>
    </font>
    <font>
      <b/>
      <sz val="20"/>
      <color theme="1"/>
      <name val="Aptos Narrow"/>
      <scheme val="minor"/>
    </font>
    <font>
      <b/>
      <vertAlign val="subscript"/>
      <sz val="20"/>
      <color theme="1"/>
      <name val="Aptos Narrow (Body)"/>
    </font>
    <font>
      <sz val="14"/>
      <color theme="1"/>
      <name val="Calibri"/>
      <family val="2"/>
    </font>
    <font>
      <b/>
      <sz val="22"/>
      <color theme="1"/>
      <name val="Aptos Narrow"/>
      <scheme val="minor"/>
    </font>
  </fonts>
  <fills count="9">
    <fill>
      <patternFill patternType="none"/>
    </fill>
    <fill>
      <patternFill patternType="gray125"/>
    </fill>
    <fill>
      <patternFill patternType="solid">
        <fgColor theme="5" tint="0.39997558519241921"/>
        <bgColor indexed="64"/>
      </patternFill>
    </fill>
    <fill>
      <patternFill patternType="solid">
        <fgColor theme="3" tint="0.499984740745262"/>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rgb="FFFFC000"/>
        <bgColor indexed="64"/>
      </patternFill>
    </fill>
    <fill>
      <patternFill patternType="solid">
        <fgColor theme="1"/>
        <bgColor indexed="64"/>
      </patternFill>
    </fill>
    <fill>
      <patternFill patternType="solid">
        <fgColor rgb="FFE97674"/>
        <bgColor indexed="64"/>
      </patternFill>
    </fill>
  </fills>
  <borders count="55">
    <border>
      <left/>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diagonalDown="1">
      <left style="medium">
        <color indexed="64"/>
      </left>
      <right style="thin">
        <color indexed="64"/>
      </right>
      <top style="thin">
        <color indexed="64"/>
      </top>
      <bottom style="thin">
        <color indexed="64"/>
      </bottom>
      <diagonal style="medium">
        <color indexed="64"/>
      </diagonal>
    </border>
    <border>
      <left/>
      <right/>
      <top/>
      <bottom style="double">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bottom style="thin">
        <color indexed="64"/>
      </bottom>
      <diagonal/>
    </border>
    <border>
      <left/>
      <right/>
      <top/>
      <bottom style="thin">
        <color indexed="64"/>
      </bottom>
      <diagonal/>
    </border>
    <border>
      <left/>
      <right/>
      <top style="thin">
        <color indexed="64"/>
      </top>
      <bottom style="medium">
        <color indexed="64"/>
      </bottom>
      <diagonal/>
    </border>
    <border>
      <left style="medium">
        <color indexed="64"/>
      </left>
      <right/>
      <top/>
      <bottom style="thin">
        <color indexed="64"/>
      </bottom>
      <diagonal/>
    </border>
    <border diagonalDown="1">
      <left style="medium">
        <color indexed="64"/>
      </left>
      <right/>
      <top style="medium">
        <color indexed="64"/>
      </top>
      <bottom style="medium">
        <color indexed="64"/>
      </bottom>
      <diagonal style="thin">
        <color indexed="64"/>
      </diagonal>
    </border>
    <border>
      <left style="thin">
        <color indexed="64"/>
      </left>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s>
  <cellStyleXfs count="1">
    <xf numFmtId="0" fontId="0" fillId="0" borderId="0"/>
  </cellStyleXfs>
  <cellXfs count="261">
    <xf numFmtId="0" fontId="0" fillId="0" borderId="0" xfId="0"/>
    <xf numFmtId="0" fontId="2" fillId="0" borderId="0" xfId="0" applyFont="1"/>
    <xf numFmtId="0" fontId="4" fillId="0" borderId="0" xfId="0" applyFont="1"/>
    <xf numFmtId="0" fontId="5" fillId="0" borderId="0" xfId="0" applyFont="1"/>
    <xf numFmtId="11" fontId="2" fillId="0" borderId="0" xfId="0" applyNumberFormat="1" applyFont="1"/>
    <xf numFmtId="0" fontId="11" fillId="3" borderId="7" xfId="0" applyFont="1" applyFill="1" applyBorder="1"/>
    <xf numFmtId="0" fontId="17" fillId="3" borderId="7" xfId="0" applyFont="1" applyFill="1" applyBorder="1"/>
    <xf numFmtId="0" fontId="5" fillId="3" borderId="7" xfId="0" applyFont="1" applyFill="1" applyBorder="1"/>
    <xf numFmtId="3" fontId="5" fillId="3" borderId="7" xfId="0" applyNumberFormat="1" applyFont="1" applyFill="1" applyBorder="1"/>
    <xf numFmtId="11" fontId="5" fillId="3" borderId="7" xfId="0" applyNumberFormat="1" applyFont="1" applyFill="1" applyBorder="1"/>
    <xf numFmtId="0" fontId="19" fillId="3" borderId="1" xfId="0" applyFont="1" applyFill="1" applyBorder="1"/>
    <xf numFmtId="0" fontId="11" fillId="3" borderId="11" xfId="0" applyFont="1" applyFill="1" applyBorder="1"/>
    <xf numFmtId="0" fontId="4" fillId="3" borderId="2" xfId="0" applyFont="1" applyFill="1" applyBorder="1"/>
    <xf numFmtId="0" fontId="11" fillId="3" borderId="3" xfId="0" applyFont="1" applyFill="1" applyBorder="1"/>
    <xf numFmtId="0" fontId="11" fillId="3" borderId="4" xfId="0" applyFont="1" applyFill="1" applyBorder="1"/>
    <xf numFmtId="11" fontId="5" fillId="3" borderId="4" xfId="0" applyNumberFormat="1" applyFont="1" applyFill="1" applyBorder="1"/>
    <xf numFmtId="11" fontId="18" fillId="3" borderId="4" xfId="0" applyNumberFormat="1" applyFont="1" applyFill="1" applyBorder="1"/>
    <xf numFmtId="0" fontId="17" fillId="3" borderId="3" xfId="0" applyFont="1" applyFill="1" applyBorder="1"/>
    <xf numFmtId="0" fontId="11" fillId="3" borderId="5" xfId="0" applyFont="1" applyFill="1" applyBorder="1"/>
    <xf numFmtId="11" fontId="5" fillId="3" borderId="12" xfId="0" applyNumberFormat="1" applyFont="1" applyFill="1" applyBorder="1"/>
    <xf numFmtId="0" fontId="5" fillId="3" borderId="12" xfId="0" applyFont="1" applyFill="1" applyBorder="1"/>
    <xf numFmtId="0" fontId="5" fillId="3" borderId="6" xfId="0" applyFont="1" applyFill="1" applyBorder="1"/>
    <xf numFmtId="165" fontId="5" fillId="3" borderId="7" xfId="0" applyNumberFormat="1" applyFont="1" applyFill="1" applyBorder="1"/>
    <xf numFmtId="0" fontId="21" fillId="3" borderId="15" xfId="0" applyFont="1" applyFill="1" applyBorder="1" applyAlignment="1">
      <alignment wrapText="1"/>
    </xf>
    <xf numFmtId="11" fontId="0" fillId="0" borderId="0" xfId="0" applyNumberFormat="1"/>
    <xf numFmtId="0" fontId="19" fillId="4" borderId="0" xfId="0" applyFont="1" applyFill="1"/>
    <xf numFmtId="0" fontId="11" fillId="4" borderId="7" xfId="0" applyFont="1" applyFill="1" applyBorder="1"/>
    <xf numFmtId="0" fontId="2" fillId="4" borderId="7" xfId="0" applyFont="1" applyFill="1" applyBorder="1"/>
    <xf numFmtId="166" fontId="2" fillId="4" borderId="7" xfId="0" applyNumberFormat="1" applyFont="1" applyFill="1" applyBorder="1"/>
    <xf numFmtId="0" fontId="19" fillId="4" borderId="1" xfId="0" applyFont="1" applyFill="1" applyBorder="1"/>
    <xf numFmtId="0" fontId="2" fillId="4" borderId="11" xfId="0" applyFont="1" applyFill="1" applyBorder="1"/>
    <xf numFmtId="0" fontId="2" fillId="4" borderId="2" xfId="0" applyFont="1" applyFill="1" applyBorder="1"/>
    <xf numFmtId="0" fontId="11" fillId="4" borderId="4" xfId="0" applyFont="1" applyFill="1" applyBorder="1"/>
    <xf numFmtId="0" fontId="11" fillId="4" borderId="3" xfId="0" applyFont="1" applyFill="1" applyBorder="1"/>
    <xf numFmtId="11" fontId="2" fillId="4" borderId="4" xfId="0" applyNumberFormat="1" applyFont="1" applyFill="1" applyBorder="1"/>
    <xf numFmtId="0" fontId="11" fillId="4" borderId="5" xfId="0" applyFont="1" applyFill="1" applyBorder="1"/>
    <xf numFmtId="11" fontId="2" fillId="4" borderId="12" xfId="0" applyNumberFormat="1" applyFont="1" applyFill="1" applyBorder="1"/>
    <xf numFmtId="0" fontId="2" fillId="4" borderId="6" xfId="0" applyFont="1" applyFill="1" applyBorder="1"/>
    <xf numFmtId="0" fontId="2" fillId="0" borderId="10" xfId="0" applyFont="1" applyBorder="1" applyAlignment="1">
      <alignment horizontal="center"/>
    </xf>
    <xf numFmtId="0" fontId="24" fillId="0" borderId="0" xfId="0" applyFont="1"/>
    <xf numFmtId="0" fontId="21" fillId="4" borderId="15" xfId="0" applyFont="1" applyFill="1" applyBorder="1" applyAlignment="1">
      <alignment wrapText="1"/>
    </xf>
    <xf numFmtId="0" fontId="19" fillId="5" borderId="1" xfId="0" applyFont="1" applyFill="1" applyBorder="1"/>
    <xf numFmtId="0" fontId="2" fillId="5" borderId="11" xfId="0" applyFont="1" applyFill="1" applyBorder="1"/>
    <xf numFmtId="0" fontId="2" fillId="5" borderId="2" xfId="0" applyFont="1" applyFill="1" applyBorder="1"/>
    <xf numFmtId="0" fontId="21" fillId="5" borderId="15" xfId="0" applyFont="1" applyFill="1" applyBorder="1" applyAlignment="1">
      <alignment wrapText="1"/>
    </xf>
    <xf numFmtId="0" fontId="11" fillId="5" borderId="7" xfId="0" applyFont="1" applyFill="1" applyBorder="1"/>
    <xf numFmtId="0" fontId="11" fillId="5" borderId="4" xfId="0" applyFont="1" applyFill="1" applyBorder="1"/>
    <xf numFmtId="0" fontId="11" fillId="5" borderId="3" xfId="0" applyFont="1" applyFill="1" applyBorder="1"/>
    <xf numFmtId="0" fontId="2" fillId="5" borderId="7" xfId="0" applyFont="1" applyFill="1" applyBorder="1"/>
    <xf numFmtId="11" fontId="2" fillId="5" borderId="7" xfId="0" applyNumberFormat="1" applyFont="1" applyFill="1" applyBorder="1"/>
    <xf numFmtId="11" fontId="2" fillId="5" borderId="4" xfId="0" applyNumberFormat="1" applyFont="1" applyFill="1" applyBorder="1"/>
    <xf numFmtId="0" fontId="11" fillId="5" borderId="5" xfId="0" applyFont="1" applyFill="1" applyBorder="1"/>
    <xf numFmtId="11" fontId="2" fillId="5" borderId="12" xfId="0" applyNumberFormat="1" applyFont="1" applyFill="1" applyBorder="1"/>
    <xf numFmtId="0" fontId="2" fillId="5" borderId="6" xfId="0" applyFont="1" applyFill="1" applyBorder="1"/>
    <xf numFmtId="167" fontId="5" fillId="3" borderId="7" xfId="0" applyNumberFormat="1" applyFont="1" applyFill="1" applyBorder="1"/>
    <xf numFmtId="0" fontId="25" fillId="0" borderId="17" xfId="0" applyFont="1" applyBorder="1"/>
    <xf numFmtId="0" fontId="25" fillId="0" borderId="20" xfId="0" applyFont="1" applyBorder="1"/>
    <xf numFmtId="0" fontId="25" fillId="0" borderId="22" xfId="0" applyFont="1" applyBorder="1"/>
    <xf numFmtId="0" fontId="2" fillId="0" borderId="30" xfId="0" applyFont="1" applyBorder="1"/>
    <xf numFmtId="0" fontId="2" fillId="0" borderId="31" xfId="0" applyFont="1" applyBorder="1"/>
    <xf numFmtId="0" fontId="2" fillId="0" borderId="32" xfId="0" applyFont="1" applyBorder="1"/>
    <xf numFmtId="0" fontId="2" fillId="0" borderId="34" xfId="0" applyFont="1" applyBorder="1"/>
    <xf numFmtId="0" fontId="2" fillId="0" borderId="10" xfId="0" applyFont="1" applyBorder="1"/>
    <xf numFmtId="0" fontId="2" fillId="6" borderId="26" xfId="0" applyFont="1" applyFill="1" applyBorder="1"/>
    <xf numFmtId="0" fontId="2" fillId="6" borderId="18" xfId="0" applyFont="1" applyFill="1" applyBorder="1"/>
    <xf numFmtId="0" fontId="2" fillId="6" borderId="19" xfId="0" applyFont="1" applyFill="1" applyBorder="1"/>
    <xf numFmtId="11" fontId="2" fillId="6" borderId="3" xfId="0" applyNumberFormat="1" applyFont="1" applyFill="1" applyBorder="1"/>
    <xf numFmtId="11" fontId="2" fillId="6" borderId="7" xfId="0" applyNumberFormat="1" applyFont="1" applyFill="1" applyBorder="1"/>
    <xf numFmtId="11" fontId="2" fillId="6" borderId="5" xfId="0" applyNumberFormat="1" applyFont="1" applyFill="1" applyBorder="1"/>
    <xf numFmtId="11" fontId="2" fillId="6" borderId="12" xfId="0" applyNumberFormat="1" applyFont="1" applyFill="1" applyBorder="1"/>
    <xf numFmtId="11" fontId="2" fillId="6" borderId="6" xfId="0" applyNumberFormat="1" applyFont="1" applyFill="1" applyBorder="1"/>
    <xf numFmtId="0" fontId="28" fillId="0" borderId="27" xfId="0" applyFont="1" applyBorder="1"/>
    <xf numFmtId="0" fontId="2" fillId="0" borderId="28" xfId="0" applyFont="1" applyBorder="1"/>
    <xf numFmtId="0" fontId="2" fillId="0" borderId="29" xfId="0" applyFont="1" applyBorder="1"/>
    <xf numFmtId="0" fontId="29" fillId="0" borderId="34" xfId="0" applyFont="1" applyBorder="1" applyAlignment="1">
      <alignment horizontal="center" vertical="top"/>
    </xf>
    <xf numFmtId="0" fontId="29" fillId="0" borderId="35" xfId="0" applyFont="1" applyBorder="1" applyAlignment="1">
      <alignment horizontal="center" vertical="top"/>
    </xf>
    <xf numFmtId="0" fontId="29" fillId="0" borderId="36" xfId="0" applyFont="1" applyBorder="1" applyAlignment="1">
      <alignment horizontal="center" vertical="top"/>
    </xf>
    <xf numFmtId="0" fontId="29" fillId="0" borderId="30" xfId="0" applyFont="1" applyBorder="1" applyAlignment="1">
      <alignment horizontal="center" vertical="top"/>
    </xf>
    <xf numFmtId="0" fontId="29" fillId="0" borderId="31" xfId="0" applyFont="1" applyBorder="1" applyAlignment="1">
      <alignment horizontal="center" vertical="top"/>
    </xf>
    <xf numFmtId="0" fontId="29" fillId="0" borderId="32" xfId="0" applyFont="1" applyBorder="1" applyAlignment="1">
      <alignment horizontal="center" vertical="top"/>
    </xf>
    <xf numFmtId="0" fontId="2" fillId="0" borderId="17" xfId="0" applyFont="1" applyBorder="1"/>
    <xf numFmtId="0" fontId="2" fillId="0" borderId="22" xfId="0" applyFont="1" applyBorder="1"/>
    <xf numFmtId="0" fontId="29" fillId="0" borderId="41" xfId="0" applyFont="1" applyBorder="1" applyAlignment="1">
      <alignment horizontal="center" vertical="top"/>
    </xf>
    <xf numFmtId="0" fontId="29" fillId="0" borderId="42" xfId="0" applyFont="1" applyBorder="1" applyAlignment="1">
      <alignment horizontal="center" vertical="top"/>
    </xf>
    <xf numFmtId="0" fontId="29" fillId="0" borderId="43" xfId="0" applyFont="1" applyBorder="1" applyAlignment="1">
      <alignment horizontal="center" vertical="top"/>
    </xf>
    <xf numFmtId="0" fontId="2" fillId="6" borderId="7" xfId="0" applyFont="1" applyFill="1" applyBorder="1"/>
    <xf numFmtId="0" fontId="2" fillId="6" borderId="4" xfId="0" applyFont="1" applyFill="1" applyBorder="1"/>
    <xf numFmtId="0" fontId="2" fillId="6" borderId="12" xfId="0" applyFont="1" applyFill="1" applyBorder="1"/>
    <xf numFmtId="0" fontId="2" fillId="6" borderId="6" xfId="0" applyFont="1" applyFill="1" applyBorder="1"/>
    <xf numFmtId="0" fontId="2" fillId="7" borderId="17" xfId="0" applyFont="1" applyFill="1" applyBorder="1"/>
    <xf numFmtId="0" fontId="0" fillId="7" borderId="0" xfId="0" applyFill="1"/>
    <xf numFmtId="0" fontId="24" fillId="0" borderId="27" xfId="0" applyFont="1" applyBorder="1"/>
    <xf numFmtId="0" fontId="0" fillId="7" borderId="10" xfId="0" applyFill="1" applyBorder="1"/>
    <xf numFmtId="0" fontId="2" fillId="6" borderId="9" xfId="0" applyFont="1" applyFill="1" applyBorder="1"/>
    <xf numFmtId="0" fontId="2" fillId="6" borderId="44" xfId="0" applyFont="1" applyFill="1" applyBorder="1"/>
    <xf numFmtId="0" fontId="2" fillId="6" borderId="33" xfId="0" applyFont="1" applyFill="1" applyBorder="1"/>
    <xf numFmtId="0" fontId="2" fillId="7" borderId="10" xfId="0" applyFont="1" applyFill="1" applyBorder="1"/>
    <xf numFmtId="0" fontId="0" fillId="0" borderId="28" xfId="0" applyBorder="1"/>
    <xf numFmtId="0" fontId="0" fillId="0" borderId="29" xfId="0" applyBorder="1"/>
    <xf numFmtId="0" fontId="31" fillId="0" borderId="27" xfId="0" applyFont="1" applyBorder="1" applyAlignment="1">
      <alignment horizontal="left" vertical="top"/>
    </xf>
    <xf numFmtId="0" fontId="2" fillId="6" borderId="46" xfId="0" applyFont="1" applyFill="1" applyBorder="1"/>
    <xf numFmtId="0" fontId="16" fillId="0" borderId="0" xfId="0" applyFont="1" applyAlignment="1">
      <alignment horizontal="center"/>
    </xf>
    <xf numFmtId="0" fontId="24" fillId="0" borderId="30" xfId="0" applyFont="1" applyBorder="1" applyAlignment="1">
      <alignment horizontal="center" wrapText="1"/>
    </xf>
    <xf numFmtId="0" fontId="24" fillId="0" borderId="32" xfId="0" applyFont="1" applyBorder="1" applyAlignment="1">
      <alignment horizontal="center" wrapText="1"/>
    </xf>
    <xf numFmtId="0" fontId="29" fillId="0" borderId="0" xfId="0" applyFont="1" applyAlignment="1">
      <alignment horizontal="center" vertical="top"/>
    </xf>
    <xf numFmtId="0" fontId="11" fillId="0" borderId="34" xfId="0" applyFont="1" applyBorder="1"/>
    <xf numFmtId="0" fontId="11" fillId="0" borderId="36" xfId="0" applyFont="1" applyBorder="1"/>
    <xf numFmtId="0" fontId="11" fillId="0" borderId="0" xfId="0" applyFont="1" applyAlignment="1">
      <alignment horizontal="center"/>
    </xf>
    <xf numFmtId="0" fontId="11" fillId="0" borderId="22" xfId="0" applyFont="1" applyBorder="1" applyAlignment="1">
      <alignment horizontal="center"/>
    </xf>
    <xf numFmtId="0" fontId="11" fillId="0" borderId="13" xfId="0" applyFont="1" applyBorder="1" applyAlignment="1">
      <alignment horizontal="center"/>
    </xf>
    <xf numFmtId="0" fontId="11" fillId="0" borderId="14" xfId="0" applyFont="1" applyBorder="1" applyAlignment="1">
      <alignment horizontal="center"/>
    </xf>
    <xf numFmtId="0" fontId="11" fillId="0" borderId="27" xfId="0" applyFont="1" applyBorder="1" applyAlignment="1">
      <alignment horizontal="center"/>
    </xf>
    <xf numFmtId="0" fontId="2" fillId="6" borderId="30" xfId="0" applyFont="1" applyFill="1" applyBorder="1"/>
    <xf numFmtId="0" fontId="2" fillId="6" borderId="32" xfId="0" applyFont="1" applyFill="1" applyBorder="1"/>
    <xf numFmtId="0" fontId="2" fillId="6" borderId="10" xfId="0" applyFont="1" applyFill="1" applyBorder="1"/>
    <xf numFmtId="0" fontId="11" fillId="0" borderId="30" xfId="0" applyFont="1" applyBorder="1" applyAlignment="1">
      <alignment horizontal="center"/>
    </xf>
    <xf numFmtId="0" fontId="11" fillId="0" borderId="31" xfId="0" applyFont="1" applyBorder="1" applyAlignment="1">
      <alignment horizontal="center"/>
    </xf>
    <xf numFmtId="0" fontId="11" fillId="0" borderId="32" xfId="0" applyFont="1" applyBorder="1" applyAlignment="1">
      <alignment horizontal="center"/>
    </xf>
    <xf numFmtId="0" fontId="5" fillId="6" borderId="30" xfId="0" applyFont="1" applyFill="1" applyBorder="1"/>
    <xf numFmtId="0" fontId="5" fillId="6" borderId="31" xfId="0" applyFont="1" applyFill="1" applyBorder="1"/>
    <xf numFmtId="0" fontId="5" fillId="6" borderId="32" xfId="0" applyFont="1" applyFill="1" applyBorder="1"/>
    <xf numFmtId="0" fontId="24" fillId="0" borderId="10" xfId="0" applyFont="1" applyBorder="1" applyAlignment="1">
      <alignment horizontal="center"/>
    </xf>
    <xf numFmtId="0" fontId="11" fillId="0" borderId="34" xfId="0" applyFont="1" applyBorder="1" applyAlignment="1">
      <alignment horizontal="center"/>
    </xf>
    <xf numFmtId="0" fontId="11" fillId="0" borderId="35" xfId="0" applyFont="1" applyBorder="1" applyAlignment="1">
      <alignment horizontal="center"/>
    </xf>
    <xf numFmtId="0" fontId="11" fillId="0" borderId="36" xfId="0" applyFont="1" applyBorder="1" applyAlignment="1">
      <alignment horizontal="center"/>
    </xf>
    <xf numFmtId="0" fontId="32" fillId="8" borderId="0" xfId="0" applyFont="1" applyFill="1"/>
    <xf numFmtId="0" fontId="33" fillId="8" borderId="0" xfId="0" applyFont="1" applyFill="1"/>
    <xf numFmtId="0" fontId="24" fillId="0" borderId="43" xfId="0" applyFont="1" applyBorder="1" applyAlignment="1">
      <alignment horizontal="center" wrapText="1"/>
    </xf>
    <xf numFmtId="11" fontId="2" fillId="6" borderId="34" xfId="0" applyNumberFormat="1" applyFont="1" applyFill="1" applyBorder="1"/>
    <xf numFmtId="11" fontId="2" fillId="6" borderId="35" xfId="0" applyNumberFormat="1" applyFont="1" applyFill="1" applyBorder="1"/>
    <xf numFmtId="11" fontId="2" fillId="6" borderId="36" xfId="0" applyNumberFormat="1" applyFont="1" applyFill="1" applyBorder="1"/>
    <xf numFmtId="0" fontId="24" fillId="0" borderId="10" xfId="0" applyFont="1" applyBorder="1" applyAlignment="1">
      <alignment horizontal="center" vertical="center" wrapText="1"/>
    </xf>
    <xf numFmtId="0" fontId="5" fillId="2" borderId="20" xfId="0" applyFont="1" applyFill="1" applyBorder="1"/>
    <xf numFmtId="0" fontId="7" fillId="2" borderId="20" xfId="0" applyFont="1" applyFill="1" applyBorder="1"/>
    <xf numFmtId="11" fontId="1" fillId="2" borderId="21" xfId="0" applyNumberFormat="1" applyFont="1" applyFill="1" applyBorder="1"/>
    <xf numFmtId="11" fontId="2" fillId="2" borderId="21" xfId="0" applyNumberFormat="1" applyFont="1" applyFill="1" applyBorder="1"/>
    <xf numFmtId="0" fontId="5" fillId="2" borderId="50" xfId="0" applyFont="1" applyFill="1" applyBorder="1"/>
    <xf numFmtId="0" fontId="2" fillId="2" borderId="21" xfId="0" applyFont="1" applyFill="1" applyBorder="1" applyAlignment="1">
      <alignment horizontal="right" vertical="center"/>
    </xf>
    <xf numFmtId="11" fontId="2" fillId="2" borderId="47" xfId="0" applyNumberFormat="1" applyFont="1" applyFill="1" applyBorder="1" applyAlignment="1">
      <alignment horizontal="right"/>
    </xf>
    <xf numFmtId="0" fontId="5" fillId="2" borderId="39" xfId="0" applyFont="1" applyFill="1" applyBorder="1"/>
    <xf numFmtId="164" fontId="7" fillId="2" borderId="45" xfId="0" applyNumberFormat="1" applyFont="1" applyFill="1" applyBorder="1"/>
    <xf numFmtId="11" fontId="1" fillId="2" borderId="45" xfId="0" applyNumberFormat="1" applyFont="1" applyFill="1" applyBorder="1"/>
    <xf numFmtId="0" fontId="2" fillId="2" borderId="45" xfId="0" applyFont="1" applyFill="1" applyBorder="1" applyAlignment="1">
      <alignment horizontal="right" vertical="center"/>
    </xf>
    <xf numFmtId="11" fontId="7" fillId="2" borderId="47" xfId="0" applyNumberFormat="1" applyFont="1" applyFill="1" applyBorder="1"/>
    <xf numFmtId="0" fontId="19" fillId="2" borderId="27" xfId="0" applyFont="1" applyFill="1" applyBorder="1"/>
    <xf numFmtId="0" fontId="5" fillId="2" borderId="29" xfId="0" applyFont="1" applyFill="1" applyBorder="1"/>
    <xf numFmtId="11" fontId="2" fillId="2" borderId="45" xfId="0" applyNumberFormat="1" applyFont="1" applyFill="1" applyBorder="1"/>
    <xf numFmtId="0" fontId="11" fillId="0" borderId="1" xfId="0" applyFont="1" applyBorder="1" applyAlignment="1">
      <alignment horizontal="center"/>
    </xf>
    <xf numFmtId="0" fontId="11" fillId="0" borderId="39" xfId="0" applyFont="1" applyBorder="1" applyAlignment="1">
      <alignment horizontal="center"/>
    </xf>
    <xf numFmtId="0" fontId="11" fillId="0" borderId="40" xfId="0" applyFont="1" applyBorder="1" applyAlignment="1">
      <alignment horizontal="center"/>
    </xf>
    <xf numFmtId="0" fontId="28" fillId="0" borderId="23" xfId="0" applyFont="1" applyBorder="1" applyAlignment="1">
      <alignment horizontal="center" vertical="center"/>
    </xf>
    <xf numFmtId="11" fontId="2" fillId="0" borderId="34" xfId="0" applyNumberFormat="1" applyFont="1" applyBorder="1"/>
    <xf numFmtId="11" fontId="2" fillId="0" borderId="35" xfId="0" applyNumberFormat="1" applyFont="1" applyBorder="1"/>
    <xf numFmtId="11" fontId="2" fillId="0" borderId="36" xfId="0" applyNumberFormat="1" applyFont="1" applyBorder="1"/>
    <xf numFmtId="0" fontId="24" fillId="0" borderId="23" xfId="0" applyFont="1" applyBorder="1" applyAlignment="1">
      <alignment horizontal="center" vertical="center"/>
    </xf>
    <xf numFmtId="11" fontId="2" fillId="2" borderId="45" xfId="0" applyNumberFormat="1" applyFont="1" applyFill="1" applyBorder="1" applyAlignment="1">
      <alignment horizontal="right" vertical="center"/>
    </xf>
    <xf numFmtId="11" fontId="2" fillId="0" borderId="1" xfId="0" applyNumberFormat="1" applyFont="1" applyBorder="1"/>
    <xf numFmtId="11" fontId="2" fillId="0" borderId="39" xfId="0" applyNumberFormat="1" applyFont="1" applyBorder="1"/>
    <xf numFmtId="11" fontId="2" fillId="0" borderId="40" xfId="0" applyNumberFormat="1" applyFont="1" applyBorder="1"/>
    <xf numFmtId="0" fontId="23" fillId="8" borderId="0" xfId="0" applyFont="1" applyFill="1"/>
    <xf numFmtId="0" fontId="2" fillId="8" borderId="0" xfId="0" applyFont="1" applyFill="1"/>
    <xf numFmtId="10" fontId="2" fillId="4" borderId="0" xfId="0" applyNumberFormat="1" applyFont="1" applyFill="1"/>
    <xf numFmtId="0" fontId="0" fillId="8" borderId="0" xfId="0" applyFill="1"/>
    <xf numFmtId="0" fontId="24" fillId="0" borderId="51" xfId="0" applyFont="1" applyBorder="1" applyAlignment="1">
      <alignment horizontal="left" vertical="center" wrapText="1"/>
    </xf>
    <xf numFmtId="0" fontId="16" fillId="0" borderId="30" xfId="0" applyFont="1" applyBorder="1" applyAlignment="1">
      <alignment horizontal="center"/>
    </xf>
    <xf numFmtId="0" fontId="16" fillId="0" borderId="31" xfId="0" applyFont="1" applyBorder="1" applyAlignment="1">
      <alignment horizontal="center"/>
    </xf>
    <xf numFmtId="0" fontId="16" fillId="0" borderId="32" xfId="0" applyFont="1" applyBorder="1" applyAlignment="1">
      <alignment horizontal="center"/>
    </xf>
    <xf numFmtId="0" fontId="11" fillId="0" borderId="10" xfId="0" applyFont="1" applyBorder="1" applyAlignment="1">
      <alignment horizontal="center"/>
    </xf>
    <xf numFmtId="0" fontId="28" fillId="0" borderId="10" xfId="0" applyFont="1" applyBorder="1"/>
    <xf numFmtId="0" fontId="28" fillId="0" borderId="10" xfId="0" applyFont="1" applyBorder="1" applyAlignment="1">
      <alignment horizontal="center"/>
    </xf>
    <xf numFmtId="0" fontId="24" fillId="0" borderId="27" xfId="0" applyFont="1" applyBorder="1" applyAlignment="1">
      <alignment horizontal="center"/>
    </xf>
    <xf numFmtId="0" fontId="39" fillId="0" borderId="10" xfId="0" applyFont="1" applyBorder="1" applyAlignment="1">
      <alignment horizontal="center"/>
    </xf>
    <xf numFmtId="0" fontId="24" fillId="0" borderId="17" xfId="0" applyFont="1" applyBorder="1" applyAlignment="1">
      <alignment horizontal="center" vertical="center"/>
    </xf>
    <xf numFmtId="0" fontId="24" fillId="0" borderId="38" xfId="0" applyFont="1" applyBorder="1" applyAlignment="1">
      <alignment horizontal="center" vertical="center"/>
    </xf>
    <xf numFmtId="11" fontId="2" fillId="0" borderId="10" xfId="0" applyNumberFormat="1" applyFont="1" applyBorder="1"/>
    <xf numFmtId="0" fontId="31" fillId="0" borderId="0" xfId="0" applyFont="1"/>
    <xf numFmtId="0" fontId="24" fillId="0" borderId="25" xfId="0" applyFont="1" applyBorder="1" applyAlignment="1">
      <alignment horizontal="center"/>
    </xf>
    <xf numFmtId="0" fontId="28" fillId="0" borderId="34" xfId="0" applyFont="1" applyBorder="1" applyAlignment="1">
      <alignment horizontal="center"/>
    </xf>
    <xf numFmtId="0" fontId="11" fillId="0" borderId="53" xfId="0" applyFont="1" applyBorder="1" applyAlignment="1">
      <alignment horizontal="center"/>
    </xf>
    <xf numFmtId="0" fontId="5" fillId="6" borderId="53" xfId="0" applyFont="1" applyFill="1" applyBorder="1"/>
    <xf numFmtId="11" fontId="0" fillId="0" borderId="10" xfId="0" applyNumberFormat="1" applyBorder="1"/>
    <xf numFmtId="11" fontId="0" fillId="0" borderId="10" xfId="0" applyNumberFormat="1" applyBorder="1" applyAlignment="1">
      <alignment horizontal="center"/>
    </xf>
    <xf numFmtId="0" fontId="41" fillId="6" borderId="10" xfId="0" applyFont="1" applyFill="1" applyBorder="1" applyAlignment="1">
      <alignment horizontal="center" vertical="center"/>
    </xf>
    <xf numFmtId="11" fontId="2" fillId="6" borderId="10" xfId="0" applyNumberFormat="1" applyFont="1" applyFill="1" applyBorder="1" applyAlignment="1">
      <alignment horizontal="center"/>
    </xf>
    <xf numFmtId="0" fontId="16" fillId="0" borderId="10" xfId="0" applyFont="1" applyBorder="1" applyAlignment="1">
      <alignment horizontal="center"/>
    </xf>
    <xf numFmtId="0" fontId="24" fillId="0" borderId="30" xfId="0" applyFont="1" applyBorder="1" applyAlignment="1">
      <alignment horizontal="center"/>
    </xf>
    <xf numFmtId="0" fontId="24" fillId="0" borderId="31" xfId="0" applyFont="1" applyBorder="1" applyAlignment="1">
      <alignment horizontal="center"/>
    </xf>
    <xf numFmtId="0" fontId="24" fillId="0" borderId="32" xfId="0" applyFont="1" applyBorder="1" applyAlignment="1">
      <alignment horizontal="center"/>
    </xf>
    <xf numFmtId="11" fontId="0" fillId="0" borderId="23" xfId="0" applyNumberFormat="1" applyBorder="1"/>
    <xf numFmtId="11" fontId="2" fillId="6" borderId="52" xfId="0" applyNumberFormat="1" applyFont="1" applyFill="1" applyBorder="1"/>
    <xf numFmtId="11" fontId="2" fillId="6" borderId="54" xfId="0" applyNumberFormat="1" applyFont="1" applyFill="1" applyBorder="1"/>
    <xf numFmtId="0" fontId="24" fillId="0" borderId="32" xfId="0" applyFont="1" applyBorder="1"/>
    <xf numFmtId="0" fontId="11" fillId="0" borderId="17" xfId="0" applyFont="1" applyBorder="1" applyAlignment="1">
      <alignment horizontal="center"/>
    </xf>
    <xf numFmtId="0" fontId="0" fillId="7" borderId="25" xfId="0" applyFill="1" applyBorder="1"/>
    <xf numFmtId="11" fontId="2" fillId="6" borderId="39" xfId="0" applyNumberFormat="1" applyFont="1" applyFill="1" applyBorder="1"/>
    <xf numFmtId="0" fontId="24" fillId="0" borderId="42" xfId="0" applyFont="1" applyBorder="1" applyAlignment="1">
      <alignment horizontal="center"/>
    </xf>
    <xf numFmtId="0" fontId="24" fillId="0" borderId="28" xfId="0" applyFont="1" applyBorder="1"/>
    <xf numFmtId="0" fontId="24" fillId="0" borderId="29" xfId="0" applyFont="1" applyBorder="1"/>
    <xf numFmtId="11" fontId="11" fillId="6" borderId="32" xfId="0" applyNumberFormat="1" applyFont="1" applyFill="1" applyBorder="1" applyAlignment="1">
      <alignment horizontal="center"/>
    </xf>
    <xf numFmtId="11" fontId="2" fillId="0" borderId="34" xfId="0" applyNumberFormat="1" applyFont="1" applyBorder="1" applyAlignment="1">
      <alignment horizontal="center"/>
    </xf>
    <xf numFmtId="11" fontId="2" fillId="0" borderId="35" xfId="0" applyNumberFormat="1" applyFont="1" applyBorder="1" applyAlignment="1">
      <alignment horizontal="center"/>
    </xf>
    <xf numFmtId="11" fontId="2" fillId="0" borderId="36" xfId="0" applyNumberFormat="1" applyFont="1" applyBorder="1" applyAlignment="1">
      <alignment horizontal="center"/>
    </xf>
    <xf numFmtId="11" fontId="2" fillId="0" borderId="17" xfId="0" applyNumberFormat="1" applyFont="1" applyBorder="1" applyAlignment="1">
      <alignment horizontal="center"/>
    </xf>
    <xf numFmtId="0" fontId="2" fillId="0" borderId="38" xfId="0" applyFont="1" applyBorder="1" applyAlignment="1">
      <alignment horizontal="center"/>
    </xf>
    <xf numFmtId="0" fontId="2" fillId="0" borderId="20" xfId="0" applyFont="1" applyBorder="1" applyAlignment="1">
      <alignment horizontal="center"/>
    </xf>
    <xf numFmtId="0" fontId="2" fillId="0" borderId="21" xfId="0" applyFont="1" applyBorder="1" applyAlignment="1">
      <alignment horizontal="center"/>
    </xf>
    <xf numFmtId="0" fontId="2" fillId="0" borderId="22" xfId="0" applyFont="1" applyBorder="1" applyAlignment="1">
      <alignment horizontal="center"/>
    </xf>
    <xf numFmtId="0" fontId="2" fillId="0" borderId="14" xfId="0" applyFont="1" applyBorder="1" applyAlignment="1">
      <alignment horizontal="center"/>
    </xf>
    <xf numFmtId="0" fontId="2" fillId="0" borderId="17" xfId="0" applyFont="1" applyBorder="1" applyAlignment="1">
      <alignment horizontal="center"/>
    </xf>
    <xf numFmtId="164" fontId="2" fillId="0" borderId="37" xfId="0" applyNumberFormat="1" applyFont="1" applyBorder="1" applyAlignment="1">
      <alignment horizontal="center"/>
    </xf>
    <xf numFmtId="11" fontId="2" fillId="0" borderId="23" xfId="0" applyNumberFormat="1" applyFont="1" applyBorder="1"/>
    <xf numFmtId="164" fontId="2" fillId="0" borderId="13" xfId="0" applyNumberFormat="1" applyFont="1" applyBorder="1" applyAlignment="1">
      <alignment horizontal="center"/>
    </xf>
    <xf numFmtId="11" fontId="2" fillId="0" borderId="11" xfId="0" applyNumberFormat="1" applyFont="1" applyBorder="1" applyAlignment="1">
      <alignment horizontal="center"/>
    </xf>
    <xf numFmtId="11" fontId="2" fillId="0" borderId="8" xfId="0" applyNumberFormat="1" applyFont="1" applyBorder="1" applyAlignment="1">
      <alignment horizontal="center"/>
    </xf>
    <xf numFmtId="11" fontId="2" fillId="0" borderId="49" xfId="0" applyNumberFormat="1" applyFont="1" applyBorder="1" applyAlignment="1">
      <alignment horizontal="center"/>
    </xf>
    <xf numFmtId="0" fontId="24" fillId="0" borderId="41" xfId="0" applyFont="1" applyBorder="1" applyAlignment="1">
      <alignment horizontal="center"/>
    </xf>
    <xf numFmtId="0" fontId="24" fillId="0" borderId="43" xfId="0" applyFont="1" applyBorder="1" applyAlignment="1">
      <alignment horizontal="center"/>
    </xf>
    <xf numFmtId="11" fontId="2" fillId="0" borderId="37" xfId="0" applyNumberFormat="1" applyFont="1" applyBorder="1" applyAlignment="1">
      <alignment horizontal="center"/>
    </xf>
    <xf numFmtId="11" fontId="2" fillId="0" borderId="20" xfId="0" applyNumberFormat="1" applyFont="1" applyBorder="1" applyAlignment="1">
      <alignment horizontal="center"/>
    </xf>
    <xf numFmtId="11" fontId="2" fillId="0" borderId="22" xfId="0" applyNumberFormat="1" applyFont="1" applyBorder="1" applyAlignment="1">
      <alignment horizontal="center"/>
    </xf>
    <xf numFmtId="11" fontId="2" fillId="0" borderId="13" xfId="0" applyNumberFormat="1" applyFont="1" applyBorder="1" applyAlignment="1">
      <alignment horizontal="center"/>
    </xf>
    <xf numFmtId="11" fontId="2" fillId="6" borderId="10" xfId="0" applyNumberFormat="1" applyFont="1" applyFill="1" applyBorder="1"/>
    <xf numFmtId="11" fontId="2" fillId="6" borderId="32" xfId="0" applyNumberFormat="1" applyFont="1" applyFill="1" applyBorder="1" applyAlignment="1">
      <alignment horizontal="center"/>
    </xf>
    <xf numFmtId="0" fontId="11" fillId="6" borderId="10" xfId="0" applyFont="1" applyFill="1" applyBorder="1" applyAlignment="1">
      <alignment horizontal="center"/>
    </xf>
    <xf numFmtId="0" fontId="2" fillId="6" borderId="29" xfId="0" applyFont="1" applyFill="1" applyBorder="1"/>
    <xf numFmtId="0" fontId="2" fillId="6" borderId="28" xfId="0" applyFont="1" applyFill="1" applyBorder="1"/>
    <xf numFmtId="0" fontId="2" fillId="6" borderId="17" xfId="0" applyFont="1" applyFill="1" applyBorder="1"/>
    <xf numFmtId="11" fontId="2" fillId="6" borderId="27" xfId="0" applyNumberFormat="1" applyFont="1" applyFill="1" applyBorder="1"/>
    <xf numFmtId="0" fontId="16" fillId="0" borderId="27" xfId="0" applyFont="1" applyBorder="1" applyAlignment="1">
      <alignment horizontal="center" vertical="center"/>
    </xf>
    <xf numFmtId="11" fontId="0" fillId="0" borderId="48" xfId="0" applyNumberFormat="1" applyBorder="1"/>
    <xf numFmtId="11" fontId="0" fillId="0" borderId="8" xfId="0" applyNumberFormat="1" applyBorder="1"/>
    <xf numFmtId="0" fontId="16" fillId="0" borderId="0" xfId="0" applyFont="1" applyAlignment="1">
      <alignment horizontal="center" vertical="center"/>
    </xf>
    <xf numFmtId="0" fontId="0" fillId="7" borderId="24" xfId="0" applyFill="1" applyBorder="1"/>
    <xf numFmtId="0" fontId="0" fillId="0" borderId="34" xfId="0" applyBorder="1"/>
    <xf numFmtId="0" fontId="0" fillId="0" borderId="35" xfId="0" applyBorder="1"/>
    <xf numFmtId="0" fontId="0" fillId="0" borderId="36" xfId="0" applyBorder="1"/>
    <xf numFmtId="0" fontId="24" fillId="0" borderId="0" xfId="0" applyFont="1" applyAlignment="1">
      <alignment horizontal="center" vertical="center"/>
    </xf>
    <xf numFmtId="0" fontId="22" fillId="0" borderId="27" xfId="0" applyFont="1" applyBorder="1" applyAlignment="1">
      <alignment horizontal="center"/>
    </xf>
    <xf numFmtId="0" fontId="22" fillId="0" borderId="28" xfId="0" applyFont="1" applyBorder="1" applyAlignment="1">
      <alignment horizontal="center"/>
    </xf>
    <xf numFmtId="0" fontId="22" fillId="0" borderId="29" xfId="0" applyFont="1" applyBorder="1" applyAlignment="1">
      <alignment horizontal="center"/>
    </xf>
    <xf numFmtId="0" fontId="29" fillId="0" borderId="27" xfId="0" applyFont="1" applyBorder="1" applyAlignment="1">
      <alignment horizontal="center" vertical="top"/>
    </xf>
    <xf numFmtId="0" fontId="29" fillId="0" borderId="29" xfId="0" applyFont="1" applyBorder="1" applyAlignment="1">
      <alignment horizontal="center" vertical="top"/>
    </xf>
    <xf numFmtId="0" fontId="24" fillId="0" borderId="17" xfId="0" applyFont="1" applyBorder="1" applyAlignment="1">
      <alignment horizontal="center"/>
    </xf>
    <xf numFmtId="0" fontId="24" fillId="0" borderId="37" xfId="0" applyFont="1" applyBorder="1" applyAlignment="1">
      <alignment horizontal="center"/>
    </xf>
    <xf numFmtId="0" fontId="24" fillId="0" borderId="38" xfId="0" applyFont="1" applyBorder="1" applyAlignment="1">
      <alignment horizontal="center"/>
    </xf>
    <xf numFmtId="0" fontId="29" fillId="0" borderId="0" xfId="0" applyFont="1" applyAlignment="1">
      <alignment horizontal="center" vertical="top"/>
    </xf>
    <xf numFmtId="0" fontId="42" fillId="0" borderId="16" xfId="0" applyFont="1" applyBorder="1" applyAlignment="1">
      <alignment horizontal="center"/>
    </xf>
    <xf numFmtId="0" fontId="37" fillId="0" borderId="27" xfId="0" applyFont="1" applyBorder="1" applyAlignment="1">
      <alignment horizontal="center"/>
    </xf>
    <xf numFmtId="0" fontId="37" fillId="0" borderId="28" xfId="0" applyFont="1" applyBorder="1" applyAlignment="1">
      <alignment horizontal="center"/>
    </xf>
    <xf numFmtId="0" fontId="34" fillId="0" borderId="27" xfId="0" applyFont="1" applyBorder="1" applyAlignment="1">
      <alignment horizontal="center"/>
    </xf>
    <xf numFmtId="11" fontId="2" fillId="0" borderId="29" xfId="0" applyNumberFormat="1" applyFont="1" applyBorder="1"/>
    <xf numFmtId="11" fontId="2" fillId="0" borderId="22" xfId="0" applyNumberFormat="1" applyFont="1" applyBorder="1" applyAlignment="1">
      <alignment horizontal="center"/>
    </xf>
    <xf numFmtId="0" fontId="2" fillId="0" borderId="14" xfId="0" applyFont="1" applyBorder="1" applyAlignment="1">
      <alignment horizontal="center"/>
    </xf>
    <xf numFmtId="0" fontId="24" fillId="0" borderId="0" xfId="0" applyFont="1" applyFill="1" applyBorder="1" applyAlignment="1">
      <alignment horizontal="center" vertical="center"/>
    </xf>
    <xf numFmtId="11" fontId="2" fillId="0" borderId="0" xfId="0" applyNumberFormat="1" applyFont="1" applyFill="1" applyBorder="1"/>
    <xf numFmtId="10" fontId="2" fillId="0" borderId="0" xfId="0" applyNumberFormat="1" applyFont="1" applyFill="1" applyBorder="1"/>
    <xf numFmtId="0" fontId="2" fillId="0" borderId="27" xfId="0" applyFont="1" applyBorder="1" applyAlignment="1">
      <alignment horizontal="center"/>
    </xf>
    <xf numFmtId="164" fontId="2" fillId="0" borderId="28" xfId="0" applyNumberFormat="1" applyFont="1" applyBorder="1" applyAlignment="1">
      <alignment horizontal="center"/>
    </xf>
    <xf numFmtId="0" fontId="2" fillId="0" borderId="29" xfId="0" applyFont="1" applyBorder="1" applyAlignment="1">
      <alignment horizontal="center"/>
    </xf>
    <xf numFmtId="164" fontId="2" fillId="0" borderId="0" xfId="0" applyNumberFormat="1" applyFont="1" applyBorder="1" applyAlignment="1">
      <alignment horizontal="center"/>
    </xf>
    <xf numFmtId="11" fontId="2" fillId="0" borderId="0" xfId="0" applyNumberFormat="1" applyFont="1" applyBorder="1" applyAlignment="1">
      <alignment horizontal="center"/>
    </xf>
  </cellXfs>
  <cellStyles count="1">
    <cellStyle name="Normal" xfId="0" builtinId="0"/>
  </cellStyles>
  <dxfs count="0"/>
  <tableStyles count="0" defaultTableStyle="TableStyleMedium2" defaultPivotStyle="PivotStyleLight16"/>
  <colors>
    <mruColors>
      <color rgb="FFE976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strRef>
              <c:f>Foglio1!$E$64</c:f>
              <c:strCache>
                <c:ptCount val="1"/>
                <c:pt idx="0">
                  <c:v>Qtransl</c:v>
                </c:pt>
              </c:strCache>
            </c:strRef>
          </c:tx>
          <c:spPr>
            <a:ln w="28575" cap="rnd">
              <a:solidFill>
                <a:schemeClr val="accent2"/>
              </a:solidFill>
              <a:round/>
            </a:ln>
            <a:effectLst/>
          </c:spPr>
          <c:marker>
            <c:symbol val="triangle"/>
            <c:size val="6"/>
            <c:spPr>
              <a:solidFill>
                <a:schemeClr val="accent2"/>
              </a:solidFill>
              <a:ln w="9525">
                <a:solidFill>
                  <a:schemeClr val="accent2"/>
                </a:solidFill>
              </a:ln>
              <a:effectLst/>
            </c:spPr>
          </c:marker>
          <c:cat>
            <c:numRef>
              <c:f>Foglio1!$C$65:$C$82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Foglio1!$E$65:$E$82</c:f>
              <c:numCache>
                <c:formatCode>0.00E+00</c:formatCode>
                <c:ptCount val="18"/>
                <c:pt idx="0">
                  <c:v>5909876.4258579137</c:v>
                </c:pt>
                <c:pt idx="1">
                  <c:v>12131799.983454125</c:v>
                </c:pt>
                <c:pt idx="2">
                  <c:v>21193382.384714074</c:v>
                </c:pt>
                <c:pt idx="3">
                  <c:v>33431309.573589273</c:v>
                </c:pt>
                <c:pt idx="4">
                  <c:v>49149642.49618905</c:v>
                </c:pt>
                <c:pt idx="5">
                  <c:v>68627824.290394261</c:v>
                </c:pt>
                <c:pt idx="6">
                  <c:v>92125856.124354914</c:v>
                </c:pt>
                <c:pt idx="7">
                  <c:v>119887875.20408711</c:v>
                </c:pt>
                <c:pt idx="8">
                  <c:v>152144751.80586106</c:v>
                </c:pt>
                <c:pt idx="9">
                  <c:v>189116045.6274516</c:v>
                </c:pt>
                <c:pt idx="10">
                  <c:v>231011523.33683923</c:v>
                </c:pt>
                <c:pt idx="11">
                  <c:v>278032364.01559907</c:v>
                </c:pt>
                <c:pt idx="12">
                  <c:v>330372135.67103916</c:v>
                </c:pt>
                <c:pt idx="13">
                  <c:v>388217599.47052866</c:v>
                </c:pt>
                <c:pt idx="14">
                  <c:v>451749381.49460119</c:v>
                </c:pt>
                <c:pt idx="15">
                  <c:v>521142540.70518214</c:v>
                </c:pt>
                <c:pt idx="16">
                  <c:v>596567054.29174936</c:v>
                </c:pt>
                <c:pt idx="17">
                  <c:v>678188236.3108542</c:v>
                </c:pt>
              </c:numCache>
            </c:numRef>
          </c:val>
          <c:smooth val="0"/>
          <c:extLst>
            <c:ext xmlns:c16="http://schemas.microsoft.com/office/drawing/2014/chart" uri="{C3380CC4-5D6E-409C-BE32-E72D297353CC}">
              <c16:uniqueId val="{00000001-A299-EE45-9B35-3B932BA7C510}"/>
            </c:ext>
          </c:extLst>
        </c:ser>
        <c:dLbls>
          <c:showLegendKey val="0"/>
          <c:showVal val="0"/>
          <c:showCatName val="0"/>
          <c:showSerName val="0"/>
          <c:showPercent val="0"/>
          <c:showBubbleSize val="0"/>
        </c:dLbls>
        <c:marker val="1"/>
        <c:smooth val="0"/>
        <c:axId val="221762047"/>
        <c:axId val="221763759"/>
      </c:lineChart>
      <c:catAx>
        <c:axId val="221762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3759"/>
        <c:crosses val="autoZero"/>
        <c:auto val="1"/>
        <c:lblAlgn val="ctr"/>
        <c:lblOffset val="100"/>
        <c:noMultiLvlLbl val="0"/>
      </c:catAx>
      <c:valAx>
        <c:axId val="22176375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221762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1"/>
          <c:order val="0"/>
          <c:tx>
            <c:v>Qvib</c:v>
          </c:tx>
          <c:spPr>
            <a:ln w="28575" cap="rnd">
              <a:solidFill>
                <a:schemeClr val="accent2"/>
              </a:solidFill>
              <a:round/>
            </a:ln>
            <a:effectLst/>
          </c:spPr>
          <c:marker>
            <c:symbol val="diamond"/>
            <c:size val="6"/>
            <c:spPr>
              <a:solidFill>
                <a:schemeClr val="accent2"/>
              </a:solidFill>
              <a:ln w="9525">
                <a:solidFill>
                  <a:schemeClr val="accent2"/>
                </a:solidFill>
              </a:ln>
              <a:effectLst/>
            </c:spPr>
          </c:marker>
          <c:cat>
            <c:numRef>
              <c:f>Foglio1!$C$102:$C$120</c:f>
              <c:numCache>
                <c:formatCode>General</c:formatCode>
                <c:ptCount val="19"/>
                <c:pt idx="0">
                  <c:v>298.14999999999998</c:v>
                </c:pt>
                <c:pt idx="1">
                  <c:v>300</c:v>
                </c:pt>
                <c:pt idx="2">
                  <c:v>400</c:v>
                </c:pt>
                <c:pt idx="3">
                  <c:v>500</c:v>
                </c:pt>
                <c:pt idx="4">
                  <c:v>600</c:v>
                </c:pt>
                <c:pt idx="5">
                  <c:v>700</c:v>
                </c:pt>
                <c:pt idx="6">
                  <c:v>800</c:v>
                </c:pt>
                <c:pt idx="7">
                  <c:v>900</c:v>
                </c:pt>
                <c:pt idx="8">
                  <c:v>1000</c:v>
                </c:pt>
                <c:pt idx="9">
                  <c:v>1100</c:v>
                </c:pt>
                <c:pt idx="10">
                  <c:v>1200</c:v>
                </c:pt>
                <c:pt idx="11">
                  <c:v>1300</c:v>
                </c:pt>
                <c:pt idx="12">
                  <c:v>1400</c:v>
                </c:pt>
                <c:pt idx="13">
                  <c:v>1500</c:v>
                </c:pt>
                <c:pt idx="14">
                  <c:v>1600</c:v>
                </c:pt>
                <c:pt idx="15">
                  <c:v>1700</c:v>
                </c:pt>
                <c:pt idx="16">
                  <c:v>1800</c:v>
                </c:pt>
                <c:pt idx="17">
                  <c:v>1900</c:v>
                </c:pt>
                <c:pt idx="18">
                  <c:v>2000</c:v>
                </c:pt>
              </c:numCache>
            </c:numRef>
          </c:cat>
          <c:val>
            <c:numRef>
              <c:f>Foglio1!$E$102:$E$120</c:f>
              <c:numCache>
                <c:formatCode>General</c:formatCode>
                <c:ptCount val="19"/>
                <c:pt idx="0">
                  <c:v>4.9231486510156811E-3</c:v>
                </c:pt>
                <c:pt idx="1">
                  <c:v>5.0871541240202732E-3</c:v>
                </c:pt>
                <c:pt idx="2">
                  <c:v>1.9054841624569847E-2</c:v>
                </c:pt>
                <c:pt idx="3">
                  <c:v>4.2135406872049391E-2</c:v>
                </c:pt>
                <c:pt idx="4">
                  <c:v>7.1688044286948749E-2</c:v>
                </c:pt>
                <c:pt idx="5">
                  <c:v>0.10514273316292055</c:v>
                </c:pt>
                <c:pt idx="6">
                  <c:v>0.14069416374876173</c:v>
                </c:pt>
                <c:pt idx="7">
                  <c:v>0.1772260117240739</c:v>
                </c:pt>
                <c:pt idx="8">
                  <c:v>0.21409236554383554</c:v>
                </c:pt>
                <c:pt idx="9">
                  <c:v>0.25093724825300529</c:v>
                </c:pt>
                <c:pt idx="10">
                  <c:v>0.2875751767591051</c:v>
                </c:pt>
                <c:pt idx="11">
                  <c:v>0.32391833665024211</c:v>
                </c:pt>
                <c:pt idx="12">
                  <c:v>0.3599337159308883</c:v>
                </c:pt>
                <c:pt idx="13">
                  <c:v>0.39561827494920127</c:v>
                </c:pt>
                <c:pt idx="14">
                  <c:v>0.43098468715454891</c:v>
                </c:pt>
                <c:pt idx="15">
                  <c:v>0.4660532126807474</c:v>
                </c:pt>
                <c:pt idx="16">
                  <c:v>0.50084711988216657</c:v>
                </c:pt>
                <c:pt idx="17">
                  <c:v>0.53539015862716988</c:v>
                </c:pt>
                <c:pt idx="18">
                  <c:v>0.56970521891876702</c:v>
                </c:pt>
              </c:numCache>
            </c:numRef>
          </c:val>
          <c:smooth val="0"/>
          <c:extLst>
            <c:ext xmlns:c16="http://schemas.microsoft.com/office/drawing/2014/chart" uri="{C3380CC4-5D6E-409C-BE32-E72D297353CC}">
              <c16:uniqueId val="{00000001-2B32-4943-AFE3-8A02B15DCE71}"/>
            </c:ext>
          </c:extLst>
        </c:ser>
        <c:dLbls>
          <c:showLegendKey val="0"/>
          <c:showVal val="0"/>
          <c:showCatName val="0"/>
          <c:showSerName val="0"/>
          <c:showPercent val="0"/>
          <c:showBubbleSize val="0"/>
        </c:dLbls>
        <c:marker val="1"/>
        <c:smooth val="0"/>
        <c:axId val="1670626112"/>
        <c:axId val="1670627824"/>
      </c:lineChart>
      <c:catAx>
        <c:axId val="1670626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7824"/>
        <c:crosses val="autoZero"/>
        <c:auto val="1"/>
        <c:lblAlgn val="ctr"/>
        <c:lblOffset val="100"/>
        <c:noMultiLvlLbl val="0"/>
      </c:catAx>
      <c:valAx>
        <c:axId val="1670627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6706261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Qrot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Foglio1!$D$136</c:f>
              <c:strCache>
                <c:ptCount val="1"/>
                <c:pt idx="0">
                  <c:v>Qrot(1) and 𝜎=1</c:v>
                </c:pt>
              </c:strCache>
            </c:strRef>
          </c:tx>
          <c:spPr>
            <a:ln w="28575" cap="rnd">
              <a:solidFill>
                <a:schemeClr val="accent1"/>
              </a:solidFill>
              <a:round/>
            </a:ln>
            <a:effectLst/>
          </c:spPr>
          <c:marker>
            <c:symbol val="square"/>
            <c:size val="5"/>
            <c:spPr>
              <a:solidFill>
                <a:schemeClr val="accent1"/>
              </a:solidFill>
              <a:ln w="9525">
                <a:solidFill>
                  <a:schemeClr val="accent1"/>
                </a:solidFill>
              </a:ln>
              <a:effectLst/>
            </c:spPr>
          </c:marker>
          <c:cat>
            <c:numRef>
              <c:f>Foglio1!$C$137:$C$154</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Foglio1!$D$137:$D$154</c:f>
              <c:numCache>
                <c:formatCode>0.00E+00</c:formatCode>
                <c:ptCount val="18"/>
                <c:pt idx="0">
                  <c:v>4140.1211210920683</c:v>
                </c:pt>
                <c:pt idx="1">
                  <c:v>5520.1614947894241</c:v>
                </c:pt>
                <c:pt idx="2">
                  <c:v>6900.2018684867808</c:v>
                </c:pt>
                <c:pt idx="3">
                  <c:v>8280.2422421841366</c:v>
                </c:pt>
                <c:pt idx="4">
                  <c:v>9660.2826158814933</c:v>
                </c:pt>
                <c:pt idx="5">
                  <c:v>11040.322989578848</c:v>
                </c:pt>
                <c:pt idx="6">
                  <c:v>12420.363363276205</c:v>
                </c:pt>
                <c:pt idx="7">
                  <c:v>13800.403736973562</c:v>
                </c:pt>
                <c:pt idx="8">
                  <c:v>15180.444110670916</c:v>
                </c:pt>
                <c:pt idx="9">
                  <c:v>16560.484484368273</c:v>
                </c:pt>
                <c:pt idx="10">
                  <c:v>17940.52485806563</c:v>
                </c:pt>
                <c:pt idx="11">
                  <c:v>19320.565231762987</c:v>
                </c:pt>
                <c:pt idx="12">
                  <c:v>20700.60560546034</c:v>
                </c:pt>
                <c:pt idx="13">
                  <c:v>22080.645979157696</c:v>
                </c:pt>
                <c:pt idx="14">
                  <c:v>23460.686352855057</c:v>
                </c:pt>
                <c:pt idx="15">
                  <c:v>24840.72672655241</c:v>
                </c:pt>
                <c:pt idx="16">
                  <c:v>26220.767100249766</c:v>
                </c:pt>
                <c:pt idx="17">
                  <c:v>27600.807473947123</c:v>
                </c:pt>
              </c:numCache>
            </c:numRef>
          </c:val>
          <c:smooth val="0"/>
          <c:extLst>
            <c:ext xmlns:c16="http://schemas.microsoft.com/office/drawing/2014/chart" uri="{C3380CC4-5D6E-409C-BE32-E72D297353CC}">
              <c16:uniqueId val="{00000000-A35C-BD49-8E71-3180E2A6DA15}"/>
            </c:ext>
          </c:extLst>
        </c:ser>
        <c:ser>
          <c:idx val="1"/>
          <c:order val="1"/>
          <c:tx>
            <c:strRef>
              <c:f>Foglio1!$E$136</c:f>
              <c:strCache>
                <c:ptCount val="1"/>
              </c:strCache>
            </c:strRef>
          </c:tx>
          <c:spPr>
            <a:ln w="28575" cap="rnd">
              <a:solidFill>
                <a:schemeClr val="accent2"/>
              </a:solidFill>
              <a:round/>
            </a:ln>
            <a:effectLst/>
          </c:spPr>
          <c:marker>
            <c:symbol val="x"/>
            <c:size val="5"/>
            <c:spPr>
              <a:noFill/>
              <a:ln w="9525">
                <a:solidFill>
                  <a:schemeClr val="accent2"/>
                </a:solidFill>
              </a:ln>
              <a:effectLst/>
            </c:spPr>
          </c:marker>
          <c:cat>
            <c:numRef>
              <c:f>Foglio1!$C$137:$C$154</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Foglio1!$E$137:$E$154</c:f>
              <c:numCache>
                <c:formatCode>0.00E+00</c:formatCode>
                <c:ptCount val="18"/>
              </c:numCache>
            </c:numRef>
          </c:val>
          <c:smooth val="0"/>
          <c:extLst>
            <c:ext xmlns:c16="http://schemas.microsoft.com/office/drawing/2014/chart" uri="{C3380CC4-5D6E-409C-BE32-E72D297353CC}">
              <c16:uniqueId val="{00000001-A35C-BD49-8E71-3180E2A6DA15}"/>
            </c:ext>
          </c:extLst>
        </c:ser>
        <c:dLbls>
          <c:showLegendKey val="0"/>
          <c:showVal val="0"/>
          <c:showCatName val="0"/>
          <c:showSerName val="0"/>
          <c:showPercent val="0"/>
          <c:showBubbleSize val="0"/>
        </c:dLbls>
        <c:marker val="1"/>
        <c:smooth val="0"/>
        <c:axId val="721149247"/>
        <c:axId val="696234255"/>
      </c:lineChart>
      <c:catAx>
        <c:axId val="72114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234255"/>
        <c:crosses val="autoZero"/>
        <c:auto val="1"/>
        <c:lblAlgn val="ctr"/>
        <c:lblOffset val="100"/>
        <c:noMultiLvlLbl val="0"/>
      </c:catAx>
      <c:valAx>
        <c:axId val="696234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T"/>
            </a:p>
          </c:txPr>
        </c:title>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211492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IT"/>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T"/>
        </a:p>
      </c:txPr>
    </c:title>
    <c:autoTitleDeleted val="0"/>
    <c:plotArea>
      <c:layout/>
      <c:lineChart>
        <c:grouping val="standard"/>
        <c:varyColors val="0"/>
        <c:ser>
          <c:idx val="0"/>
          <c:order val="0"/>
          <c:tx>
            <c:strRef>
              <c:f>Foglio1!$D$174</c:f>
              <c:strCache>
                <c:ptCount val="1"/>
                <c:pt idx="0">
                  <c:v>Qel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Foglio1!$C$175:$C$192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Foglio1!$D$175:$D$192</c:f>
              <c:numCache>
                <c:formatCode>0.00E+00</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smooth val="0"/>
          <c:extLst>
            <c:ext xmlns:c16="http://schemas.microsoft.com/office/drawing/2014/chart" uri="{C3380CC4-5D6E-409C-BE32-E72D297353CC}">
              <c16:uniqueId val="{00000000-23D2-D646-AE18-A74779275A97}"/>
            </c:ext>
          </c:extLst>
        </c:ser>
        <c:dLbls>
          <c:showLegendKey val="0"/>
          <c:showVal val="0"/>
          <c:showCatName val="0"/>
          <c:showSerName val="0"/>
          <c:showPercent val="0"/>
          <c:showBubbleSize val="0"/>
        </c:dLbls>
        <c:marker val="1"/>
        <c:smooth val="0"/>
        <c:axId val="1005151871"/>
        <c:axId val="751999423"/>
      </c:lineChart>
      <c:catAx>
        <c:axId val="100515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999423"/>
        <c:crosses val="autoZero"/>
        <c:auto val="1"/>
        <c:lblAlgn val="ctr"/>
        <c:lblOffset val="100"/>
        <c:noMultiLvlLbl val="0"/>
      </c:catAx>
      <c:valAx>
        <c:axId val="75199942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1005151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Cv</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Foglio1!$C$215:$C$232</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Foglio1!$H$215:$H$232</c:f>
              <c:numCache>
                <c:formatCode>0.00E+00</c:formatCode>
                <c:ptCount val="18"/>
                <c:pt idx="0">
                  <c:v>20.810004474059753</c:v>
                </c:pt>
                <c:pt idx="1">
                  <c:v>20.975440524839865</c:v>
                </c:pt>
                <c:pt idx="2">
                  <c:v>21.378836501431568</c:v>
                </c:pt>
                <c:pt idx="3">
                  <c:v>21.977709670670293</c:v>
                </c:pt>
                <c:pt idx="4">
                  <c:v>22.669394114052459</c:v>
                </c:pt>
                <c:pt idx="5">
                  <c:v>23.36796544759224</c:v>
                </c:pt>
                <c:pt idx="6">
                  <c:v>24.023037659736897</c:v>
                </c:pt>
                <c:pt idx="7">
                  <c:v>24.61230781857201</c:v>
                </c:pt>
                <c:pt idx="8">
                  <c:v>25.130323964455304</c:v>
                </c:pt>
                <c:pt idx="9">
                  <c:v>25.580214126553336</c:v>
                </c:pt>
                <c:pt idx="10">
                  <c:v>25.968762934785879</c:v>
                </c:pt>
                <c:pt idx="11">
                  <c:v>26.303798677393992</c:v>
                </c:pt>
                <c:pt idx="12">
                  <c:v>26.592934605515229</c:v>
                </c:pt>
                <c:pt idx="13">
                  <c:v>26.843039366241243</c:v>
                </c:pt>
                <c:pt idx="14">
                  <c:v>27.060076100286732</c:v>
                </c:pt>
                <c:pt idx="15">
                  <c:v>27.249115326776415</c:v>
                </c:pt>
                <c:pt idx="16">
                  <c:v>27.414420779353442</c:v>
                </c:pt>
                <c:pt idx="17">
                  <c:v>27.559558185544443</c:v>
                </c:pt>
              </c:numCache>
            </c:numRef>
          </c:val>
          <c:smooth val="0"/>
          <c:extLst>
            <c:ext xmlns:c16="http://schemas.microsoft.com/office/drawing/2014/chart" uri="{C3380CC4-5D6E-409C-BE32-E72D297353CC}">
              <c16:uniqueId val="{00000000-52B5-4D48-B17E-0294C8EFDCE3}"/>
            </c:ext>
          </c:extLst>
        </c:ser>
        <c:dLbls>
          <c:showLegendKey val="0"/>
          <c:showVal val="0"/>
          <c:showCatName val="0"/>
          <c:showSerName val="0"/>
          <c:showPercent val="0"/>
          <c:showBubbleSize val="0"/>
        </c:dLbls>
        <c:marker val="1"/>
        <c:smooth val="0"/>
        <c:axId val="696926223"/>
        <c:axId val="695489599"/>
      </c:lineChart>
      <c:catAx>
        <c:axId val="69692622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5489599"/>
        <c:crosses val="autoZero"/>
        <c:auto val="1"/>
        <c:lblAlgn val="ctr"/>
        <c:lblOffset val="100"/>
        <c:noMultiLvlLbl val="0"/>
      </c:catAx>
      <c:valAx>
        <c:axId val="695489599"/>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696926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v>S</c:v>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Foglio1!$C$263:$C$280</c:f>
              <c:numCache>
                <c:formatCode>General</c:formatCode>
                <c:ptCount val="18"/>
                <c:pt idx="0">
                  <c:v>300</c:v>
                </c:pt>
                <c:pt idx="1">
                  <c:v>400</c:v>
                </c:pt>
                <c:pt idx="2">
                  <c:v>500</c:v>
                </c:pt>
                <c:pt idx="3">
                  <c:v>600</c:v>
                </c:pt>
                <c:pt idx="4">
                  <c:v>700</c:v>
                </c:pt>
                <c:pt idx="5">
                  <c:v>800</c:v>
                </c:pt>
                <c:pt idx="6">
                  <c:v>900</c:v>
                </c:pt>
                <c:pt idx="7">
                  <c:v>1000</c:v>
                </c:pt>
                <c:pt idx="8">
                  <c:v>1100</c:v>
                </c:pt>
                <c:pt idx="9">
                  <c:v>1200</c:v>
                </c:pt>
                <c:pt idx="10">
                  <c:v>1300</c:v>
                </c:pt>
                <c:pt idx="11">
                  <c:v>1400</c:v>
                </c:pt>
                <c:pt idx="12">
                  <c:v>1500</c:v>
                </c:pt>
                <c:pt idx="13">
                  <c:v>1600</c:v>
                </c:pt>
                <c:pt idx="14">
                  <c:v>1700</c:v>
                </c:pt>
                <c:pt idx="15">
                  <c:v>1800</c:v>
                </c:pt>
                <c:pt idx="16">
                  <c:v>1900</c:v>
                </c:pt>
                <c:pt idx="17">
                  <c:v>2000</c:v>
                </c:pt>
              </c:numCache>
            </c:numRef>
          </c:cat>
          <c:val>
            <c:numRef>
              <c:f>Foglio1!$J$263:$J$280</c:f>
              <c:numCache>
                <c:formatCode>0.00E+00</c:formatCode>
                <c:ptCount val="18"/>
                <c:pt idx="0">
                  <c:v>211.2616746109241</c:v>
                </c:pt>
                <c:pt idx="1">
                  <c:v>219.65777327554738</c:v>
                </c:pt>
                <c:pt idx="2">
                  <c:v>226.2325214402685</c:v>
                </c:pt>
                <c:pt idx="3">
                  <c:v>231.696960811575</c:v>
                </c:pt>
                <c:pt idx="4">
                  <c:v>236.41789280679976</c:v>
                </c:pt>
                <c:pt idx="5">
                  <c:v>240.60107650376727</c:v>
                </c:pt>
                <c:pt idx="6">
                  <c:v>244.37111823233684</c:v>
                </c:pt>
                <c:pt idx="7">
                  <c:v>247.80932582267951</c:v>
                </c:pt>
                <c:pt idx="8">
                  <c:v>250.97243172366655</c:v>
                </c:pt>
                <c:pt idx="9">
                  <c:v>253.90226415944818</c:v>
                </c:pt>
                <c:pt idx="10">
                  <c:v>256.63100697606933</c:v>
                </c:pt>
                <c:pt idx="11">
                  <c:v>259.18423006119343</c:v>
                </c:pt>
                <c:pt idx="12">
                  <c:v>261.58274170605875</c:v>
                </c:pt>
                <c:pt idx="13">
                  <c:v>263.84378632962671</c:v>
                </c:pt>
                <c:pt idx="14">
                  <c:v>265.98185867598818</c:v>
                </c:pt>
                <c:pt idx="15">
                  <c:v>268.00928129786894</c:v>
                </c:pt>
                <c:pt idx="16">
                  <c:v>269.93662866242767</c:v>
                </c:pt>
                <c:pt idx="17">
                  <c:v>271.77304748154501</c:v>
                </c:pt>
              </c:numCache>
            </c:numRef>
          </c:val>
          <c:smooth val="0"/>
          <c:extLst>
            <c:ext xmlns:c16="http://schemas.microsoft.com/office/drawing/2014/chart" uri="{C3380CC4-5D6E-409C-BE32-E72D297353CC}">
              <c16:uniqueId val="{00000000-0AE4-EE4D-B5AC-7089D9138EF2}"/>
            </c:ext>
          </c:extLst>
        </c:ser>
        <c:dLbls>
          <c:showLegendKey val="0"/>
          <c:showVal val="0"/>
          <c:showCatName val="0"/>
          <c:showSerName val="0"/>
          <c:showPercent val="0"/>
          <c:showBubbleSize val="0"/>
        </c:dLbls>
        <c:marker val="1"/>
        <c:smooth val="0"/>
        <c:axId val="751585951"/>
        <c:axId val="751706911"/>
      </c:lineChart>
      <c:catAx>
        <c:axId val="75158595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706911"/>
        <c:crosses val="autoZero"/>
        <c:auto val="1"/>
        <c:lblAlgn val="ctr"/>
        <c:lblOffset val="100"/>
        <c:noMultiLvlLbl val="0"/>
      </c:catAx>
      <c:valAx>
        <c:axId val="751706911"/>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crossAx val="75158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334945</xdr:colOff>
      <xdr:row>26</xdr:row>
      <xdr:rowOff>139561</xdr:rowOff>
    </xdr:from>
    <xdr:to>
      <xdr:col>5</xdr:col>
      <xdr:colOff>181429</xdr:colOff>
      <xdr:row>26</xdr:row>
      <xdr:rowOff>139561</xdr:rowOff>
    </xdr:to>
    <xdr:cxnSp macro="">
      <xdr:nvCxnSpPr>
        <xdr:cNvPr id="3" name="Straight Arrow Connector 2">
          <a:extLst>
            <a:ext uri="{FF2B5EF4-FFF2-40B4-BE49-F238E27FC236}">
              <a16:creationId xmlns:a16="http://schemas.microsoft.com/office/drawing/2014/main" id="{766F5F82-436A-8994-0E1F-F8E2292BCD21}"/>
            </a:ext>
          </a:extLst>
        </xdr:cNvPr>
        <xdr:cNvCxnSpPr/>
      </xdr:nvCxnSpPr>
      <xdr:spPr>
        <a:xfrm>
          <a:off x="4884615" y="6852418"/>
          <a:ext cx="1004836"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291961</xdr:colOff>
      <xdr:row>30</xdr:row>
      <xdr:rowOff>138445</xdr:rowOff>
    </xdr:from>
    <xdr:to>
      <xdr:col>5</xdr:col>
      <xdr:colOff>138445</xdr:colOff>
      <xdr:row>30</xdr:row>
      <xdr:rowOff>138445</xdr:rowOff>
    </xdr:to>
    <xdr:cxnSp macro="">
      <xdr:nvCxnSpPr>
        <xdr:cNvPr id="4" name="Straight Arrow Connector 3">
          <a:extLst>
            <a:ext uri="{FF2B5EF4-FFF2-40B4-BE49-F238E27FC236}">
              <a16:creationId xmlns:a16="http://schemas.microsoft.com/office/drawing/2014/main" id="{FC066E15-6264-AB42-85A1-CD3F24F9109C}"/>
            </a:ext>
          </a:extLst>
        </xdr:cNvPr>
        <xdr:cNvCxnSpPr/>
      </xdr:nvCxnSpPr>
      <xdr:spPr>
        <a:xfrm>
          <a:off x="4841631" y="7856137"/>
          <a:ext cx="1004836"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63430</xdr:colOff>
      <xdr:row>29</xdr:row>
      <xdr:rowOff>165101</xdr:rowOff>
    </xdr:from>
    <xdr:ext cx="1638370" cy="401457"/>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3FE1A5FC-FCCE-FB02-A192-3A288D40302D}"/>
                </a:ext>
              </a:extLst>
            </xdr:cNvPr>
            <xdr:cNvSpPr txBox="1"/>
          </xdr:nvSpPr>
          <xdr:spPr>
            <a:xfrm>
              <a:off x="5778430" y="76327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rPr>
                          <m:t>𝐵</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den>
                    </m:f>
                    <m:r>
                      <a:rPr lang="it-IT" sz="1300" b="0" i="1">
                        <a:latin typeface="Cambria Math" panose="02040503050406030204" pitchFamily="18" charset="0"/>
                      </a:rPr>
                      <m:t>=</m:t>
                    </m:r>
                    <m:f>
                      <m:fPr>
                        <m:ctrlPr>
                          <a:rPr lang="it-IT" sz="1300" b="0" i="1">
                            <a:latin typeface="Cambria Math" panose="02040503050406030204" pitchFamily="18" charset="0"/>
                          </a:rPr>
                        </m:ctrlPr>
                      </m:fPr>
                      <m:num>
                        <m:sSup>
                          <m:sSupPr>
                            <m:ctrlPr>
                              <a:rPr lang="it-IT" sz="1300" b="0" i="1">
                                <a:latin typeface="Cambria Math" panose="02040503050406030204" pitchFamily="18" charset="0"/>
                                <a:ea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ℏ</m:t>
                            </m:r>
                          </m:e>
                          <m:sup>
                            <m:r>
                              <a:rPr lang="it-IT" sz="1300" b="0" i="1">
                                <a:latin typeface="Cambria Math" panose="02040503050406030204" pitchFamily="18" charset="0"/>
                                <a:ea typeface="Cambria Math" panose="02040503050406030204" pitchFamily="18" charset="0"/>
                              </a:rPr>
                              <m:t>2</m:t>
                            </m:r>
                          </m:sup>
                        </m:sSup>
                      </m:num>
                      <m:den>
                        <m:r>
                          <a:rPr lang="it-IT" sz="1300" b="0" i="1">
                            <a:latin typeface="Cambria Math" panose="02040503050406030204" pitchFamily="18" charset="0"/>
                          </a:rPr>
                          <m:t>2</m:t>
                        </m:r>
                        <m:r>
                          <a:rPr lang="it-IT" sz="1300" b="0" i="1">
                            <a:latin typeface="Cambria Math" panose="02040503050406030204" pitchFamily="18" charset="0"/>
                          </a:rPr>
                          <m:t>𝐼</m:t>
                        </m:r>
                      </m:den>
                    </m:f>
                  </m:oMath>
                </m:oMathPara>
              </a14:m>
              <a:endParaRPr lang="en-US" sz="1300"/>
            </a:p>
          </xdr:txBody>
        </xdr:sp>
      </mc:Choice>
      <mc:Fallback xmlns="">
        <xdr:sp macro="" textlink="">
          <xdr:nvSpPr>
            <xdr:cNvPr id="5" name="TextBox 4">
              <a:extLst>
                <a:ext uri="{FF2B5EF4-FFF2-40B4-BE49-F238E27FC236}">
                  <a16:creationId xmlns:a16="http://schemas.microsoft.com/office/drawing/2014/main" id="{3FE1A5FC-FCCE-FB02-A192-3A288D40302D}"/>
                </a:ext>
              </a:extLst>
            </xdr:cNvPr>
            <xdr:cNvSpPr txBox="1"/>
          </xdr:nvSpPr>
          <xdr:spPr>
            <a:xfrm>
              <a:off x="5778430" y="7632701"/>
              <a:ext cx="1638370" cy="40145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it-IT" sz="1300" b="0" i="0">
                  <a:latin typeface="Cambria Math" panose="02040503050406030204" pitchFamily="18" charset="0"/>
                </a:rPr>
                <a:t>𝐵_𝑟𝑜𝑡=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a:t>
              </a:r>
              <a:r>
                <a:rPr lang="it-IT" sz="1300" b="0" i="0">
                  <a:latin typeface="Cambria Math" panose="02040503050406030204" pitchFamily="18" charset="0"/>
                </a:rPr>
                <a:t>=</a:t>
              </a:r>
              <a:r>
                <a:rPr lang="it-IT" sz="1300" b="0" i="0">
                  <a:latin typeface="Cambria Math" panose="02040503050406030204" pitchFamily="18" charset="0"/>
                  <a:ea typeface="Cambria Math" panose="02040503050406030204" pitchFamily="18" charset="0"/>
                </a:rPr>
                <a:t>ℏ^2/</a:t>
              </a:r>
              <a:r>
                <a:rPr lang="it-IT" sz="1300" b="0" i="0">
                  <a:latin typeface="Cambria Math" panose="02040503050406030204" pitchFamily="18" charset="0"/>
                </a:rPr>
                <a:t>2𝐼</a:t>
              </a:r>
              <a:endParaRPr lang="en-US" sz="1300"/>
            </a:p>
          </xdr:txBody>
        </xdr:sp>
      </mc:Fallback>
    </mc:AlternateContent>
    <xdr:clientData/>
  </xdr:oneCellAnchor>
  <xdr:oneCellAnchor>
    <xdr:from>
      <xdr:col>5</xdr:col>
      <xdr:colOff>102893</xdr:colOff>
      <xdr:row>25</xdr:row>
      <xdr:rowOff>141854</xdr:rowOff>
    </xdr:from>
    <xdr:ext cx="1638370" cy="434158"/>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317AFD58-36FD-3744-92CB-B88AC3B992E7}"/>
                </a:ext>
              </a:extLst>
            </xdr:cNvPr>
            <xdr:cNvSpPr txBox="1"/>
          </xdr:nvSpPr>
          <xdr:spPr>
            <a:xfrm>
              <a:off x="5821481" y="6577956"/>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it-IT" sz="1300" b="0" i="1">
                            <a:latin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𝜃</m:t>
                        </m:r>
                      </m:e>
                      <m:sub>
                        <m:r>
                          <a:rPr lang="it-IT" sz="1300" b="0" i="1">
                            <a:latin typeface="Cambria Math" panose="02040503050406030204" pitchFamily="18" charset="0"/>
                          </a:rPr>
                          <m:t>𝑟𝑜𝑡</m:t>
                        </m:r>
                      </m:sub>
                    </m:sSub>
                    <m:r>
                      <a:rPr lang="it-IT" sz="1300" b="0" i="1">
                        <a:latin typeface="Cambria Math" panose="02040503050406030204" pitchFamily="18" charset="0"/>
                      </a:rPr>
                      <m:t>= </m:t>
                    </m:r>
                    <m:f>
                      <m:fPr>
                        <m:ctrlPr>
                          <a:rPr lang="it-IT" sz="1300" b="0" i="1">
                            <a:latin typeface="Cambria Math" panose="02040503050406030204" pitchFamily="18" charset="0"/>
                          </a:rPr>
                        </m:ctrlPr>
                      </m:fPr>
                      <m:num>
                        <m:sSup>
                          <m:sSupPr>
                            <m:ctrlPr>
                              <a:rPr lang="it-IT" sz="1300" b="0" i="1">
                                <a:latin typeface="Cambria Math" panose="02040503050406030204" pitchFamily="18" charset="0"/>
                              </a:rPr>
                            </m:ctrlPr>
                          </m:sSupPr>
                          <m:e>
                            <m:r>
                              <a:rPr lang="it-IT" sz="1300" b="0" i="1">
                                <a:latin typeface="Cambria Math" panose="02040503050406030204" pitchFamily="18" charset="0"/>
                              </a:rPr>
                              <m:t>h</m:t>
                            </m:r>
                          </m:e>
                          <m:sup>
                            <m:r>
                              <a:rPr lang="it-IT" sz="1300" b="0" i="1">
                                <a:latin typeface="Cambria Math" panose="02040503050406030204" pitchFamily="18" charset="0"/>
                              </a:rPr>
                              <m:t>2</m:t>
                            </m:r>
                          </m:sup>
                        </m:sSup>
                      </m:num>
                      <m:den>
                        <m:r>
                          <a:rPr lang="it-IT" sz="1300" b="0" i="1">
                            <a:latin typeface="Cambria Math" panose="02040503050406030204" pitchFamily="18" charset="0"/>
                          </a:rPr>
                          <m:t>8</m:t>
                        </m:r>
                        <m:sSup>
                          <m:sSupPr>
                            <m:ctrlPr>
                              <a:rPr lang="it-IT" sz="1300" b="0" i="1">
                                <a:latin typeface="Cambria Math" panose="02040503050406030204" pitchFamily="18" charset="0"/>
                              </a:rPr>
                            </m:ctrlPr>
                          </m:sSupPr>
                          <m:e>
                            <m:r>
                              <a:rPr lang="it-IT" sz="1300" b="0" i="1">
                                <a:latin typeface="Cambria Math" panose="02040503050406030204" pitchFamily="18" charset="0"/>
                                <a:ea typeface="Cambria Math" panose="02040503050406030204" pitchFamily="18" charset="0"/>
                              </a:rPr>
                              <m:t>𝜋</m:t>
                            </m:r>
                          </m:e>
                          <m:sup>
                            <m:r>
                              <a:rPr lang="it-IT" sz="1300" b="0" i="1">
                                <a:latin typeface="Cambria Math" panose="02040503050406030204" pitchFamily="18" charset="0"/>
                              </a:rPr>
                              <m:t>2</m:t>
                            </m:r>
                          </m:sup>
                        </m:sSup>
                        <m:r>
                          <a:rPr lang="it-IT" sz="1300" b="0" i="1">
                            <a:latin typeface="Cambria Math" panose="02040503050406030204" pitchFamily="18" charset="0"/>
                            <a:ea typeface="Cambria Math" panose="02040503050406030204" pitchFamily="18" charset="0"/>
                          </a:rPr>
                          <m:t>𝐼</m:t>
                        </m:r>
                        <m:r>
                          <a:rPr lang="it-IT" sz="1300" b="0" i="1">
                            <a:latin typeface="Cambria Math" panose="02040503050406030204" pitchFamily="18" charset="0"/>
                            <a:ea typeface="Cambria Math" panose="02040503050406030204" pitchFamily="18" charset="0"/>
                          </a:rPr>
                          <m:t> </m:t>
                        </m:r>
                        <m:sSub>
                          <m:sSubPr>
                            <m:ctrlPr>
                              <a:rPr lang="it-IT" sz="1300" b="0" i="1">
                                <a:latin typeface="Cambria Math" panose="02040503050406030204" pitchFamily="18" charset="0"/>
                                <a:ea typeface="Cambria Math" panose="02040503050406030204" pitchFamily="18" charset="0"/>
                              </a:rPr>
                            </m:ctrlPr>
                          </m:sSubPr>
                          <m:e>
                            <m:r>
                              <a:rPr lang="it-IT" sz="1300" b="0" i="1">
                                <a:latin typeface="Cambria Math" panose="02040503050406030204" pitchFamily="18" charset="0"/>
                                <a:ea typeface="Cambria Math" panose="02040503050406030204" pitchFamily="18" charset="0"/>
                              </a:rPr>
                              <m:t>𝑘</m:t>
                            </m:r>
                          </m:e>
                          <m:sub>
                            <m:r>
                              <a:rPr lang="it-IT" sz="1300" b="0" i="1">
                                <a:latin typeface="Cambria Math" panose="02040503050406030204" pitchFamily="18" charset="0"/>
                                <a:ea typeface="Cambria Math" panose="02040503050406030204" pitchFamily="18" charset="0"/>
                              </a:rPr>
                              <m:t>𝑏</m:t>
                            </m:r>
                          </m:sub>
                        </m:sSub>
                      </m:den>
                    </m:f>
                  </m:oMath>
                </m:oMathPara>
              </a14:m>
              <a:endParaRPr lang="en-US" sz="1300"/>
            </a:p>
          </xdr:txBody>
        </xdr:sp>
      </mc:Choice>
      <mc:Fallback xmlns="">
        <xdr:sp macro="" textlink="">
          <xdr:nvSpPr>
            <xdr:cNvPr id="6" name="TextBox 5">
              <a:extLst>
                <a:ext uri="{FF2B5EF4-FFF2-40B4-BE49-F238E27FC236}">
                  <a16:creationId xmlns:a16="http://schemas.microsoft.com/office/drawing/2014/main" id="{317AFD58-36FD-3744-92CB-B88AC3B992E7}"/>
                </a:ext>
              </a:extLst>
            </xdr:cNvPr>
            <xdr:cNvSpPr txBox="1"/>
          </xdr:nvSpPr>
          <xdr:spPr>
            <a:xfrm>
              <a:off x="5821481" y="6577956"/>
              <a:ext cx="1638370" cy="4341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it-IT" sz="1300" b="0" i="0">
                  <a:latin typeface="Cambria Math" panose="02040503050406030204" pitchFamily="18" charset="0"/>
                  <a:ea typeface="Cambria Math" panose="02040503050406030204" pitchFamily="18" charset="0"/>
                </a:rPr>
                <a:t>𝜃_</a:t>
              </a:r>
              <a:r>
                <a:rPr lang="it-IT" sz="1300" b="0" i="0">
                  <a:latin typeface="Cambria Math" panose="02040503050406030204" pitchFamily="18" charset="0"/>
                </a:rPr>
                <a:t>𝑟𝑜𝑡=  ℎ^2/(8</a:t>
              </a:r>
              <a:r>
                <a:rPr lang="it-IT" sz="1300" b="0" i="0">
                  <a:latin typeface="Cambria Math" panose="02040503050406030204" pitchFamily="18" charset="0"/>
                  <a:ea typeface="Cambria Math" panose="02040503050406030204" pitchFamily="18" charset="0"/>
                </a:rPr>
                <a:t>𝜋^</a:t>
              </a:r>
              <a:r>
                <a:rPr lang="it-IT" sz="1300" b="0" i="0">
                  <a:latin typeface="Cambria Math" panose="02040503050406030204" pitchFamily="18" charset="0"/>
                </a:rPr>
                <a:t>2</a:t>
              </a:r>
              <a:r>
                <a:rPr lang="it-IT" sz="1300" b="0" i="0">
                  <a:latin typeface="Cambria Math" panose="02040503050406030204" pitchFamily="18" charset="0"/>
                  <a:ea typeface="Cambria Math" panose="02040503050406030204" pitchFamily="18" charset="0"/>
                </a:rPr>
                <a:t> 𝐼 𝑘_𝑏 )</a:t>
              </a:r>
              <a:endParaRPr lang="en-US" sz="1300"/>
            </a:p>
          </xdr:txBody>
        </xdr:sp>
      </mc:Fallback>
    </mc:AlternateContent>
    <xdr:clientData/>
  </xdr:oneCellAnchor>
  <xdr:twoCellAnchor>
    <xdr:from>
      <xdr:col>4</xdr:col>
      <xdr:colOff>452528</xdr:colOff>
      <xdr:row>55</xdr:row>
      <xdr:rowOff>131380</xdr:rowOff>
    </xdr:from>
    <xdr:to>
      <xdr:col>6</xdr:col>
      <xdr:colOff>613104</xdr:colOff>
      <xdr:row>55</xdr:row>
      <xdr:rowOff>145977</xdr:rowOff>
    </xdr:to>
    <xdr:cxnSp macro="">
      <xdr:nvCxnSpPr>
        <xdr:cNvPr id="8" name="Straight Arrow Connector 7">
          <a:extLst>
            <a:ext uri="{FF2B5EF4-FFF2-40B4-BE49-F238E27FC236}">
              <a16:creationId xmlns:a16="http://schemas.microsoft.com/office/drawing/2014/main" id="{7C23EF24-EB71-B31E-610D-8C9F4E0E7443}"/>
            </a:ext>
          </a:extLst>
        </xdr:cNvPr>
        <xdr:cNvCxnSpPr/>
      </xdr:nvCxnSpPr>
      <xdr:spPr>
        <a:xfrm>
          <a:off x="6174827" y="14641495"/>
          <a:ext cx="2233449"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53</xdr:row>
      <xdr:rowOff>179868</xdr:rowOff>
    </xdr:from>
    <xdr:ext cx="2143857" cy="608821"/>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6119A546-FE4D-41A7-DAEE-D73F3D41161C}"/>
                </a:ext>
              </a:extLst>
            </xdr:cNvPr>
            <xdr:cNvSpPr txBox="1"/>
          </xdr:nvSpPr>
          <xdr:spPr>
            <a:xfrm>
              <a:off x="9487588" y="14223705"/>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
                      <a:rPr lang="it-IT" sz="1600" b="0" i="1">
                        <a:latin typeface="Cambria Math" panose="02040503050406030204" pitchFamily="18" charset="0"/>
                      </a:rPr>
                      <m:t>𝑉</m:t>
                    </m:r>
                  </m:oMath>
                </m:oMathPara>
              </a14:m>
              <a:endParaRPr lang="en-US" sz="1600"/>
            </a:p>
          </xdr:txBody>
        </xdr:sp>
      </mc:Choice>
      <mc:Fallback xmlns="">
        <xdr:sp macro="" textlink="">
          <xdr:nvSpPr>
            <xdr:cNvPr id="9" name="TextBox 8">
              <a:extLst>
                <a:ext uri="{FF2B5EF4-FFF2-40B4-BE49-F238E27FC236}">
                  <a16:creationId xmlns:a16="http://schemas.microsoft.com/office/drawing/2014/main" id="{6119A546-FE4D-41A7-DAEE-D73F3D41161C}"/>
                </a:ext>
              </a:extLst>
            </xdr:cNvPr>
            <xdr:cNvSpPr txBox="1"/>
          </xdr:nvSpPr>
          <xdr:spPr>
            <a:xfrm>
              <a:off x="9487588" y="14223705"/>
              <a:ext cx="2143857"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 𝑉</a:t>
              </a:r>
              <a:endParaRPr lang="en-US" sz="1600"/>
            </a:p>
          </xdr:txBody>
        </xdr:sp>
      </mc:Fallback>
    </mc:AlternateContent>
    <xdr:clientData/>
  </xdr:oneCellAnchor>
  <xdr:oneCellAnchor>
    <xdr:from>
      <xdr:col>7</xdr:col>
      <xdr:colOff>104790</xdr:colOff>
      <xdr:row>56</xdr:row>
      <xdr:rowOff>61497</xdr:rowOff>
    </xdr:from>
    <xdr:ext cx="2729209" cy="608821"/>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97D28890-F7A6-EA2E-ADE5-230A24D51FB0}"/>
                </a:ext>
              </a:extLst>
            </xdr:cNvPr>
            <xdr:cNvSpPr txBox="1"/>
          </xdr:nvSpPr>
          <xdr:spPr>
            <a:xfrm>
              <a:off x="9467348" y="14932311"/>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en-US" sz="160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up>
                        <m:r>
                          <a:rPr lang="it-IT" sz="1600" b="0" i="1">
                            <a:latin typeface="Cambria Math" panose="02040503050406030204" pitchFamily="18" charset="0"/>
                          </a:rPr>
                          <m:t>𝑢𝑑𝑣</m:t>
                        </m:r>
                      </m:sup>
                    </m:sSubSup>
                    <m:r>
                      <a:rPr lang="it-IT" sz="1600" b="0" i="1">
                        <a:latin typeface="Cambria Math" panose="02040503050406030204" pitchFamily="18" charset="0"/>
                      </a:rPr>
                      <m:t>=</m:t>
                    </m:r>
                    <m:f>
                      <m:fPr>
                        <m:ctrlPr>
                          <a:rPr lang="it-IT" sz="1600" b="0" i="1">
                            <a:latin typeface="Cambria Math" panose="02040503050406030204" pitchFamily="18" charset="0"/>
                          </a:rPr>
                        </m:ctrlPr>
                      </m:fPr>
                      <m:num>
                        <m:sSub>
                          <m:sSubPr>
                            <m:ctrlPr>
                              <a:rPr lang="it-IT" sz="1600" b="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𝑡𝑟𝑎𝑠𝑙</m:t>
                            </m:r>
                          </m:sub>
                        </m:sSub>
                      </m:num>
                      <m:den>
                        <m:r>
                          <a:rPr lang="it-IT" sz="1600" b="0" i="1">
                            <a:latin typeface="Cambria Math" panose="02040503050406030204" pitchFamily="18" charset="0"/>
                          </a:rPr>
                          <m:t>𝑉</m:t>
                        </m:r>
                      </m:den>
                    </m:f>
                    <m:r>
                      <a:rPr lang="it-IT" sz="1600" b="0" i="1">
                        <a:latin typeface="Cambria Math" panose="02040503050406030204" pitchFamily="18" charset="0"/>
                      </a:rPr>
                      <m:t>=</m:t>
                    </m:r>
                    <m:sSup>
                      <m:sSupPr>
                        <m:ctrlPr>
                          <a:rPr lang="it-IT" sz="1600" b="0" i="1">
                            <a:latin typeface="Cambria Math" panose="02040503050406030204" pitchFamily="18" charset="0"/>
                          </a:rPr>
                        </m:ctrlPr>
                      </m:sSupPr>
                      <m:e>
                        <m:r>
                          <a:rPr lang="it-IT" sz="1600" b="0" i="1">
                            <a:latin typeface="Cambria Math" panose="02040503050406030204" pitchFamily="18" charset="0"/>
                          </a:rPr>
                          <m:t> </m:t>
                        </m:r>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r>
                                  <a:rPr lang="it-IT" sz="1600" b="0" i="1">
                                    <a:latin typeface="Cambria Math" panose="02040503050406030204" pitchFamily="18" charset="0"/>
                                    <a:ea typeface="Cambria Math" panose="02040503050406030204" pitchFamily="18" charset="0"/>
                                  </a:rPr>
                                  <m:t>𝑚</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num>
                              <m:den>
                                <m:sSup>
                                  <m:sSupPr>
                                    <m:ctrlPr>
                                      <a:rPr lang="it-IT" sz="1600" b="0" i="1">
                                        <a:latin typeface="Cambria Math" panose="02040503050406030204" pitchFamily="18" charset="0"/>
                                      </a:rPr>
                                    </m:ctrlPr>
                                  </m:sSupPr>
                                  <m:e>
                                    <m:r>
                                      <a:rPr lang="it-IT" sz="1600" b="0" i="1">
                                        <a:latin typeface="Cambria Math" panose="02040503050406030204" pitchFamily="18" charset="0"/>
                                      </a:rPr>
                                      <m:t>h</m:t>
                                    </m:r>
                                  </m:e>
                                  <m:sup>
                                    <m:r>
                                      <a:rPr lang="it-IT" sz="1600" b="0" i="1">
                                        <a:latin typeface="Cambria Math" panose="02040503050406030204" pitchFamily="18" charset="0"/>
                                      </a:rPr>
                                      <m:t>2</m:t>
                                    </m:r>
                                  </m:sup>
                                </m:sSup>
                              </m:den>
                            </m:f>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oMath>
                </m:oMathPara>
              </a14:m>
              <a:endParaRPr lang="en-US" sz="1600"/>
            </a:p>
          </xdr:txBody>
        </xdr:sp>
      </mc:Choice>
      <mc:Fallback xmlns="">
        <xdr:sp macro="" textlink="">
          <xdr:nvSpPr>
            <xdr:cNvPr id="10" name="TextBox 9">
              <a:extLst>
                <a:ext uri="{FF2B5EF4-FFF2-40B4-BE49-F238E27FC236}">
                  <a16:creationId xmlns:a16="http://schemas.microsoft.com/office/drawing/2014/main" id="{97D28890-F7A6-EA2E-ADE5-230A24D51FB0}"/>
                </a:ext>
              </a:extLst>
            </xdr:cNvPr>
            <xdr:cNvSpPr txBox="1"/>
          </xdr:nvSpPr>
          <xdr:spPr>
            <a:xfrm>
              <a:off x="9467348" y="14932311"/>
              <a:ext cx="2729209" cy="608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a:t>
              </a:r>
              <a:r>
                <a:rPr lang="en-US" sz="1600" b="0" i="0">
                  <a:latin typeface="Cambria Math" panose="02040503050406030204" pitchFamily="18" charset="0"/>
                </a:rPr>
                <a:t>^</a:t>
              </a:r>
              <a:r>
                <a:rPr lang="it-IT" sz="1600" b="0" i="0">
                  <a:latin typeface="Cambria Math" panose="02040503050406030204" pitchFamily="18" charset="0"/>
                </a:rPr>
                <a:t>𝑢𝑑𝑣=𝑄_𝑡𝑟𝑎𝑠𝑙/𝑉=〖 ((2</a:t>
              </a:r>
              <a:r>
                <a:rPr lang="it-IT" sz="1600" b="0" i="0">
                  <a:latin typeface="Cambria Math" panose="02040503050406030204" pitchFamily="18" charset="0"/>
                  <a:ea typeface="Cambria Math" panose="02040503050406030204" pitchFamily="18" charset="0"/>
                </a:rPr>
                <a:t>𝜋𝑚𝑘_𝑏 𝑇)/</a:t>
              </a:r>
              <a:r>
                <a:rPr lang="it-IT" sz="1600" b="0" i="0">
                  <a:latin typeface="Cambria Math" panose="02040503050406030204" pitchFamily="18" charset="0"/>
                </a:rPr>
                <a:t>ℎ^2 )〗^(3/2)</a:t>
              </a:r>
              <a:endParaRPr lang="en-US" sz="1600"/>
            </a:p>
          </xdr:txBody>
        </xdr:sp>
      </mc:Fallback>
    </mc:AlternateContent>
    <xdr:clientData/>
  </xdr:oneCellAnchor>
  <xdr:twoCellAnchor>
    <xdr:from>
      <xdr:col>6</xdr:col>
      <xdr:colOff>750454</xdr:colOff>
      <xdr:row>54</xdr:row>
      <xdr:rowOff>72159</xdr:rowOff>
    </xdr:from>
    <xdr:to>
      <xdr:col>7</xdr:col>
      <xdr:colOff>137102</xdr:colOff>
      <xdr:row>58</xdr:row>
      <xdr:rowOff>202046</xdr:rowOff>
    </xdr:to>
    <xdr:sp macro="" textlink="">
      <xdr:nvSpPr>
        <xdr:cNvPr id="11" name="Left Brace 10">
          <a:extLst>
            <a:ext uri="{FF2B5EF4-FFF2-40B4-BE49-F238E27FC236}">
              <a16:creationId xmlns:a16="http://schemas.microsoft.com/office/drawing/2014/main" id="{DE281D51-0CC5-F420-F131-39C062F376A2}"/>
            </a:ext>
          </a:extLst>
        </xdr:cNvPr>
        <xdr:cNvSpPr/>
      </xdr:nvSpPr>
      <xdr:spPr>
        <a:xfrm>
          <a:off x="8536420" y="14287500"/>
          <a:ext cx="209262" cy="1212273"/>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760147</xdr:colOff>
      <xdr:row>54</xdr:row>
      <xdr:rowOff>185401</xdr:rowOff>
    </xdr:from>
    <xdr:to>
      <xdr:col>14</xdr:col>
      <xdr:colOff>1079500</xdr:colOff>
      <xdr:row>59</xdr:row>
      <xdr:rowOff>83431</xdr:rowOff>
    </xdr:to>
    <mc:AlternateContent xmlns:mc="http://schemas.openxmlformats.org/markup-compatibility/2006" xmlns:a14="http://schemas.microsoft.com/office/drawing/2010/main">
      <mc:Choice Requires="a14">
        <xdr:sp macro="" textlink="">
          <xdr:nvSpPr>
            <xdr:cNvPr id="12" name="Rectangle 11">
              <a:extLst>
                <a:ext uri="{FF2B5EF4-FFF2-40B4-BE49-F238E27FC236}">
                  <a16:creationId xmlns:a16="http://schemas.microsoft.com/office/drawing/2014/main" id="{BBD0CB15-B802-6A87-5143-A19BFEC92D3B}"/>
                </a:ext>
              </a:extLst>
            </xdr:cNvPr>
            <xdr:cNvSpPr/>
          </xdr:nvSpPr>
          <xdr:spPr>
            <a:xfrm>
              <a:off x="12312691" y="14678997"/>
              <a:ext cx="3739441" cy="12237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14:m>
                <m:oMath xmlns:m="http://schemas.openxmlformats.org/officeDocument/2006/math">
                  <m:r>
                    <a:rPr lang="it-IT" sz="1100" b="0" i="1" baseline="0">
                      <a:latin typeface="Cambria Math" panose="02040503050406030204" pitchFamily="18" charset="0"/>
                    </a:rPr>
                    <m:t>𝑃𝑉</m:t>
                  </m:r>
                  <m:r>
                    <a:rPr lang="it-IT" sz="1100" b="0" i="1" baseline="0">
                      <a:latin typeface="Cambria Math" panose="02040503050406030204" pitchFamily="18" charset="0"/>
                    </a:rPr>
                    <m:t>=</m:t>
                  </m:r>
                  <m:r>
                    <a:rPr lang="it-IT" sz="1100" b="0" i="1" baseline="0">
                      <a:latin typeface="Cambria Math" panose="02040503050406030204" pitchFamily="18" charset="0"/>
                    </a:rPr>
                    <m:t>𝑁𝑅𝑇</m:t>
                  </m:r>
                  <m:r>
                    <a:rPr lang="it-IT" sz="1100" b="0" i="1" baseline="0">
                      <a:latin typeface="Cambria Math" panose="02040503050406030204" pitchFamily="18" charset="0"/>
                    </a:rPr>
                    <m:t>=</m:t>
                  </m:r>
                  <m:d>
                    <m:dPr>
                      <m:ctrlPr>
                        <a:rPr lang="it-IT" sz="1100" b="0" i="1" baseline="0">
                          <a:latin typeface="Cambria Math" panose="02040503050406030204" pitchFamily="18" charset="0"/>
                        </a:rPr>
                      </m:ctrlPr>
                    </m:dPr>
                    <m:e>
                      <m:f>
                        <m:fPr>
                          <m:ctrlPr>
                            <a:rPr lang="it-IT" sz="1100" b="0" i="1" baseline="0">
                              <a:latin typeface="Cambria Math" panose="02040503050406030204" pitchFamily="18" charset="0"/>
                            </a:rPr>
                          </m:ctrlPr>
                        </m:fPr>
                        <m:num>
                          <m:r>
                            <a:rPr lang="it-IT" sz="1100" b="0" i="1" baseline="0">
                              <a:latin typeface="Cambria Math" panose="02040503050406030204" pitchFamily="18" charset="0"/>
                            </a:rPr>
                            <m:t>𝑛</m:t>
                          </m:r>
                        </m:num>
                        <m:den>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den>
                      </m:f>
                    </m:e>
                  </m:d>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𝑁</m:t>
                      </m:r>
                    </m:e>
                    <m:sub>
                      <m:r>
                        <a:rPr lang="it-IT" sz="1100" b="0" i="1" baseline="0">
                          <a:latin typeface="Cambria Math" panose="02040503050406030204" pitchFamily="18" charset="0"/>
                        </a:rPr>
                        <m:t>𝐴</m:t>
                      </m:r>
                    </m:sub>
                  </m:sSub>
                  <m:sSub>
                    <m:sSubPr>
                      <m:ctrlPr>
                        <a:rPr lang="it-IT" sz="1100" b="0" i="1" baseline="0">
                          <a:latin typeface="Cambria Math" panose="02040503050406030204" pitchFamily="18" charset="0"/>
                        </a:rPr>
                      </m:ctrlPr>
                    </m:sSubPr>
                    <m:e>
                      <m:r>
                        <a:rPr lang="it-IT" sz="1100" b="0" i="1" baseline="0">
                          <a:latin typeface="Cambria Math" panose="02040503050406030204" pitchFamily="18" charset="0"/>
                        </a:rPr>
                        <m:t>𝑘</m:t>
                      </m:r>
                    </m:e>
                    <m:sub>
                      <m:r>
                        <a:rPr lang="it-IT" sz="1100" b="0" i="1" baseline="0">
                          <a:latin typeface="Cambria Math" panose="02040503050406030204" pitchFamily="18" charset="0"/>
                        </a:rPr>
                        <m:t>𝑏</m:t>
                      </m:r>
                    </m:sub>
                  </m:sSub>
                  <m:r>
                    <a:rPr lang="it-IT" sz="1100" b="0" i="1" baseline="0">
                      <a:latin typeface="Cambria Math" panose="02040503050406030204" pitchFamily="18" charset="0"/>
                    </a:rPr>
                    <m:t>𝑇</m:t>
                  </m:r>
                  <m:r>
                    <a:rPr lang="it-IT" sz="1100" b="0" i="1" baseline="0">
                      <a:latin typeface="Cambria Math" panose="02040503050406030204" pitchFamily="18" charset="0"/>
                    </a:rPr>
                    <m:t> →</m:t>
                  </m:r>
                  <m:r>
                    <a:rPr lang="it-IT" sz="1100" b="0" i="1" baseline="0">
                      <a:latin typeface="Cambria Math" panose="02040503050406030204" pitchFamily="18" charset="0"/>
                      <a:ea typeface="Cambria Math" panose="02040503050406030204" pitchFamily="18" charset="0"/>
                    </a:rPr>
                    <m:t>𝑉</m:t>
                  </m:r>
                  <m:r>
                    <a:rPr lang="it-IT" sz="1100" b="0" i="1" baseline="0">
                      <a:latin typeface="Cambria Math" panose="02040503050406030204" pitchFamily="18" charset="0"/>
                      <a:ea typeface="Cambria Math" panose="02040503050406030204" pitchFamily="18" charset="0"/>
                    </a:rPr>
                    <m:t>=</m:t>
                  </m:r>
                  <m:f>
                    <m:fPr>
                      <m:ctrlPr>
                        <a:rPr lang="it-IT" sz="1100" b="0" i="1" baseline="0">
                          <a:latin typeface="Cambria Math" panose="02040503050406030204" pitchFamily="18" charset="0"/>
                          <a:ea typeface="Cambria Math" panose="02040503050406030204" pitchFamily="18" charset="0"/>
                        </a:rPr>
                      </m:ctrlPr>
                    </m:fPr>
                    <m:num>
                      <m:sSub>
                        <m:sSubPr>
                          <m:ctrlPr>
                            <a:rPr lang="it-IT" sz="1100" b="0" i="1" baseline="0">
                              <a:latin typeface="Cambria Math" panose="02040503050406030204" pitchFamily="18" charset="0"/>
                              <a:ea typeface="Cambria Math" panose="02040503050406030204" pitchFamily="18" charset="0"/>
                            </a:rPr>
                          </m:ctrlPr>
                        </m:sSubPr>
                        <m:e>
                          <m:r>
                            <a:rPr lang="it-IT" sz="1100" b="0" i="1" baseline="0">
                              <a:latin typeface="Cambria Math" panose="02040503050406030204" pitchFamily="18" charset="0"/>
                              <a:ea typeface="Cambria Math" panose="02040503050406030204" pitchFamily="18" charset="0"/>
                            </a:rPr>
                            <m:t>𝑘</m:t>
                          </m:r>
                        </m:e>
                        <m:sub>
                          <m:r>
                            <a:rPr lang="it-IT" sz="1100" b="0" i="1" baseline="0">
                              <a:latin typeface="Cambria Math" panose="02040503050406030204" pitchFamily="18" charset="0"/>
                              <a:ea typeface="Cambria Math" panose="02040503050406030204" pitchFamily="18" charset="0"/>
                            </a:rPr>
                            <m:t>𝑏</m:t>
                          </m:r>
                        </m:sub>
                      </m:sSub>
                      <m:r>
                        <a:rPr lang="it-IT" sz="1100" b="0" i="1" baseline="0">
                          <a:latin typeface="Cambria Math" panose="02040503050406030204" pitchFamily="18" charset="0"/>
                          <a:ea typeface="Cambria Math" panose="02040503050406030204" pitchFamily="18" charset="0"/>
                        </a:rPr>
                        <m:t>𝑇</m:t>
                      </m:r>
                    </m:num>
                    <m:den>
                      <m:r>
                        <a:rPr lang="it-IT" sz="1100" b="0" i="1" baseline="0">
                          <a:latin typeface="Cambria Math" panose="02040503050406030204" pitchFamily="18" charset="0"/>
                          <a:ea typeface="Cambria Math" panose="02040503050406030204" pitchFamily="18" charset="0"/>
                        </a:rPr>
                        <m:t>𝑃</m:t>
                      </m:r>
                    </m:den>
                  </m:f>
                </m:oMath>
              </a14:m>
              <a:r>
                <a:rPr lang="en-US" sz="1100" b="1" baseline="0"/>
                <a:t>  </a:t>
              </a:r>
              <a:endParaRPr lang="en-US" sz="1100" b="1"/>
            </a:p>
          </xdr:txBody>
        </xdr:sp>
      </mc:Choice>
      <mc:Fallback xmlns="">
        <xdr:sp macro="" textlink="">
          <xdr:nvSpPr>
            <xdr:cNvPr id="12" name="Rectangle 11">
              <a:extLst>
                <a:ext uri="{FF2B5EF4-FFF2-40B4-BE49-F238E27FC236}">
                  <a16:creationId xmlns:a16="http://schemas.microsoft.com/office/drawing/2014/main" id="{BBD0CB15-B802-6A87-5143-A19BFEC92D3B}"/>
                </a:ext>
              </a:extLst>
            </xdr:cNvPr>
            <xdr:cNvSpPr/>
          </xdr:nvSpPr>
          <xdr:spPr>
            <a:xfrm>
              <a:off x="12312691" y="14678997"/>
              <a:ext cx="3739441" cy="12237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here</a:t>
              </a:r>
              <a:r>
                <a:rPr lang="en-US" sz="1100" baseline="0"/>
                <a:t> V is volume of the system considered (abc for a cubic volume).</a:t>
              </a:r>
            </a:p>
            <a:p>
              <a:pPr algn="l"/>
              <a:endParaRPr lang="en-US" sz="1100" baseline="0"/>
            </a:p>
            <a:p>
              <a:pPr algn="l"/>
              <a:r>
                <a:rPr lang="en-US" sz="1100" b="0" baseline="0"/>
                <a:t>In gaussian, since no volume is specified, the ideal gasses equation is used: </a:t>
              </a:r>
              <a:r>
                <a:rPr lang="it-IT" sz="1100" b="0" i="0" baseline="0">
                  <a:latin typeface="Cambria Math" panose="02040503050406030204" pitchFamily="18" charset="0"/>
                </a:rPr>
                <a:t>𝑃𝑉=𝑁𝑅𝑇=(𝑛/𝑁_𝐴 ) 𝑁_𝐴 𝑘_𝑏 𝑇 </a:t>
              </a:r>
              <a:r>
                <a:rPr lang="it-IT" sz="1100" b="0" i="0" baseline="0">
                  <a:latin typeface="Cambria Math" panose="02040503050406030204" pitchFamily="18" charset="0"/>
                  <a:ea typeface="Cambria Math" panose="02040503050406030204" pitchFamily="18" charset="0"/>
                </a:rPr>
                <a:t>→𝑉=(𝑘_𝑏 𝑇)/𝑃</a:t>
              </a:r>
              <a:r>
                <a:rPr lang="en-US" sz="1100" b="1" baseline="0"/>
                <a:t>  </a:t>
              </a:r>
              <a:endParaRPr lang="en-US" sz="1100" b="1"/>
            </a:p>
          </xdr:txBody>
        </xdr:sp>
      </mc:Fallback>
    </mc:AlternateContent>
    <xdr:clientData/>
  </xdr:twoCellAnchor>
  <xdr:twoCellAnchor>
    <xdr:from>
      <xdr:col>5</xdr:col>
      <xdr:colOff>540926</xdr:colOff>
      <xdr:row>38</xdr:row>
      <xdr:rowOff>35278</xdr:rowOff>
    </xdr:from>
    <xdr:to>
      <xdr:col>5</xdr:col>
      <xdr:colOff>623241</xdr:colOff>
      <xdr:row>39</xdr:row>
      <xdr:rowOff>211666</xdr:rowOff>
    </xdr:to>
    <xdr:cxnSp macro="">
      <xdr:nvCxnSpPr>
        <xdr:cNvPr id="29" name="Straight Arrow Connector 28">
          <a:extLst>
            <a:ext uri="{FF2B5EF4-FFF2-40B4-BE49-F238E27FC236}">
              <a16:creationId xmlns:a16="http://schemas.microsoft.com/office/drawing/2014/main" id="{876D4E3A-F607-F44A-90AF-945FCA971896}"/>
            </a:ext>
          </a:extLst>
        </xdr:cNvPr>
        <xdr:cNvCxnSpPr/>
      </xdr:nvCxnSpPr>
      <xdr:spPr>
        <a:xfrm flipV="1">
          <a:off x="6479352" y="9936574"/>
          <a:ext cx="82315" cy="42333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4</xdr:col>
      <xdr:colOff>933615</xdr:colOff>
      <xdr:row>35</xdr:row>
      <xdr:rowOff>212608</xdr:rowOff>
    </xdr:from>
    <xdr:ext cx="1638370" cy="591059"/>
    <mc:AlternateContent xmlns:mc="http://schemas.openxmlformats.org/markup-compatibility/2006" xmlns:a14="http://schemas.microsoft.com/office/drawing/2010/main">
      <mc:Choice Requires="a14">
        <xdr:sp macro="" textlink="">
          <xdr:nvSpPr>
            <xdr:cNvPr id="32" name="TextBox 31">
              <a:extLst>
                <a:ext uri="{FF2B5EF4-FFF2-40B4-BE49-F238E27FC236}">
                  <a16:creationId xmlns:a16="http://schemas.microsoft.com/office/drawing/2014/main" id="{48319DB1-7092-AA49-BE4D-B849ECFDC2A4}"/>
                </a:ext>
              </a:extLst>
            </xdr:cNvPr>
            <xdr:cNvSpPr txBox="1"/>
          </xdr:nvSpPr>
          <xdr:spPr>
            <a:xfrm>
              <a:off x="5719634" y="9337793"/>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300" i="1">
                        <a:latin typeface="Cambria Math" panose="02040503050406030204" pitchFamily="18" charset="0"/>
                        <a:ea typeface="Cambria Math" panose="02040503050406030204" pitchFamily="18" charset="0"/>
                      </a:rPr>
                      <m:t>𝜈</m:t>
                    </m:r>
                    <m:r>
                      <a:rPr lang="it-IT" sz="1300" b="0" i="1">
                        <a:latin typeface="Cambria Math" panose="02040503050406030204" pitchFamily="18" charset="0"/>
                        <a:ea typeface="Cambria Math" panose="02040503050406030204" pitchFamily="18" charset="0"/>
                      </a:rPr>
                      <m:t>=</m:t>
                    </m:r>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1</m:t>
                        </m:r>
                      </m:num>
                      <m:den>
                        <m:r>
                          <a:rPr lang="it-IT" sz="1300" b="0" i="1">
                            <a:latin typeface="Cambria Math" panose="02040503050406030204" pitchFamily="18" charset="0"/>
                            <a:ea typeface="Cambria Math" panose="02040503050406030204" pitchFamily="18" charset="0"/>
                          </a:rPr>
                          <m:t>2</m:t>
                        </m:r>
                        <m:r>
                          <a:rPr lang="it-IT" sz="1300" b="0" i="1">
                            <a:latin typeface="Cambria Math" panose="02040503050406030204" pitchFamily="18" charset="0"/>
                            <a:ea typeface="Cambria Math" panose="02040503050406030204" pitchFamily="18" charset="0"/>
                          </a:rPr>
                          <m:t>𝜋</m:t>
                        </m:r>
                        <m:r>
                          <a:rPr lang="it-IT" sz="1300" b="0" i="1">
                            <a:latin typeface="Cambria Math" panose="02040503050406030204" pitchFamily="18" charset="0"/>
                            <a:ea typeface="Cambria Math" panose="02040503050406030204" pitchFamily="18" charset="0"/>
                          </a:rPr>
                          <m:t>𝑐</m:t>
                        </m:r>
                      </m:den>
                    </m:f>
                    <m:rad>
                      <m:radPr>
                        <m:degHide m:val="on"/>
                        <m:ctrlPr>
                          <a:rPr lang="it-IT" sz="1300" b="0" i="1">
                            <a:latin typeface="Cambria Math" panose="02040503050406030204" pitchFamily="18" charset="0"/>
                            <a:ea typeface="Cambria Math" panose="02040503050406030204" pitchFamily="18" charset="0"/>
                          </a:rPr>
                        </m:ctrlPr>
                      </m:radPr>
                      <m:deg/>
                      <m:e>
                        <m:f>
                          <m:fPr>
                            <m:ctrlPr>
                              <a:rPr lang="it-IT" sz="1300" b="0" i="1">
                                <a:latin typeface="Cambria Math" panose="02040503050406030204" pitchFamily="18" charset="0"/>
                                <a:ea typeface="Cambria Math" panose="02040503050406030204" pitchFamily="18" charset="0"/>
                              </a:rPr>
                            </m:ctrlPr>
                          </m:fPr>
                          <m:num>
                            <m:r>
                              <a:rPr lang="it-IT" sz="1300" b="0" i="1">
                                <a:latin typeface="Cambria Math" panose="02040503050406030204" pitchFamily="18" charset="0"/>
                                <a:ea typeface="Cambria Math" panose="02040503050406030204" pitchFamily="18" charset="0"/>
                              </a:rPr>
                              <m:t>𝑘</m:t>
                            </m:r>
                          </m:num>
                          <m:den>
                            <m:r>
                              <a:rPr lang="it-IT" sz="1300" b="0" i="1">
                                <a:solidFill>
                                  <a:srgbClr val="FF0000"/>
                                </a:solidFill>
                                <a:latin typeface="Cambria Math" panose="02040503050406030204" pitchFamily="18" charset="0"/>
                                <a:ea typeface="Cambria Math" panose="02040503050406030204" pitchFamily="18" charset="0"/>
                              </a:rPr>
                              <m:t>𝜇</m:t>
                            </m:r>
                          </m:den>
                        </m:f>
                      </m:e>
                    </m:rad>
                  </m:oMath>
                </m:oMathPara>
              </a14:m>
              <a:endParaRPr lang="en-US" sz="1300"/>
            </a:p>
          </xdr:txBody>
        </xdr:sp>
      </mc:Choice>
      <mc:Fallback xmlns="">
        <xdr:sp macro="" textlink="">
          <xdr:nvSpPr>
            <xdr:cNvPr id="32" name="TextBox 31">
              <a:extLst>
                <a:ext uri="{FF2B5EF4-FFF2-40B4-BE49-F238E27FC236}">
                  <a16:creationId xmlns:a16="http://schemas.microsoft.com/office/drawing/2014/main" id="{48319DB1-7092-AA49-BE4D-B849ECFDC2A4}"/>
                </a:ext>
              </a:extLst>
            </xdr:cNvPr>
            <xdr:cNvSpPr txBox="1"/>
          </xdr:nvSpPr>
          <xdr:spPr>
            <a:xfrm>
              <a:off x="5719634" y="9337793"/>
              <a:ext cx="1638370" cy="5910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r>
                <a:rPr lang="en-US" sz="1300" i="0">
                  <a:latin typeface="Cambria Math" panose="02040503050406030204" pitchFamily="18" charset="0"/>
                  <a:ea typeface="Cambria Math" panose="02040503050406030204" pitchFamily="18" charset="0"/>
                </a:rPr>
                <a:t>𝜈</a:t>
              </a:r>
              <a:r>
                <a:rPr lang="it-IT" sz="1300" b="0" i="0">
                  <a:latin typeface="Cambria Math" panose="02040503050406030204" pitchFamily="18" charset="0"/>
                  <a:ea typeface="Cambria Math" panose="02040503050406030204" pitchFamily="18" charset="0"/>
                </a:rPr>
                <a:t>=1/2𝜋𝑐 √(𝑘/</a:t>
              </a:r>
              <a:r>
                <a:rPr lang="it-IT" sz="1300" b="0" i="0">
                  <a:solidFill>
                    <a:srgbClr val="FF0000"/>
                  </a:solidFill>
                  <a:latin typeface="Cambria Math" panose="02040503050406030204" pitchFamily="18" charset="0"/>
                  <a:ea typeface="Cambria Math" panose="02040503050406030204" pitchFamily="18" charset="0"/>
                </a:rPr>
                <a:t>𝜇)</a:t>
              </a:r>
              <a:endParaRPr lang="en-US" sz="1300"/>
            </a:p>
          </xdr:txBody>
        </xdr:sp>
      </mc:Fallback>
    </mc:AlternateContent>
    <xdr:clientData/>
  </xdr:oneCellAnchor>
  <xdr:twoCellAnchor>
    <xdr:from>
      <xdr:col>5</xdr:col>
      <xdr:colOff>1023055</xdr:colOff>
      <xdr:row>37</xdr:row>
      <xdr:rowOff>223426</xdr:rowOff>
    </xdr:from>
    <xdr:to>
      <xdr:col>6</xdr:col>
      <xdr:colOff>576204</xdr:colOff>
      <xdr:row>39</xdr:row>
      <xdr:rowOff>199907</xdr:rowOff>
    </xdr:to>
    <xdr:cxnSp macro="">
      <xdr:nvCxnSpPr>
        <xdr:cNvPr id="33" name="Straight Arrow Connector 32">
          <a:extLst>
            <a:ext uri="{FF2B5EF4-FFF2-40B4-BE49-F238E27FC236}">
              <a16:creationId xmlns:a16="http://schemas.microsoft.com/office/drawing/2014/main" id="{69EECA0A-143D-F147-AEEA-D9E5473AF5E5}"/>
            </a:ext>
          </a:extLst>
        </xdr:cNvPr>
        <xdr:cNvCxnSpPr/>
      </xdr:nvCxnSpPr>
      <xdr:spPr>
        <a:xfrm flipH="1" flipV="1">
          <a:off x="6961481" y="9866019"/>
          <a:ext cx="646760" cy="482129"/>
        </a:xfrm>
        <a:prstGeom prst="straightConnector1">
          <a:avLst/>
        </a:prstGeom>
        <a:ln>
          <a:solidFill>
            <a:srgbClr val="FF0000"/>
          </a:solidFill>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728134</xdr:colOff>
      <xdr:row>70</xdr:row>
      <xdr:rowOff>222790</xdr:rowOff>
    </xdr:from>
    <xdr:to>
      <xdr:col>14</xdr:col>
      <xdr:colOff>351463</xdr:colOff>
      <xdr:row>85</xdr:row>
      <xdr:rowOff>135466</xdr:rowOff>
    </xdr:to>
    <xdr:graphicFrame macro="">
      <xdr:nvGraphicFramePr>
        <xdr:cNvPr id="40" name="Chart 39">
          <a:extLst>
            <a:ext uri="{FF2B5EF4-FFF2-40B4-BE49-F238E27FC236}">
              <a16:creationId xmlns:a16="http://schemas.microsoft.com/office/drawing/2014/main" id="{C537CA78-6FCB-FEFF-31EC-5F72D67BB3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359975</xdr:colOff>
      <xdr:row>92</xdr:row>
      <xdr:rowOff>168476</xdr:rowOff>
    </xdr:from>
    <xdr:to>
      <xdr:col>6</xdr:col>
      <xdr:colOff>520551</xdr:colOff>
      <xdr:row>92</xdr:row>
      <xdr:rowOff>183073</xdr:rowOff>
    </xdr:to>
    <xdr:cxnSp macro="">
      <xdr:nvCxnSpPr>
        <xdr:cNvPr id="41" name="Straight Arrow Connector 40">
          <a:extLst>
            <a:ext uri="{FF2B5EF4-FFF2-40B4-BE49-F238E27FC236}">
              <a16:creationId xmlns:a16="http://schemas.microsoft.com/office/drawing/2014/main" id="{526BFF3D-25F3-5848-921B-3DD0C651E3D0}"/>
            </a:ext>
          </a:extLst>
        </xdr:cNvPr>
        <xdr:cNvCxnSpPr/>
      </xdr:nvCxnSpPr>
      <xdr:spPr>
        <a:xfrm>
          <a:off x="5786339" y="23871294"/>
          <a:ext cx="2481212"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887238</xdr:colOff>
      <xdr:row>90</xdr:row>
      <xdr:rowOff>194410</xdr:rowOff>
    </xdr:from>
    <xdr:ext cx="2036135" cy="805477"/>
    <mc:AlternateContent xmlns:mc="http://schemas.openxmlformats.org/markup-compatibility/2006" xmlns:a14="http://schemas.microsoft.com/office/drawing/2010/main">
      <mc:Choice Requires="a14">
        <xdr:sp macro="" textlink="">
          <xdr:nvSpPr>
            <xdr:cNvPr id="42" name="TextBox 41">
              <a:extLst>
                <a:ext uri="{FF2B5EF4-FFF2-40B4-BE49-F238E27FC236}">
                  <a16:creationId xmlns:a16="http://schemas.microsoft.com/office/drawing/2014/main" id="{5935C56F-B1D0-54DA-8DA5-2DDC12E5E9BC}"/>
                </a:ext>
              </a:extLst>
            </xdr:cNvPr>
            <xdr:cNvSpPr txBox="1"/>
          </xdr:nvSpPr>
          <xdr:spPr>
            <a:xfrm>
              <a:off x="8618642" y="23477743"/>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𝑣𝑖𝑏</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=1</m:t>
                        </m:r>
                      </m:sub>
                      <m:sup>
                        <m:sSub>
                          <m:sSubPr>
                            <m:ctrlPr>
                              <a:rPr lang="it-IT" sz="1600" b="0" i="1">
                                <a:latin typeface="Cambria Math" panose="02040503050406030204" pitchFamily="18" charset="0"/>
                              </a:rPr>
                            </m:ctrlPr>
                          </m:sSubPr>
                          <m:e>
                            <m:r>
                              <a:rPr lang="it-IT" sz="1600" b="0" i="1">
                                <a:latin typeface="Cambria Math" panose="02040503050406030204" pitchFamily="18" charset="0"/>
                              </a:rPr>
                              <m:t>𝑁</m:t>
                            </m:r>
                          </m:e>
                          <m:sub>
                            <m:r>
                              <a:rPr lang="it-IT" sz="1600" b="0" i="1">
                                <a:latin typeface="Cambria Math" panose="02040503050406030204" pitchFamily="18" charset="0"/>
                              </a:rPr>
                              <m:t>𝑣𝑖𝑏</m:t>
                            </m:r>
                          </m:sub>
                        </m:sSub>
                      </m:sup>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r>
                                          <a:rPr lang="it-IT" sz="1600" b="0" i="1">
                                            <a:latin typeface="Cambria Math" panose="02040503050406030204" pitchFamily="18" charset="0"/>
                                          </a:rPr>
                                          <m:t>2</m:t>
                                        </m:r>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num>
                          <m:den>
                            <m:r>
                              <a:rPr lang="it-IT" sz="1600" b="0" i="1">
                                <a:latin typeface="Cambria Math" panose="02040503050406030204" pitchFamily="18" charset="0"/>
                              </a:rPr>
                              <m:t>1−</m:t>
                            </m:r>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d>
                                  <m:dPr>
                                    <m:ctrlPr>
                                      <a:rPr lang="it-IT" sz="1600" b="0" i="1">
                                        <a:latin typeface="Cambria Math" panose="02040503050406030204" pitchFamily="18" charset="0"/>
                                      </a:rPr>
                                    </m:ctrlPr>
                                  </m:dPr>
                                  <m:e>
                                    <m:r>
                                      <a:rPr lang="it-IT" sz="1600" b="0" i="1">
                                        <a:latin typeface="Cambria Math" panose="02040503050406030204" pitchFamily="18" charset="0"/>
                                      </a:rPr>
                                      <m:t>−</m:t>
                                    </m:r>
                                    <m:f>
                                      <m:fPr>
                                        <m:ctrlPr>
                                          <a:rPr lang="it-IT" sz="1600" b="0" i="1">
                                            <a:latin typeface="Cambria Math" panose="02040503050406030204" pitchFamily="18" charset="0"/>
                                          </a:rPr>
                                        </m:ctrlPr>
                                      </m:fPr>
                                      <m:num>
                                        <m:r>
                                          <a:rPr lang="it-IT" sz="1600" b="0" i="1">
                                            <a:latin typeface="Cambria Math" panose="02040503050406030204" pitchFamily="18" charset="0"/>
                                          </a:rPr>
                                          <m:t>h</m:t>
                                        </m:r>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𝜐</m:t>
                                            </m:r>
                                          </m:e>
                                          <m:sub>
                                            <m:r>
                                              <a:rPr lang="it-IT" sz="1600" b="0" i="1">
                                                <a:latin typeface="Cambria Math" panose="02040503050406030204" pitchFamily="18" charset="0"/>
                                              </a:rPr>
                                              <m:t>𝑖</m:t>
                                            </m:r>
                                          </m:sub>
                                        </m:sSub>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e>
                                </m:d>
                              </m:sup>
                            </m:sSup>
                          </m:den>
                        </m:f>
                      </m:e>
                    </m:nary>
                  </m:oMath>
                </m:oMathPara>
              </a14:m>
              <a:endParaRPr lang="en-US" sz="1600"/>
            </a:p>
          </xdr:txBody>
        </xdr:sp>
      </mc:Choice>
      <mc:Fallback xmlns="">
        <xdr:sp macro="" textlink="">
          <xdr:nvSpPr>
            <xdr:cNvPr id="42" name="TextBox 41">
              <a:extLst>
                <a:ext uri="{FF2B5EF4-FFF2-40B4-BE49-F238E27FC236}">
                  <a16:creationId xmlns:a16="http://schemas.microsoft.com/office/drawing/2014/main" id="{5935C56F-B1D0-54DA-8DA5-2DDC12E5E9BC}"/>
                </a:ext>
              </a:extLst>
            </xdr:cNvPr>
            <xdr:cNvSpPr txBox="1"/>
          </xdr:nvSpPr>
          <xdr:spPr>
            <a:xfrm>
              <a:off x="8618642" y="23477743"/>
              <a:ext cx="2036135" cy="8054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𝑣𝑖𝑏=∏24_(𝑖=1)^(𝑁_𝑣𝑖𝑏)▒𝑒^((−(ℎ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𝑖)/(2𝑘_𝑏 𝑇)) )/(1−𝑒^((−(ℎ</a:t>
              </a:r>
              <a:r>
                <a:rPr lang="it-IT" sz="1600" b="0" i="0">
                  <a:latin typeface="Cambria Math" panose="02040503050406030204" pitchFamily="18" charset="0"/>
                  <a:ea typeface="Cambria Math" panose="02040503050406030204" pitchFamily="18" charset="0"/>
                </a:rPr>
                <a:t>𝜐_</a:t>
              </a:r>
              <a:r>
                <a:rPr lang="it-IT" sz="1600" b="0" i="0">
                  <a:latin typeface="Cambria Math" panose="02040503050406030204" pitchFamily="18" charset="0"/>
                </a:rPr>
                <a:t>𝑖)/(𝑘_𝑏 𝑇)) ) )</a:t>
              </a:r>
              <a:endParaRPr lang="en-US" sz="1600"/>
            </a:p>
          </xdr:txBody>
        </xdr:sp>
      </mc:Fallback>
    </mc:AlternateContent>
    <xdr:clientData/>
  </xdr:oneCellAnchor>
  <xdr:twoCellAnchor>
    <xdr:from>
      <xdr:col>9</xdr:col>
      <xdr:colOff>445581</xdr:colOff>
      <xdr:row>90</xdr:row>
      <xdr:rowOff>63114</xdr:rowOff>
    </xdr:from>
    <xdr:to>
      <xdr:col>12</xdr:col>
      <xdr:colOff>766140</xdr:colOff>
      <xdr:row>94</xdr:row>
      <xdr:rowOff>220870</xdr:rowOff>
    </xdr:to>
    <xdr:sp macro="" textlink="">
      <xdr:nvSpPr>
        <xdr:cNvPr id="43" name="Rectangle 42">
          <a:extLst>
            <a:ext uri="{FF2B5EF4-FFF2-40B4-BE49-F238E27FC236}">
              <a16:creationId xmlns:a16="http://schemas.microsoft.com/office/drawing/2014/main" id="{72FBFC5C-F123-354F-91DC-DD399F56DE9D}"/>
            </a:ext>
          </a:extLst>
        </xdr:cNvPr>
        <xdr:cNvSpPr/>
      </xdr:nvSpPr>
      <xdr:spPr>
        <a:xfrm>
          <a:off x="11102538" y="23185397"/>
          <a:ext cx="3026211" cy="122069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a:t>
          </a:r>
          <a:r>
            <a:rPr lang="en-US" sz="1100" b="1" baseline="-25000"/>
            <a:t>vib</a:t>
          </a:r>
          <a:r>
            <a:rPr lang="en-US" sz="1100" b="1" baseline="0"/>
            <a:t> represents the number of vibrational modes of a molecule. Since those only depend from the mass of the atoms in the molecule and are not dependent on the temperature considered, we will use directly the experimental data for the theoretical results calculation</a:t>
          </a:r>
          <a:endParaRPr lang="en-US" sz="1100" b="1" baseline="-25000"/>
        </a:p>
      </xdr:txBody>
    </xdr:sp>
    <xdr:clientData/>
  </xdr:twoCellAnchor>
  <xdr:twoCellAnchor>
    <xdr:from>
      <xdr:col>6</xdr:col>
      <xdr:colOff>186081</xdr:colOff>
      <xdr:row>107</xdr:row>
      <xdr:rowOff>21534</xdr:rowOff>
    </xdr:from>
    <xdr:to>
      <xdr:col>11</xdr:col>
      <xdr:colOff>607389</xdr:colOff>
      <xdr:row>123</xdr:row>
      <xdr:rowOff>50800</xdr:rowOff>
    </xdr:to>
    <xdr:graphicFrame macro="">
      <xdr:nvGraphicFramePr>
        <xdr:cNvPr id="45" name="Chart 44">
          <a:extLst>
            <a:ext uri="{FF2B5EF4-FFF2-40B4-BE49-F238E27FC236}">
              <a16:creationId xmlns:a16="http://schemas.microsoft.com/office/drawing/2014/main" id="{65D586B4-954E-BF50-42F3-3F0636CE58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452528</xdr:colOff>
      <xdr:row>127</xdr:row>
      <xdr:rowOff>131380</xdr:rowOff>
    </xdr:from>
    <xdr:to>
      <xdr:col>6</xdr:col>
      <xdr:colOff>613104</xdr:colOff>
      <xdr:row>127</xdr:row>
      <xdr:rowOff>145977</xdr:rowOff>
    </xdr:to>
    <xdr:cxnSp macro="">
      <xdr:nvCxnSpPr>
        <xdr:cNvPr id="46" name="Straight Arrow Connector 45">
          <a:extLst>
            <a:ext uri="{FF2B5EF4-FFF2-40B4-BE49-F238E27FC236}">
              <a16:creationId xmlns:a16="http://schemas.microsoft.com/office/drawing/2014/main" id="{5B70BC7E-7D23-7F47-B2D8-ED5A0D760DD1}"/>
            </a:ext>
          </a:extLst>
        </xdr:cNvPr>
        <xdr:cNvCxnSpPr/>
      </xdr:nvCxnSpPr>
      <xdr:spPr>
        <a:xfrm>
          <a:off x="6006661" y="14795647"/>
          <a:ext cx="2480443"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125030</xdr:colOff>
      <xdr:row>125</xdr:row>
      <xdr:rowOff>179868</xdr:rowOff>
    </xdr:from>
    <xdr:ext cx="1731564" cy="494110"/>
    <mc:AlternateContent xmlns:mc="http://schemas.openxmlformats.org/markup-compatibility/2006" xmlns:a14="http://schemas.microsoft.com/office/drawing/2010/main">
      <mc:Choice Requires="a14">
        <xdr:sp macro="" textlink="">
          <xdr:nvSpPr>
            <xdr:cNvPr id="47" name="TextBox 46">
              <a:extLst>
                <a:ext uri="{FF2B5EF4-FFF2-40B4-BE49-F238E27FC236}">
                  <a16:creationId xmlns:a16="http://schemas.microsoft.com/office/drawing/2014/main" id="{5F2B546E-004F-8748-A8BC-FE4F0E18EDFB}"/>
                </a:ext>
              </a:extLst>
            </xdr:cNvPr>
            <xdr:cNvSpPr txBox="1"/>
          </xdr:nvSpPr>
          <xdr:spPr>
            <a:xfrm>
              <a:off x="9431590" y="32630908"/>
              <a:ext cx="1731564"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2</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𝑇𝐼</m:t>
                        </m:r>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2</m:t>
                            </m:r>
                          </m:sup>
                        </m:sSup>
                      </m:den>
                    </m:f>
                  </m:oMath>
                </m:oMathPara>
              </a14:m>
              <a:endParaRPr lang="en-US" sz="1600"/>
            </a:p>
          </xdr:txBody>
        </xdr:sp>
      </mc:Choice>
      <mc:Fallback xmlns="">
        <xdr:sp macro="" textlink="">
          <xdr:nvSpPr>
            <xdr:cNvPr id="47" name="TextBox 46">
              <a:extLst>
                <a:ext uri="{FF2B5EF4-FFF2-40B4-BE49-F238E27FC236}">
                  <a16:creationId xmlns:a16="http://schemas.microsoft.com/office/drawing/2014/main" id="{5F2B546E-004F-8748-A8BC-FE4F0E18EDFB}"/>
                </a:ext>
              </a:extLst>
            </xdr:cNvPr>
            <xdr:cNvSpPr txBox="1"/>
          </xdr:nvSpPr>
          <xdr:spPr>
            <a:xfrm>
              <a:off x="9431590" y="32630908"/>
              <a:ext cx="1731564" cy="494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it-IT" sz="1600" b="0" i="0">
                  <a:latin typeface="Cambria Math" panose="02040503050406030204" pitchFamily="18" charset="0"/>
                </a:rPr>
                <a:t>𝑄_𝑟𝑜𝑡^2𝐷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𝑘_𝑏 𝑇𝐼)/(</a:t>
              </a:r>
              <a:r>
                <a:rPr lang="it-IT" sz="1600" b="0" i="0">
                  <a:latin typeface="Cambria Math" panose="02040503050406030204" pitchFamily="18" charset="0"/>
                  <a:ea typeface="Cambria Math" panose="02040503050406030204" pitchFamily="18" charset="0"/>
                </a:rPr>
                <a:t>𝜎ℎ^2 )</a:t>
              </a:r>
              <a:endParaRPr lang="en-US" sz="1600"/>
            </a:p>
          </xdr:txBody>
        </xdr:sp>
      </mc:Fallback>
    </mc:AlternateContent>
    <xdr:clientData/>
  </xdr:oneCellAnchor>
  <xdr:twoCellAnchor>
    <xdr:from>
      <xdr:col>6</xdr:col>
      <xdr:colOff>750454</xdr:colOff>
      <xdr:row>126</xdr:row>
      <xdr:rowOff>72159</xdr:rowOff>
    </xdr:from>
    <xdr:to>
      <xdr:col>7</xdr:col>
      <xdr:colOff>137102</xdr:colOff>
      <xdr:row>130</xdr:row>
      <xdr:rowOff>202046</xdr:rowOff>
    </xdr:to>
    <xdr:sp macro="" textlink="">
      <xdr:nvSpPr>
        <xdr:cNvPr id="49" name="Left Brace 48">
          <a:extLst>
            <a:ext uri="{FF2B5EF4-FFF2-40B4-BE49-F238E27FC236}">
              <a16:creationId xmlns:a16="http://schemas.microsoft.com/office/drawing/2014/main" id="{59284195-DCF7-7A4A-BB53-0B4841E19D3F}"/>
            </a:ext>
          </a:extLst>
        </xdr:cNvPr>
        <xdr:cNvSpPr/>
      </xdr:nvSpPr>
      <xdr:spPr>
        <a:xfrm>
          <a:off x="8624454" y="14499359"/>
          <a:ext cx="741315" cy="1179754"/>
        </a:xfrm>
        <a:prstGeom prst="leftBrace">
          <a:avLst>
            <a:gd name="adj1" fmla="val 8333"/>
            <a:gd name="adj2" fmla="val 26786"/>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418580</xdr:colOff>
      <xdr:row>125</xdr:row>
      <xdr:rowOff>183035</xdr:rowOff>
    </xdr:from>
    <xdr:to>
      <xdr:col>14</xdr:col>
      <xdr:colOff>737933</xdr:colOff>
      <xdr:row>130</xdr:row>
      <xdr:rowOff>238851</xdr:rowOff>
    </xdr:to>
    <mc:AlternateContent xmlns:mc="http://schemas.openxmlformats.org/markup-compatibility/2006" xmlns:a14="http://schemas.microsoft.com/office/drawing/2010/main">
      <mc:Choice Requires="a14">
        <xdr:sp macro="" textlink="">
          <xdr:nvSpPr>
            <xdr:cNvPr id="50" name="Rectangle 49">
              <a:extLst>
                <a:ext uri="{FF2B5EF4-FFF2-40B4-BE49-F238E27FC236}">
                  <a16:creationId xmlns:a16="http://schemas.microsoft.com/office/drawing/2014/main" id="{CB98F134-6FD6-5E49-A8A0-7E761616E12A}"/>
                </a:ext>
              </a:extLst>
            </xdr:cNvPr>
            <xdr:cNvSpPr/>
          </xdr:nvSpPr>
          <xdr:spPr>
            <a:xfrm>
              <a:off x="12225393" y="32002815"/>
              <a:ext cx="3933969" cy="135372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14:m>
                <m:oMath xmlns:m="http://schemas.openxmlformats.org/officeDocument/2006/math">
                  <m:r>
                    <a:rPr lang="it-IT" sz="1100" b="1" i="1">
                      <a:latin typeface="Cambria Math" panose="02040503050406030204" pitchFamily="18" charset="0"/>
                      <a:ea typeface="Cambria Math" panose="02040503050406030204" pitchFamily="18" charset="0"/>
                    </a:rPr>
                    <m:t>𝝈</m:t>
                  </m:r>
                </m:oMath>
              </a14:m>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Choice>
      <mc:Fallback xmlns="">
        <xdr:sp macro="" textlink="">
          <xdr:nvSpPr>
            <xdr:cNvPr id="50" name="Rectangle 49">
              <a:extLst>
                <a:ext uri="{FF2B5EF4-FFF2-40B4-BE49-F238E27FC236}">
                  <a16:creationId xmlns:a16="http://schemas.microsoft.com/office/drawing/2014/main" id="{CB98F134-6FD6-5E49-A8A0-7E761616E12A}"/>
                </a:ext>
              </a:extLst>
            </xdr:cNvPr>
            <xdr:cNvSpPr/>
          </xdr:nvSpPr>
          <xdr:spPr>
            <a:xfrm>
              <a:off x="12225393" y="32002815"/>
              <a:ext cx="3933969" cy="135372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I</a:t>
              </a:r>
              <a:r>
                <a:rPr lang="en-US" sz="1100" b="1" baseline="-25000"/>
                <a:t>x</a:t>
              </a:r>
              <a:r>
                <a:rPr lang="en-US" sz="1100" b="0"/>
                <a:t>,</a:t>
              </a:r>
              <a:r>
                <a:rPr lang="en-US" sz="1100" b="1" baseline="0"/>
                <a:t> I</a:t>
              </a:r>
              <a:r>
                <a:rPr lang="en-US" sz="1100" b="1" baseline="-25000"/>
                <a:t>y</a:t>
              </a:r>
              <a:r>
                <a:rPr lang="en-US" sz="1100" b="0" baseline="0"/>
                <a:t>,</a:t>
              </a:r>
              <a:r>
                <a:rPr lang="en-US" sz="1100" b="1" baseline="0"/>
                <a:t> I</a:t>
              </a:r>
              <a:r>
                <a:rPr lang="en-US" sz="1100" b="1" baseline="-25000"/>
                <a:t>z</a:t>
              </a:r>
              <a:r>
                <a:rPr lang="en-US" sz="1100" b="1" baseline="0"/>
                <a:t> </a:t>
              </a:r>
              <a:r>
                <a:rPr lang="en-US" sz="1100" b="0" baseline="0"/>
                <a:t>are the principal moments of inertia, while </a:t>
              </a:r>
              <a:r>
                <a:rPr lang="it-IT" sz="1100" b="1" i="0">
                  <a:latin typeface="Cambria Math" panose="02040503050406030204" pitchFamily="18" charset="0"/>
                  <a:ea typeface="Cambria Math" panose="02040503050406030204" pitchFamily="18" charset="0"/>
                </a:rPr>
                <a:t>𝝈</a:t>
              </a:r>
              <a:r>
                <a:rPr lang="en-US" sz="1100" b="1" baseline="0"/>
                <a:t> </a:t>
              </a:r>
              <a:r>
                <a:rPr lang="en-US" sz="1100" b="0" baseline="0"/>
                <a:t>is the rotational simmetry number (number of identical configurations obtained by rotation of the molecule around he center of simmetry). </a:t>
              </a:r>
              <a:r>
                <a:rPr lang="en-US" sz="1100" b="0"/>
                <a:t>Furthermore, Gaussian</a:t>
              </a:r>
              <a:r>
                <a:rPr lang="en-US" sz="1100" b="0" baseline="0"/>
                <a:t> internally uses a different formulation for the rotational partition function:</a:t>
              </a:r>
              <a:endParaRPr lang="en-US" sz="1100" b="0"/>
            </a:p>
          </xdr:txBody>
        </xdr:sp>
      </mc:Fallback>
    </mc:AlternateContent>
    <xdr:clientData/>
  </xdr:twoCellAnchor>
  <xdr:oneCellAnchor>
    <xdr:from>
      <xdr:col>7</xdr:col>
      <xdr:colOff>62175</xdr:colOff>
      <xdr:row>128</xdr:row>
      <xdr:rowOff>95489</xdr:rowOff>
    </xdr:from>
    <xdr:ext cx="2805896" cy="622543"/>
    <mc:AlternateContent xmlns:mc="http://schemas.openxmlformats.org/markup-compatibility/2006" xmlns:a14="http://schemas.microsoft.com/office/drawing/2010/main">
      <mc:Choice Requires="a14">
        <xdr:sp macro="" textlink="">
          <xdr:nvSpPr>
            <xdr:cNvPr id="55" name="TextBox 54">
              <a:extLst>
                <a:ext uri="{FF2B5EF4-FFF2-40B4-BE49-F238E27FC236}">
                  <a16:creationId xmlns:a16="http://schemas.microsoft.com/office/drawing/2014/main" id="{02325468-2984-BD43-883B-1DC46C972627}"/>
                </a:ext>
              </a:extLst>
            </xdr:cNvPr>
            <xdr:cNvSpPr txBox="1"/>
          </xdr:nvSpPr>
          <xdr:spPr>
            <a:xfrm>
              <a:off x="9259208" y="32710764"/>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(1)=</m:t>
                    </m:r>
                    <m:f>
                      <m:fPr>
                        <m:ctrlPr>
                          <a:rPr lang="it-IT" sz="1600" b="0" i="1">
                            <a:latin typeface="Cambria Math" panose="02040503050406030204" pitchFamily="18" charset="0"/>
                          </a:rPr>
                        </m:ctrlPr>
                      </m:fPr>
                      <m:num>
                        <m:r>
                          <a:rPr lang="it-IT" sz="1600" b="0" i="1">
                            <a:latin typeface="Cambria Math" panose="02040503050406030204" pitchFamily="18" charset="0"/>
                          </a:rPr>
                          <m:t>8</m:t>
                        </m:r>
                        <m:sSup>
                          <m:sSupPr>
                            <m:ctrlPr>
                              <a:rPr lang="it-IT" sz="1600" b="0" i="1">
                                <a:latin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𝜋</m:t>
                            </m:r>
                          </m:e>
                          <m:sup>
                            <m:r>
                              <a:rPr lang="it-IT" sz="1600" b="0" i="1">
                                <a:latin typeface="Cambria Math" panose="02040503050406030204" pitchFamily="18" charset="0"/>
                              </a:rPr>
                              <m:t>2</m:t>
                            </m:r>
                          </m:sup>
                        </m:sSup>
                        <m:sSup>
                          <m:sSupPr>
                            <m:ctrlPr>
                              <a:rPr lang="it-IT" sz="1600" b="0" i="1">
                                <a:latin typeface="Cambria Math" panose="02040503050406030204" pitchFamily="18" charset="0"/>
                              </a:rPr>
                            </m:ctrlPr>
                          </m:sSupPr>
                          <m:e>
                            <m:d>
                              <m:dPr>
                                <m:ctrlPr>
                                  <a:rPr lang="it-IT" sz="1600" b="0" i="1">
                                    <a:latin typeface="Cambria Math" panose="02040503050406030204" pitchFamily="18" charset="0"/>
                                  </a:rPr>
                                </m:ctrlPr>
                              </m:dPr>
                              <m:e>
                                <m:r>
                                  <a:rPr lang="it-IT" sz="1600" b="0" i="1">
                                    <a:latin typeface="Cambria Math" panose="02040503050406030204" pitchFamily="18" charset="0"/>
                                  </a:rPr>
                                  <m:t>2</m:t>
                                </m:r>
                                <m:r>
                                  <a:rPr lang="it-IT" sz="1600" b="0" i="1">
                                    <a:latin typeface="Cambria Math" panose="02040503050406030204" pitchFamily="18" charset="0"/>
                                    <a:ea typeface="Cambria Math" panose="02040503050406030204" pitchFamily="18" charset="0"/>
                                  </a:rPr>
                                  <m:t>𝜋</m:t>
                                </m:r>
                                <m:sSub>
                                  <m:sSubPr>
                                    <m:ctrlPr>
                                      <a:rPr lang="it-IT" sz="1600" b="0" i="1">
                                        <a:latin typeface="Cambria Math" panose="02040503050406030204" pitchFamily="18" charset="0"/>
                                        <a:ea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𝑘</m:t>
                                    </m:r>
                                  </m:e>
                                  <m:sub>
                                    <m:r>
                                      <a:rPr lang="it-IT" sz="1600" b="0" i="1">
                                        <a:latin typeface="Cambria Math" panose="02040503050406030204" pitchFamily="18" charset="0"/>
                                        <a:ea typeface="Cambria Math" panose="02040503050406030204" pitchFamily="18" charset="0"/>
                                      </a:rPr>
                                      <m:t>𝑏</m:t>
                                    </m:r>
                                  </m:sub>
                                </m:sSub>
                                <m:r>
                                  <a:rPr lang="it-IT" sz="1600" b="0" i="1">
                                    <a:latin typeface="Cambria Math" panose="02040503050406030204" pitchFamily="18" charset="0"/>
                                    <a:ea typeface="Cambria Math" panose="02040503050406030204" pitchFamily="18" charset="0"/>
                                  </a:rPr>
                                  <m:t>𝑇</m:t>
                                </m:r>
                              </m:e>
                            </m:d>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rPr>
                                  <m:t>𝐼</m:t>
                                </m:r>
                              </m:e>
                              <m:sub>
                                <m:r>
                                  <a:rPr lang="it-IT" sz="1600" b="0" i="1">
                                    <a:latin typeface="Cambria Math" panose="02040503050406030204" pitchFamily="18" charset="0"/>
                                  </a:rPr>
                                  <m:t>𝑧</m:t>
                                </m:r>
                              </m:sub>
                            </m:sSub>
                          </m:e>
                        </m:rad>
                      </m:num>
                      <m:den>
                        <m:r>
                          <a:rPr lang="it-IT" sz="1600" b="0" i="1">
                            <a:latin typeface="Cambria Math" panose="02040503050406030204" pitchFamily="18" charset="0"/>
                            <a:ea typeface="Cambria Math" panose="02040503050406030204" pitchFamily="18" charset="0"/>
                          </a:rPr>
                          <m:t>𝜎</m:t>
                        </m:r>
                        <m:sSup>
                          <m:sSupPr>
                            <m:ctrlPr>
                              <a:rPr lang="it-IT" sz="1600" b="0" i="1">
                                <a:latin typeface="Cambria Math" panose="02040503050406030204" pitchFamily="18" charset="0"/>
                                <a:ea typeface="Cambria Math" panose="02040503050406030204" pitchFamily="18" charset="0"/>
                              </a:rPr>
                            </m:ctrlPr>
                          </m:sSupPr>
                          <m:e>
                            <m:r>
                              <a:rPr lang="it-IT" sz="1600" b="0" i="1">
                                <a:latin typeface="Cambria Math" panose="02040503050406030204" pitchFamily="18" charset="0"/>
                                <a:ea typeface="Cambria Math" panose="02040503050406030204" pitchFamily="18" charset="0"/>
                              </a:rPr>
                              <m:t>h</m:t>
                            </m:r>
                          </m:e>
                          <m:sup>
                            <m:r>
                              <a:rPr lang="it-IT" sz="1600" b="0" i="1">
                                <a:latin typeface="Cambria Math" panose="02040503050406030204" pitchFamily="18" charset="0"/>
                                <a:ea typeface="Cambria Math" panose="02040503050406030204" pitchFamily="18" charset="0"/>
                              </a:rPr>
                              <m:t>3</m:t>
                            </m:r>
                          </m:sup>
                        </m:sSup>
                      </m:den>
                    </m:f>
                  </m:oMath>
                </m:oMathPara>
              </a14:m>
              <a:endParaRPr lang="en-US" sz="1600"/>
            </a:p>
          </xdr:txBody>
        </xdr:sp>
      </mc:Choice>
      <mc:Fallback xmlns="">
        <xdr:sp macro="" textlink="">
          <xdr:nvSpPr>
            <xdr:cNvPr id="55" name="TextBox 54">
              <a:extLst>
                <a:ext uri="{FF2B5EF4-FFF2-40B4-BE49-F238E27FC236}">
                  <a16:creationId xmlns:a16="http://schemas.microsoft.com/office/drawing/2014/main" id="{02325468-2984-BD43-883B-1DC46C972627}"/>
                </a:ext>
              </a:extLst>
            </xdr:cNvPr>
            <xdr:cNvSpPr txBox="1"/>
          </xdr:nvSpPr>
          <xdr:spPr>
            <a:xfrm>
              <a:off x="9259208" y="32710764"/>
              <a:ext cx="2805896" cy="6225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𝑄_𝑟𝑜𝑡^3𝐷 (1)=(8</a:t>
              </a:r>
              <a:r>
                <a:rPr lang="it-IT" sz="1600" b="0" i="0">
                  <a:latin typeface="Cambria Math" panose="02040503050406030204" pitchFamily="18" charset="0"/>
                  <a:ea typeface="Cambria Math" panose="02040503050406030204" pitchFamily="18" charset="0"/>
                </a:rPr>
                <a:t>𝜋^</a:t>
              </a:r>
              <a:r>
                <a:rPr lang="it-IT" sz="1600" b="0" i="0">
                  <a:latin typeface="Cambria Math" panose="02040503050406030204" pitchFamily="18" charset="0"/>
                </a:rPr>
                <a:t>2 (2</a:t>
              </a:r>
              <a:r>
                <a:rPr lang="it-IT" sz="1600" b="0" i="0">
                  <a:latin typeface="Cambria Math" panose="02040503050406030204" pitchFamily="18" charset="0"/>
                  <a:ea typeface="Cambria Math" panose="02040503050406030204" pitchFamily="18" charset="0"/>
                </a:rPr>
                <a:t>𝜋𝑘_𝑏 𝑇)^(</a:t>
              </a:r>
              <a:r>
                <a:rPr lang="it-IT" sz="1600" b="0" i="0">
                  <a:latin typeface="Cambria Math" panose="02040503050406030204" pitchFamily="18" charset="0"/>
                </a:rPr>
                <a:t>3/2) √(𝐼_𝑥 𝐼_𝑦 𝐼_𝑧 ))/(</a:t>
              </a:r>
              <a:r>
                <a:rPr lang="it-IT" sz="1600" b="0" i="0">
                  <a:latin typeface="Cambria Math" panose="02040503050406030204" pitchFamily="18" charset="0"/>
                  <a:ea typeface="Cambria Math" panose="02040503050406030204" pitchFamily="18" charset="0"/>
                </a:rPr>
                <a:t>𝜎ℎ^3 )</a:t>
              </a:r>
              <a:endParaRPr lang="en-US" sz="1600"/>
            </a:p>
          </xdr:txBody>
        </xdr:sp>
      </mc:Fallback>
    </mc:AlternateContent>
    <xdr:clientData/>
  </xdr:oneCellAnchor>
  <xdr:twoCellAnchor>
    <xdr:from>
      <xdr:col>6</xdr:col>
      <xdr:colOff>1145539</xdr:colOff>
      <xdr:row>125</xdr:row>
      <xdr:rowOff>2540</xdr:rowOff>
    </xdr:from>
    <xdr:to>
      <xdr:col>10</xdr:col>
      <xdr:colOff>190136</xdr:colOff>
      <xdr:row>127</xdr:row>
      <xdr:rowOff>342900</xdr:rowOff>
    </xdr:to>
    <xdr:sp macro="" textlink="">
      <xdr:nvSpPr>
        <xdr:cNvPr id="56" name="Rounded Rectangle 55">
          <a:extLst>
            <a:ext uri="{FF2B5EF4-FFF2-40B4-BE49-F238E27FC236}">
              <a16:creationId xmlns:a16="http://schemas.microsoft.com/office/drawing/2014/main" id="{7DBD8B5F-7ECC-CBA0-8286-D1B03C567B95}"/>
            </a:ext>
          </a:extLst>
        </xdr:cNvPr>
        <xdr:cNvSpPr/>
      </xdr:nvSpPr>
      <xdr:spPr>
        <a:xfrm>
          <a:off x="9171939" y="32453580"/>
          <a:ext cx="3342277" cy="787400"/>
        </a:xfrm>
        <a:prstGeom prst="round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11</xdr:col>
      <xdr:colOff>213330</xdr:colOff>
      <xdr:row>131</xdr:row>
      <xdr:rowOff>77170</xdr:rowOff>
    </xdr:from>
    <xdr:ext cx="2304349" cy="792718"/>
    <mc:AlternateContent xmlns:mc="http://schemas.openxmlformats.org/markup-compatibility/2006" xmlns:a14="http://schemas.microsoft.com/office/drawing/2010/main">
      <mc:Choice Requires="a14">
        <xdr:sp macro="" textlink="">
          <xdr:nvSpPr>
            <xdr:cNvPr id="57" name="TextBox 56">
              <a:extLst>
                <a:ext uri="{FF2B5EF4-FFF2-40B4-BE49-F238E27FC236}">
                  <a16:creationId xmlns:a16="http://schemas.microsoft.com/office/drawing/2014/main" id="{0D71D5E8-246C-741A-F0DF-4DEFA7322763}"/>
                </a:ext>
              </a:extLst>
            </xdr:cNvPr>
            <xdr:cNvSpPr txBox="1"/>
          </xdr:nvSpPr>
          <xdr:spPr>
            <a:xfrm>
              <a:off x="12969154" y="33446071"/>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Sup>
                      <m:sSubSupPr>
                        <m:ctrlPr>
                          <a:rPr lang="it-IT" sz="1600" b="0" i="1">
                            <a:latin typeface="Cambria Math" panose="02040503050406030204" pitchFamily="18" charset="0"/>
                          </a:rPr>
                        </m:ctrlPr>
                      </m:sSubSupPr>
                      <m:e>
                        <m:r>
                          <a:rPr lang="it-IT" sz="1600" b="0" i="1">
                            <a:latin typeface="Cambria Math" panose="02040503050406030204" pitchFamily="18" charset="0"/>
                          </a:rPr>
                          <m:t>𝑄</m:t>
                        </m:r>
                      </m:e>
                      <m:sub>
                        <m:r>
                          <a:rPr lang="it-IT" sz="1600" b="0" i="1">
                            <a:latin typeface="Cambria Math" panose="02040503050406030204" pitchFamily="18" charset="0"/>
                          </a:rPr>
                          <m:t>𝑟𝑜𝑡</m:t>
                        </m:r>
                      </m:sub>
                      <m:sup>
                        <m:r>
                          <a:rPr lang="it-IT" sz="1600" b="0" i="1">
                            <a:latin typeface="Cambria Math" panose="02040503050406030204" pitchFamily="18" charset="0"/>
                          </a:rPr>
                          <m:t>3</m:t>
                        </m:r>
                        <m:r>
                          <a:rPr lang="it-IT" sz="1600" b="0" i="1">
                            <a:latin typeface="Cambria Math" panose="02040503050406030204" pitchFamily="18" charset="0"/>
                          </a:rPr>
                          <m:t>𝐷</m:t>
                        </m:r>
                      </m:sup>
                    </m:sSubSup>
                    <m:r>
                      <a:rPr lang="it-IT" sz="1600" b="0" i="1">
                        <a:latin typeface="Cambria Math" panose="02040503050406030204" pitchFamily="18" charset="0"/>
                      </a:rPr>
                      <m:t>(2)=</m:t>
                    </m:r>
                    <m:f>
                      <m:fPr>
                        <m:ctrlPr>
                          <a:rPr lang="it-IT" sz="1600" b="0" i="1">
                            <a:latin typeface="Cambria Math" panose="02040503050406030204" pitchFamily="18" charset="0"/>
                          </a:rPr>
                        </m:ctrlPr>
                      </m:fPr>
                      <m:num>
                        <m:rad>
                          <m:radPr>
                            <m:degHide m:val="on"/>
                            <m:ctrlPr>
                              <a:rPr lang="it-IT" sz="1600" b="0" i="1">
                                <a:latin typeface="Cambria Math" panose="02040503050406030204" pitchFamily="18" charset="0"/>
                              </a:rPr>
                            </m:ctrlPr>
                          </m:radPr>
                          <m:deg/>
                          <m:e>
                            <m:r>
                              <a:rPr lang="it-IT" sz="1600" b="0" i="1">
                                <a:latin typeface="Cambria Math" panose="02040503050406030204" pitchFamily="18" charset="0"/>
                                <a:ea typeface="Cambria Math" panose="02040503050406030204" pitchFamily="18" charset="0"/>
                              </a:rPr>
                              <m:t>𝜋</m:t>
                            </m:r>
                          </m:e>
                        </m:rad>
                      </m:num>
                      <m:den>
                        <m:r>
                          <a:rPr lang="it-IT" sz="1600" b="0" i="1">
                            <a:latin typeface="Cambria Math" panose="02040503050406030204" pitchFamily="18" charset="0"/>
                            <a:ea typeface="Cambria Math" panose="02040503050406030204" pitchFamily="18" charset="0"/>
                          </a:rPr>
                          <m:t>𝜎</m:t>
                        </m:r>
                      </m:den>
                    </m:f>
                    <m:d>
                      <m:dPr>
                        <m:ctrlPr>
                          <a:rPr lang="it-IT" sz="1600" b="0" i="1">
                            <a:latin typeface="Cambria Math" panose="02040503050406030204" pitchFamily="18" charset="0"/>
                          </a:rPr>
                        </m:ctrlPr>
                      </m:dPr>
                      <m:e>
                        <m:f>
                          <m:fPr>
                            <m:ctrlPr>
                              <a:rPr lang="it-IT" sz="1600" b="0" i="1">
                                <a:latin typeface="Cambria Math" panose="02040503050406030204" pitchFamily="18" charset="0"/>
                              </a:rPr>
                            </m:ctrlPr>
                          </m:fPr>
                          <m:num>
                            <m:sSup>
                              <m:sSupPr>
                                <m:ctrlPr>
                                  <a:rPr lang="it-IT" sz="1600" b="0" i="1">
                                    <a:latin typeface="Cambria Math" panose="02040503050406030204" pitchFamily="18" charset="0"/>
                                  </a:rPr>
                                </m:ctrlPr>
                              </m:sSupPr>
                              <m:e>
                                <m:r>
                                  <a:rPr lang="it-IT" sz="1600" b="0" i="1">
                                    <a:latin typeface="Cambria Math" panose="02040503050406030204" pitchFamily="18" charset="0"/>
                                  </a:rPr>
                                  <m:t>𝑇</m:t>
                                </m:r>
                              </m:e>
                              <m:sup>
                                <m:f>
                                  <m:fPr>
                                    <m:ctrlPr>
                                      <a:rPr lang="it-IT" sz="1600" b="0" i="1">
                                        <a:latin typeface="Cambria Math" panose="02040503050406030204" pitchFamily="18" charset="0"/>
                                      </a:rPr>
                                    </m:ctrlPr>
                                  </m:fPr>
                                  <m:num>
                                    <m:r>
                                      <a:rPr lang="it-IT" sz="1600" b="0" i="1">
                                        <a:latin typeface="Cambria Math" panose="02040503050406030204" pitchFamily="18" charset="0"/>
                                      </a:rPr>
                                      <m:t>3</m:t>
                                    </m:r>
                                  </m:num>
                                  <m:den>
                                    <m:r>
                                      <a:rPr lang="it-IT" sz="1600" b="0" i="1">
                                        <a:latin typeface="Cambria Math" panose="02040503050406030204" pitchFamily="18" charset="0"/>
                                      </a:rPr>
                                      <m:t>2</m:t>
                                    </m:r>
                                  </m:den>
                                </m:f>
                              </m:sup>
                            </m:sSup>
                          </m:num>
                          <m:den>
                            <m:rad>
                              <m:radPr>
                                <m:degHide m:val="on"/>
                                <m:ctrlPr>
                                  <a:rPr lang="it-IT" sz="1600" b="0" i="1">
                                    <a:latin typeface="Cambria Math" panose="02040503050406030204" pitchFamily="18" charset="0"/>
                                  </a:rPr>
                                </m:ctrlPr>
                              </m:radPr>
                              <m:deg/>
                              <m:e>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rPr>
                                      <m:t>𝑥</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𝑦</m:t>
                                    </m:r>
                                  </m:sub>
                                </m:sSub>
                                <m:sSub>
                                  <m:sSubPr>
                                    <m:ctrlPr>
                                      <a:rPr lang="it-IT" sz="1600" b="0" i="1">
                                        <a:latin typeface="Cambria Math" panose="02040503050406030204" pitchFamily="18" charset="0"/>
                                      </a:rPr>
                                    </m:ctrlPr>
                                  </m:sSubPr>
                                  <m:e>
                                    <m:r>
                                      <a:rPr lang="it-IT" sz="1600" b="0" i="1">
                                        <a:latin typeface="Cambria Math" panose="02040503050406030204" pitchFamily="18" charset="0"/>
                                        <a:ea typeface="Cambria Math" panose="02040503050406030204" pitchFamily="18" charset="0"/>
                                      </a:rPr>
                                      <m:t>𝜃</m:t>
                                    </m:r>
                                  </m:e>
                                  <m:sub>
                                    <m:r>
                                      <a:rPr lang="it-IT" sz="1600" b="0" i="1">
                                        <a:latin typeface="Cambria Math" panose="02040503050406030204" pitchFamily="18" charset="0"/>
                                        <a:ea typeface="Cambria Math" panose="02040503050406030204" pitchFamily="18" charset="0"/>
                                      </a:rPr>
                                      <m:t>𝑧</m:t>
                                    </m:r>
                                  </m:sub>
                                </m:sSub>
                              </m:e>
                            </m:rad>
                          </m:den>
                        </m:f>
                      </m:e>
                    </m:d>
                  </m:oMath>
                </m:oMathPara>
              </a14:m>
              <a:endParaRPr lang="en-US" sz="1600"/>
            </a:p>
          </xdr:txBody>
        </xdr:sp>
      </mc:Choice>
      <mc:Fallback xmlns="">
        <xdr:sp macro="" textlink="">
          <xdr:nvSpPr>
            <xdr:cNvPr id="57" name="TextBox 56">
              <a:extLst>
                <a:ext uri="{FF2B5EF4-FFF2-40B4-BE49-F238E27FC236}">
                  <a16:creationId xmlns:a16="http://schemas.microsoft.com/office/drawing/2014/main" id="{0D71D5E8-246C-741A-F0DF-4DEFA7322763}"/>
                </a:ext>
              </a:extLst>
            </xdr:cNvPr>
            <xdr:cNvSpPr txBox="1"/>
          </xdr:nvSpPr>
          <xdr:spPr>
            <a:xfrm>
              <a:off x="12969154" y="33446071"/>
              <a:ext cx="2304349" cy="7927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𝑄_𝑟𝑜𝑡^3𝐷 (2)=√</a:t>
              </a:r>
              <a:r>
                <a:rPr lang="it-IT" sz="1600" b="0" i="0">
                  <a:latin typeface="Cambria Math" panose="02040503050406030204" pitchFamily="18" charset="0"/>
                  <a:ea typeface="Cambria Math" panose="02040503050406030204" pitchFamily="18" charset="0"/>
                </a:rPr>
                <a:t>𝜋/𝜎 </a:t>
              </a:r>
              <a:r>
                <a:rPr lang="it-IT" sz="1600" b="0" i="0">
                  <a:latin typeface="Cambria Math" panose="02040503050406030204" pitchFamily="18" charset="0"/>
                </a:rPr>
                <a:t>(𝑇^(3/2)/√(</a:t>
              </a:r>
              <a:r>
                <a:rPr lang="it-IT" sz="1600" b="0" i="0">
                  <a:latin typeface="Cambria Math" panose="02040503050406030204" pitchFamily="18" charset="0"/>
                  <a:ea typeface="Cambria Math" panose="02040503050406030204" pitchFamily="18" charset="0"/>
                </a:rPr>
                <a:t>𝜃_</a:t>
              </a:r>
              <a:r>
                <a:rPr lang="it-IT" sz="1600" b="0" i="0">
                  <a:latin typeface="Cambria Math" panose="02040503050406030204" pitchFamily="18" charset="0"/>
                </a:rPr>
                <a:t>𝑥 </a:t>
              </a:r>
              <a:r>
                <a:rPr lang="it-IT" sz="1600" b="0" i="0">
                  <a:latin typeface="Cambria Math" panose="02040503050406030204" pitchFamily="18" charset="0"/>
                  <a:ea typeface="Cambria Math" panose="02040503050406030204" pitchFamily="18" charset="0"/>
                </a:rPr>
                <a:t>𝜃_𝑦 𝜃_𝑧 ))</a:t>
              </a:r>
              <a:endParaRPr lang="en-US" sz="1600"/>
            </a:p>
          </xdr:txBody>
        </xdr:sp>
      </mc:Fallback>
    </mc:AlternateContent>
    <xdr:clientData/>
  </xdr:oneCellAnchor>
  <xdr:twoCellAnchor>
    <xdr:from>
      <xdr:col>10</xdr:col>
      <xdr:colOff>833739</xdr:colOff>
      <xdr:row>130</xdr:row>
      <xdr:rowOff>126030</xdr:rowOff>
    </xdr:from>
    <xdr:to>
      <xdr:col>11</xdr:col>
      <xdr:colOff>213330</xdr:colOff>
      <xdr:row>132</xdr:row>
      <xdr:rowOff>194408</xdr:rowOff>
    </xdr:to>
    <xdr:cxnSp macro="">
      <xdr:nvCxnSpPr>
        <xdr:cNvPr id="59" name="Curved Connector 58">
          <a:extLst>
            <a:ext uri="{FF2B5EF4-FFF2-40B4-BE49-F238E27FC236}">
              <a16:creationId xmlns:a16="http://schemas.microsoft.com/office/drawing/2014/main" id="{D6E45BA1-5C4E-B666-40DA-7708264B9084}"/>
            </a:ext>
          </a:extLst>
        </xdr:cNvPr>
        <xdr:cNvCxnSpPr>
          <a:endCxn id="57" idx="1"/>
        </xdr:cNvCxnSpPr>
      </xdr:nvCxnSpPr>
      <xdr:spPr>
        <a:xfrm rot="16200000" flipH="1">
          <a:off x="12505499" y="33378775"/>
          <a:ext cx="598708" cy="328602"/>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9769</xdr:colOff>
      <xdr:row>142</xdr:row>
      <xdr:rowOff>222807</xdr:rowOff>
    </xdr:from>
    <xdr:to>
      <xdr:col>15</xdr:col>
      <xdr:colOff>824046</xdr:colOff>
      <xdr:row>155</xdr:row>
      <xdr:rowOff>171380</xdr:rowOff>
    </xdr:to>
    <xdr:graphicFrame macro="">
      <xdr:nvGraphicFramePr>
        <xdr:cNvPr id="60" name="Chart 59">
          <a:extLst>
            <a:ext uri="{FF2B5EF4-FFF2-40B4-BE49-F238E27FC236}">
              <a16:creationId xmlns:a16="http://schemas.microsoft.com/office/drawing/2014/main" id="{AB471078-D93C-7467-9E8B-7596AB315D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9</xdr:col>
      <xdr:colOff>745958</xdr:colOff>
      <xdr:row>156</xdr:row>
      <xdr:rowOff>38545</xdr:rowOff>
    </xdr:from>
    <xdr:ext cx="65" cy="172227"/>
    <xdr:sp macro="" textlink="">
      <xdr:nvSpPr>
        <xdr:cNvPr id="61" name="TextBox 60">
          <a:extLst>
            <a:ext uri="{FF2B5EF4-FFF2-40B4-BE49-F238E27FC236}">
              <a16:creationId xmlns:a16="http://schemas.microsoft.com/office/drawing/2014/main" id="{17FE8F14-366B-A462-67A4-6268203FA495}"/>
            </a:ext>
          </a:extLst>
        </xdr:cNvPr>
        <xdr:cNvSpPr txBox="1"/>
      </xdr:nvSpPr>
      <xdr:spPr>
        <a:xfrm>
          <a:off x="11797186" y="4001012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twoCellAnchor>
    <xdr:from>
      <xdr:col>4</xdr:col>
      <xdr:colOff>452528</xdr:colOff>
      <xdr:row>163</xdr:row>
      <xdr:rowOff>131380</xdr:rowOff>
    </xdr:from>
    <xdr:to>
      <xdr:col>6</xdr:col>
      <xdr:colOff>613104</xdr:colOff>
      <xdr:row>163</xdr:row>
      <xdr:rowOff>145977</xdr:rowOff>
    </xdr:to>
    <xdr:cxnSp macro="">
      <xdr:nvCxnSpPr>
        <xdr:cNvPr id="62" name="Straight Arrow Connector 61">
          <a:extLst>
            <a:ext uri="{FF2B5EF4-FFF2-40B4-BE49-F238E27FC236}">
              <a16:creationId xmlns:a16="http://schemas.microsoft.com/office/drawing/2014/main" id="{F048CF4A-DCB3-DE40-8164-C1F069403CE4}"/>
            </a:ext>
          </a:extLst>
        </xdr:cNvPr>
        <xdr:cNvCxnSpPr/>
      </xdr:nvCxnSpPr>
      <xdr:spPr>
        <a:xfrm>
          <a:off x="6007033" y="14673578"/>
          <a:ext cx="2616840"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209696</xdr:colOff>
      <xdr:row>161</xdr:row>
      <xdr:rowOff>239134</xdr:rowOff>
    </xdr:from>
    <xdr:ext cx="1988301" cy="695255"/>
    <mc:AlternateContent xmlns:mc="http://schemas.openxmlformats.org/markup-compatibility/2006" xmlns:a14="http://schemas.microsoft.com/office/drawing/2010/main">
      <mc:Choice Requires="a14">
        <xdr:sp macro="" textlink="">
          <xdr:nvSpPr>
            <xdr:cNvPr id="63" name="TextBox 62">
              <a:extLst>
                <a:ext uri="{FF2B5EF4-FFF2-40B4-BE49-F238E27FC236}">
                  <a16:creationId xmlns:a16="http://schemas.microsoft.com/office/drawing/2014/main" id="{AA1CC6FC-8E39-2149-A00D-9652042D3CB6}"/>
                </a:ext>
              </a:extLst>
            </xdr:cNvPr>
            <xdr:cNvSpPr txBox="1"/>
          </xdr:nvSpPr>
          <xdr:spPr>
            <a:xfrm>
              <a:off x="9573829" y="41302467"/>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nary>
                      <m:naryPr>
                        <m:chr m:val="∑"/>
                        <m:ctrlPr>
                          <a:rPr lang="it-IT" sz="1600" b="0" i="1">
                            <a:latin typeface="Cambria Math" panose="02040503050406030204" pitchFamily="18" charset="0"/>
                          </a:rPr>
                        </m:ctrlPr>
                      </m:naryPr>
                      <m:sub>
                        <m:r>
                          <m:rPr>
                            <m:brk m:alnAt="23"/>
                          </m:rPr>
                          <a:rPr lang="it-IT" sz="1600" b="0" i="1">
                            <a:latin typeface="Cambria Math" panose="02040503050406030204" pitchFamily="18" charset="0"/>
                          </a:rPr>
                          <m:t>𝑖</m:t>
                        </m:r>
                        <m:r>
                          <a:rPr lang="it-IT" sz="1600" b="0" i="1">
                            <a:latin typeface="Cambria Math" panose="02040503050406030204" pitchFamily="18" charset="0"/>
                          </a:rPr>
                          <m:t>=0</m:t>
                        </m:r>
                      </m:sub>
                      <m:sup>
                        <m:r>
                          <a:rPr lang="it-IT" sz="1600" b="0" i="1">
                            <a:latin typeface="Cambria Math" panose="02040503050406030204" pitchFamily="18" charset="0"/>
                            <a:ea typeface="Cambria Math" panose="02040503050406030204" pitchFamily="18" charset="0"/>
                          </a:rPr>
                          <m:t>∞</m:t>
                        </m:r>
                      </m:sup>
                      <m:e>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𝑖</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e>
                    </m:nary>
                  </m:oMath>
                </m:oMathPara>
              </a14:m>
              <a:endParaRPr lang="en-US" sz="1600"/>
            </a:p>
          </xdr:txBody>
        </xdr:sp>
      </mc:Choice>
      <mc:Fallback xmlns="">
        <xdr:sp macro="" textlink="">
          <xdr:nvSpPr>
            <xdr:cNvPr id="63" name="TextBox 62">
              <a:extLst>
                <a:ext uri="{FF2B5EF4-FFF2-40B4-BE49-F238E27FC236}">
                  <a16:creationId xmlns:a16="http://schemas.microsoft.com/office/drawing/2014/main" id="{AA1CC6FC-8E39-2149-A00D-9652042D3CB6}"/>
                </a:ext>
              </a:extLst>
            </xdr:cNvPr>
            <xdr:cNvSpPr txBox="1"/>
          </xdr:nvSpPr>
          <xdr:spPr>
            <a:xfrm>
              <a:off x="9573829" y="41302467"/>
              <a:ext cx="1988301" cy="69525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𝑡𝑟𝑎𝑛𝑠𝑙=∑24_(𝑖=0)^</a:t>
              </a:r>
              <a:r>
                <a:rPr lang="it-IT" sz="1600" b="0" i="0">
                  <a:latin typeface="Cambria Math" panose="02040503050406030204" pitchFamily="18" charset="0"/>
                  <a:ea typeface="Cambria Math" panose="02040503050406030204" pitchFamily="18" charset="0"/>
                </a:rPr>
                <a:t>∞▒〖</a:t>
              </a:r>
              <a:r>
                <a:rPr lang="it-IT" sz="1600" b="0" i="0">
                  <a:latin typeface="Cambria Math" panose="02040503050406030204" pitchFamily="18" charset="0"/>
                </a:rPr>
                <a:t>𝑔_𝑒𝑙^𝑖 𝑒^(−(𝐸_𝑒𝑙^𝑖)/(𝑘_𝑏 𝑇)) 〗</a:t>
              </a:r>
              <a:endParaRPr lang="en-US" sz="1600"/>
            </a:p>
          </xdr:txBody>
        </xdr:sp>
      </mc:Fallback>
    </mc:AlternateContent>
    <xdr:clientData/>
  </xdr:oneCellAnchor>
  <xdr:twoCellAnchor>
    <xdr:from>
      <xdr:col>10</xdr:col>
      <xdr:colOff>743214</xdr:colOff>
      <xdr:row>162</xdr:row>
      <xdr:rowOff>75335</xdr:rowOff>
    </xdr:from>
    <xdr:to>
      <xdr:col>14</xdr:col>
      <xdr:colOff>1062567</xdr:colOff>
      <xdr:row>166</xdr:row>
      <xdr:rowOff>218898</xdr:rowOff>
    </xdr:to>
    <xdr:sp macro="" textlink="">
      <xdr:nvSpPr>
        <xdr:cNvPr id="66" name="Rectangle 65">
          <a:extLst>
            <a:ext uri="{FF2B5EF4-FFF2-40B4-BE49-F238E27FC236}">
              <a16:creationId xmlns:a16="http://schemas.microsoft.com/office/drawing/2014/main" id="{6AF128DD-B119-2E44-AD70-45A999CC7302}"/>
            </a:ext>
          </a:extLst>
        </xdr:cNvPr>
        <xdr:cNvSpPr/>
      </xdr:nvSpPr>
      <xdr:spPr>
        <a:xfrm>
          <a:off x="12732014" y="41384202"/>
          <a:ext cx="4391820" cy="12272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Form</a:t>
          </a:r>
          <a:r>
            <a:rPr lang="en-US" sz="1100" b="1" baseline="0"/>
            <a:t> Gaussian manual:</a:t>
          </a:r>
          <a:br>
            <a:rPr lang="en-US" sz="1100" b="1" baseline="0"/>
          </a:br>
          <a:r>
            <a:rPr lang="en-US"/>
            <a:t>Gaussian assumes that the first electronic excitation energy is much greater than k</a:t>
          </a:r>
          <a:r>
            <a:rPr lang="en-US" baseline="-25000"/>
            <a:t>B</a:t>
          </a:r>
          <a:r>
            <a:rPr lang="en-US"/>
            <a:t>T. Therefore, the first and higher excited states are assumed to be inaccessible at any temperature. Further, the energy of the ground state is set to zero. </a:t>
          </a:r>
          <a:endParaRPr lang="en-US" sz="1100" b="1"/>
        </a:p>
      </xdr:txBody>
    </xdr:sp>
    <xdr:clientData/>
  </xdr:twoCellAnchor>
  <xdr:twoCellAnchor>
    <xdr:from>
      <xdr:col>9</xdr:col>
      <xdr:colOff>711638</xdr:colOff>
      <xdr:row>163</xdr:row>
      <xdr:rowOff>155965</xdr:rowOff>
    </xdr:from>
    <xdr:to>
      <xdr:col>10</xdr:col>
      <xdr:colOff>679561</xdr:colOff>
      <xdr:row>165</xdr:row>
      <xdr:rowOff>43793</xdr:rowOff>
    </xdr:to>
    <xdr:cxnSp macro="">
      <xdr:nvCxnSpPr>
        <xdr:cNvPr id="67" name="Curved Connector 66">
          <a:extLst>
            <a:ext uri="{FF2B5EF4-FFF2-40B4-BE49-F238E27FC236}">
              <a16:creationId xmlns:a16="http://schemas.microsoft.com/office/drawing/2014/main" id="{DB615C68-D341-A24B-ADC5-B502AB570D65}"/>
            </a:ext>
          </a:extLst>
        </xdr:cNvPr>
        <xdr:cNvCxnSpPr/>
      </xdr:nvCxnSpPr>
      <xdr:spPr>
        <a:xfrm flipV="1">
          <a:off x="11747500" y="41441913"/>
          <a:ext cx="898527" cy="468087"/>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11</xdr:col>
      <xdr:colOff>440267</xdr:colOff>
      <xdr:row>167</xdr:row>
      <xdr:rowOff>135467</xdr:rowOff>
    </xdr:from>
    <xdr:ext cx="2190536" cy="468205"/>
    <mc:AlternateContent xmlns:mc="http://schemas.openxmlformats.org/markup-compatibility/2006" xmlns:a14="http://schemas.microsoft.com/office/drawing/2010/main">
      <mc:Choice Requires="a14">
        <xdr:sp macro="" textlink="">
          <xdr:nvSpPr>
            <xdr:cNvPr id="69" name="TextBox 68">
              <a:extLst>
                <a:ext uri="{FF2B5EF4-FFF2-40B4-BE49-F238E27FC236}">
                  <a16:creationId xmlns:a16="http://schemas.microsoft.com/office/drawing/2014/main" id="{68393743-E021-EB44-932D-98AE2A33ED6E}"/>
                </a:ext>
              </a:extLst>
            </xdr:cNvPr>
            <xdr:cNvSpPr txBox="1"/>
          </xdr:nvSpPr>
          <xdr:spPr>
            <a:xfrm>
              <a:off x="13385800" y="42773600"/>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en-US" sz="1600" i="1">
                          <a:latin typeface="Cambria Math" panose="02040503050406030204" pitchFamily="18" charset="0"/>
                        </a:rPr>
                      </m:ctrlPr>
                    </m:sSubPr>
                    <m:e>
                      <m:r>
                        <a:rPr lang="it-IT" sz="1600" b="0" i="1">
                          <a:latin typeface="Cambria Math" panose="02040503050406030204" pitchFamily="18" charset="0"/>
                        </a:rPr>
                        <m:t>𝑄</m:t>
                      </m:r>
                    </m:e>
                    <m:sub>
                      <m:r>
                        <a:rPr lang="it-IT" sz="1600" b="0" i="1">
                          <a:latin typeface="Cambria Math" panose="02040503050406030204" pitchFamily="18" charset="0"/>
                        </a:rPr>
                        <m:t>𝑡𝑟𝑎𝑛𝑠𝑙</m:t>
                      </m:r>
                    </m:sub>
                  </m:sSub>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sSup>
                    <m:sSupPr>
                      <m:ctrlPr>
                        <a:rPr lang="it-IT" sz="1600" b="0" i="1">
                          <a:latin typeface="Cambria Math" panose="02040503050406030204" pitchFamily="18" charset="0"/>
                        </a:rPr>
                      </m:ctrlPr>
                    </m:sSupPr>
                    <m:e>
                      <m:r>
                        <a:rPr lang="it-IT" sz="1600" b="0" i="1">
                          <a:latin typeface="Cambria Math" panose="02040503050406030204" pitchFamily="18" charset="0"/>
                        </a:rPr>
                        <m:t>𝑒</m:t>
                      </m:r>
                    </m:e>
                    <m:sup>
                      <m:r>
                        <a:rPr lang="it-IT" sz="1600" b="0" i="1">
                          <a:latin typeface="Cambria Math" panose="02040503050406030204" pitchFamily="18" charset="0"/>
                        </a:rPr>
                        <m:t>−</m:t>
                      </m:r>
                      <m:f>
                        <m:fPr>
                          <m:ctrlPr>
                            <a:rPr lang="it-IT" sz="1600" b="0" i="1">
                              <a:latin typeface="Cambria Math" panose="02040503050406030204" pitchFamily="18" charset="0"/>
                            </a:rPr>
                          </m:ctrlPr>
                        </m:fPr>
                        <m:num>
                          <m:sSubSup>
                            <m:sSubSupPr>
                              <m:ctrlPr>
                                <a:rPr lang="it-IT" sz="1600" b="0" i="1">
                                  <a:latin typeface="Cambria Math" panose="02040503050406030204" pitchFamily="18" charset="0"/>
                                </a:rPr>
                              </m:ctrlPr>
                            </m:sSubSupPr>
                            <m:e>
                              <m:r>
                                <a:rPr lang="it-IT" sz="1600" b="0" i="1">
                                  <a:latin typeface="Cambria Math" panose="02040503050406030204" pitchFamily="18" charset="0"/>
                                </a:rPr>
                                <m:t>𝐸</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num>
                        <m:den>
                          <m:sSub>
                            <m:sSubPr>
                              <m:ctrlPr>
                                <a:rPr lang="it-IT" sz="1600" b="0" i="1">
                                  <a:latin typeface="Cambria Math" panose="02040503050406030204" pitchFamily="18" charset="0"/>
                                </a:rPr>
                              </m:ctrlPr>
                            </m:sSubPr>
                            <m:e>
                              <m:r>
                                <a:rPr lang="it-IT" sz="1600" b="0" i="1">
                                  <a:latin typeface="Cambria Math" panose="02040503050406030204" pitchFamily="18" charset="0"/>
                                </a:rPr>
                                <m:t>𝑘</m:t>
                              </m:r>
                            </m:e>
                            <m:sub>
                              <m:r>
                                <a:rPr lang="it-IT" sz="1600" b="0" i="1">
                                  <a:latin typeface="Cambria Math" panose="02040503050406030204" pitchFamily="18" charset="0"/>
                                </a:rPr>
                                <m:t>𝑏</m:t>
                              </m:r>
                            </m:sub>
                          </m:sSub>
                          <m:r>
                            <a:rPr lang="it-IT" sz="1600" b="0" i="1">
                              <a:latin typeface="Cambria Math" panose="02040503050406030204" pitchFamily="18" charset="0"/>
                            </a:rPr>
                            <m:t>𝑇</m:t>
                          </m:r>
                        </m:den>
                      </m:f>
                    </m:sup>
                  </m:sSup>
                  <m:r>
                    <a:rPr lang="it-IT" sz="1600" b="0" i="1">
                      <a:latin typeface="Cambria Math" panose="02040503050406030204" pitchFamily="18" charset="0"/>
                    </a:rPr>
                    <m:t>=</m:t>
                  </m:r>
                  <m:sSubSup>
                    <m:sSubSupPr>
                      <m:ctrlPr>
                        <a:rPr lang="it-IT" sz="1600" b="0" i="1">
                          <a:latin typeface="Cambria Math" panose="02040503050406030204" pitchFamily="18" charset="0"/>
                        </a:rPr>
                      </m:ctrlPr>
                    </m:sSubSupPr>
                    <m:e>
                      <m:r>
                        <a:rPr lang="it-IT" sz="1600" b="0" i="1">
                          <a:latin typeface="Cambria Math" panose="02040503050406030204" pitchFamily="18" charset="0"/>
                        </a:rPr>
                        <m:t>𝑔</m:t>
                      </m:r>
                    </m:e>
                    <m:sub>
                      <m:r>
                        <a:rPr lang="it-IT" sz="1600" b="0" i="1">
                          <a:latin typeface="Cambria Math" panose="02040503050406030204" pitchFamily="18" charset="0"/>
                        </a:rPr>
                        <m:t>𝑒𝑙</m:t>
                      </m:r>
                    </m:sub>
                    <m:sup>
                      <m:r>
                        <a:rPr lang="it-IT" sz="1600" b="0" i="1">
                          <a:latin typeface="Cambria Math" panose="02040503050406030204" pitchFamily="18" charset="0"/>
                        </a:rPr>
                        <m:t>0</m:t>
                      </m:r>
                    </m:sup>
                  </m:sSubSup>
                </m:oMath>
              </a14:m>
              <a:r>
                <a:rPr lang="en-US" sz="1600"/>
                <a:t> </a:t>
              </a:r>
            </a:p>
          </xdr:txBody>
        </xdr:sp>
      </mc:Choice>
      <mc:Fallback xmlns="">
        <xdr:sp macro="" textlink="">
          <xdr:nvSpPr>
            <xdr:cNvPr id="69" name="TextBox 68">
              <a:extLst>
                <a:ext uri="{FF2B5EF4-FFF2-40B4-BE49-F238E27FC236}">
                  <a16:creationId xmlns:a16="http://schemas.microsoft.com/office/drawing/2014/main" id="{68393743-E021-EB44-932D-98AE2A33ED6E}"/>
                </a:ext>
              </a:extLst>
            </xdr:cNvPr>
            <xdr:cNvSpPr txBox="1"/>
          </xdr:nvSpPr>
          <xdr:spPr>
            <a:xfrm>
              <a:off x="13385800" y="42773600"/>
              <a:ext cx="2190536" cy="468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600" b="0" i="0">
                  <a:latin typeface="Cambria Math" panose="02040503050406030204" pitchFamily="18" charset="0"/>
                </a:rPr>
                <a:t>𝑄</a:t>
              </a:r>
              <a:r>
                <a:rPr lang="en-US" sz="1600" b="0" i="0">
                  <a:latin typeface="Cambria Math" panose="02040503050406030204" pitchFamily="18" charset="0"/>
                </a:rPr>
                <a:t>_</a:t>
              </a:r>
              <a:r>
                <a:rPr lang="it-IT" sz="1600" b="0" i="0">
                  <a:latin typeface="Cambria Math" panose="02040503050406030204" pitchFamily="18" charset="0"/>
                </a:rPr>
                <a:t>𝑡𝑟𝑎𝑛𝑠𝑙=𝑔_𝑒𝑙^0 𝑒^(−(𝐸_𝑒𝑙^0)/(𝑘_𝑏 𝑇))=𝑔_𝑒𝑙^0</a:t>
              </a:r>
              <a:r>
                <a:rPr lang="en-US" sz="1600"/>
                <a:t> </a:t>
              </a:r>
            </a:p>
          </xdr:txBody>
        </xdr:sp>
      </mc:Fallback>
    </mc:AlternateContent>
    <xdr:clientData/>
  </xdr:oneCellAnchor>
  <xdr:twoCellAnchor>
    <xdr:from>
      <xdr:col>9</xdr:col>
      <xdr:colOff>810879</xdr:colOff>
      <xdr:row>54</xdr:row>
      <xdr:rowOff>177230</xdr:rowOff>
    </xdr:from>
    <xdr:to>
      <xdr:col>10</xdr:col>
      <xdr:colOff>813725</xdr:colOff>
      <xdr:row>55</xdr:row>
      <xdr:rowOff>101443</xdr:rowOff>
    </xdr:to>
    <xdr:cxnSp macro="">
      <xdr:nvCxnSpPr>
        <xdr:cNvPr id="71" name="Curved Connector 70">
          <a:extLst>
            <a:ext uri="{FF2B5EF4-FFF2-40B4-BE49-F238E27FC236}">
              <a16:creationId xmlns:a16="http://schemas.microsoft.com/office/drawing/2014/main" id="{F4C4ADF8-DF70-4B47-96E4-90254604535E}"/>
            </a:ext>
          </a:extLst>
        </xdr:cNvPr>
        <xdr:cNvCxnSpPr/>
      </xdr:nvCxnSpPr>
      <xdr:spPr>
        <a:xfrm>
          <a:off x="11868346" y="14689097"/>
          <a:ext cx="934179" cy="169746"/>
        </a:xfrm>
        <a:prstGeom prst="curvedConnector3">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245533</xdr:colOff>
      <xdr:row>166</xdr:row>
      <xdr:rowOff>118533</xdr:rowOff>
    </xdr:from>
    <xdr:to>
      <xdr:col>11</xdr:col>
      <xdr:colOff>440266</xdr:colOff>
      <xdr:row>168</xdr:row>
      <xdr:rowOff>124036</xdr:rowOff>
    </xdr:to>
    <xdr:cxnSp macro="">
      <xdr:nvCxnSpPr>
        <xdr:cNvPr id="73" name="Curved Connector 72">
          <a:extLst>
            <a:ext uri="{FF2B5EF4-FFF2-40B4-BE49-F238E27FC236}">
              <a16:creationId xmlns:a16="http://schemas.microsoft.com/office/drawing/2014/main" id="{4A9014D7-6962-9F79-D444-5FF21216EEEB}"/>
            </a:ext>
          </a:extLst>
        </xdr:cNvPr>
        <xdr:cNvCxnSpPr>
          <a:endCxn id="69" idx="1"/>
        </xdr:cNvCxnSpPr>
      </xdr:nvCxnSpPr>
      <xdr:spPr>
        <a:xfrm rot="16200000" flipH="1">
          <a:off x="13040148" y="42662051"/>
          <a:ext cx="496570" cy="194733"/>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8</xdr:col>
      <xdr:colOff>35473</xdr:colOff>
      <xdr:row>164</xdr:row>
      <xdr:rowOff>144956</xdr:rowOff>
    </xdr:from>
    <xdr:ext cx="1272015" cy="578235"/>
    <mc:AlternateContent xmlns:mc="http://schemas.openxmlformats.org/markup-compatibility/2006" xmlns:a14="http://schemas.microsoft.com/office/drawing/2010/main">
      <mc:Choice Requires="a14">
        <xdr:sp macro="" textlink="">
          <xdr:nvSpPr>
            <xdr:cNvPr id="74" name="TextBox 73">
              <a:extLst>
                <a:ext uri="{FF2B5EF4-FFF2-40B4-BE49-F238E27FC236}">
                  <a16:creationId xmlns:a16="http://schemas.microsoft.com/office/drawing/2014/main" id="{0658573C-019D-76DC-E239-3B2D540F1133}"/>
                </a:ext>
              </a:extLst>
            </xdr:cNvPr>
            <xdr:cNvSpPr txBox="1"/>
          </xdr:nvSpPr>
          <xdr:spPr>
            <a:xfrm>
              <a:off x="10250214" y="41770301"/>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2000" b="0" i="1">
                        <a:latin typeface="Cambria Math" panose="02040503050406030204" pitchFamily="18" charset="0"/>
                      </a:rPr>
                      <m:t>=</m:t>
                    </m:r>
                    <m:sSubSup>
                      <m:sSubSupPr>
                        <m:ctrlPr>
                          <a:rPr lang="it-IT" sz="2000" b="0" i="1">
                            <a:latin typeface="Cambria Math" panose="02040503050406030204" pitchFamily="18" charset="0"/>
                          </a:rPr>
                        </m:ctrlPr>
                      </m:sSubSupPr>
                      <m:e>
                        <m:r>
                          <a:rPr lang="it-IT" sz="2000" b="0" i="1">
                            <a:latin typeface="Cambria Math" panose="02040503050406030204" pitchFamily="18" charset="0"/>
                          </a:rPr>
                          <m:t>𝑔</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sSup>
                      <m:sSupPr>
                        <m:ctrlPr>
                          <a:rPr lang="it-IT" sz="2000" b="0" i="1">
                            <a:latin typeface="Cambria Math" panose="02040503050406030204" pitchFamily="18" charset="0"/>
                          </a:rPr>
                        </m:ctrlPr>
                      </m:sSupPr>
                      <m:e>
                        <m:r>
                          <a:rPr lang="it-IT" sz="2000" b="0" i="1">
                            <a:latin typeface="Cambria Math" panose="02040503050406030204" pitchFamily="18" charset="0"/>
                          </a:rPr>
                          <m:t>𝑒</m:t>
                        </m:r>
                      </m:e>
                      <m:sup>
                        <m:r>
                          <a:rPr lang="it-IT" sz="2000" b="0" i="1">
                            <a:latin typeface="Cambria Math" panose="02040503050406030204" pitchFamily="18" charset="0"/>
                          </a:rPr>
                          <m:t>−</m:t>
                        </m:r>
                        <m:f>
                          <m:fPr>
                            <m:ctrlPr>
                              <a:rPr lang="it-IT" sz="2000" b="0" i="1">
                                <a:latin typeface="Cambria Math" panose="02040503050406030204" pitchFamily="18" charset="0"/>
                              </a:rPr>
                            </m:ctrlPr>
                          </m:fPr>
                          <m:num>
                            <m:sSubSup>
                              <m:sSubSupPr>
                                <m:ctrlPr>
                                  <a:rPr lang="it-IT" sz="2000" b="0" i="1">
                                    <a:latin typeface="Cambria Math" panose="02040503050406030204" pitchFamily="18" charset="0"/>
                                  </a:rPr>
                                </m:ctrlPr>
                              </m:sSubSupPr>
                              <m:e>
                                <m:r>
                                  <a:rPr lang="it-IT" sz="2000" b="0" i="1">
                                    <a:latin typeface="Cambria Math" panose="02040503050406030204" pitchFamily="18" charset="0"/>
                                  </a:rPr>
                                  <m:t>𝐸</m:t>
                                </m:r>
                              </m:e>
                              <m:sub>
                                <m:r>
                                  <a:rPr lang="it-IT" sz="2000" b="0" i="1">
                                    <a:latin typeface="Cambria Math" panose="02040503050406030204" pitchFamily="18" charset="0"/>
                                  </a:rPr>
                                  <m:t>𝑒𝑙</m:t>
                                </m:r>
                              </m:sub>
                              <m:sup>
                                <m:r>
                                  <a:rPr lang="it-IT" sz="2000" b="0" i="1">
                                    <a:latin typeface="Cambria Math" panose="02040503050406030204" pitchFamily="18" charset="0"/>
                                  </a:rPr>
                                  <m:t>0</m:t>
                                </m:r>
                              </m:sup>
                            </m:sSubSup>
                          </m:num>
                          <m:den>
                            <m:sSub>
                              <m:sSubPr>
                                <m:ctrlPr>
                                  <a:rPr lang="it-IT" sz="2000" b="0" i="1">
                                    <a:latin typeface="Cambria Math" panose="02040503050406030204" pitchFamily="18" charset="0"/>
                                  </a:rPr>
                                </m:ctrlPr>
                              </m:sSubPr>
                              <m:e>
                                <m:r>
                                  <a:rPr lang="it-IT" sz="2000" b="0" i="1">
                                    <a:latin typeface="Cambria Math" panose="02040503050406030204" pitchFamily="18" charset="0"/>
                                  </a:rPr>
                                  <m:t>𝑘</m:t>
                                </m:r>
                              </m:e>
                              <m:sub>
                                <m:r>
                                  <a:rPr lang="it-IT" sz="2000" b="0" i="1">
                                    <a:latin typeface="Cambria Math" panose="02040503050406030204" pitchFamily="18" charset="0"/>
                                  </a:rPr>
                                  <m:t>𝑏</m:t>
                                </m:r>
                              </m:sub>
                            </m:sSub>
                            <m:r>
                              <a:rPr lang="it-IT" sz="2000" b="0" i="1">
                                <a:latin typeface="Cambria Math" panose="02040503050406030204" pitchFamily="18" charset="0"/>
                              </a:rPr>
                              <m:t>𝑇</m:t>
                            </m:r>
                          </m:den>
                        </m:f>
                      </m:sup>
                    </m:sSup>
                  </m:oMath>
                </m:oMathPara>
              </a14:m>
              <a:endParaRPr lang="en-US" sz="2000"/>
            </a:p>
          </xdr:txBody>
        </xdr:sp>
      </mc:Choice>
      <mc:Fallback xmlns="">
        <xdr:sp macro="" textlink="">
          <xdr:nvSpPr>
            <xdr:cNvPr id="74" name="TextBox 73">
              <a:extLst>
                <a:ext uri="{FF2B5EF4-FFF2-40B4-BE49-F238E27FC236}">
                  <a16:creationId xmlns:a16="http://schemas.microsoft.com/office/drawing/2014/main" id="{0658573C-019D-76DC-E239-3B2D540F1133}"/>
                </a:ext>
              </a:extLst>
            </xdr:cNvPr>
            <xdr:cNvSpPr txBox="1"/>
          </xdr:nvSpPr>
          <xdr:spPr>
            <a:xfrm>
              <a:off x="10250214" y="41770301"/>
              <a:ext cx="1272015" cy="5782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2000" b="0" i="0">
                  <a:latin typeface="Cambria Math" panose="02040503050406030204" pitchFamily="18" charset="0"/>
                </a:rPr>
                <a:t>=𝑔_𝑒𝑙^0 𝑒^(−(𝐸_𝑒𝑙^0)/(𝑘_𝑏 𝑇))</a:t>
              </a:r>
              <a:endParaRPr lang="en-US" sz="2000"/>
            </a:p>
          </xdr:txBody>
        </xdr:sp>
      </mc:Fallback>
    </mc:AlternateContent>
    <xdr:clientData/>
  </xdr:oneCellAnchor>
  <xdr:twoCellAnchor>
    <xdr:from>
      <xdr:col>7</xdr:col>
      <xdr:colOff>592666</xdr:colOff>
      <xdr:row>179</xdr:row>
      <xdr:rowOff>25400</xdr:rowOff>
    </xdr:from>
    <xdr:to>
      <xdr:col>12</xdr:col>
      <xdr:colOff>762000</xdr:colOff>
      <xdr:row>191</xdr:row>
      <xdr:rowOff>67734</xdr:rowOff>
    </xdr:to>
    <xdr:graphicFrame macro="">
      <xdr:nvGraphicFramePr>
        <xdr:cNvPr id="77" name="Chart 76">
          <a:extLst>
            <a:ext uri="{FF2B5EF4-FFF2-40B4-BE49-F238E27FC236}">
              <a16:creationId xmlns:a16="http://schemas.microsoft.com/office/drawing/2014/main" id="{0729CD33-7580-0DD6-2141-B469876908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452528</xdr:colOff>
      <xdr:row>198</xdr:row>
      <xdr:rowOff>131380</xdr:rowOff>
    </xdr:from>
    <xdr:to>
      <xdr:col>6</xdr:col>
      <xdr:colOff>613104</xdr:colOff>
      <xdr:row>198</xdr:row>
      <xdr:rowOff>145977</xdr:rowOff>
    </xdr:to>
    <xdr:cxnSp macro="">
      <xdr:nvCxnSpPr>
        <xdr:cNvPr id="78" name="Straight Arrow Connector 77">
          <a:extLst>
            <a:ext uri="{FF2B5EF4-FFF2-40B4-BE49-F238E27FC236}">
              <a16:creationId xmlns:a16="http://schemas.microsoft.com/office/drawing/2014/main" id="{6006B184-4892-F743-80B3-19AC4EC239ED}"/>
            </a:ext>
          </a:extLst>
        </xdr:cNvPr>
        <xdr:cNvCxnSpPr/>
      </xdr:nvCxnSpPr>
      <xdr:spPr>
        <a:xfrm>
          <a:off x="6006661" y="41245513"/>
          <a:ext cx="2632843"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646187</xdr:colOff>
      <xdr:row>200</xdr:row>
      <xdr:rowOff>189278</xdr:rowOff>
    </xdr:from>
    <xdr:ext cx="282578" cy="411278"/>
    <mc:AlternateContent xmlns:mc="http://schemas.openxmlformats.org/markup-compatibility/2006" xmlns:a14="http://schemas.microsoft.com/office/drawing/2010/main">
      <mc:Choice Requires="a14">
        <xdr:sp macro="" textlink="">
          <xdr:nvSpPr>
            <xdr:cNvPr id="79" name="TextBox 78">
              <a:extLst>
                <a:ext uri="{FF2B5EF4-FFF2-40B4-BE49-F238E27FC236}">
                  <a16:creationId xmlns:a16="http://schemas.microsoft.com/office/drawing/2014/main" id="{55D1CBF5-1148-D1AF-5414-82574933FF32}"/>
                </a:ext>
              </a:extLst>
            </xdr:cNvPr>
            <xdr:cNvSpPr txBox="1"/>
          </xdr:nvSpPr>
          <xdr:spPr>
            <a:xfrm>
              <a:off x="8663062" y="50970961"/>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n-US" sz="1400" i="1">
                            <a:latin typeface="Cambria Math" panose="02040503050406030204" pitchFamily="18" charset="0"/>
                          </a:rPr>
                        </m:ctrlPr>
                      </m:fPr>
                      <m:num>
                        <m:r>
                          <a:rPr lang="it-IT" sz="1400" b="0" i="1">
                            <a:latin typeface="Cambria Math" panose="02040503050406030204" pitchFamily="18" charset="0"/>
                          </a:rPr>
                          <m:t>3</m:t>
                        </m:r>
                      </m:num>
                      <m:den>
                        <m:r>
                          <a:rPr lang="it-IT" sz="1400" b="0" i="1">
                            <a:latin typeface="Cambria Math" panose="02040503050406030204" pitchFamily="18" charset="0"/>
                          </a:rPr>
                          <m:t>2</m:t>
                        </m:r>
                      </m:den>
                    </m:f>
                    <m:r>
                      <a:rPr lang="it-IT" sz="1400" b="0" i="1">
                        <a:latin typeface="Cambria Math" panose="02040503050406030204" pitchFamily="18" charset="0"/>
                      </a:rPr>
                      <m:t>𝑅</m:t>
                    </m:r>
                  </m:oMath>
                </m:oMathPara>
              </a14:m>
              <a:endParaRPr lang="en-US" sz="1400"/>
            </a:p>
          </xdr:txBody>
        </xdr:sp>
      </mc:Choice>
      <mc:Fallback xmlns="">
        <xdr:sp macro="" textlink="">
          <xdr:nvSpPr>
            <xdr:cNvPr id="79" name="TextBox 78">
              <a:extLst>
                <a:ext uri="{FF2B5EF4-FFF2-40B4-BE49-F238E27FC236}">
                  <a16:creationId xmlns:a16="http://schemas.microsoft.com/office/drawing/2014/main" id="{55D1CBF5-1148-D1AF-5414-82574933FF32}"/>
                </a:ext>
              </a:extLst>
            </xdr:cNvPr>
            <xdr:cNvSpPr txBox="1"/>
          </xdr:nvSpPr>
          <xdr:spPr>
            <a:xfrm>
              <a:off x="8663062" y="50970961"/>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3</a:t>
              </a:r>
              <a:r>
                <a:rPr lang="en-US" sz="1400" b="0" i="0">
                  <a:latin typeface="Cambria Math" panose="02040503050406030204" pitchFamily="18" charset="0"/>
                </a:rPr>
                <a:t>/</a:t>
              </a:r>
              <a:r>
                <a:rPr lang="it-IT" sz="1400" b="0" i="0">
                  <a:latin typeface="Cambria Math" panose="02040503050406030204" pitchFamily="18" charset="0"/>
                </a:rPr>
                <a:t>2 𝑅</a:t>
              </a:r>
              <a:endParaRPr lang="en-US" sz="1400"/>
            </a:p>
          </xdr:txBody>
        </xdr:sp>
      </mc:Fallback>
    </mc:AlternateContent>
    <xdr:clientData/>
  </xdr:oneCellAnchor>
  <xdr:oneCellAnchor>
    <xdr:from>
      <xdr:col>6</xdr:col>
      <xdr:colOff>1173237</xdr:colOff>
      <xdr:row>203</xdr:row>
      <xdr:rowOff>26280</xdr:rowOff>
    </xdr:from>
    <xdr:ext cx="1932324" cy="755976"/>
    <mc:AlternateContent xmlns:mc="http://schemas.openxmlformats.org/markup-compatibility/2006" xmlns:a14="http://schemas.microsoft.com/office/drawing/2010/main">
      <mc:Choice Requires="a14">
        <xdr:sp macro="" textlink="">
          <xdr:nvSpPr>
            <xdr:cNvPr id="80" name="TextBox 79">
              <a:extLst>
                <a:ext uri="{FF2B5EF4-FFF2-40B4-BE49-F238E27FC236}">
                  <a16:creationId xmlns:a16="http://schemas.microsoft.com/office/drawing/2014/main" id="{B67F23DF-F706-1B4E-A285-F3C45EFAB153}"/>
                </a:ext>
              </a:extLst>
            </xdr:cNvPr>
            <xdr:cNvSpPr txBox="1"/>
          </xdr:nvSpPr>
          <xdr:spPr>
            <a:xfrm>
              <a:off x="9186937" y="51092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sSubSup>
                                  <m:sSubSupPr>
                                    <m:ctrlPr>
                                      <a:rPr lang="it-IT" sz="1400" b="0" i="1">
                                        <a:latin typeface="Cambria Math" panose="02040503050406030204" pitchFamily="18" charset="0"/>
                                      </a:rPr>
                                    </m:ctrlPr>
                                  </m:sSubSup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up>
                                    <m:r>
                                      <a:rPr lang="it-IT" sz="1400" b="0" i="1">
                                        <a:latin typeface="Cambria Math" panose="02040503050406030204" pitchFamily="18" charset="0"/>
                                      </a:rPr>
                                      <m:t>2</m:t>
                                    </m:r>
                                  </m:sup>
                                </m:sSubSup>
                                <m:sSup>
                                  <m:sSupPr>
                                    <m:ctrlPr>
                                      <a:rPr lang="it-IT" sz="1400" b="0" i="1">
                                        <a:latin typeface="Cambria Math" panose="02040503050406030204" pitchFamily="18" charset="0"/>
                                      </a:rPr>
                                    </m:ctrlPr>
                                  </m:sSupPr>
                                  <m:e>
                                    <m:r>
                                      <a:rPr lang="it-IT" sz="1400" b="0" i="1">
                                        <a:latin typeface="Cambria Math" panose="02040503050406030204" pitchFamily="18" charset="0"/>
                                      </a:rPr>
                                      <m:t> </m:t>
                                    </m:r>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num>
                              <m:den>
                                <m:sSup>
                                  <m:sSupPr>
                                    <m:ctrlPr>
                                      <a:rPr lang="it-IT" sz="1400" b="0" i="1">
                                        <a:latin typeface="Cambria Math" panose="02040503050406030204" pitchFamily="18" charset="0"/>
                                      </a:rPr>
                                    </m:ctrlPr>
                                  </m:sSupPr>
                                  <m:e>
                                    <m:r>
                                      <a:rPr lang="it-IT" sz="1400" b="0" i="1">
                                        <a:latin typeface="Cambria Math" panose="02040503050406030204" pitchFamily="18" charset="0"/>
                                      </a:rPr>
                                      <m:t>𝑇</m:t>
                                    </m:r>
                                  </m:e>
                                  <m:sup>
                                    <m:r>
                                      <a:rPr lang="it-IT" sz="1400" b="0" i="1">
                                        <a:latin typeface="Cambria Math" panose="02040503050406030204" pitchFamily="18" charset="0"/>
                                      </a:rPr>
                                      <m:t>2</m:t>
                                    </m:r>
                                  </m:sup>
                                </m:sSup>
                                <m:sSup>
                                  <m:sSupPr>
                                    <m:ctrlPr>
                                      <a:rPr lang="it-IT" sz="1400" b="0" i="1">
                                        <a:latin typeface="Cambria Math" panose="02040503050406030204" pitchFamily="18" charset="0"/>
                                      </a:rPr>
                                    </m:ctrlPr>
                                  </m:sSupPr>
                                  <m:e>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e>
                                  <m:sup>
                                    <m:r>
                                      <a:rPr lang="it-IT" sz="1400" b="0" i="1">
                                        <a:latin typeface="Cambria Math" panose="02040503050406030204" pitchFamily="18" charset="0"/>
                                      </a:rPr>
                                      <m:t>2</m:t>
                                    </m:r>
                                  </m:sup>
                                </m:sSup>
                              </m:den>
                            </m:f>
                          </m:e>
                        </m:d>
                      </m:e>
                    </m:nary>
                  </m:oMath>
                </m:oMathPara>
              </a14:m>
              <a:endParaRPr lang="en-US" sz="1400"/>
            </a:p>
          </xdr:txBody>
        </xdr:sp>
      </mc:Choice>
      <mc:Fallback xmlns="">
        <xdr:sp macro="" textlink="">
          <xdr:nvSpPr>
            <xdr:cNvPr id="80" name="TextBox 79">
              <a:extLst>
                <a:ext uri="{FF2B5EF4-FFF2-40B4-BE49-F238E27FC236}">
                  <a16:creationId xmlns:a16="http://schemas.microsoft.com/office/drawing/2014/main" id="{B67F23DF-F706-1B4E-A285-F3C45EFAB153}"/>
                </a:ext>
              </a:extLst>
            </xdr:cNvPr>
            <xdr:cNvSpPr txBox="1"/>
          </xdr:nvSpPr>
          <xdr:spPr>
            <a:xfrm>
              <a:off x="9186937" y="51092980"/>
              <a:ext cx="1932324" cy="7559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latin typeface="Cambria Math" panose="02040503050406030204" pitchFamily="18" charset="0"/>
                </a:rPr>
                <a:t>𝑅∑8_𝑖▒((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𝑣𝑖𝑏,𝑖)^2 〖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𝑣𝑖𝑏,𝑖)/𝑇))/(𝑇^2 (𝑒^(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𝑣𝑖𝑏,𝑖)/𝑇)−1)^2 )) </a:t>
              </a:r>
              <a:endParaRPr lang="en-US" sz="1400"/>
            </a:p>
          </xdr:txBody>
        </xdr:sp>
      </mc:Fallback>
    </mc:AlternateContent>
    <xdr:clientData/>
  </xdr:oneCellAnchor>
  <xdr:oneCellAnchor>
    <xdr:from>
      <xdr:col>9</xdr:col>
      <xdr:colOff>850474</xdr:colOff>
      <xdr:row>203</xdr:row>
      <xdr:rowOff>31451</xdr:rowOff>
    </xdr:from>
    <xdr:ext cx="282578" cy="278224"/>
    <mc:AlternateContent xmlns:mc="http://schemas.openxmlformats.org/markup-compatibility/2006">
      <mc:Choice xmlns:a14="http://schemas.microsoft.com/office/drawing/2010/main" Requires="a14">
        <xdr:sp macro="" textlink="">
          <xdr:nvSpPr>
            <xdr:cNvPr id="81" name="TextBox 80">
              <a:extLst>
                <a:ext uri="{FF2B5EF4-FFF2-40B4-BE49-F238E27FC236}">
                  <a16:creationId xmlns:a16="http://schemas.microsoft.com/office/drawing/2014/main" id="{D677208A-2B63-D240-B799-68B093B3820D}"/>
                </a:ext>
              </a:extLst>
            </xdr:cNvPr>
            <xdr:cNvSpPr txBox="1"/>
          </xdr:nvSpPr>
          <xdr:spPr>
            <a:xfrm>
              <a:off x="12054696" y="51779718"/>
              <a:ext cx="282578" cy="278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oMath>
                </m:oMathPara>
              </a14:m>
              <a:endParaRPr lang="en-US" sz="1400"/>
            </a:p>
          </xdr:txBody>
        </xdr:sp>
      </mc:Choice>
      <mc:Fallback>
        <xdr:sp macro="" textlink="">
          <xdr:nvSpPr>
            <xdr:cNvPr id="81" name="TextBox 80">
              <a:extLst>
                <a:ext uri="{FF2B5EF4-FFF2-40B4-BE49-F238E27FC236}">
                  <a16:creationId xmlns:a16="http://schemas.microsoft.com/office/drawing/2014/main" id="{D677208A-2B63-D240-B799-68B093B3820D}"/>
                </a:ext>
              </a:extLst>
            </xdr:cNvPr>
            <xdr:cNvSpPr txBox="1"/>
          </xdr:nvSpPr>
          <xdr:spPr>
            <a:xfrm>
              <a:off x="12054696" y="51779718"/>
              <a:ext cx="282578" cy="2782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it-IT" sz="1400" b="0" i="0">
                  <a:latin typeface="Cambria Math" panose="02040503050406030204" pitchFamily="18" charset="0"/>
                </a:rPr>
                <a:t>𝑅</a:t>
              </a:r>
              <a:endParaRPr lang="en-US" sz="1400"/>
            </a:p>
          </xdr:txBody>
        </xdr:sp>
      </mc:Fallback>
    </mc:AlternateContent>
    <xdr:clientData/>
  </xdr:oneCellAnchor>
  <xdr:oneCellAnchor>
    <xdr:from>
      <xdr:col>11</xdr:col>
      <xdr:colOff>218296</xdr:colOff>
      <xdr:row>200</xdr:row>
      <xdr:rowOff>146049</xdr:rowOff>
    </xdr:from>
    <xdr:ext cx="282578" cy="411278"/>
    <xdr:sp macro="" textlink="">
      <xdr:nvSpPr>
        <xdr:cNvPr id="82" name="TextBox 81">
          <a:extLst>
            <a:ext uri="{FF2B5EF4-FFF2-40B4-BE49-F238E27FC236}">
              <a16:creationId xmlns:a16="http://schemas.microsoft.com/office/drawing/2014/main" id="{FFAC3BD0-1CF0-FB4C-A23E-264667CAECBD}"/>
            </a:ext>
          </a:extLst>
        </xdr:cNvPr>
        <xdr:cNvSpPr txBox="1"/>
      </xdr:nvSpPr>
      <xdr:spPr>
        <a:xfrm>
          <a:off x="13144209" y="50927732"/>
          <a:ext cx="282578"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n-US" sz="1400"/>
            <a:t>0</a:t>
          </a:r>
        </a:p>
      </xdr:txBody>
    </xdr:sp>
    <xdr:clientData/>
  </xdr:oneCellAnchor>
  <xdr:twoCellAnchor>
    <xdr:from>
      <xdr:col>6</xdr:col>
      <xdr:colOff>1025769</xdr:colOff>
      <xdr:row>199</xdr:row>
      <xdr:rowOff>61058</xdr:rowOff>
    </xdr:from>
    <xdr:to>
      <xdr:col>7</xdr:col>
      <xdr:colOff>378558</xdr:colOff>
      <xdr:row>201</xdr:row>
      <xdr:rowOff>67164</xdr:rowOff>
    </xdr:to>
    <xdr:cxnSp macro="">
      <xdr:nvCxnSpPr>
        <xdr:cNvPr id="84" name="Straight Arrow Connector 83">
          <a:extLst>
            <a:ext uri="{FF2B5EF4-FFF2-40B4-BE49-F238E27FC236}">
              <a16:creationId xmlns:a16="http://schemas.microsoft.com/office/drawing/2014/main" id="{A8248C63-95AD-8C51-B428-1D1F8CDE8C2C}"/>
            </a:ext>
          </a:extLst>
        </xdr:cNvPr>
        <xdr:cNvCxnSpPr/>
      </xdr:nvCxnSpPr>
      <xdr:spPr>
        <a:xfrm flipH="1">
          <a:off x="9042644" y="50641250"/>
          <a:ext cx="696058" cy="409087"/>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177800</xdr:colOff>
      <xdr:row>199</xdr:row>
      <xdr:rowOff>42496</xdr:rowOff>
    </xdr:from>
    <xdr:to>
      <xdr:col>8</xdr:col>
      <xdr:colOff>390525</xdr:colOff>
      <xdr:row>202</xdr:row>
      <xdr:rowOff>152400</xdr:rowOff>
    </xdr:to>
    <xdr:cxnSp macro="">
      <xdr:nvCxnSpPr>
        <xdr:cNvPr id="85" name="Straight Arrow Connector 84">
          <a:extLst>
            <a:ext uri="{FF2B5EF4-FFF2-40B4-BE49-F238E27FC236}">
              <a16:creationId xmlns:a16="http://schemas.microsoft.com/office/drawing/2014/main" id="{3D240A77-968A-2E45-BC81-7238C6146753}"/>
            </a:ext>
          </a:extLst>
        </xdr:cNvPr>
        <xdr:cNvCxnSpPr/>
      </xdr:nvCxnSpPr>
      <xdr:spPr>
        <a:xfrm flipH="1">
          <a:off x="10401300" y="50296396"/>
          <a:ext cx="212725" cy="71950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199</xdr:row>
      <xdr:rowOff>48846</xdr:rowOff>
    </xdr:from>
    <xdr:to>
      <xdr:col>9</xdr:col>
      <xdr:colOff>854807</xdr:colOff>
      <xdr:row>203</xdr:row>
      <xdr:rowOff>42740</xdr:rowOff>
    </xdr:to>
    <xdr:cxnSp macro="">
      <xdr:nvCxnSpPr>
        <xdr:cNvPr id="87" name="Straight Arrow Connector 86">
          <a:extLst>
            <a:ext uri="{FF2B5EF4-FFF2-40B4-BE49-F238E27FC236}">
              <a16:creationId xmlns:a16="http://schemas.microsoft.com/office/drawing/2014/main" id="{929BFFCC-8E08-C849-80EA-26EA8CFB7D97}"/>
            </a:ext>
          </a:extLst>
        </xdr:cNvPr>
        <xdr:cNvCxnSpPr/>
      </xdr:nvCxnSpPr>
      <xdr:spPr>
        <a:xfrm>
          <a:off x="11472740" y="50629038"/>
          <a:ext cx="427404" cy="79985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199</xdr:row>
      <xdr:rowOff>42741</xdr:rowOff>
    </xdr:from>
    <xdr:to>
      <xdr:col>11</xdr:col>
      <xdr:colOff>116010</xdr:colOff>
      <xdr:row>200</xdr:row>
      <xdr:rowOff>195384</xdr:rowOff>
    </xdr:to>
    <xdr:cxnSp macro="">
      <xdr:nvCxnSpPr>
        <xdr:cNvPr id="90" name="Straight Arrow Connector 89">
          <a:extLst>
            <a:ext uri="{FF2B5EF4-FFF2-40B4-BE49-F238E27FC236}">
              <a16:creationId xmlns:a16="http://schemas.microsoft.com/office/drawing/2014/main" id="{1F662DD2-8E14-2A48-9254-B80A2354CA81}"/>
            </a:ext>
          </a:extLst>
        </xdr:cNvPr>
        <xdr:cNvCxnSpPr/>
      </xdr:nvCxnSpPr>
      <xdr:spPr>
        <a:xfrm>
          <a:off x="12474087" y="50622933"/>
          <a:ext cx="567836" cy="35413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11</xdr:col>
      <xdr:colOff>772161</xdr:colOff>
      <xdr:row>198</xdr:row>
      <xdr:rowOff>233681</xdr:rowOff>
    </xdr:from>
    <xdr:to>
      <xdr:col>14</xdr:col>
      <xdr:colOff>650241</xdr:colOff>
      <xdr:row>201</xdr:row>
      <xdr:rowOff>162561</xdr:rowOff>
    </xdr:to>
    <xdr:sp macro="" textlink="">
      <xdr:nvSpPr>
        <xdr:cNvPr id="93" name="Rectangle 92">
          <a:extLst>
            <a:ext uri="{FF2B5EF4-FFF2-40B4-BE49-F238E27FC236}">
              <a16:creationId xmlns:a16="http://schemas.microsoft.com/office/drawing/2014/main" id="{09EB672E-6720-1A4B-BC2A-0023DC67095C}"/>
            </a:ext>
          </a:extLst>
        </xdr:cNvPr>
        <xdr:cNvSpPr/>
      </xdr:nvSpPr>
      <xdr:spPr>
        <a:xfrm>
          <a:off x="13716001" y="50444401"/>
          <a:ext cx="2987040" cy="6908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No</a:t>
          </a:r>
          <a:r>
            <a:rPr lang="en-US" sz="1100" b="1" baseline="0"/>
            <a:t> contribution from the electronic motion, due to the lack of T dependence in the partition function</a:t>
          </a:r>
          <a:endParaRPr lang="en-US" sz="1100" b="1"/>
        </a:p>
      </xdr:txBody>
    </xdr:sp>
    <xdr:clientData/>
  </xdr:twoCellAnchor>
  <xdr:twoCellAnchor>
    <xdr:from>
      <xdr:col>9</xdr:col>
      <xdr:colOff>425450</xdr:colOff>
      <xdr:row>219</xdr:row>
      <xdr:rowOff>88900</xdr:rowOff>
    </xdr:from>
    <xdr:to>
      <xdr:col>14</xdr:col>
      <xdr:colOff>863600</xdr:colOff>
      <xdr:row>232</xdr:row>
      <xdr:rowOff>25400</xdr:rowOff>
    </xdr:to>
    <xdr:graphicFrame macro="">
      <xdr:nvGraphicFramePr>
        <xdr:cNvPr id="95" name="Chart 94">
          <a:extLst>
            <a:ext uri="{FF2B5EF4-FFF2-40B4-BE49-F238E27FC236}">
              <a16:creationId xmlns:a16="http://schemas.microsoft.com/office/drawing/2014/main" id="{CC261C4D-CCD8-9AD7-E6F6-03C6D40350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452528</xdr:colOff>
      <xdr:row>239</xdr:row>
      <xdr:rowOff>131380</xdr:rowOff>
    </xdr:from>
    <xdr:to>
      <xdr:col>6</xdr:col>
      <xdr:colOff>613104</xdr:colOff>
      <xdr:row>239</xdr:row>
      <xdr:rowOff>145977</xdr:rowOff>
    </xdr:to>
    <xdr:cxnSp macro="">
      <xdr:nvCxnSpPr>
        <xdr:cNvPr id="106" name="Straight Arrow Connector 105">
          <a:extLst>
            <a:ext uri="{FF2B5EF4-FFF2-40B4-BE49-F238E27FC236}">
              <a16:creationId xmlns:a16="http://schemas.microsoft.com/office/drawing/2014/main" id="{ED0DD984-E0C8-6741-804C-1B040B480A93}"/>
            </a:ext>
          </a:extLst>
        </xdr:cNvPr>
        <xdr:cNvCxnSpPr/>
      </xdr:nvCxnSpPr>
      <xdr:spPr>
        <a:xfrm>
          <a:off x="6006661" y="49847647"/>
          <a:ext cx="2632843" cy="14597"/>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5</xdr:col>
      <xdr:colOff>1067016</xdr:colOff>
      <xdr:row>242</xdr:row>
      <xdr:rowOff>105207</xdr:rowOff>
    </xdr:from>
    <xdr:ext cx="1450440" cy="683845"/>
    <mc:AlternateContent xmlns:mc="http://schemas.openxmlformats.org/markup-compatibility/2006" xmlns:a14="http://schemas.microsoft.com/office/drawing/2010/main">
      <mc:Choice Requires="a14">
        <xdr:sp macro="" textlink="">
          <xdr:nvSpPr>
            <xdr:cNvPr id="107" name="TextBox 106">
              <a:extLst>
                <a:ext uri="{FF2B5EF4-FFF2-40B4-BE49-F238E27FC236}">
                  <a16:creationId xmlns:a16="http://schemas.microsoft.com/office/drawing/2014/main" id="{05EC4CD9-7D22-5B49-88A6-B24D3EAECF8C}"/>
                </a:ext>
              </a:extLst>
            </xdr:cNvPr>
            <xdr:cNvSpPr txBox="1"/>
          </xdr:nvSpPr>
          <xdr:spPr>
            <a:xfrm>
              <a:off x="7988140" y="60922426"/>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a:rPr lang="it-IT" sz="1400" b="0" i="1">
                        <a:latin typeface="Cambria Math" panose="02040503050406030204" pitchFamily="18" charset="0"/>
                      </a:rPr>
                      <m:t>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acc>
                              <m:accPr>
                                <m:chr m:val="̃"/>
                                <m:ctrlPr>
                                  <a:rPr lang="it-IT" sz="1400" b="0" i="1">
                                    <a:latin typeface="Cambria Math" panose="02040503050406030204" pitchFamily="18" charset="0"/>
                                  </a:rPr>
                                </m:ctrlPr>
                              </m:accPr>
                              <m:e>
                                <m:r>
                                  <a:rPr lang="it-IT" sz="1400" b="0" i="1">
                                    <a:latin typeface="Cambria Math" panose="02040503050406030204" pitchFamily="18" charset="0"/>
                                  </a:rPr>
                                  <m:t>𝑉</m:t>
                                </m:r>
                              </m:e>
                            </m:acc>
                          </m:num>
                          <m:den>
                            <m:sSub>
                              <m:sSubPr>
                                <m:ctrlPr>
                                  <a:rPr lang="it-IT" sz="1400" b="0" i="1">
                                    <a:latin typeface="Cambria Math" panose="02040503050406030204" pitchFamily="18" charset="0"/>
                                  </a:rPr>
                                </m:ctrlPr>
                              </m:sSubPr>
                              <m:e>
                                <m:r>
                                  <a:rPr lang="it-IT" sz="1400" b="0" i="1">
                                    <a:latin typeface="Cambria Math" panose="02040503050406030204" pitchFamily="18" charset="0"/>
                                  </a:rPr>
                                  <m:t>𝑁</m:t>
                                </m:r>
                              </m:e>
                              <m:sub>
                                <m:r>
                                  <a:rPr lang="it-IT" sz="1400" b="0" i="1">
                                    <a:latin typeface="Cambria Math" panose="02040503050406030204" pitchFamily="18" charset="0"/>
                                  </a:rPr>
                                  <m:t>𝑎𝑣𝑜</m:t>
                                </m:r>
                              </m:sub>
                            </m:sSub>
                          </m:den>
                        </m:f>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r>
                                  <a:rPr lang="it-IT" sz="1400" b="0" i="1">
                                    <a:latin typeface="Cambria Math" panose="02040503050406030204" pitchFamily="18" charset="0"/>
                                  </a:rPr>
                                  <m:t>5</m:t>
                                </m:r>
                              </m:num>
                              <m:den>
                                <m:r>
                                  <a:rPr lang="it-IT" sz="1400" b="0" i="1">
                                    <a:latin typeface="Cambria Math" panose="02040503050406030204" pitchFamily="18" charset="0"/>
                                  </a:rPr>
                                  <m:t>2</m:t>
                                </m:r>
                              </m:den>
                            </m:f>
                          </m:sup>
                        </m:sSup>
                        <m:r>
                          <a:rPr lang="it-IT" sz="1400" b="0" i="1">
                            <a:latin typeface="Cambria Math" panose="02040503050406030204" pitchFamily="18" charset="0"/>
                          </a:rPr>
                          <m:t> </m:t>
                        </m:r>
                        <m:r>
                          <a:rPr lang="it-IT" sz="1400" b="0" i="1">
                            <a:latin typeface="Cambria Math" panose="02040503050406030204" pitchFamily="18" charset="0"/>
                          </a:rPr>
                          <m:t>𝐴</m:t>
                        </m:r>
                      </m:e>
                    </m:d>
                  </m:oMath>
                </m:oMathPara>
              </a14:m>
              <a:endParaRPr lang="en-US" sz="1400"/>
            </a:p>
          </xdr:txBody>
        </xdr:sp>
      </mc:Choice>
      <mc:Fallback xmlns="">
        <xdr:sp macro="" textlink="">
          <xdr:nvSpPr>
            <xdr:cNvPr id="107" name="TextBox 106">
              <a:extLst>
                <a:ext uri="{FF2B5EF4-FFF2-40B4-BE49-F238E27FC236}">
                  <a16:creationId xmlns:a16="http://schemas.microsoft.com/office/drawing/2014/main" id="{05EC4CD9-7D22-5B49-88A6-B24D3EAECF8C}"/>
                </a:ext>
              </a:extLst>
            </xdr:cNvPr>
            <xdr:cNvSpPr txBox="1"/>
          </xdr:nvSpPr>
          <xdr:spPr>
            <a:xfrm>
              <a:off x="7988140" y="60922426"/>
              <a:ext cx="1450440" cy="6838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𝑅 𝑙𝑛(𝑉 ̃/𝑁_𝑎𝑣𝑜  𝑒^(5/2)  𝐴)</a:t>
              </a:r>
              <a:endParaRPr lang="en-US" sz="1400"/>
            </a:p>
          </xdr:txBody>
        </xdr:sp>
      </mc:Fallback>
    </mc:AlternateContent>
    <xdr:clientData/>
  </xdr:oneCellAnchor>
  <xdr:oneCellAnchor>
    <xdr:from>
      <xdr:col>6</xdr:col>
      <xdr:colOff>970337</xdr:colOff>
      <xdr:row>244</xdr:row>
      <xdr:rowOff>214150</xdr:rowOff>
    </xdr:from>
    <xdr:ext cx="3071931" cy="829907"/>
    <mc:AlternateContent xmlns:mc="http://schemas.openxmlformats.org/markup-compatibility/2006" xmlns:a14="http://schemas.microsoft.com/office/drawing/2010/main">
      <mc:Choice Requires="a14">
        <xdr:sp macro="" textlink="">
          <xdr:nvSpPr>
            <xdr:cNvPr id="108" name="TextBox 107">
              <a:extLst>
                <a:ext uri="{FF2B5EF4-FFF2-40B4-BE49-F238E27FC236}">
                  <a16:creationId xmlns:a16="http://schemas.microsoft.com/office/drawing/2014/main" id="{656C150C-5C35-DE4B-A61E-D5194C67AAFC}"/>
                </a:ext>
              </a:extLst>
            </xdr:cNvPr>
            <xdr:cNvSpPr txBox="1"/>
          </xdr:nvSpPr>
          <xdr:spPr>
            <a:xfrm>
              <a:off x="8981106" y="61489771"/>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nary>
                      <m:naryPr>
                        <m:chr m:val="∑"/>
                        <m:supHide m:val="on"/>
                        <m:ctrlPr>
                          <a:rPr lang="it-IT" sz="1400" b="0" i="1">
                            <a:latin typeface="Cambria Math" panose="02040503050406030204" pitchFamily="18" charset="0"/>
                          </a:rPr>
                        </m:ctrlPr>
                      </m:naryPr>
                      <m:sub>
                        <m:r>
                          <m:rPr>
                            <m:brk m:alnAt="7"/>
                          </m:rPr>
                          <a:rPr lang="it-IT" sz="1400" b="0" i="1">
                            <a:latin typeface="Cambria Math" panose="02040503050406030204" pitchFamily="18" charset="0"/>
                          </a:rPr>
                          <m:t>𝑖</m:t>
                        </m:r>
                      </m:sub>
                      <m:sup/>
                      <m:e>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num>
                              <m:den>
                                <m:d>
                                  <m:dPr>
                                    <m:ctrlPr>
                                      <a:rPr lang="it-IT" sz="1400" b="0" i="1">
                                        <a:latin typeface="Cambria Math" panose="02040503050406030204" pitchFamily="18" charset="0"/>
                                      </a:rPr>
                                    </m:ctrlPr>
                                  </m:dPr>
                                  <m:e>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r>
                                      <a:rPr lang="it-IT" sz="1400" b="0" i="1">
                                        <a:latin typeface="Cambria Math" panose="02040503050406030204" pitchFamily="18" charset="0"/>
                                      </a:rPr>
                                      <m:t>−1</m:t>
                                    </m:r>
                                  </m:e>
                                </m:d>
                              </m:den>
                            </m:f>
                            <m:r>
                              <a:rPr lang="it-IT" sz="1400" b="0" i="1">
                                <a:latin typeface="Cambria Math" panose="02040503050406030204" pitchFamily="18" charset="0"/>
                              </a:rPr>
                              <m:t>−</m:t>
                            </m:r>
                            <m:r>
                              <a:rPr lang="it-IT" sz="1400" b="0" i="1">
                                <a:latin typeface="Cambria Math" panose="02040503050406030204" pitchFamily="18" charset="0"/>
                              </a:rPr>
                              <m:t>𝑙𝑛</m:t>
                            </m:r>
                            <m:d>
                              <m:dPr>
                                <m:ctrlPr>
                                  <a:rPr lang="it-IT" sz="1400" b="0" i="1">
                                    <a:latin typeface="Cambria Math" panose="02040503050406030204" pitchFamily="18" charset="0"/>
                                  </a:rPr>
                                </m:ctrlPr>
                              </m:dPr>
                              <m:e>
                                <m:r>
                                  <a:rPr lang="it-IT" sz="1400" b="0" i="1">
                                    <a:latin typeface="Cambria Math" panose="02040503050406030204" pitchFamily="18" charset="0"/>
                                  </a:rPr>
                                  <m:t>1−</m:t>
                                </m:r>
                                <m:sSup>
                                  <m:sSupPr>
                                    <m:ctrlPr>
                                      <a:rPr lang="it-IT" sz="1400" b="0" i="1">
                                        <a:latin typeface="Cambria Math" panose="02040503050406030204" pitchFamily="18" charset="0"/>
                                      </a:rPr>
                                    </m:ctrlPr>
                                  </m:sSupPr>
                                  <m:e>
                                    <m:r>
                                      <a:rPr lang="it-IT" sz="1400" b="0" i="1">
                                        <a:latin typeface="Cambria Math" panose="02040503050406030204" pitchFamily="18" charset="0"/>
                                      </a:rPr>
                                      <m:t>𝑒</m:t>
                                    </m:r>
                                  </m:e>
                                  <m:sup>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rPr>
                                              <m:t>𝑣𝑖𝑏</m:t>
                                            </m:r>
                                            <m:r>
                                              <a:rPr lang="it-IT" sz="1400" b="0" i="1">
                                                <a:latin typeface="Cambria Math" panose="02040503050406030204" pitchFamily="18" charset="0"/>
                                              </a:rPr>
                                              <m:t>,</m:t>
                                            </m:r>
                                            <m:r>
                                              <a:rPr lang="it-IT" sz="1400" b="0" i="1">
                                                <a:latin typeface="Cambria Math" panose="02040503050406030204" pitchFamily="18" charset="0"/>
                                              </a:rPr>
                                              <m:t>𝑖</m:t>
                                            </m:r>
                                          </m:sub>
                                        </m:sSub>
                                      </m:num>
                                      <m:den>
                                        <m:r>
                                          <a:rPr lang="it-IT" sz="1400" b="0" i="1">
                                            <a:latin typeface="Cambria Math" panose="02040503050406030204" pitchFamily="18" charset="0"/>
                                          </a:rPr>
                                          <m:t>𝑇</m:t>
                                        </m:r>
                                      </m:den>
                                    </m:f>
                                  </m:sup>
                                </m:sSup>
                              </m:e>
                            </m:d>
                          </m:e>
                        </m:d>
                      </m:e>
                    </m:nary>
                  </m:oMath>
                </m:oMathPara>
              </a14:m>
              <a:endParaRPr lang="en-US" sz="1400"/>
            </a:p>
          </xdr:txBody>
        </xdr:sp>
      </mc:Choice>
      <mc:Fallback xmlns="">
        <xdr:sp macro="" textlink="">
          <xdr:nvSpPr>
            <xdr:cNvPr id="108" name="TextBox 107">
              <a:extLst>
                <a:ext uri="{FF2B5EF4-FFF2-40B4-BE49-F238E27FC236}">
                  <a16:creationId xmlns:a16="http://schemas.microsoft.com/office/drawing/2014/main" id="{656C150C-5C35-DE4B-A61E-D5194C67AAFC}"/>
                </a:ext>
              </a:extLst>
            </xdr:cNvPr>
            <xdr:cNvSpPr txBox="1"/>
          </xdr:nvSpPr>
          <xdr:spPr>
            <a:xfrm>
              <a:off x="8981106" y="61489771"/>
              <a:ext cx="3071931" cy="8299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latin typeface="Cambria Math" panose="02040503050406030204" pitchFamily="18" charset="0"/>
                </a:rPr>
                <a:t>𝑅∑8_𝑖▒((</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𝑣𝑖𝑏,𝑖)/𝑇)−1) )−𝑙𝑛(1−𝑒^(−</a:t>
              </a:r>
              <a:r>
                <a:rPr lang="it-IT" sz="1400" b="0" i="0">
                  <a:latin typeface="Cambria Math" panose="02040503050406030204" pitchFamily="18" charset="0"/>
                  <a:ea typeface="Cambria Math" panose="02040503050406030204" pitchFamily="18" charset="0"/>
                </a:rPr>
                <a:t>𝜗_(</a:t>
              </a:r>
              <a:r>
                <a:rPr lang="it-IT" sz="1400" b="0" i="0">
                  <a:latin typeface="Cambria Math" panose="02040503050406030204" pitchFamily="18" charset="0"/>
                </a:rPr>
                <a:t>𝑣𝑖𝑏,𝑖)/𝑇) )) </a:t>
              </a:r>
              <a:endParaRPr lang="en-US" sz="1400"/>
            </a:p>
          </xdr:txBody>
        </xdr:sp>
      </mc:Fallback>
    </mc:AlternateContent>
    <xdr:clientData/>
  </xdr:oneCellAnchor>
  <xdr:oneCellAnchor>
    <xdr:from>
      <xdr:col>10</xdr:col>
      <xdr:colOff>65895</xdr:colOff>
      <xdr:row>243</xdr:row>
      <xdr:rowOff>195140</xdr:rowOff>
    </xdr:from>
    <xdr:ext cx="1219133" cy="556340"/>
    <mc:AlternateContent xmlns:mc="http://schemas.openxmlformats.org/markup-compatibility/2006" xmlns:a14="http://schemas.microsoft.com/office/drawing/2010/main">
      <mc:Choice Requires="a14">
        <xdr:sp macro="" textlink="">
          <xdr:nvSpPr>
            <xdr:cNvPr id="109" name="TextBox 108">
              <a:extLst>
                <a:ext uri="{FF2B5EF4-FFF2-40B4-BE49-F238E27FC236}">
                  <a16:creationId xmlns:a16="http://schemas.microsoft.com/office/drawing/2014/main" id="{E50C2797-8BD4-074E-B099-D1B7379FE19F}"/>
                </a:ext>
              </a:extLst>
            </xdr:cNvPr>
            <xdr:cNvSpPr txBox="1"/>
          </xdr:nvSpPr>
          <xdr:spPr>
            <a:xfrm>
              <a:off x="12232345" y="61215258"/>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𝑅𝑙𝑛</m:t>
                    </m:r>
                    <m:d>
                      <m:dPr>
                        <m:ctrlPr>
                          <a:rPr lang="it-IT" sz="1400" b="0" i="1">
                            <a:latin typeface="Cambria Math" panose="02040503050406030204" pitchFamily="18" charset="0"/>
                          </a:rPr>
                        </m:ctrlPr>
                      </m:dPr>
                      <m:e>
                        <m:f>
                          <m:fPr>
                            <m:ctrlPr>
                              <a:rPr lang="it-IT" sz="1400" b="0" i="1">
                                <a:latin typeface="Cambria Math" panose="02040503050406030204" pitchFamily="18" charset="0"/>
                              </a:rPr>
                            </m:ctrlPr>
                          </m:fPr>
                          <m:num>
                            <m:r>
                              <a:rPr lang="it-IT" sz="1400" b="0" i="1">
                                <a:latin typeface="Cambria Math" panose="02040503050406030204" pitchFamily="18" charset="0"/>
                              </a:rPr>
                              <m:t>𝑒𝑇</m:t>
                            </m:r>
                          </m:num>
                          <m:den>
                            <m:r>
                              <a:rPr lang="it-IT" sz="1400" b="0" i="1">
                                <a:latin typeface="Cambria Math" panose="02040503050406030204" pitchFamily="18" charset="0"/>
                                <a:ea typeface="Cambria Math" panose="02040503050406030204" pitchFamily="18" charset="0"/>
                              </a:rPr>
                              <m:t>𝜎</m:t>
                            </m:r>
                            <m:r>
                              <a:rPr lang="it-IT" sz="1400" b="0" i="1">
                                <a:latin typeface="Cambria Math" panose="02040503050406030204" pitchFamily="18" charset="0"/>
                                <a:ea typeface="Cambria Math" panose="02040503050406030204" pitchFamily="18" charset="0"/>
                              </a:rPr>
                              <m:t> </m:t>
                            </m:r>
                            <m:sSub>
                              <m:sSubPr>
                                <m:ctrlPr>
                                  <a:rPr lang="it-IT" sz="1400" b="0" i="1">
                                    <a:latin typeface="Cambria Math" panose="02040503050406030204" pitchFamily="18" charset="0"/>
                                    <a:ea typeface="Cambria Math" panose="02040503050406030204" pitchFamily="18" charset="0"/>
                                  </a:rPr>
                                </m:ctrlPr>
                              </m:sSubPr>
                              <m:e>
                                <m:r>
                                  <a:rPr lang="it-IT" sz="1400" b="0" i="1">
                                    <a:latin typeface="Cambria Math" panose="02040503050406030204" pitchFamily="18" charset="0"/>
                                    <a:ea typeface="Cambria Math" panose="02040503050406030204" pitchFamily="18" charset="0"/>
                                  </a:rPr>
                                  <m:t>𝜗</m:t>
                                </m:r>
                              </m:e>
                              <m:sub>
                                <m:r>
                                  <a:rPr lang="it-IT" sz="1400" b="0" i="1">
                                    <a:latin typeface="Cambria Math" panose="02040503050406030204" pitchFamily="18" charset="0"/>
                                    <a:ea typeface="Cambria Math" panose="02040503050406030204" pitchFamily="18" charset="0"/>
                                  </a:rPr>
                                  <m:t>𝑟𝑜𝑡</m:t>
                                </m:r>
                              </m:sub>
                            </m:sSub>
                          </m:den>
                        </m:f>
                      </m:e>
                    </m:d>
                  </m:oMath>
                </m:oMathPara>
              </a14:m>
              <a:endParaRPr lang="en-US" sz="1400"/>
            </a:p>
          </xdr:txBody>
        </xdr:sp>
      </mc:Choice>
      <mc:Fallback xmlns="">
        <xdr:sp macro="" textlink="">
          <xdr:nvSpPr>
            <xdr:cNvPr id="109" name="TextBox 108">
              <a:extLst>
                <a:ext uri="{FF2B5EF4-FFF2-40B4-BE49-F238E27FC236}">
                  <a16:creationId xmlns:a16="http://schemas.microsoft.com/office/drawing/2014/main" id="{E50C2797-8BD4-074E-B099-D1B7379FE19F}"/>
                </a:ext>
              </a:extLst>
            </xdr:cNvPr>
            <xdr:cNvSpPr txBox="1"/>
          </xdr:nvSpPr>
          <xdr:spPr>
            <a:xfrm>
              <a:off x="12232345" y="61215258"/>
              <a:ext cx="1219133" cy="556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𝑅𝑙𝑛(𝑒𝑇/(</a:t>
              </a:r>
              <a:r>
                <a:rPr lang="it-IT" sz="1400" b="0" i="0">
                  <a:latin typeface="Cambria Math" panose="02040503050406030204" pitchFamily="18" charset="0"/>
                  <a:ea typeface="Cambria Math" panose="02040503050406030204" pitchFamily="18" charset="0"/>
                </a:rPr>
                <a:t>𝜎 𝜗_𝑟𝑜𝑡 ))</a:t>
              </a:r>
              <a:endParaRPr lang="en-US" sz="1400"/>
            </a:p>
          </xdr:txBody>
        </xdr:sp>
      </mc:Fallback>
    </mc:AlternateContent>
    <xdr:clientData/>
  </xdr:oneCellAnchor>
  <xdr:oneCellAnchor>
    <xdr:from>
      <xdr:col>11</xdr:col>
      <xdr:colOff>218296</xdr:colOff>
      <xdr:row>241</xdr:row>
      <xdr:rowOff>146049</xdr:rowOff>
    </xdr:from>
    <xdr:ext cx="1645372" cy="411278"/>
    <mc:AlternateContent xmlns:mc="http://schemas.openxmlformats.org/markup-compatibility/2006" xmlns:a14="http://schemas.microsoft.com/office/drawing/2010/main">
      <mc:Choice Requires="a14">
        <xdr:sp macro="" textlink="">
          <xdr:nvSpPr>
            <xdr:cNvPr id="110" name="TextBox 109">
              <a:extLst>
                <a:ext uri="{FF2B5EF4-FFF2-40B4-BE49-F238E27FC236}">
                  <a16:creationId xmlns:a16="http://schemas.microsoft.com/office/drawing/2014/main" id="{F613D8AC-729B-F04C-80B8-D41812D9E83A}"/>
                </a:ext>
              </a:extLst>
            </xdr:cNvPr>
            <xdr:cNvSpPr txBox="1"/>
          </xdr:nvSpPr>
          <xdr:spPr>
            <a:xfrm>
              <a:off x="13474391" y="6076036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𝑅</m:t>
                    </m:r>
                    <m:r>
                      <a:rPr lang="it-IT" sz="1400" b="0" i="1">
                        <a:latin typeface="Cambria Math" panose="02040503050406030204" pitchFamily="18" charset="0"/>
                      </a:rPr>
                      <m:t> </m:t>
                    </m:r>
                    <m:r>
                      <m:rPr>
                        <m:sty m:val="p"/>
                      </m:rPr>
                      <a:rPr lang="it-IT" sz="1400" b="0" i="0">
                        <a:latin typeface="Cambria Math" panose="02040503050406030204" pitchFamily="18" charset="0"/>
                      </a:rPr>
                      <m:t>ln</m:t>
                    </m:r>
                    <m:r>
                      <a:rPr lang="it-IT" sz="1400" b="0" i="0">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𝑄</m:t>
                        </m:r>
                      </m:e>
                      <m:sub>
                        <m:r>
                          <a:rPr lang="it-IT" sz="1400" b="0" i="1">
                            <a:latin typeface="Cambria Math" panose="02040503050406030204" pitchFamily="18" charset="0"/>
                          </a:rPr>
                          <m:t>𝑒𝑙</m:t>
                        </m:r>
                      </m:sub>
                    </m:sSub>
                    <m:r>
                      <a:rPr lang="it-IT" sz="1400" b="0" i="0">
                        <a:latin typeface="Cambria Math" panose="02040503050406030204" pitchFamily="18" charset="0"/>
                      </a:rPr>
                      <m:t>)</m:t>
                    </m:r>
                  </m:oMath>
                </m:oMathPara>
              </a14:m>
              <a:endParaRPr lang="en-US" sz="1400"/>
            </a:p>
          </xdr:txBody>
        </xdr:sp>
      </mc:Choice>
      <mc:Fallback xmlns="">
        <xdr:sp macro="" textlink="">
          <xdr:nvSpPr>
            <xdr:cNvPr id="110" name="TextBox 109">
              <a:extLst>
                <a:ext uri="{FF2B5EF4-FFF2-40B4-BE49-F238E27FC236}">
                  <a16:creationId xmlns:a16="http://schemas.microsoft.com/office/drawing/2014/main" id="{F613D8AC-729B-F04C-80B8-D41812D9E83A}"/>
                </a:ext>
              </a:extLst>
            </xdr:cNvPr>
            <xdr:cNvSpPr txBox="1"/>
          </xdr:nvSpPr>
          <xdr:spPr>
            <a:xfrm>
              <a:off x="13474391" y="60760369"/>
              <a:ext cx="1645372" cy="4112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it-IT" sz="1400" b="0" i="0">
                  <a:latin typeface="Cambria Math" panose="02040503050406030204" pitchFamily="18" charset="0"/>
                </a:rPr>
                <a:t>𝑅 ln⁡(𝑄_𝑒𝑙)</a:t>
              </a:r>
              <a:endParaRPr lang="en-US" sz="1400"/>
            </a:p>
          </xdr:txBody>
        </xdr:sp>
      </mc:Fallback>
    </mc:AlternateContent>
    <xdr:clientData/>
  </xdr:oneCellAnchor>
  <xdr:twoCellAnchor>
    <xdr:from>
      <xdr:col>6</xdr:col>
      <xdr:colOff>1025769</xdr:colOff>
      <xdr:row>240</xdr:row>
      <xdr:rowOff>61058</xdr:rowOff>
    </xdr:from>
    <xdr:to>
      <xdr:col>7</xdr:col>
      <xdr:colOff>378558</xdr:colOff>
      <xdr:row>242</xdr:row>
      <xdr:rowOff>67164</xdr:rowOff>
    </xdr:to>
    <xdr:cxnSp macro="">
      <xdr:nvCxnSpPr>
        <xdr:cNvPr id="111" name="Straight Arrow Connector 110">
          <a:extLst>
            <a:ext uri="{FF2B5EF4-FFF2-40B4-BE49-F238E27FC236}">
              <a16:creationId xmlns:a16="http://schemas.microsoft.com/office/drawing/2014/main" id="{671C3A9E-A52B-F947-B122-D1FC02E704F4}"/>
            </a:ext>
          </a:extLst>
        </xdr:cNvPr>
        <xdr:cNvCxnSpPr/>
      </xdr:nvCxnSpPr>
      <xdr:spPr>
        <a:xfrm flipH="1">
          <a:off x="9052169" y="50132925"/>
          <a:ext cx="707456" cy="412506"/>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xdr:col>
      <xdr:colOff>105207</xdr:colOff>
      <xdr:row>240</xdr:row>
      <xdr:rowOff>42496</xdr:rowOff>
    </xdr:from>
    <xdr:to>
      <xdr:col>8</xdr:col>
      <xdr:colOff>390525</xdr:colOff>
      <xdr:row>244</xdr:row>
      <xdr:rowOff>195385</xdr:rowOff>
    </xdr:to>
    <xdr:cxnSp macro="">
      <xdr:nvCxnSpPr>
        <xdr:cNvPr id="112" name="Straight Arrow Connector 111">
          <a:extLst>
            <a:ext uri="{FF2B5EF4-FFF2-40B4-BE49-F238E27FC236}">
              <a16:creationId xmlns:a16="http://schemas.microsoft.com/office/drawing/2014/main" id="{92B7CCCD-B87F-A043-A21D-BC2FE06E9189}"/>
            </a:ext>
          </a:extLst>
        </xdr:cNvPr>
        <xdr:cNvCxnSpPr/>
      </xdr:nvCxnSpPr>
      <xdr:spPr>
        <a:xfrm flipH="1">
          <a:off x="10325325" y="60453916"/>
          <a:ext cx="285318" cy="101709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427403</xdr:colOff>
      <xdr:row>240</xdr:row>
      <xdr:rowOff>48846</xdr:rowOff>
    </xdr:from>
    <xdr:to>
      <xdr:col>10</xdr:col>
      <xdr:colOff>172840</xdr:colOff>
      <xdr:row>243</xdr:row>
      <xdr:rowOff>157811</xdr:rowOff>
    </xdr:to>
    <xdr:cxnSp macro="">
      <xdr:nvCxnSpPr>
        <xdr:cNvPr id="113" name="Straight Arrow Connector 112">
          <a:extLst>
            <a:ext uri="{FF2B5EF4-FFF2-40B4-BE49-F238E27FC236}">
              <a16:creationId xmlns:a16="http://schemas.microsoft.com/office/drawing/2014/main" id="{942D57B3-FA86-CF44-B9CC-10E7A58EE3EC}"/>
            </a:ext>
          </a:extLst>
        </xdr:cNvPr>
        <xdr:cNvCxnSpPr/>
      </xdr:nvCxnSpPr>
      <xdr:spPr>
        <a:xfrm>
          <a:off x="11474149" y="60460266"/>
          <a:ext cx="865141" cy="717663"/>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500674</xdr:colOff>
      <xdr:row>240</xdr:row>
      <xdr:rowOff>42741</xdr:rowOff>
    </xdr:from>
    <xdr:to>
      <xdr:col>11</xdr:col>
      <xdr:colOff>548580</xdr:colOff>
      <xdr:row>241</xdr:row>
      <xdr:rowOff>187869</xdr:rowOff>
    </xdr:to>
    <xdr:cxnSp macro="">
      <xdr:nvCxnSpPr>
        <xdr:cNvPr id="114" name="Straight Arrow Connector 113">
          <a:extLst>
            <a:ext uri="{FF2B5EF4-FFF2-40B4-BE49-F238E27FC236}">
              <a16:creationId xmlns:a16="http://schemas.microsoft.com/office/drawing/2014/main" id="{E95B03C0-9571-3048-B1F8-4E34E10F302C}"/>
            </a:ext>
          </a:extLst>
        </xdr:cNvPr>
        <xdr:cNvCxnSpPr/>
      </xdr:nvCxnSpPr>
      <xdr:spPr>
        <a:xfrm>
          <a:off x="12667124" y="60454161"/>
          <a:ext cx="1137551" cy="34802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372532</xdr:colOff>
      <xdr:row>240</xdr:row>
      <xdr:rowOff>101601</xdr:rowOff>
    </xdr:from>
    <xdr:ext cx="1303867" cy="305725"/>
    <mc:AlternateContent xmlns:mc="http://schemas.openxmlformats.org/markup-compatibility/2006" xmlns:a14="http://schemas.microsoft.com/office/drawing/2010/main">
      <mc:Choice Requires="a14">
        <xdr:sp macro="" textlink="">
          <xdr:nvSpPr>
            <xdr:cNvPr id="121" name="CasellaDiTesto 25">
              <a:extLst>
                <a:ext uri="{FF2B5EF4-FFF2-40B4-BE49-F238E27FC236}">
                  <a16:creationId xmlns:a16="http://schemas.microsoft.com/office/drawing/2014/main" id="{98E13531-24CB-CD49-A632-EF49BD2AA275}"/>
                </a:ext>
              </a:extLst>
            </xdr:cNvPr>
            <xdr:cNvSpPr txBox="1"/>
          </xdr:nvSpPr>
          <xdr:spPr>
            <a:xfrm>
              <a:off x="7298265" y="609092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14:m>
                <m:oMathPara xmlns:m="http://schemas.openxmlformats.org/officeDocument/2006/math">
                  <m:oMathParaPr>
                    <m:jc m:val="centerGroup"/>
                  </m:oMathParaPr>
                  <m:oMath xmlns:m="http://schemas.openxmlformats.org/officeDocument/2006/math">
                    <m:acc>
                      <m:accPr>
                        <m:chr m:val="̃"/>
                        <m:ctrlPr>
                          <a:rPr lang="it-IT" sz="1050" b="1" i="1">
                            <a:latin typeface="Cambria Math" panose="02040503050406030204" pitchFamily="18" charset="0"/>
                          </a:rPr>
                        </m:ctrlPr>
                      </m:accPr>
                      <m:e>
                        <m:r>
                          <a:rPr lang="it-IT" sz="1050" b="1" i="1">
                            <a:latin typeface="Cambria Math" panose="02040503050406030204" pitchFamily="18" charset="0"/>
                          </a:rPr>
                          <m:t>𝑽</m:t>
                        </m:r>
                      </m:e>
                    </m:acc>
                    <m:r>
                      <a:rPr lang="it-IT" sz="1050" b="1" i="1">
                        <a:latin typeface="Cambria Math" panose="02040503050406030204" pitchFamily="18" charset="0"/>
                      </a:rPr>
                      <m:t>=</m:t>
                    </m:r>
                    <m:f>
                      <m:fPr>
                        <m:ctrlPr>
                          <a:rPr lang="it-IT" sz="1050" b="1" i="1">
                            <a:latin typeface="Cambria Math" panose="02040503050406030204" pitchFamily="18" charset="0"/>
                          </a:rPr>
                        </m:ctrlPr>
                      </m:fPr>
                      <m:num>
                        <m:r>
                          <a:rPr lang="it-IT" sz="1050" b="1" i="1">
                            <a:latin typeface="Cambria Math" panose="02040503050406030204" pitchFamily="18" charset="0"/>
                          </a:rPr>
                          <m:t>𝑹</m:t>
                        </m:r>
                        <m:r>
                          <a:rPr lang="it-IT" sz="1050" b="1" i="1">
                            <a:latin typeface="Cambria Math" panose="02040503050406030204" pitchFamily="18" charset="0"/>
                          </a:rPr>
                          <m:t> </m:t>
                        </m:r>
                        <m:r>
                          <a:rPr lang="it-IT" sz="1050" b="1" i="1">
                            <a:latin typeface="Cambria Math" panose="02040503050406030204" pitchFamily="18" charset="0"/>
                          </a:rPr>
                          <m:t>𝑻</m:t>
                        </m:r>
                      </m:num>
                      <m:den>
                        <m:r>
                          <a:rPr lang="it-IT" sz="1050" b="1" i="1">
                            <a:latin typeface="Cambria Math" panose="02040503050406030204" pitchFamily="18" charset="0"/>
                          </a:rPr>
                          <m:t>𝑷</m:t>
                        </m:r>
                      </m:den>
                    </m:f>
                  </m:oMath>
                </m:oMathPara>
              </a14:m>
              <a:endParaRPr lang="it-IT" sz="1050" b="1"/>
            </a:p>
          </xdr:txBody>
        </xdr:sp>
      </mc:Choice>
      <mc:Fallback xmlns="">
        <xdr:sp macro="" textlink="">
          <xdr:nvSpPr>
            <xdr:cNvPr id="121" name="CasellaDiTesto 25">
              <a:extLst>
                <a:ext uri="{FF2B5EF4-FFF2-40B4-BE49-F238E27FC236}">
                  <a16:creationId xmlns:a16="http://schemas.microsoft.com/office/drawing/2014/main" id="{98E13531-24CB-CD49-A632-EF49BD2AA275}"/>
                </a:ext>
              </a:extLst>
            </xdr:cNvPr>
            <xdr:cNvSpPr txBox="1"/>
          </xdr:nvSpPr>
          <xdr:spPr>
            <a:xfrm>
              <a:off x="7298265" y="60909201"/>
              <a:ext cx="1303867" cy="3057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spAutoFit/>
            </a:bodyPr>
            <a:lstStyle/>
            <a:p>
              <a:pPr/>
              <a:r>
                <a:rPr lang="it-IT" sz="1050" b="1" i="0">
                  <a:latin typeface="Cambria Math" panose="02040503050406030204" pitchFamily="18" charset="0"/>
                </a:rPr>
                <a:t>𝑽 ̃=(𝑹 𝑻)/𝑷</a:t>
              </a:r>
              <a:endParaRPr lang="it-IT" sz="1050" b="1"/>
            </a:p>
          </xdr:txBody>
        </xdr:sp>
      </mc:Fallback>
    </mc:AlternateContent>
    <xdr:clientData/>
  </xdr:oneCellAnchor>
  <xdr:twoCellAnchor>
    <xdr:from>
      <xdr:col>6</xdr:col>
      <xdr:colOff>287867</xdr:colOff>
      <xdr:row>240</xdr:row>
      <xdr:rowOff>194733</xdr:rowOff>
    </xdr:from>
    <xdr:to>
      <xdr:col>6</xdr:col>
      <xdr:colOff>700036</xdr:colOff>
      <xdr:row>242</xdr:row>
      <xdr:rowOff>105207</xdr:rowOff>
    </xdr:to>
    <xdr:cxnSp macro="">
      <xdr:nvCxnSpPr>
        <xdr:cNvPr id="123" name="Curved Connector 122">
          <a:extLst>
            <a:ext uri="{FF2B5EF4-FFF2-40B4-BE49-F238E27FC236}">
              <a16:creationId xmlns:a16="http://schemas.microsoft.com/office/drawing/2014/main" id="{EB701971-6F19-78AB-A7BE-787397812EC6}"/>
            </a:ext>
          </a:extLst>
        </xdr:cNvPr>
        <xdr:cNvCxnSpPr>
          <a:endCxn id="107" idx="0"/>
        </xdr:cNvCxnSpPr>
      </xdr:nvCxnSpPr>
      <xdr:spPr>
        <a:xfrm>
          <a:off x="8305800" y="61002333"/>
          <a:ext cx="412169" cy="316874"/>
        </a:xfrm>
        <a:prstGeom prst="curvedConnector2">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1000646</xdr:colOff>
      <xdr:row>267</xdr:row>
      <xdr:rowOff>177520</xdr:rowOff>
    </xdr:from>
    <xdr:to>
      <xdr:col>17</xdr:col>
      <xdr:colOff>1244599</xdr:colOff>
      <xdr:row>285</xdr:row>
      <xdr:rowOff>41868</xdr:rowOff>
    </xdr:to>
    <xdr:graphicFrame macro="">
      <xdr:nvGraphicFramePr>
        <xdr:cNvPr id="126" name="Chart 125">
          <a:extLst>
            <a:ext uri="{FF2B5EF4-FFF2-40B4-BE49-F238E27FC236}">
              <a16:creationId xmlns:a16="http://schemas.microsoft.com/office/drawing/2014/main" id="{D8D7C8EE-19B6-8CF0-6191-79A87A1667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4</xdr:col>
      <xdr:colOff>320040</xdr:colOff>
      <xdr:row>129</xdr:row>
      <xdr:rowOff>30480</xdr:rowOff>
    </xdr:from>
    <xdr:ext cx="1394549" cy="407163"/>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1E5FAD17-43E8-E7AF-16FC-48D08C82E654}"/>
                </a:ext>
              </a:extLst>
            </xdr:cNvPr>
            <xdr:cNvSpPr txBox="1"/>
          </xdr:nvSpPr>
          <xdr:spPr>
            <a:xfrm>
              <a:off x="5877560" y="33517840"/>
              <a:ext cx="1394549" cy="407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it-IT" sz="1400" b="0" i="1">
                        <a:latin typeface="Cambria Math" panose="02040503050406030204" pitchFamily="18" charset="0"/>
                      </a:rPr>
                      <m:t>𝐼</m:t>
                    </m:r>
                    <m:r>
                      <a:rPr lang="it-IT" sz="1400" b="0" i="1">
                        <a:latin typeface="Cambria Math" panose="02040503050406030204" pitchFamily="18" charset="0"/>
                      </a:rPr>
                      <m:t>=</m:t>
                    </m:r>
                    <m:f>
                      <m:fPr>
                        <m:ctrlPr>
                          <a:rPr lang="it-IT" sz="1400" b="0" i="1">
                            <a:latin typeface="Cambria Math" panose="02040503050406030204" pitchFamily="18" charset="0"/>
                          </a:rPr>
                        </m:ctrlPr>
                      </m:fPr>
                      <m:num>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𝑎</m:t>
                            </m:r>
                          </m:sub>
                        </m:sSub>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𝑏</m:t>
                            </m:r>
                          </m:sub>
                        </m:sSub>
                      </m:num>
                      <m:den>
                        <m:r>
                          <a:rPr lang="it-IT" sz="1400" b="0" i="1">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𝑎</m:t>
                            </m:r>
                          </m:sub>
                        </m:sSub>
                        <m:r>
                          <a:rPr lang="it-IT" sz="1400" b="0" i="1">
                            <a:latin typeface="Cambria Math" panose="02040503050406030204" pitchFamily="18" charset="0"/>
                          </a:rPr>
                          <m:t>+</m:t>
                        </m:r>
                        <m:sSub>
                          <m:sSubPr>
                            <m:ctrlPr>
                              <a:rPr lang="it-IT" sz="1400" b="0" i="1">
                                <a:latin typeface="Cambria Math" panose="02040503050406030204" pitchFamily="18" charset="0"/>
                              </a:rPr>
                            </m:ctrlPr>
                          </m:sSubPr>
                          <m:e>
                            <m:r>
                              <a:rPr lang="it-IT" sz="1400" b="0" i="1">
                                <a:latin typeface="Cambria Math" panose="02040503050406030204" pitchFamily="18" charset="0"/>
                              </a:rPr>
                              <m:t>𝑚</m:t>
                            </m:r>
                          </m:e>
                          <m:sub>
                            <m:r>
                              <a:rPr lang="it-IT" sz="1400" b="0" i="1">
                                <a:latin typeface="Cambria Math" panose="02040503050406030204" pitchFamily="18" charset="0"/>
                              </a:rPr>
                              <m:t>𝑏</m:t>
                            </m:r>
                          </m:sub>
                        </m:sSub>
                        <m:r>
                          <a:rPr lang="it-IT" sz="1400" b="0" i="1">
                            <a:latin typeface="Cambria Math" panose="02040503050406030204" pitchFamily="18" charset="0"/>
                          </a:rPr>
                          <m:t>)</m:t>
                        </m:r>
                      </m:den>
                    </m:f>
                    <m:sSubSup>
                      <m:sSubSupPr>
                        <m:ctrlPr>
                          <a:rPr lang="it-IT" sz="1400" b="0" i="1">
                            <a:latin typeface="Cambria Math" panose="02040503050406030204" pitchFamily="18" charset="0"/>
                          </a:rPr>
                        </m:ctrlPr>
                      </m:sSubSupPr>
                      <m:e>
                        <m:r>
                          <a:rPr lang="it-IT" sz="1400" b="0" i="1">
                            <a:latin typeface="Cambria Math" panose="02040503050406030204" pitchFamily="18" charset="0"/>
                          </a:rPr>
                          <m:t>𝑟</m:t>
                        </m:r>
                      </m:e>
                      <m:sub>
                        <m:r>
                          <a:rPr lang="it-IT" sz="1400" b="0" i="1">
                            <a:latin typeface="Cambria Math" panose="02040503050406030204" pitchFamily="18" charset="0"/>
                          </a:rPr>
                          <m:t>𝑒</m:t>
                        </m:r>
                      </m:sub>
                      <m:sup>
                        <m:r>
                          <a:rPr lang="it-IT" sz="1400" b="0" i="1">
                            <a:latin typeface="Cambria Math" panose="02040503050406030204" pitchFamily="18" charset="0"/>
                          </a:rPr>
                          <m:t>2</m:t>
                        </m:r>
                      </m:sup>
                    </m:sSubSup>
                  </m:oMath>
                </m:oMathPara>
              </a14:m>
              <a:endParaRPr lang="en-US" sz="1400"/>
            </a:p>
          </xdr:txBody>
        </xdr:sp>
      </mc:Choice>
      <mc:Fallback xmlns="">
        <xdr:sp macro="" textlink="">
          <xdr:nvSpPr>
            <xdr:cNvPr id="2" name="TextBox 1">
              <a:extLst>
                <a:ext uri="{FF2B5EF4-FFF2-40B4-BE49-F238E27FC236}">
                  <a16:creationId xmlns:a16="http://schemas.microsoft.com/office/drawing/2014/main" id="{1E5FAD17-43E8-E7AF-16FC-48D08C82E654}"/>
                </a:ext>
              </a:extLst>
            </xdr:cNvPr>
            <xdr:cNvSpPr txBox="1"/>
          </xdr:nvSpPr>
          <xdr:spPr>
            <a:xfrm>
              <a:off x="5877560" y="33517840"/>
              <a:ext cx="1394549" cy="4071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it-IT" sz="1400" b="0" i="0">
                  <a:latin typeface="Cambria Math" panose="02040503050406030204" pitchFamily="18" charset="0"/>
                </a:rPr>
                <a:t>𝐼=(𝑚_𝑎 𝑚_𝑏)/((𝑚_𝑎+𝑚_𝑏)) 𝑟_𝑒^2</a:t>
              </a:r>
              <a:endParaRPr lang="en-US" sz="1400"/>
            </a:p>
          </xdr:txBody>
        </xdr:sp>
      </mc:Fallback>
    </mc:AlternateContent>
    <xdr:clientData/>
  </xdr:oneCellAnchor>
  <xdr:twoCellAnchor>
    <xdr:from>
      <xdr:col>9</xdr:col>
      <xdr:colOff>745067</xdr:colOff>
      <xdr:row>202</xdr:row>
      <xdr:rowOff>95955</xdr:rowOff>
    </xdr:from>
    <xdr:to>
      <xdr:col>10</xdr:col>
      <xdr:colOff>118534</xdr:colOff>
      <xdr:row>204</xdr:row>
      <xdr:rowOff>141111</xdr:rowOff>
    </xdr:to>
    <xdr:sp macro="" textlink="">
      <xdr:nvSpPr>
        <xdr:cNvPr id="7" name="Oval 6">
          <a:extLst>
            <a:ext uri="{FF2B5EF4-FFF2-40B4-BE49-F238E27FC236}">
              <a16:creationId xmlns:a16="http://schemas.microsoft.com/office/drawing/2014/main" id="{36909F5F-AD9A-F014-6E9F-F55C87526021}"/>
            </a:ext>
          </a:extLst>
        </xdr:cNvPr>
        <xdr:cNvSpPr/>
      </xdr:nvSpPr>
      <xdr:spPr>
        <a:xfrm>
          <a:off x="11949289" y="51590222"/>
          <a:ext cx="491067" cy="553156"/>
        </a:xfrm>
        <a:prstGeom prst="ellipse">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304803</xdr:colOff>
      <xdr:row>204</xdr:row>
      <xdr:rowOff>33868</xdr:rowOff>
    </xdr:from>
    <xdr:to>
      <xdr:col>12</xdr:col>
      <xdr:colOff>536224</xdr:colOff>
      <xdr:row>206</xdr:row>
      <xdr:rowOff>16933</xdr:rowOff>
    </xdr:to>
    <xdr:sp macro="" textlink="">
      <xdr:nvSpPr>
        <xdr:cNvPr id="13" name="Rectangle 12">
          <a:extLst>
            <a:ext uri="{FF2B5EF4-FFF2-40B4-BE49-F238E27FC236}">
              <a16:creationId xmlns:a16="http://schemas.microsoft.com/office/drawing/2014/main" id="{9E8F2E8A-313C-ED4C-8B77-77E1DF28064D}"/>
            </a:ext>
          </a:extLst>
        </xdr:cNvPr>
        <xdr:cNvSpPr/>
      </xdr:nvSpPr>
      <xdr:spPr>
        <a:xfrm>
          <a:off x="12626625" y="52036135"/>
          <a:ext cx="2404532" cy="46848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b="1"/>
            <a:t>For</a:t>
          </a:r>
          <a:r>
            <a:rPr lang="en-US" sz="1100" b="1" baseline="0"/>
            <a:t> linear molecules, the rotational contribution to Cv ir just R</a:t>
          </a:r>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84A28-E1E8-F84A-AD17-148A134F4736}">
  <dimension ref="A3:AA280"/>
  <sheetViews>
    <sheetView tabSelected="1" zoomScale="50" workbookViewId="0">
      <selection activeCell="I210" sqref="I210"/>
    </sheetView>
  </sheetViews>
  <sheetFormatPr baseColWidth="10" defaultRowHeight="16" x14ac:dyDescent="0.2"/>
  <cols>
    <col min="1" max="1" width="17.1640625" customWidth="1"/>
    <col min="2" max="2" width="17" customWidth="1"/>
    <col min="3" max="3" width="18.6640625" customWidth="1"/>
    <col min="4" max="4" width="20" customWidth="1"/>
    <col min="5" max="5" width="18" customWidth="1"/>
    <col min="6" max="6" width="14.33203125" customWidth="1"/>
    <col min="7" max="7" width="16.83203125" customWidth="1"/>
    <col min="8" max="8" width="14.1640625" customWidth="1"/>
    <col min="9" max="9" width="10.83203125" customWidth="1"/>
    <col min="10" max="10" width="14.6640625" customWidth="1"/>
    <col min="11" max="11" width="14.33203125" customWidth="1"/>
    <col min="12" max="12" width="14.1640625" customWidth="1"/>
    <col min="13" max="13" width="16" customWidth="1"/>
    <col min="14" max="14" width="13.33203125" customWidth="1"/>
    <col min="15" max="15" width="14.1640625" customWidth="1"/>
    <col min="16" max="16" width="24" customWidth="1"/>
    <col min="17" max="17" width="21" customWidth="1"/>
    <col min="18" max="18" width="20" customWidth="1"/>
  </cols>
  <sheetData>
    <row r="3" spans="1:22" x14ac:dyDescent="0.2">
      <c r="A3" s="2"/>
      <c r="B3" s="2"/>
    </row>
    <row r="4" spans="1:22" ht="20" thickBot="1" x14ac:dyDescent="0.3">
      <c r="A4" s="3"/>
      <c r="B4" s="3"/>
    </row>
    <row r="5" spans="1:22" ht="23" customHeight="1" thickBot="1" x14ac:dyDescent="0.35">
      <c r="A5" s="144" t="s">
        <v>0</v>
      </c>
      <c r="B5" s="145"/>
      <c r="D5" s="10" t="s">
        <v>13</v>
      </c>
      <c r="E5" s="11"/>
      <c r="F5" s="11"/>
      <c r="G5" s="11"/>
      <c r="H5" s="11"/>
      <c r="I5" s="11"/>
      <c r="J5" s="11"/>
      <c r="K5" s="11"/>
      <c r="L5" s="12"/>
      <c r="N5" s="29" t="s">
        <v>17</v>
      </c>
      <c r="O5" s="30"/>
      <c r="P5" s="30"/>
      <c r="Q5" s="31"/>
      <c r="S5" s="41" t="s">
        <v>33</v>
      </c>
      <c r="T5" s="42"/>
      <c r="U5" s="42"/>
      <c r="V5" s="43"/>
    </row>
    <row r="6" spans="1:22" ht="32" customHeight="1" x14ac:dyDescent="0.3">
      <c r="A6" s="136" t="s">
        <v>1</v>
      </c>
      <c r="B6" s="143">
        <v>6.0221399999999997E+23</v>
      </c>
      <c r="D6" s="23" t="s">
        <v>21</v>
      </c>
      <c r="E6" s="5" t="s">
        <v>7</v>
      </c>
      <c r="F6" s="5" t="s">
        <v>8</v>
      </c>
      <c r="G6" s="5" t="s">
        <v>14</v>
      </c>
      <c r="H6" s="5" t="s">
        <v>9</v>
      </c>
      <c r="I6" s="5" t="s">
        <v>10</v>
      </c>
      <c r="J6" s="6" t="s">
        <v>15</v>
      </c>
      <c r="K6" s="5" t="s">
        <v>11</v>
      </c>
      <c r="L6" s="14" t="s">
        <v>12</v>
      </c>
      <c r="N6" s="40" t="s">
        <v>31</v>
      </c>
      <c r="O6" s="26" t="s">
        <v>18</v>
      </c>
      <c r="P6" s="26" t="s">
        <v>19</v>
      </c>
      <c r="Q6" s="32" t="s">
        <v>20</v>
      </c>
      <c r="S6" s="44" t="s">
        <v>31</v>
      </c>
      <c r="T6" s="45" t="s">
        <v>32</v>
      </c>
      <c r="U6" s="45" t="s">
        <v>34</v>
      </c>
      <c r="V6" s="46" t="s">
        <v>77</v>
      </c>
    </row>
    <row r="7" spans="1:22" ht="22" x14ac:dyDescent="0.3">
      <c r="A7" s="139" t="s">
        <v>2</v>
      </c>
      <c r="B7" s="140">
        <v>8.3143999999999991</v>
      </c>
      <c r="D7" s="13" t="s">
        <v>7</v>
      </c>
      <c r="E7" s="7">
        <v>1</v>
      </c>
      <c r="F7" s="22">
        <v>272.10700000000003</v>
      </c>
      <c r="G7" s="7">
        <v>219474.63</v>
      </c>
      <c r="H7" s="8">
        <v>627.50300000000004</v>
      </c>
      <c r="I7" s="7">
        <v>2625.5</v>
      </c>
      <c r="J7" s="7">
        <v>315777</v>
      </c>
      <c r="K7" s="9">
        <v>4.3599999999999999E-18</v>
      </c>
      <c r="L7" s="15">
        <v>6579660000000000</v>
      </c>
      <c r="N7" s="33" t="s">
        <v>18</v>
      </c>
      <c r="O7" s="27">
        <v>1</v>
      </c>
      <c r="P7" s="27">
        <v>0.52917999956390005</v>
      </c>
      <c r="Q7" s="34">
        <v>5.2917999999999999E-11</v>
      </c>
      <c r="S7" s="47" t="s">
        <v>32</v>
      </c>
      <c r="T7" s="48">
        <v>1</v>
      </c>
      <c r="U7" s="49">
        <v>9.1093800000000005E-31</v>
      </c>
      <c r="V7" s="50">
        <f>U7*V8</f>
        <v>5.4875783132530122E-4</v>
      </c>
    </row>
    <row r="8" spans="1:22" ht="22" x14ac:dyDescent="0.3">
      <c r="A8" s="133" t="s">
        <v>3</v>
      </c>
      <c r="B8" s="134">
        <v>1.38065E-23</v>
      </c>
      <c r="D8" s="13" t="s">
        <v>8</v>
      </c>
      <c r="E8" s="7">
        <v>3.6750199999999997E-2</v>
      </c>
      <c r="F8" s="7">
        <v>1</v>
      </c>
      <c r="G8" s="7">
        <v>8065.73</v>
      </c>
      <c r="H8" s="7">
        <v>23.0609</v>
      </c>
      <c r="I8" s="7">
        <v>96.486900000000006</v>
      </c>
      <c r="J8" s="7">
        <v>11604.9</v>
      </c>
      <c r="K8" s="9">
        <v>1.6021E-19</v>
      </c>
      <c r="L8" s="15">
        <v>2.41804E+19</v>
      </c>
      <c r="N8" s="33" t="s">
        <v>19</v>
      </c>
      <c r="O8" s="28">
        <v>1.8897299999999999</v>
      </c>
      <c r="P8" s="27">
        <v>1</v>
      </c>
      <c r="Q8" s="34">
        <v>1E-10</v>
      </c>
      <c r="S8" s="47" t="s">
        <v>34</v>
      </c>
      <c r="T8" s="49">
        <v>1.098E+30</v>
      </c>
      <c r="U8" s="48">
        <v>1</v>
      </c>
      <c r="V8" s="50">
        <f>1/U9</f>
        <v>6.0240963855421691E+26</v>
      </c>
    </row>
    <row r="9" spans="1:22" ht="22" thickBot="1" x14ac:dyDescent="0.3">
      <c r="A9" s="139" t="s">
        <v>4</v>
      </c>
      <c r="B9" s="141">
        <v>1.6021760000000001E-16</v>
      </c>
      <c r="D9" s="13" t="s">
        <v>14</v>
      </c>
      <c r="E9" s="9">
        <v>4.5563300000000003E-6</v>
      </c>
      <c r="F9" s="9">
        <v>1.23981E-4</v>
      </c>
      <c r="G9" s="7">
        <v>1</v>
      </c>
      <c r="H9" s="7">
        <v>2.8591100000000002E-3</v>
      </c>
      <c r="I9" s="7">
        <v>1.19627E-2</v>
      </c>
      <c r="J9" s="7">
        <v>1.42879</v>
      </c>
      <c r="K9" s="9">
        <v>1.9863000000000001E-23</v>
      </c>
      <c r="L9" s="16">
        <v>29979300000</v>
      </c>
      <c r="N9" s="35" t="s">
        <v>20</v>
      </c>
      <c r="O9" s="36">
        <v>18900000000</v>
      </c>
      <c r="P9" s="36">
        <v>10000000000</v>
      </c>
      <c r="Q9" s="37">
        <v>1</v>
      </c>
      <c r="S9" s="51" t="s">
        <v>77</v>
      </c>
      <c r="T9" s="52">
        <f>U9*T8</f>
        <v>1822.6799999999998</v>
      </c>
      <c r="U9" s="52">
        <v>1.6599999999999999E-27</v>
      </c>
      <c r="V9" s="53">
        <v>1</v>
      </c>
    </row>
    <row r="10" spans="1:22" ht="21" x14ac:dyDescent="0.3">
      <c r="A10" s="132" t="s">
        <v>5</v>
      </c>
      <c r="B10" s="135">
        <v>9.1092999999999998E-31</v>
      </c>
      <c r="D10" s="13" t="s">
        <v>9</v>
      </c>
      <c r="E10" s="7">
        <v>1.59362E-3</v>
      </c>
      <c r="F10" s="7">
        <v>4.3363400000000003E-2</v>
      </c>
      <c r="G10" s="8">
        <v>349.75700000000001</v>
      </c>
      <c r="H10" s="7">
        <v>1</v>
      </c>
      <c r="I10" s="8">
        <v>418.4</v>
      </c>
      <c r="J10" s="8">
        <v>503.22800000000001</v>
      </c>
      <c r="K10" s="9">
        <v>6.9500000000000005E-21</v>
      </c>
      <c r="L10" s="15">
        <v>10485400000000</v>
      </c>
    </row>
    <row r="11" spans="1:22" ht="22" x14ac:dyDescent="0.3">
      <c r="A11" s="139" t="s">
        <v>16</v>
      </c>
      <c r="B11" s="146">
        <v>8.8541799999999997E-12</v>
      </c>
      <c r="D11" s="13" t="s">
        <v>10</v>
      </c>
      <c r="E11" s="7">
        <v>3.8088E-4</v>
      </c>
      <c r="F11" s="7">
        <v>1.0364099999999999E-2</v>
      </c>
      <c r="G11" s="8">
        <v>83.593000000000004</v>
      </c>
      <c r="H11" s="7">
        <v>0.23900099999999999</v>
      </c>
      <c r="I11" s="7">
        <v>1</v>
      </c>
      <c r="J11" s="8">
        <v>120.274</v>
      </c>
      <c r="K11" s="9">
        <v>1.6599999999999999E-21</v>
      </c>
      <c r="L11" s="15">
        <v>2506070000000</v>
      </c>
    </row>
    <row r="12" spans="1:22" ht="22" x14ac:dyDescent="0.3">
      <c r="A12" s="132" t="s">
        <v>6</v>
      </c>
      <c r="B12" s="135">
        <v>5.2917700000000002E-12</v>
      </c>
      <c r="D12" s="17" t="s">
        <v>15</v>
      </c>
      <c r="E12" s="7">
        <v>3.1667800000000002E-6</v>
      </c>
      <c r="F12" s="54">
        <v>8.6170500000000004E-5</v>
      </c>
      <c r="G12" s="7">
        <v>0.69502799999999998</v>
      </c>
      <c r="H12" s="7">
        <v>1.9871699999999999E-3</v>
      </c>
      <c r="I12" s="7">
        <v>8.3143499999999999E-3</v>
      </c>
      <c r="J12" s="7">
        <v>1</v>
      </c>
      <c r="K12" s="9">
        <v>1.38054E-23</v>
      </c>
      <c r="L12" s="16">
        <v>20836400000</v>
      </c>
    </row>
    <row r="13" spans="1:22" ht="19" x14ac:dyDescent="0.25">
      <c r="A13" s="139" t="s">
        <v>70</v>
      </c>
      <c r="B13" s="142">
        <f>298.15</f>
        <v>298.14999999999998</v>
      </c>
      <c r="D13" s="13" t="s">
        <v>11</v>
      </c>
      <c r="E13" s="9">
        <v>2.294E+17</v>
      </c>
      <c r="F13" s="9">
        <v>6.24181E+18</v>
      </c>
      <c r="G13" s="9">
        <v>5.0344500000000003E+22</v>
      </c>
      <c r="H13" s="9">
        <v>1.44E+20</v>
      </c>
      <c r="I13" s="9">
        <v>6.02E+20</v>
      </c>
      <c r="J13" s="9">
        <v>7.2435399999999999E+22</v>
      </c>
      <c r="K13" s="7">
        <v>1</v>
      </c>
      <c r="L13" s="15">
        <v>1.5093E+33</v>
      </c>
    </row>
    <row r="14" spans="1:22" ht="20" thickBot="1" x14ac:dyDescent="0.3">
      <c r="A14" s="139" t="s">
        <v>75</v>
      </c>
      <c r="B14" s="155">
        <v>6.626068E-34</v>
      </c>
      <c r="D14" s="18" t="s">
        <v>12</v>
      </c>
      <c r="E14" s="19">
        <v>1.5198300000000001E-16</v>
      </c>
      <c r="F14" s="19">
        <v>4.13558E-15</v>
      </c>
      <c r="G14" s="19">
        <v>3.3356499999999997E-11</v>
      </c>
      <c r="H14" s="19">
        <v>9.5370200000000003E-14</v>
      </c>
      <c r="I14" s="20"/>
      <c r="J14" s="19">
        <v>4.7993E-11</v>
      </c>
      <c r="K14" s="19">
        <v>6.62561E-34</v>
      </c>
      <c r="L14" s="21">
        <v>1</v>
      </c>
    </row>
    <row r="15" spans="1:22" ht="19" x14ac:dyDescent="0.25">
      <c r="A15" s="132" t="s">
        <v>71</v>
      </c>
      <c r="B15" s="137">
        <v>1</v>
      </c>
    </row>
    <row r="16" spans="1:22" ht="19" x14ac:dyDescent="0.25">
      <c r="A16" s="139" t="s">
        <v>73</v>
      </c>
      <c r="B16" s="142">
        <v>101325</v>
      </c>
    </row>
    <row r="17" spans="1:27" ht="21" x14ac:dyDescent="0.25">
      <c r="A17" s="136" t="s">
        <v>72</v>
      </c>
      <c r="B17" s="138">
        <v>299792459</v>
      </c>
    </row>
    <row r="18" spans="1:27" ht="34" thickBot="1" x14ac:dyDescent="0.5">
      <c r="A18" s="246" t="s">
        <v>119</v>
      </c>
      <c r="B18" s="246"/>
      <c r="C18" s="246"/>
      <c r="D18" s="246"/>
      <c r="E18" s="246"/>
      <c r="F18" s="246"/>
      <c r="G18" s="246"/>
      <c r="H18" s="246"/>
      <c r="I18" s="246"/>
      <c r="J18" s="246"/>
      <c r="K18" s="246"/>
      <c r="L18" s="246"/>
      <c r="M18" s="246"/>
      <c r="N18" s="246"/>
      <c r="O18" s="246"/>
      <c r="P18" s="246"/>
      <c r="Q18" s="246"/>
      <c r="R18" s="246"/>
      <c r="S18" s="246"/>
      <c r="T18" s="246"/>
      <c r="U18" s="246"/>
      <c r="V18" s="246"/>
    </row>
    <row r="19" spans="1:27" ht="17" thickTop="1" x14ac:dyDescent="0.2"/>
    <row r="20" spans="1:27" ht="17" thickBot="1" x14ac:dyDescent="0.25"/>
    <row r="21" spans="1:27" ht="20" thickBot="1" x14ac:dyDescent="0.3">
      <c r="A21" s="39" t="s">
        <v>23</v>
      </c>
      <c r="B21" s="1"/>
      <c r="C21" s="91" t="s">
        <v>26</v>
      </c>
      <c r="D21" s="72"/>
      <c r="E21" s="72"/>
      <c r="F21" s="73"/>
      <c r="G21" s="1"/>
      <c r="H21" s="39" t="s">
        <v>38</v>
      </c>
      <c r="I21" s="1"/>
      <c r="J21" s="1"/>
      <c r="M21" s="1"/>
      <c r="N21" s="1"/>
      <c r="O21" s="71" t="s">
        <v>56</v>
      </c>
      <c r="P21" s="72"/>
      <c r="Q21" s="72"/>
      <c r="R21" s="73"/>
      <c r="S21" s="1"/>
      <c r="T21" s="1"/>
      <c r="U21" s="1"/>
      <c r="V21" s="1"/>
      <c r="W21" s="1"/>
      <c r="X21" s="1"/>
      <c r="Y21" s="1"/>
      <c r="Z21" s="1"/>
      <c r="AA21" s="1"/>
    </row>
    <row r="22" spans="1:27" ht="20" thickBot="1" x14ac:dyDescent="0.3">
      <c r="A22" s="38">
        <v>298.14999999999998</v>
      </c>
      <c r="B22" s="1"/>
      <c r="C22" s="92"/>
      <c r="D22" s="108" t="s">
        <v>35</v>
      </c>
      <c r="E22" s="109" t="s">
        <v>36</v>
      </c>
      <c r="F22" s="110" t="s">
        <v>37</v>
      </c>
      <c r="G22" s="1"/>
      <c r="H22" s="115" t="s">
        <v>64</v>
      </c>
      <c r="I22" s="116" t="s">
        <v>9</v>
      </c>
      <c r="J22" s="116" t="s">
        <v>10</v>
      </c>
      <c r="K22" s="178" t="s">
        <v>8</v>
      </c>
      <c r="L22" s="117" t="s">
        <v>11</v>
      </c>
      <c r="M22" s="1"/>
      <c r="N22" s="1"/>
      <c r="O22" s="89"/>
      <c r="P22" s="82" t="s">
        <v>42</v>
      </c>
      <c r="Q22" s="83" t="s">
        <v>57</v>
      </c>
      <c r="R22" s="84" t="s">
        <v>43</v>
      </c>
      <c r="S22" s="1"/>
      <c r="T22" s="1"/>
      <c r="U22" s="1"/>
      <c r="V22" s="1"/>
      <c r="W22" s="1"/>
      <c r="X22" s="1"/>
      <c r="Y22" s="1"/>
      <c r="Z22" s="1"/>
      <c r="AA22" s="1"/>
    </row>
    <row r="23" spans="1:27" ht="22" thickBot="1" x14ac:dyDescent="0.3">
      <c r="A23" s="1"/>
      <c r="B23" s="1"/>
      <c r="C23" s="55" t="s">
        <v>30</v>
      </c>
      <c r="D23" s="63">
        <v>0</v>
      </c>
      <c r="E23" s="64">
        <v>31.66677</v>
      </c>
      <c r="F23" s="65">
        <v>31.66677</v>
      </c>
      <c r="G23" s="1"/>
      <c r="H23" s="118">
        <v>5.0169999999999998E-3</v>
      </c>
      <c r="I23" s="119">
        <f>H23*$H$7</f>
        <v>3.1481825510000001</v>
      </c>
      <c r="J23" s="119">
        <f>H23*$I$7</f>
        <v>13.172133499999999</v>
      </c>
      <c r="K23" s="179">
        <f>H23*$F$7</f>
        <v>1.365160819</v>
      </c>
      <c r="L23" s="222">
        <f>H23*$K$7</f>
        <v>2.187412E-20</v>
      </c>
      <c r="M23" s="1"/>
      <c r="N23" s="1"/>
      <c r="O23" s="74" t="s">
        <v>44</v>
      </c>
      <c r="P23" s="93">
        <v>4.63</v>
      </c>
      <c r="Q23" s="85">
        <v>4.9729999999999999</v>
      </c>
      <c r="R23" s="86">
        <v>47.234000000000002</v>
      </c>
      <c r="S23" s="1"/>
      <c r="T23" s="1"/>
      <c r="U23" s="1"/>
      <c r="V23" s="1"/>
      <c r="W23" s="1"/>
      <c r="X23" s="1"/>
      <c r="Y23" s="1"/>
      <c r="Z23" s="1"/>
      <c r="AA23" s="1"/>
    </row>
    <row r="24" spans="1:27" ht="22" thickBot="1" x14ac:dyDescent="0.3">
      <c r="A24" s="39" t="s">
        <v>24</v>
      </c>
      <c r="B24" s="1"/>
      <c r="C24" s="56" t="s">
        <v>28</v>
      </c>
      <c r="D24" s="66">
        <f>D23*$U$9</f>
        <v>0</v>
      </c>
      <c r="E24" s="66">
        <f t="shared" ref="E24:F24" si="0">E23*$U$9</f>
        <v>5.2566838199999999E-26</v>
      </c>
      <c r="F24" s="66">
        <f t="shared" si="0"/>
        <v>5.2566838199999999E-26</v>
      </c>
      <c r="G24" s="1"/>
      <c r="M24" s="1"/>
      <c r="N24" s="1"/>
      <c r="O24" s="75" t="s">
        <v>45</v>
      </c>
      <c r="P24" s="93">
        <v>0</v>
      </c>
      <c r="Q24" s="85">
        <v>0</v>
      </c>
      <c r="R24" s="86">
        <v>0</v>
      </c>
      <c r="S24" s="1"/>
      <c r="T24" s="1"/>
      <c r="U24" s="1"/>
      <c r="V24" s="1"/>
      <c r="W24" s="1"/>
      <c r="X24" s="1"/>
      <c r="Y24" s="1"/>
      <c r="Z24" s="1"/>
      <c r="AA24" s="1"/>
    </row>
    <row r="25" spans="1:27" ht="22" thickBot="1" x14ac:dyDescent="0.3">
      <c r="A25" s="38">
        <v>1</v>
      </c>
      <c r="B25" s="1"/>
      <c r="C25" s="57" t="s">
        <v>29</v>
      </c>
      <c r="D25" s="68">
        <f>D24*($Q$8)^2</f>
        <v>0</v>
      </c>
      <c r="E25" s="69">
        <f>E24*($Q$8)^2</f>
        <v>5.2566838200000004E-46</v>
      </c>
      <c r="F25" s="70">
        <f t="shared" ref="F25" si="1">F24*($Q$8)^2</f>
        <v>5.2566838200000004E-46</v>
      </c>
      <c r="G25" s="1"/>
      <c r="M25" s="1"/>
      <c r="N25" s="1"/>
      <c r="O25" s="75" t="s">
        <v>46</v>
      </c>
      <c r="P25" s="93">
        <v>0.88900000000000001</v>
      </c>
      <c r="Q25" s="85">
        <v>2.9809999999999999</v>
      </c>
      <c r="R25" s="86">
        <v>35.923000000000002</v>
      </c>
      <c r="S25" s="1"/>
      <c r="T25" s="1"/>
      <c r="U25" s="1"/>
      <c r="V25" s="1"/>
      <c r="W25" s="1"/>
      <c r="X25" s="1"/>
      <c r="Y25" s="1"/>
      <c r="Z25" s="1"/>
      <c r="AA25" s="1"/>
    </row>
    <row r="26" spans="1:27" ht="20" thickBot="1" x14ac:dyDescent="0.3">
      <c r="A26" s="1"/>
      <c r="B26" s="1"/>
      <c r="C26" s="1"/>
      <c r="D26" s="1"/>
      <c r="E26" s="1"/>
      <c r="F26" s="1"/>
      <c r="G26" s="1"/>
      <c r="H26" s="39" t="s">
        <v>39</v>
      </c>
      <c r="I26" s="1"/>
      <c r="J26" s="1"/>
      <c r="K26" s="1"/>
      <c r="M26" s="1"/>
      <c r="N26" s="1"/>
      <c r="O26" s="75" t="s">
        <v>47</v>
      </c>
      <c r="P26" s="93">
        <v>0.59199999999999997</v>
      </c>
      <c r="Q26" s="85">
        <v>1.9870000000000001</v>
      </c>
      <c r="R26" s="86">
        <v>11.31</v>
      </c>
      <c r="S26" s="1"/>
      <c r="T26" s="1"/>
      <c r="U26" s="1"/>
      <c r="V26" s="1"/>
      <c r="W26" s="1"/>
      <c r="X26" s="1"/>
      <c r="Y26" s="1"/>
      <c r="Z26" s="1"/>
      <c r="AA26" s="1"/>
    </row>
    <row r="27" spans="1:27" ht="20" thickBot="1" x14ac:dyDescent="0.3">
      <c r="A27" s="39" t="s">
        <v>25</v>
      </c>
      <c r="B27" s="1"/>
      <c r="C27" s="39" t="s">
        <v>121</v>
      </c>
      <c r="D27" s="1"/>
      <c r="E27" s="1"/>
      <c r="F27" s="1"/>
      <c r="G27" s="1"/>
      <c r="H27" s="115" t="s">
        <v>64</v>
      </c>
      <c r="I27" s="116" t="s">
        <v>9</v>
      </c>
      <c r="J27" s="116" t="s">
        <v>10</v>
      </c>
      <c r="K27" s="178" t="s">
        <v>8</v>
      </c>
      <c r="L27" s="117" t="s">
        <v>11</v>
      </c>
      <c r="M27" s="1"/>
      <c r="N27" s="1"/>
      <c r="O27" s="76" t="s">
        <v>48</v>
      </c>
      <c r="P27" s="100">
        <v>3.149</v>
      </c>
      <c r="Q27" s="87">
        <v>5.0000000000000001E-3</v>
      </c>
      <c r="R27" s="88">
        <v>1E-3</v>
      </c>
      <c r="S27" s="1"/>
      <c r="T27" s="1"/>
      <c r="U27" s="1"/>
      <c r="V27" s="1"/>
      <c r="W27" s="1"/>
      <c r="X27" s="1"/>
      <c r="Y27" s="1"/>
      <c r="Z27" s="1"/>
      <c r="AA27" s="1"/>
    </row>
    <row r="28" spans="1:27" ht="20" thickBot="1" x14ac:dyDescent="0.3">
      <c r="A28" s="38">
        <v>27.994910000000001</v>
      </c>
      <c r="B28" s="1"/>
      <c r="C28" s="223">
        <v>2.73516</v>
      </c>
      <c r="D28" s="107"/>
      <c r="E28" s="107"/>
      <c r="F28" s="1"/>
      <c r="G28" s="1"/>
      <c r="H28" s="112">
        <v>7.378E-3</v>
      </c>
      <c r="I28" s="119">
        <f>H28*$H$7</f>
        <v>4.6297171340000007</v>
      </c>
      <c r="J28" s="119">
        <f>H28*$I$7</f>
        <v>19.370939</v>
      </c>
      <c r="K28" s="120">
        <f>H28*$F$7</f>
        <v>2.0076054460000003</v>
      </c>
      <c r="L28" s="222">
        <f>H28*$K$7</f>
        <v>3.2168079999999997E-20</v>
      </c>
      <c r="M28" s="1"/>
      <c r="N28" s="1"/>
      <c r="O28" s="1"/>
      <c r="P28" s="1"/>
      <c r="Q28" s="1"/>
      <c r="R28" s="1"/>
      <c r="S28" s="1"/>
      <c r="T28" s="1"/>
      <c r="U28" s="1"/>
      <c r="V28" s="1"/>
      <c r="W28" s="1"/>
      <c r="X28" s="1"/>
      <c r="Y28" s="1"/>
      <c r="Z28" s="1"/>
      <c r="AA28" s="1"/>
    </row>
    <row r="29" spans="1:27" ht="20" thickBot="1" x14ac:dyDescent="0.3">
      <c r="A29" s="1"/>
      <c r="B29" s="1"/>
      <c r="C29" s="1"/>
      <c r="D29" s="1"/>
      <c r="E29" s="1"/>
      <c r="F29" s="1"/>
      <c r="G29" s="1"/>
      <c r="L29" s="1"/>
      <c r="M29" s="1"/>
      <c r="N29" s="1"/>
      <c r="O29" s="1"/>
      <c r="P29" s="1"/>
      <c r="Q29" s="1"/>
      <c r="R29" s="1"/>
      <c r="S29" s="1"/>
      <c r="T29" s="1"/>
      <c r="U29" s="1"/>
      <c r="V29" s="1"/>
      <c r="W29" s="1"/>
      <c r="X29" s="1"/>
      <c r="Y29" s="1"/>
      <c r="Z29" s="1"/>
      <c r="AA29" s="1"/>
    </row>
    <row r="30" spans="1:27" ht="20" thickBot="1" x14ac:dyDescent="0.3">
      <c r="A30" s="39" t="s">
        <v>22</v>
      </c>
      <c r="B30" s="1"/>
      <c r="F30" s="1"/>
      <c r="G30" s="1"/>
      <c r="M30" s="1"/>
      <c r="O30" s="99" t="s">
        <v>58</v>
      </c>
      <c r="P30" s="97"/>
      <c r="Q30" s="97"/>
      <c r="R30" s="98"/>
      <c r="S30" s="1"/>
      <c r="T30" s="1"/>
      <c r="U30" s="1"/>
      <c r="V30" s="1"/>
      <c r="W30" s="1"/>
      <c r="X30" s="1"/>
      <c r="Y30" s="1"/>
      <c r="Z30" s="1"/>
      <c r="AA30" s="1"/>
    </row>
    <row r="31" spans="1:27" ht="20" thickBot="1" x14ac:dyDescent="0.3">
      <c r="A31" s="38">
        <v>1</v>
      </c>
      <c r="B31" s="1"/>
      <c r="C31" s="39" t="s">
        <v>27</v>
      </c>
      <c r="D31" s="1"/>
      <c r="E31" s="1"/>
      <c r="F31" s="1"/>
      <c r="G31" s="1"/>
      <c r="H31" s="39" t="s">
        <v>40</v>
      </c>
      <c r="I31" s="1"/>
      <c r="J31" s="1"/>
      <c r="K31" s="1"/>
      <c r="L31" s="1"/>
      <c r="M31" s="1"/>
      <c r="N31" s="1"/>
      <c r="O31" s="96"/>
      <c r="P31" s="77" t="s">
        <v>49</v>
      </c>
      <c r="Q31" s="78" t="s">
        <v>50</v>
      </c>
      <c r="R31" s="79" t="s">
        <v>51</v>
      </c>
      <c r="S31" s="1"/>
      <c r="T31" s="1"/>
      <c r="U31" s="1"/>
      <c r="V31" s="1"/>
      <c r="W31" s="1"/>
      <c r="X31" s="1"/>
      <c r="Y31" s="1"/>
      <c r="Z31" s="1"/>
      <c r="AA31" s="1"/>
    </row>
    <row r="32" spans="1:27" ht="20" thickBot="1" x14ac:dyDescent="0.3">
      <c r="A32" s="1"/>
      <c r="B32" s="1"/>
      <c r="C32" s="107" t="s">
        <v>35</v>
      </c>
      <c r="D32" s="107" t="s">
        <v>36</v>
      </c>
      <c r="E32" s="107" t="s">
        <v>37</v>
      </c>
      <c r="F32" s="1"/>
      <c r="G32" s="1"/>
      <c r="H32" s="115" t="s">
        <v>64</v>
      </c>
      <c r="I32" s="116" t="s">
        <v>9</v>
      </c>
      <c r="J32" s="116" t="s">
        <v>10</v>
      </c>
      <c r="K32" s="178" t="s">
        <v>8</v>
      </c>
      <c r="L32" s="117" t="s">
        <v>11</v>
      </c>
      <c r="M32" s="1"/>
      <c r="N32" s="1"/>
      <c r="O32" s="74" t="s">
        <v>45</v>
      </c>
      <c r="P32" s="94">
        <v>1</v>
      </c>
      <c r="Q32" s="95">
        <v>0</v>
      </c>
      <c r="R32" s="95">
        <v>0</v>
      </c>
      <c r="S32" s="1"/>
      <c r="T32" s="1"/>
      <c r="U32" s="1"/>
      <c r="V32" s="1"/>
      <c r="W32" s="1"/>
      <c r="X32" s="1"/>
      <c r="Y32" s="1"/>
      <c r="Z32" s="1"/>
      <c r="AA32" s="1"/>
    </row>
    <row r="33" spans="1:27" ht="20" thickBot="1" x14ac:dyDescent="0.3">
      <c r="A33" s="1"/>
      <c r="B33" s="1"/>
      <c r="C33" s="58">
        <v>0</v>
      </c>
      <c r="D33" s="59">
        <v>56.991635299999999</v>
      </c>
      <c r="E33" s="60">
        <v>56.991635299999999</v>
      </c>
      <c r="F33" s="1"/>
      <c r="G33" s="1"/>
      <c r="H33" s="112">
        <v>8.3219999999999995E-3</v>
      </c>
      <c r="I33" s="119">
        <f>H33*$H$7</f>
        <v>5.2220799659999999</v>
      </c>
      <c r="J33" s="119">
        <f>H33*$I$7</f>
        <v>21.849411</v>
      </c>
      <c r="K33" s="120">
        <f>H33*$F$7</f>
        <v>2.2644744540000001</v>
      </c>
      <c r="L33" s="222">
        <f>H33*$K$7</f>
        <v>3.6283919999999999E-20</v>
      </c>
      <c r="M33" s="1"/>
      <c r="N33" s="1"/>
      <c r="O33" s="75" t="s">
        <v>46</v>
      </c>
      <c r="P33" s="93">
        <v>5822020</v>
      </c>
      <c r="Q33" s="85">
        <v>6.7650740000000003</v>
      </c>
      <c r="R33" s="85">
        <v>15.577158000000001</v>
      </c>
      <c r="S33" s="1"/>
      <c r="T33" s="1"/>
      <c r="U33" s="1"/>
      <c r="V33" s="1"/>
      <c r="W33" s="1"/>
      <c r="X33" s="1"/>
      <c r="Y33" s="1"/>
      <c r="Z33" s="1"/>
      <c r="AA33" s="1"/>
    </row>
    <row r="34" spans="1:27" ht="19" x14ac:dyDescent="0.25">
      <c r="A34" s="1"/>
      <c r="B34" s="1"/>
      <c r="E34" s="1"/>
      <c r="F34" s="1"/>
      <c r="G34" s="1"/>
      <c r="M34" s="1"/>
      <c r="N34" s="1"/>
      <c r="O34" s="75" t="s">
        <v>47</v>
      </c>
      <c r="P34" s="93">
        <v>109.006</v>
      </c>
      <c r="Q34" s="85">
        <v>2.0374509999999999</v>
      </c>
      <c r="R34" s="85">
        <v>4.6914049999999996</v>
      </c>
      <c r="S34" s="1"/>
      <c r="T34" s="1"/>
      <c r="U34" s="1"/>
      <c r="V34" s="1"/>
      <c r="W34" s="1"/>
      <c r="X34" s="1"/>
      <c r="Y34" s="1"/>
      <c r="Z34" s="1"/>
      <c r="AA34" s="1"/>
    </row>
    <row r="35" spans="1:27" ht="19" x14ac:dyDescent="0.25">
      <c r="A35" s="1"/>
      <c r="B35" s="1"/>
      <c r="E35" s="1"/>
      <c r="F35" s="1"/>
      <c r="H35" s="1"/>
      <c r="I35" s="1"/>
      <c r="J35" s="1"/>
      <c r="K35" s="1"/>
      <c r="L35" s="1"/>
      <c r="M35" s="1"/>
      <c r="N35" s="1"/>
      <c r="O35" s="75" t="s">
        <v>52</v>
      </c>
      <c r="P35" s="93">
        <v>3124440</v>
      </c>
      <c r="Q35" s="85">
        <v>6.4947730000000004</v>
      </c>
      <c r="R35" s="85">
        <v>14.954767</v>
      </c>
      <c r="S35" s="1"/>
      <c r="T35" s="1"/>
      <c r="U35" s="1"/>
      <c r="V35" s="1"/>
      <c r="W35" s="1"/>
      <c r="X35" s="1"/>
      <c r="Y35" s="1"/>
      <c r="Z35" s="1"/>
      <c r="AA35" s="1"/>
    </row>
    <row r="36" spans="1:27" ht="20" thickBot="1" x14ac:dyDescent="0.3">
      <c r="A36" s="1"/>
      <c r="B36" s="1"/>
      <c r="C36" s="39" t="s">
        <v>61</v>
      </c>
      <c r="D36" s="1"/>
      <c r="E36" s="1"/>
      <c r="F36" s="1"/>
      <c r="H36" s="39" t="s">
        <v>41</v>
      </c>
      <c r="I36" s="1"/>
      <c r="J36" s="1"/>
      <c r="K36" s="1"/>
      <c r="L36" s="1"/>
      <c r="M36" s="1"/>
      <c r="N36" s="1"/>
      <c r="O36" s="75" t="s">
        <v>53</v>
      </c>
      <c r="P36" s="93">
        <v>634652000</v>
      </c>
      <c r="Q36" s="85">
        <v>8.8025359999999999</v>
      </c>
      <c r="R36" s="85">
        <v>20.268588000000001</v>
      </c>
      <c r="S36" s="1"/>
      <c r="T36" s="1"/>
      <c r="U36" s="1"/>
      <c r="V36" s="1"/>
      <c r="W36" s="1"/>
      <c r="X36" s="1"/>
      <c r="Y36" s="1"/>
      <c r="Z36" s="1"/>
      <c r="AA36" s="1"/>
    </row>
    <row r="37" spans="1:27" ht="20" thickBot="1" x14ac:dyDescent="0.3">
      <c r="A37" s="1"/>
      <c r="B37" s="1"/>
      <c r="C37" s="105" t="s">
        <v>62</v>
      </c>
      <c r="D37" s="62">
        <v>13172.7</v>
      </c>
      <c r="E37" s="1"/>
      <c r="F37" s="1"/>
      <c r="H37" s="115" t="s">
        <v>64</v>
      </c>
      <c r="I37" s="116" t="s">
        <v>9</v>
      </c>
      <c r="J37" s="116" t="s">
        <v>10</v>
      </c>
      <c r="K37" s="117" t="s">
        <v>8</v>
      </c>
      <c r="L37" s="117" t="s">
        <v>11</v>
      </c>
      <c r="M37" s="1"/>
      <c r="N37" s="1"/>
      <c r="O37" s="75" t="s">
        <v>54</v>
      </c>
      <c r="P37" s="93">
        <v>4.9232E-3</v>
      </c>
      <c r="Q37" s="85">
        <v>-2.3077529999999999</v>
      </c>
      <c r="R37" s="85">
        <v>-5.3137970000000001</v>
      </c>
      <c r="S37" s="1"/>
      <c r="T37" s="1"/>
      <c r="U37" s="1"/>
      <c r="V37" s="1"/>
      <c r="W37" s="1"/>
      <c r="X37" s="1"/>
      <c r="Y37" s="1"/>
      <c r="Z37" s="1"/>
      <c r="AA37" s="1"/>
    </row>
    <row r="38" spans="1:27" ht="20" thickBot="1" x14ac:dyDescent="0.3">
      <c r="A38" s="1"/>
      <c r="B38" s="1"/>
      <c r="C38" s="106" t="s">
        <v>63</v>
      </c>
      <c r="D38" s="114">
        <v>3.1483599999999998</v>
      </c>
      <c r="E38" s="1"/>
      <c r="F38" s="1"/>
      <c r="H38" s="112">
        <v>-1.4120000000000001E-2</v>
      </c>
      <c r="I38" s="119">
        <f>H38*$H$7</f>
        <v>-8.8603423600000006</v>
      </c>
      <c r="J38" s="119">
        <f>H38*$I$7</f>
        <v>-37.07206</v>
      </c>
      <c r="K38" s="120">
        <f>H38*$F$7</f>
        <v>-3.8421508400000004</v>
      </c>
      <c r="L38" s="222">
        <f>H38*$K$7</f>
        <v>-6.1563200000000002E-20</v>
      </c>
      <c r="M38" s="1"/>
      <c r="N38" s="1"/>
      <c r="O38" s="76" t="s">
        <v>55</v>
      </c>
      <c r="P38" s="93">
        <v>1.0000199999999999</v>
      </c>
      <c r="Q38" s="85">
        <v>1.1E-5</v>
      </c>
      <c r="R38" s="85">
        <v>2.4000000000000001E-5</v>
      </c>
      <c r="S38" s="1"/>
      <c r="T38" s="1"/>
      <c r="U38" s="1"/>
      <c r="V38" s="1"/>
      <c r="W38" s="1"/>
      <c r="X38" s="1"/>
      <c r="Y38" s="1"/>
      <c r="Z38" s="1"/>
      <c r="AA38" s="1"/>
    </row>
    <row r="39" spans="1:27" ht="19" x14ac:dyDescent="0.25">
      <c r="A39" s="1"/>
      <c r="B39" s="1"/>
      <c r="C39" s="1"/>
      <c r="D39" s="1"/>
      <c r="E39" s="1"/>
      <c r="F39" s="1"/>
      <c r="J39" s="1"/>
      <c r="K39" s="1"/>
      <c r="L39" s="1"/>
      <c r="M39" s="1"/>
      <c r="N39" s="1"/>
      <c r="O39" s="104"/>
      <c r="P39" s="1"/>
      <c r="Q39" s="1"/>
      <c r="R39" s="1"/>
      <c r="S39" s="1"/>
      <c r="T39" s="1"/>
      <c r="U39" s="1"/>
      <c r="V39" s="1"/>
      <c r="W39" s="1"/>
      <c r="X39" s="1"/>
      <c r="Y39" s="1"/>
      <c r="Z39" s="1"/>
      <c r="AA39" s="1"/>
    </row>
    <row r="40" spans="1:27" ht="20" thickBot="1" x14ac:dyDescent="0.3">
      <c r="A40" s="1"/>
      <c r="B40" s="1"/>
      <c r="C40" s="1"/>
      <c r="D40" s="1"/>
      <c r="E40" s="1"/>
      <c r="F40" s="1"/>
      <c r="J40" s="1"/>
      <c r="K40" s="1"/>
      <c r="L40" s="1"/>
      <c r="M40" s="1"/>
      <c r="N40" s="1"/>
      <c r="O40" s="104"/>
      <c r="P40" s="1"/>
      <c r="Q40" s="1"/>
      <c r="R40" s="1"/>
      <c r="S40" s="1"/>
      <c r="T40" s="1"/>
      <c r="U40" s="1"/>
      <c r="V40" s="1"/>
      <c r="W40" s="1"/>
      <c r="X40" s="1"/>
      <c r="Y40" s="1"/>
      <c r="Z40" s="1"/>
      <c r="AA40" s="1"/>
    </row>
    <row r="41" spans="1:27" ht="64" customHeight="1" thickBot="1" x14ac:dyDescent="0.3">
      <c r="A41" s="1"/>
      <c r="B41" s="1"/>
      <c r="D41" s="102" t="s">
        <v>59</v>
      </c>
      <c r="E41" s="103" t="s">
        <v>60</v>
      </c>
      <c r="F41" s="127" t="s">
        <v>68</v>
      </c>
      <c r="G41" s="131" t="s">
        <v>69</v>
      </c>
      <c r="I41" s="1"/>
      <c r="J41" s="1"/>
      <c r="K41" s="1"/>
      <c r="L41" s="1"/>
      <c r="M41" s="1"/>
      <c r="N41" s="1"/>
      <c r="O41" s="1"/>
      <c r="P41" s="1"/>
      <c r="Q41" s="1"/>
      <c r="R41" s="1"/>
      <c r="S41" s="1"/>
      <c r="T41" s="1"/>
      <c r="U41" s="1"/>
      <c r="V41" s="1"/>
      <c r="W41" s="1"/>
      <c r="X41" s="1"/>
      <c r="Y41" s="1"/>
      <c r="Z41" s="1"/>
      <c r="AA41" s="1"/>
    </row>
    <row r="42" spans="1:27" ht="20" thickBot="1" x14ac:dyDescent="0.3">
      <c r="A42" s="1"/>
      <c r="B42" s="1"/>
      <c r="C42" s="184">
        <v>1</v>
      </c>
      <c r="D42" s="224">
        <v>3168.63</v>
      </c>
      <c r="E42" s="225">
        <v>2202.3117000000002</v>
      </c>
      <c r="F42" s="221">
        <f>E42*$L$9</f>
        <v>66023763147810.008</v>
      </c>
      <c r="G42" s="114">
        <v>13.438800000000001</v>
      </c>
      <c r="H42" s="101"/>
      <c r="K42" s="1"/>
      <c r="L42" s="1"/>
      <c r="M42" s="1"/>
      <c r="N42" s="1"/>
      <c r="O42" s="1"/>
      <c r="P42" s="1"/>
      <c r="Q42" s="1"/>
      <c r="R42" s="1"/>
      <c r="S42" s="1"/>
      <c r="T42" s="1"/>
      <c r="U42" s="1"/>
      <c r="V42" s="1"/>
      <c r="W42" s="1"/>
      <c r="X42" s="1"/>
      <c r="Y42" s="1"/>
      <c r="Z42" s="1"/>
      <c r="AA42" s="1"/>
    </row>
    <row r="43" spans="1:27" ht="19" x14ac:dyDescent="0.25">
      <c r="A43" s="1"/>
      <c r="B43" s="1"/>
      <c r="C43" s="101"/>
      <c r="D43" s="1"/>
      <c r="E43" s="1"/>
      <c r="F43" s="4"/>
      <c r="G43" s="1"/>
      <c r="H43" s="101"/>
      <c r="K43" s="1"/>
      <c r="L43" s="1"/>
      <c r="M43" s="1"/>
      <c r="N43" s="1"/>
      <c r="O43" s="1"/>
      <c r="P43" s="1"/>
      <c r="Q43" s="1"/>
      <c r="R43" s="1"/>
      <c r="S43" s="1"/>
      <c r="T43" s="1"/>
      <c r="U43" s="1"/>
      <c r="V43" s="1"/>
      <c r="W43" s="1"/>
      <c r="X43" s="1"/>
      <c r="Y43" s="1"/>
      <c r="Z43" s="1"/>
      <c r="AA43" s="1"/>
    </row>
    <row r="44" spans="1:27" ht="20" thickBot="1" x14ac:dyDescent="0.3">
      <c r="A44" s="1"/>
      <c r="B44" s="1"/>
      <c r="C44" s="101"/>
      <c r="D44" s="1"/>
      <c r="E44" s="1"/>
      <c r="F44" s="4"/>
      <c r="G44" s="1"/>
      <c r="H44" s="101"/>
      <c r="J44" s="175" t="s">
        <v>92</v>
      </c>
      <c r="M44" s="1"/>
      <c r="N44" s="1"/>
      <c r="O44" s="1"/>
      <c r="P44" s="1"/>
      <c r="Q44" s="1"/>
      <c r="R44" s="1"/>
      <c r="S44" s="1"/>
      <c r="T44" s="1"/>
      <c r="U44" s="1"/>
      <c r="V44" s="1"/>
      <c r="W44" s="1"/>
      <c r="X44" s="1"/>
      <c r="Y44" s="1"/>
      <c r="Z44" s="1"/>
      <c r="AA44" s="1"/>
    </row>
    <row r="45" spans="1:27" ht="20" thickBot="1" x14ac:dyDescent="0.3">
      <c r="A45" s="1"/>
      <c r="B45" s="1"/>
      <c r="C45" s="101"/>
      <c r="D45" s="1"/>
      <c r="E45" s="1"/>
      <c r="F45" s="4"/>
      <c r="G45" s="1"/>
      <c r="H45" s="101"/>
      <c r="J45" s="164">
        <v>1</v>
      </c>
      <c r="K45" s="165">
        <f>J45+1</f>
        <v>2</v>
      </c>
      <c r="L45" s="166">
        <f>K45+1</f>
        <v>3</v>
      </c>
      <c r="M45" s="166">
        <f>L45+1</f>
        <v>4</v>
      </c>
      <c r="N45" s="1"/>
      <c r="O45" s="1"/>
      <c r="P45" s="1"/>
      <c r="Q45" s="1"/>
      <c r="R45" s="1"/>
      <c r="S45" s="1"/>
      <c r="T45" s="1"/>
      <c r="U45" s="1"/>
      <c r="V45" s="1"/>
      <c r="W45" s="1"/>
      <c r="X45" s="1"/>
      <c r="Y45" s="1"/>
      <c r="Z45" s="1"/>
      <c r="AA45" s="1"/>
    </row>
    <row r="46" spans="1:27" ht="19" x14ac:dyDescent="0.25">
      <c r="A46" s="1"/>
      <c r="B46" s="1"/>
      <c r="C46" s="101"/>
      <c r="D46" s="1"/>
      <c r="E46" s="1"/>
      <c r="F46" s="4"/>
      <c r="G46" s="1"/>
      <c r="H46" s="101"/>
      <c r="J46" s="85">
        <v>-113.317126082</v>
      </c>
      <c r="K46" s="85">
        <v>-113.317319316</v>
      </c>
      <c r="L46" s="85">
        <v>-113.317323135</v>
      </c>
      <c r="M46" s="85">
        <v>-113.317323135</v>
      </c>
      <c r="N46" s="1"/>
      <c r="O46" s="1"/>
      <c r="P46" s="1"/>
      <c r="Q46" s="1"/>
      <c r="R46" s="1"/>
      <c r="S46" s="1"/>
      <c r="T46" s="1"/>
      <c r="U46" s="1"/>
      <c r="V46" s="1"/>
      <c r="W46" s="1"/>
      <c r="X46" s="1"/>
      <c r="Y46" s="1"/>
      <c r="Z46" s="1"/>
      <c r="AA46" s="1"/>
    </row>
    <row r="47" spans="1:27" ht="19" x14ac:dyDescent="0.25">
      <c r="A47" s="1"/>
      <c r="B47" s="1"/>
      <c r="C47" s="101"/>
      <c r="D47" s="1"/>
      <c r="E47" s="1"/>
      <c r="F47" s="4"/>
      <c r="G47" s="1"/>
      <c r="H47" s="101"/>
      <c r="K47" s="1"/>
      <c r="L47" s="1"/>
      <c r="M47" s="1"/>
      <c r="N47" s="1"/>
      <c r="O47" s="1"/>
      <c r="P47" s="1"/>
      <c r="Q47" s="1"/>
      <c r="R47" s="1"/>
      <c r="S47" s="1"/>
      <c r="T47" s="1"/>
      <c r="U47" s="1"/>
      <c r="V47" s="1"/>
      <c r="W47" s="1"/>
      <c r="X47" s="1"/>
      <c r="Y47" s="1"/>
      <c r="Z47" s="1"/>
      <c r="AA47" s="1"/>
    </row>
    <row r="48" spans="1:27" ht="19" x14ac:dyDescent="0.25">
      <c r="A48" s="1"/>
      <c r="B48" s="1"/>
      <c r="C48" s="101"/>
      <c r="D48" s="1"/>
      <c r="E48" s="1"/>
      <c r="F48" s="4"/>
      <c r="G48" s="1"/>
      <c r="H48" s="101"/>
      <c r="N48" s="1"/>
      <c r="O48" s="1"/>
      <c r="P48" s="1"/>
      <c r="Q48" s="1"/>
      <c r="R48" s="1"/>
      <c r="S48" s="1"/>
      <c r="T48" s="1"/>
      <c r="U48" s="1"/>
      <c r="V48" s="1"/>
      <c r="W48" s="1"/>
      <c r="X48" s="1"/>
      <c r="Y48" s="1"/>
      <c r="Z48" s="1"/>
      <c r="AA48" s="1"/>
    </row>
    <row r="49" spans="1:27" ht="19" x14ac:dyDescent="0.25">
      <c r="A49" s="1"/>
      <c r="B49" s="1"/>
      <c r="C49" s="101"/>
      <c r="D49" s="1"/>
      <c r="E49" s="1"/>
      <c r="F49" s="4"/>
      <c r="G49" s="1"/>
      <c r="H49" s="101"/>
      <c r="K49" s="1"/>
      <c r="L49" s="1"/>
      <c r="M49" s="1"/>
      <c r="N49" s="1"/>
      <c r="O49" s="1"/>
      <c r="P49" s="1"/>
      <c r="Q49" s="1"/>
      <c r="R49" s="1"/>
      <c r="S49" s="1"/>
      <c r="T49" s="1"/>
      <c r="U49" s="1"/>
      <c r="V49" s="1"/>
      <c r="W49" s="1"/>
      <c r="X49" s="1"/>
      <c r="Y49" s="1"/>
      <c r="Z49" s="1"/>
      <c r="AA49" s="1"/>
    </row>
    <row r="50" spans="1:27" ht="19" x14ac:dyDescent="0.25">
      <c r="A50" s="1"/>
      <c r="B50" s="1"/>
      <c r="C50" s="101"/>
      <c r="D50" s="1"/>
      <c r="E50" s="1"/>
      <c r="F50" s="4"/>
      <c r="G50" s="1"/>
      <c r="H50" s="101"/>
      <c r="K50" s="1"/>
      <c r="L50" s="1"/>
      <c r="M50" s="1"/>
      <c r="N50" s="1"/>
      <c r="O50" s="1"/>
      <c r="P50" s="1"/>
      <c r="Q50" s="1"/>
      <c r="R50" s="1"/>
      <c r="S50" s="1"/>
      <c r="T50" s="1"/>
      <c r="U50" s="1"/>
      <c r="V50" s="1"/>
      <c r="W50" s="1"/>
      <c r="X50" s="1"/>
      <c r="Y50" s="1"/>
      <c r="Z50" s="1"/>
      <c r="AA50" s="1"/>
    </row>
    <row r="51" spans="1:27" ht="19" x14ac:dyDescent="0.25">
      <c r="A51" s="1"/>
      <c r="B51" s="1"/>
      <c r="C51" s="1"/>
      <c r="D51" s="1"/>
      <c r="E51" s="1"/>
      <c r="F51" s="1"/>
      <c r="G51" s="1"/>
      <c r="H51" s="1"/>
      <c r="K51" s="1"/>
      <c r="L51" s="1"/>
      <c r="M51" s="1"/>
      <c r="N51" s="1"/>
      <c r="O51" s="1"/>
      <c r="P51" s="1"/>
      <c r="Q51" s="1"/>
      <c r="R51" s="1"/>
      <c r="S51" s="1"/>
      <c r="T51" s="1"/>
      <c r="U51" s="1"/>
      <c r="V51" s="1"/>
      <c r="W51" s="1"/>
      <c r="X51" s="1"/>
      <c r="Y51" s="1"/>
      <c r="Z51" s="1"/>
      <c r="AA51" s="1"/>
    </row>
    <row r="52" spans="1:27" ht="19"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34" thickBot="1" x14ac:dyDescent="0.5">
      <c r="A53" s="246" t="s">
        <v>120</v>
      </c>
      <c r="B53" s="246"/>
      <c r="C53" s="246"/>
      <c r="D53" s="246"/>
      <c r="E53" s="246"/>
      <c r="F53" s="246"/>
      <c r="G53" s="246"/>
      <c r="H53" s="246"/>
      <c r="I53" s="246"/>
      <c r="J53" s="246"/>
      <c r="K53" s="246"/>
      <c r="L53" s="246"/>
      <c r="M53" s="246"/>
      <c r="N53" s="246"/>
      <c r="O53" s="246"/>
      <c r="P53" s="246"/>
      <c r="Q53" s="246"/>
      <c r="R53" s="246"/>
      <c r="S53" s="246"/>
      <c r="T53" s="246"/>
      <c r="U53" s="246"/>
      <c r="V53" s="246"/>
      <c r="W53" s="1"/>
      <c r="X53" s="1"/>
      <c r="Y53" s="1"/>
      <c r="Z53" s="1"/>
      <c r="AA53" s="1"/>
    </row>
    <row r="54" spans="1:27" ht="20" thickTop="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9" x14ac:dyDescent="0.25">
      <c r="A55" s="1"/>
      <c r="B55" s="1"/>
      <c r="C55" s="1"/>
      <c r="D55" s="1"/>
      <c r="E55" s="1"/>
      <c r="F55" s="1" t="s">
        <v>65</v>
      </c>
      <c r="G55" s="1"/>
      <c r="H55" s="1"/>
      <c r="I55" s="1"/>
      <c r="J55" s="1"/>
      <c r="K55" s="1"/>
      <c r="L55" s="1"/>
      <c r="M55" s="1"/>
      <c r="N55" s="1"/>
      <c r="O55" s="1"/>
      <c r="Q55" s="1"/>
      <c r="R55" s="1"/>
      <c r="S55" s="1"/>
      <c r="T55" s="1"/>
      <c r="U55" s="1"/>
      <c r="V55" s="1"/>
      <c r="W55" s="1"/>
      <c r="X55" s="1"/>
      <c r="Y55" s="1"/>
      <c r="Z55" s="1"/>
      <c r="AA55" s="1"/>
    </row>
    <row r="56" spans="1:27" ht="27" x14ac:dyDescent="0.35">
      <c r="B56" s="1"/>
      <c r="C56" s="125" t="s">
        <v>74</v>
      </c>
      <c r="D56" s="126"/>
      <c r="E56" s="1"/>
      <c r="F56" s="1"/>
      <c r="G56" s="1"/>
      <c r="H56" s="1"/>
      <c r="I56" s="1"/>
      <c r="J56" s="1"/>
      <c r="K56" s="1"/>
      <c r="L56" s="1"/>
      <c r="M56" s="1"/>
      <c r="N56" s="1"/>
      <c r="O56" s="1"/>
      <c r="Q56" s="1"/>
      <c r="R56" s="1"/>
      <c r="S56" s="1"/>
      <c r="T56" s="1"/>
      <c r="U56" s="1"/>
      <c r="V56" s="1"/>
      <c r="W56" s="1"/>
      <c r="X56" s="1"/>
      <c r="Y56" s="1"/>
      <c r="Z56" s="1"/>
      <c r="AA56" s="1"/>
    </row>
    <row r="57" spans="1:27" ht="19" x14ac:dyDescent="0.25">
      <c r="B57" s="1"/>
      <c r="C57" s="1"/>
      <c r="D57" s="1"/>
      <c r="E57" s="1"/>
      <c r="F57" s="1"/>
      <c r="G57" s="1"/>
      <c r="H57" s="1"/>
      <c r="I57" s="1"/>
      <c r="J57" s="1"/>
      <c r="K57" s="1"/>
      <c r="L57" s="1"/>
      <c r="M57" s="1"/>
      <c r="N57" s="1"/>
      <c r="O57" s="1"/>
      <c r="Q57" s="1"/>
      <c r="R57" s="1"/>
      <c r="S57" s="1"/>
      <c r="T57" s="1"/>
      <c r="U57" s="1"/>
      <c r="V57" s="1"/>
      <c r="W57" s="1"/>
      <c r="X57" s="1"/>
      <c r="Y57" s="1"/>
      <c r="Z57" s="1"/>
      <c r="AA57" s="1"/>
    </row>
    <row r="58" spans="1:27" ht="19" x14ac:dyDescent="0.25">
      <c r="B58" s="1"/>
      <c r="C58" s="1"/>
      <c r="D58" s="1"/>
      <c r="E58" s="1"/>
      <c r="F58" s="1"/>
      <c r="G58" s="1"/>
      <c r="H58" s="1"/>
      <c r="I58" s="1"/>
      <c r="J58" s="1"/>
      <c r="K58" s="1"/>
      <c r="L58" s="1"/>
      <c r="M58" s="1"/>
      <c r="N58" s="1"/>
      <c r="O58" s="1"/>
      <c r="Q58" s="1"/>
      <c r="R58" s="1"/>
      <c r="S58" s="1"/>
      <c r="T58" s="1"/>
      <c r="U58" s="1"/>
      <c r="V58" s="1"/>
      <c r="W58" s="1"/>
      <c r="X58" s="1"/>
      <c r="Y58" s="1"/>
      <c r="Z58" s="1"/>
      <c r="AA58" s="1"/>
    </row>
    <row r="59" spans="1:27" ht="19" x14ac:dyDescent="0.25">
      <c r="B59" s="1"/>
      <c r="D59" s="1"/>
      <c r="E59" s="1"/>
      <c r="F59" s="1"/>
      <c r="G59" s="1"/>
      <c r="H59" s="1"/>
      <c r="I59" s="1"/>
      <c r="J59" s="1"/>
      <c r="K59" s="1"/>
      <c r="L59" s="1"/>
      <c r="M59" s="1"/>
      <c r="N59" s="1"/>
      <c r="O59" s="1"/>
      <c r="Q59" s="1"/>
      <c r="R59" s="1"/>
      <c r="S59" s="1"/>
      <c r="T59" s="1"/>
      <c r="U59" s="1"/>
      <c r="V59" s="1"/>
      <c r="W59" s="1"/>
      <c r="X59" s="1"/>
      <c r="Y59" s="1"/>
      <c r="Z59" s="1"/>
      <c r="AA59" s="1"/>
    </row>
    <row r="60" spans="1:27" ht="19" x14ac:dyDescent="0.25">
      <c r="B60" s="1"/>
      <c r="C60" s="1"/>
      <c r="D60" s="1"/>
      <c r="E60" s="1"/>
      <c r="F60" s="1"/>
      <c r="G60" s="1"/>
      <c r="H60" s="1"/>
      <c r="I60" s="1"/>
      <c r="J60" s="1"/>
      <c r="K60" s="1"/>
      <c r="L60" s="1"/>
      <c r="M60" s="1"/>
      <c r="N60" s="1"/>
      <c r="O60" s="1"/>
      <c r="Q60" s="1"/>
      <c r="R60" s="1"/>
      <c r="S60" s="1"/>
      <c r="T60" s="1"/>
      <c r="U60" s="1"/>
      <c r="V60" s="1"/>
      <c r="W60" s="1"/>
      <c r="X60" s="1"/>
      <c r="Y60" s="1"/>
      <c r="Z60" s="1"/>
      <c r="AA60" s="1"/>
    </row>
    <row r="61" spans="1:27" ht="19" x14ac:dyDescent="0.25">
      <c r="B61" s="1"/>
      <c r="C61" s="1"/>
      <c r="D61" s="1"/>
      <c r="E61" s="1"/>
      <c r="F61" s="1"/>
      <c r="G61" s="1"/>
      <c r="H61" s="1"/>
      <c r="I61" s="1"/>
      <c r="J61" s="1"/>
      <c r="K61" s="1"/>
      <c r="L61" s="1"/>
      <c r="M61" s="1"/>
      <c r="N61" s="1"/>
      <c r="O61" s="1"/>
      <c r="Q61" s="1"/>
      <c r="R61" s="1"/>
      <c r="S61" s="1"/>
      <c r="T61" s="1"/>
      <c r="U61" s="1"/>
      <c r="V61" s="1"/>
      <c r="W61" s="1"/>
      <c r="X61" s="1"/>
      <c r="Y61" s="1"/>
      <c r="Z61" s="1"/>
      <c r="AA61" s="1"/>
    </row>
    <row r="62" spans="1:27" ht="19" x14ac:dyDescent="0.25">
      <c r="B62" s="1"/>
      <c r="C62" s="1"/>
      <c r="D62" s="1"/>
      <c r="E62" s="1"/>
      <c r="F62" s="1"/>
      <c r="G62" s="1"/>
      <c r="H62" s="1"/>
      <c r="I62" s="1"/>
      <c r="J62" s="1"/>
      <c r="K62" s="1"/>
      <c r="L62" s="1"/>
      <c r="M62" s="1"/>
      <c r="N62" s="1"/>
      <c r="O62" s="1"/>
      <c r="Q62" s="1"/>
      <c r="R62" s="1"/>
      <c r="S62" s="1"/>
      <c r="T62" s="1"/>
      <c r="U62" s="1"/>
      <c r="V62" s="1"/>
      <c r="W62" s="1"/>
      <c r="X62" s="1"/>
      <c r="Y62" s="1"/>
      <c r="Z62" s="1"/>
      <c r="AA62" s="1"/>
    </row>
    <row r="63" spans="1:27" ht="20" thickBot="1" x14ac:dyDescent="0.3">
      <c r="B63" s="1"/>
      <c r="C63" s="1"/>
      <c r="D63" s="1"/>
      <c r="E63" s="1"/>
      <c r="F63" s="1"/>
      <c r="G63" s="1"/>
      <c r="H63" s="1"/>
      <c r="I63" s="1"/>
      <c r="J63" s="1"/>
      <c r="K63" s="1"/>
      <c r="L63" s="1"/>
      <c r="M63" s="1"/>
      <c r="N63" s="1"/>
      <c r="O63" s="1"/>
      <c r="Q63" s="1"/>
      <c r="R63" s="1"/>
      <c r="S63" s="1"/>
      <c r="T63" s="1"/>
      <c r="U63" s="1"/>
      <c r="V63" s="1"/>
      <c r="W63" s="1"/>
      <c r="X63" s="1"/>
      <c r="Y63" s="1"/>
      <c r="Z63" s="1"/>
      <c r="AA63" s="1"/>
    </row>
    <row r="64" spans="1:27" ht="30" customHeight="1" thickBot="1" x14ac:dyDescent="0.35">
      <c r="B64" s="1"/>
      <c r="C64" s="154" t="s">
        <v>67</v>
      </c>
      <c r="D64" s="150" t="s">
        <v>66</v>
      </c>
      <c r="E64" s="154" t="s">
        <v>76</v>
      </c>
      <c r="F64" s="1"/>
      <c r="G64" s="1"/>
      <c r="H64" s="159" t="s">
        <v>82</v>
      </c>
      <c r="I64" s="160"/>
      <c r="J64" s="160"/>
      <c r="K64" s="160"/>
      <c r="L64" s="160"/>
      <c r="M64" s="160"/>
      <c r="N64" s="160"/>
      <c r="O64" s="1"/>
      <c r="Q64" s="1"/>
      <c r="R64" s="1"/>
      <c r="S64" s="1"/>
      <c r="T64" s="1"/>
      <c r="U64" s="1"/>
      <c r="V64" s="1"/>
      <c r="W64" s="1"/>
      <c r="X64" s="1"/>
      <c r="Y64" s="1"/>
      <c r="Z64" s="1"/>
      <c r="AA64" s="1"/>
    </row>
    <row r="65" spans="2:27" ht="20" thickBot="1" x14ac:dyDescent="0.3">
      <c r="B65" s="1"/>
      <c r="C65" s="147">
        <v>300</v>
      </c>
      <c r="D65" s="156">
        <f t="shared" ref="D65:D82" si="2">C65*$B$8/$B$16</f>
        <v>4.0877868245743891E-26</v>
      </c>
      <c r="E65" s="151">
        <f xml:space="preserve"> (2*PI()*$A$28*$U$9*$B$8*C65/($B$14^2))^(3/2)*D65</f>
        <v>5909876.4258579137</v>
      </c>
      <c r="F65" s="4"/>
      <c r="G65" s="1"/>
      <c r="H65" s="1"/>
      <c r="I65" s="1"/>
      <c r="J65" s="1"/>
      <c r="K65" s="1"/>
      <c r="L65" s="1"/>
      <c r="M65" s="1"/>
      <c r="N65" s="1"/>
      <c r="O65" s="1"/>
      <c r="Q65" s="1"/>
      <c r="R65" s="1"/>
      <c r="S65" s="1"/>
      <c r="T65" s="1"/>
      <c r="U65" s="1"/>
      <c r="V65" s="1"/>
      <c r="W65" s="1"/>
      <c r="X65" s="1"/>
      <c r="Y65" s="1"/>
      <c r="Z65" s="1"/>
      <c r="AA65" s="1"/>
    </row>
    <row r="66" spans="2:27" ht="20" thickBot="1" x14ac:dyDescent="0.3">
      <c r="B66" s="1"/>
      <c r="C66" s="148">
        <f>C65+100</f>
        <v>400</v>
      </c>
      <c r="D66" s="157">
        <f t="shared" si="2"/>
        <v>5.4503824327658529E-26</v>
      </c>
      <c r="E66" s="152">
        <f t="shared" ref="E66:E82" si="3" xml:space="preserve"> (2*PI()*$A$28*$U$9*$B$8*C66/($B$14^2))^(3/2)*D66</f>
        <v>12131799.983454125</v>
      </c>
      <c r="F66" s="1"/>
      <c r="G66" s="1"/>
      <c r="L66" s="154" t="s">
        <v>81</v>
      </c>
      <c r="M66" s="1"/>
      <c r="N66" s="1"/>
      <c r="O66" s="1"/>
      <c r="Q66" s="1"/>
      <c r="R66" s="1"/>
      <c r="S66" s="1"/>
      <c r="T66" s="1"/>
      <c r="U66" s="1"/>
      <c r="V66" s="1"/>
      <c r="W66" s="1"/>
      <c r="X66" s="1"/>
      <c r="Y66" s="1"/>
      <c r="Z66" s="1"/>
      <c r="AA66" s="1"/>
    </row>
    <row r="67" spans="2:27" ht="19" x14ac:dyDescent="0.25">
      <c r="B67" s="1"/>
      <c r="C67" s="148">
        <f t="shared" ref="C67:C82" si="4">C66+100</f>
        <v>500</v>
      </c>
      <c r="D67" s="157">
        <f t="shared" si="2"/>
        <v>6.812978040957315E-26</v>
      </c>
      <c r="E67" s="152">
        <f t="shared" si="3"/>
        <v>21193382.384714074</v>
      </c>
      <c r="F67" s="1"/>
      <c r="G67" s="1"/>
      <c r="K67" s="80" t="s">
        <v>78</v>
      </c>
      <c r="L67" s="128">
        <f xml:space="preserve"> (2*PI()*$A$28*$U$9*$B$8*A22/($B$14^2))^(3/2)*D65</f>
        <v>5855294.4330382487</v>
      </c>
      <c r="M67" s="1"/>
      <c r="N67" s="1"/>
      <c r="O67" s="1"/>
      <c r="Q67" s="1"/>
      <c r="R67" s="1"/>
      <c r="S67" s="1"/>
      <c r="T67" s="1"/>
      <c r="U67" s="1"/>
      <c r="V67" s="1"/>
      <c r="W67" s="1"/>
      <c r="X67" s="1"/>
      <c r="Y67" s="1"/>
      <c r="Z67" s="1"/>
      <c r="AA67" s="1"/>
    </row>
    <row r="68" spans="2:27" ht="20" thickBot="1" x14ac:dyDescent="0.3">
      <c r="B68" s="1"/>
      <c r="C68" s="148">
        <f t="shared" si="4"/>
        <v>600</v>
      </c>
      <c r="D68" s="157">
        <f t="shared" si="2"/>
        <v>8.1755736491487783E-26</v>
      </c>
      <c r="E68" s="152">
        <f t="shared" si="3"/>
        <v>33431309.573589273</v>
      </c>
      <c r="F68" s="1"/>
      <c r="G68" s="1"/>
      <c r="K68" s="81" t="s">
        <v>79</v>
      </c>
      <c r="L68" s="130">
        <f>P33</f>
        <v>5822020</v>
      </c>
      <c r="M68" s="1"/>
      <c r="N68" s="1"/>
      <c r="O68" s="1"/>
      <c r="Q68" s="1"/>
      <c r="R68" s="1"/>
      <c r="S68" s="1"/>
      <c r="T68" s="1"/>
      <c r="U68" s="1"/>
      <c r="V68" s="1"/>
      <c r="W68" s="1"/>
      <c r="X68" s="1"/>
      <c r="Y68" s="1"/>
      <c r="Z68" s="1"/>
      <c r="AA68" s="1"/>
    </row>
    <row r="69" spans="2:27" ht="22" x14ac:dyDescent="0.3">
      <c r="B69" s="1"/>
      <c r="C69" s="148">
        <f t="shared" si="4"/>
        <v>700</v>
      </c>
      <c r="D69" s="157">
        <f t="shared" si="2"/>
        <v>9.5381692573402415E-26</v>
      </c>
      <c r="E69" s="152">
        <f t="shared" si="3"/>
        <v>49149642.49618905</v>
      </c>
      <c r="F69" s="1"/>
      <c r="G69" s="1"/>
      <c r="H69" s="1"/>
      <c r="I69" s="1"/>
      <c r="K69" s="25" t="s">
        <v>80</v>
      </c>
      <c r="L69" s="161">
        <f>ABS(L67-L68)/L67</f>
        <v>5.6827941649695898E-3</v>
      </c>
      <c r="M69" s="1"/>
      <c r="N69" s="1"/>
      <c r="O69" s="1"/>
      <c r="Q69" s="1"/>
      <c r="R69" s="1"/>
      <c r="S69" s="1"/>
      <c r="T69" s="1"/>
      <c r="U69" s="1"/>
      <c r="V69" s="1"/>
      <c r="W69" s="1"/>
      <c r="X69" s="1"/>
      <c r="Y69" s="1"/>
      <c r="Z69" s="1"/>
      <c r="AA69" s="1"/>
    </row>
    <row r="70" spans="2:27" ht="19" x14ac:dyDescent="0.25">
      <c r="B70" s="1"/>
      <c r="C70" s="148">
        <f t="shared" si="4"/>
        <v>800</v>
      </c>
      <c r="D70" s="157">
        <f t="shared" si="2"/>
        <v>1.0900764865531706E-25</v>
      </c>
      <c r="E70" s="152">
        <f t="shared" si="3"/>
        <v>68627824.290394261</v>
      </c>
      <c r="F70" s="1"/>
      <c r="G70" s="1"/>
      <c r="Q70" s="1"/>
      <c r="R70" s="1"/>
      <c r="S70" s="1"/>
      <c r="T70" s="1"/>
      <c r="U70" s="1"/>
      <c r="V70" s="1"/>
      <c r="W70" s="1"/>
      <c r="X70" s="1"/>
      <c r="Y70" s="1"/>
      <c r="Z70" s="1"/>
      <c r="AA70" s="1"/>
    </row>
    <row r="71" spans="2:27" ht="19" x14ac:dyDescent="0.25">
      <c r="B71" s="1"/>
      <c r="C71" s="148">
        <f t="shared" si="4"/>
        <v>900</v>
      </c>
      <c r="D71" s="157">
        <f t="shared" si="2"/>
        <v>1.2263360473723168E-25</v>
      </c>
      <c r="E71" s="152">
        <f t="shared" si="3"/>
        <v>92125856.124354914</v>
      </c>
      <c r="F71" s="1"/>
      <c r="G71" s="1"/>
      <c r="Q71" s="1"/>
      <c r="R71" s="1"/>
      <c r="S71" s="1"/>
      <c r="T71" s="1"/>
      <c r="U71" s="1"/>
      <c r="V71" s="1"/>
      <c r="W71" s="1"/>
      <c r="X71" s="1"/>
      <c r="Y71" s="1"/>
      <c r="Z71" s="1"/>
      <c r="AA71" s="1"/>
    </row>
    <row r="72" spans="2:27" ht="19" x14ac:dyDescent="0.25">
      <c r="B72" s="1"/>
      <c r="C72" s="148">
        <f t="shared" si="4"/>
        <v>1000</v>
      </c>
      <c r="D72" s="157">
        <f t="shared" si="2"/>
        <v>1.362595608191463E-25</v>
      </c>
      <c r="E72" s="152">
        <f t="shared" si="3"/>
        <v>119887875.20408711</v>
      </c>
      <c r="F72" s="1"/>
      <c r="G72" s="1"/>
      <c r="Q72" s="1"/>
      <c r="R72" s="1"/>
      <c r="S72" s="1"/>
      <c r="T72" s="1"/>
      <c r="U72" s="1"/>
      <c r="V72" s="1"/>
      <c r="W72" s="1"/>
      <c r="X72" s="1"/>
      <c r="Y72" s="1"/>
      <c r="Z72" s="1"/>
      <c r="AA72" s="1"/>
    </row>
    <row r="73" spans="2:27" ht="19" x14ac:dyDescent="0.25">
      <c r="C73" s="148">
        <f t="shared" si="4"/>
        <v>1100</v>
      </c>
      <c r="D73" s="157">
        <f t="shared" si="2"/>
        <v>1.4988551690106094E-25</v>
      </c>
      <c r="E73" s="152">
        <f t="shared" si="3"/>
        <v>152144751.80586106</v>
      </c>
    </row>
    <row r="74" spans="2:27" ht="19" x14ac:dyDescent="0.25">
      <c r="C74" s="148">
        <f t="shared" si="4"/>
        <v>1200</v>
      </c>
      <c r="D74" s="157">
        <f t="shared" si="2"/>
        <v>1.6351147298297557E-25</v>
      </c>
      <c r="E74" s="152">
        <f t="shared" si="3"/>
        <v>189116045.6274516</v>
      </c>
    </row>
    <row r="75" spans="2:27" ht="19" x14ac:dyDescent="0.25">
      <c r="C75" s="148">
        <f t="shared" si="4"/>
        <v>1300</v>
      </c>
      <c r="D75" s="157">
        <f t="shared" si="2"/>
        <v>1.7713742906489019E-25</v>
      </c>
      <c r="E75" s="152">
        <f t="shared" si="3"/>
        <v>231011523.33683923</v>
      </c>
    </row>
    <row r="76" spans="2:27" ht="19" x14ac:dyDescent="0.25">
      <c r="C76" s="148">
        <f t="shared" si="4"/>
        <v>1400</v>
      </c>
      <c r="D76" s="157">
        <f t="shared" si="2"/>
        <v>1.9076338514680483E-25</v>
      </c>
      <c r="E76" s="152">
        <f t="shared" si="3"/>
        <v>278032364.01559907</v>
      </c>
    </row>
    <row r="77" spans="2:27" ht="19" x14ac:dyDescent="0.25">
      <c r="C77" s="148">
        <f t="shared" si="4"/>
        <v>1500</v>
      </c>
      <c r="D77" s="157">
        <f t="shared" si="2"/>
        <v>2.043893412287195E-25</v>
      </c>
      <c r="E77" s="152">
        <f t="shared" si="3"/>
        <v>330372135.67103916</v>
      </c>
    </row>
    <row r="78" spans="2:27" ht="19" x14ac:dyDescent="0.25">
      <c r="C78" s="148">
        <f t="shared" si="4"/>
        <v>1600</v>
      </c>
      <c r="D78" s="157">
        <f t="shared" si="2"/>
        <v>2.1801529731063412E-25</v>
      </c>
      <c r="E78" s="152">
        <f t="shared" si="3"/>
        <v>388217599.47052866</v>
      </c>
    </row>
    <row r="79" spans="2:27" ht="19" x14ac:dyDescent="0.25">
      <c r="C79" s="148">
        <f t="shared" si="4"/>
        <v>1700</v>
      </c>
      <c r="D79" s="157">
        <f t="shared" si="2"/>
        <v>2.3164125339254876E-25</v>
      </c>
      <c r="E79" s="152">
        <f t="shared" si="3"/>
        <v>451749381.49460119</v>
      </c>
    </row>
    <row r="80" spans="2:27" ht="19" x14ac:dyDescent="0.25">
      <c r="C80" s="148">
        <f t="shared" si="4"/>
        <v>1800</v>
      </c>
      <c r="D80" s="157">
        <f t="shared" si="2"/>
        <v>2.4526720947446336E-25</v>
      </c>
      <c r="E80" s="152">
        <f t="shared" si="3"/>
        <v>521142540.70518214</v>
      </c>
    </row>
    <row r="81" spans="3:7" ht="19" x14ac:dyDescent="0.25">
      <c r="C81" s="148">
        <f t="shared" si="4"/>
        <v>1900</v>
      </c>
      <c r="D81" s="157">
        <f t="shared" si="2"/>
        <v>2.58893165556378E-25</v>
      </c>
      <c r="E81" s="152">
        <f t="shared" si="3"/>
        <v>596567054.29174936</v>
      </c>
    </row>
    <row r="82" spans="3:7" ht="20" thickBot="1" x14ac:dyDescent="0.3">
      <c r="C82" s="149">
        <f t="shared" si="4"/>
        <v>2000</v>
      </c>
      <c r="D82" s="158">
        <f t="shared" si="2"/>
        <v>2.725191216382926E-25</v>
      </c>
      <c r="E82" s="153">
        <f t="shared" si="3"/>
        <v>678188236.3108542</v>
      </c>
    </row>
    <row r="92" spans="3:7" ht="22" customHeight="1" x14ac:dyDescent="0.25">
      <c r="F92" s="1" t="s">
        <v>65</v>
      </c>
    </row>
    <row r="93" spans="3:7" ht="27" x14ac:dyDescent="0.35">
      <c r="C93" s="125" t="s">
        <v>83</v>
      </c>
      <c r="D93" s="162"/>
      <c r="E93" s="1"/>
      <c r="F93" s="1"/>
      <c r="G93" s="1"/>
    </row>
    <row r="94" spans="3:7" ht="19" x14ac:dyDescent="0.25">
      <c r="E94" s="1"/>
      <c r="G94" s="1"/>
    </row>
    <row r="95" spans="3:7" ht="20" thickBot="1" x14ac:dyDescent="0.3">
      <c r="E95" s="1"/>
      <c r="F95" s="1"/>
      <c r="G95" s="1"/>
    </row>
    <row r="96" spans="3:7" ht="20" thickBot="1" x14ac:dyDescent="0.3">
      <c r="C96" s="168" t="s">
        <v>85</v>
      </c>
      <c r="E96" s="1"/>
      <c r="F96" s="1"/>
      <c r="G96" s="1"/>
    </row>
    <row r="97" spans="3:22" ht="22" thickBot="1" x14ac:dyDescent="0.3">
      <c r="C97" s="169" t="s">
        <v>86</v>
      </c>
      <c r="D97" s="226" cm="1">
        <f t="array" ref="D97">INDEX($E:$E,(COLUMN(D97)-4)*1+42)</f>
        <v>2202.3117000000002</v>
      </c>
      <c r="E97" s="1"/>
      <c r="F97" s="1"/>
      <c r="G97" s="1"/>
      <c r="H97" s="1"/>
      <c r="I97" s="1"/>
      <c r="J97" s="1"/>
      <c r="K97" s="1"/>
      <c r="L97" s="1"/>
    </row>
    <row r="98" spans="3:22" ht="20" thickBot="1" x14ac:dyDescent="0.3">
      <c r="C98" s="170" t="s">
        <v>87</v>
      </c>
      <c r="D98" s="227">
        <f>D97*$L$9</f>
        <v>66023763147810.008</v>
      </c>
      <c r="E98" s="4"/>
      <c r="F98" s="4"/>
      <c r="G98" s="4"/>
      <c r="H98" s="4"/>
      <c r="I98" s="4"/>
      <c r="J98" s="4"/>
      <c r="K98" s="4"/>
      <c r="L98" s="4"/>
    </row>
    <row r="99" spans="3:22" ht="17" thickBot="1" x14ac:dyDescent="0.25"/>
    <row r="100" spans="3:22" ht="30" customHeight="1" thickBot="1" x14ac:dyDescent="0.5">
      <c r="C100" s="247" t="s">
        <v>88</v>
      </c>
      <c r="D100" s="248"/>
      <c r="E100" s="171" t="s">
        <v>89</v>
      </c>
    </row>
    <row r="101" spans="3:22" ht="38" customHeight="1" thickBot="1" x14ac:dyDescent="0.35">
      <c r="C101" s="163" t="s">
        <v>84</v>
      </c>
      <c r="D101" s="228">
        <v>1</v>
      </c>
      <c r="E101" s="232"/>
      <c r="F101" s="231"/>
      <c r="G101" s="159" t="s">
        <v>82</v>
      </c>
      <c r="H101" s="160"/>
      <c r="I101" s="160"/>
      <c r="J101" s="160"/>
      <c r="K101" s="160"/>
      <c r="L101" s="1"/>
      <c r="V101" s="1"/>
    </row>
    <row r="102" spans="3:22" ht="20" thickBot="1" x14ac:dyDescent="0.3">
      <c r="C102" s="167">
        <v>298.14999999999998</v>
      </c>
      <c r="D102" s="229">
        <f>EXP(-($B$14*D$98)/(2*$B$8*$C102))/(1-EXP(-($B$14*D$98)/($B$8*$C102)))</f>
        <v>4.9231486510156811E-3</v>
      </c>
      <c r="E102" s="233">
        <f xml:space="preserve"> PRODUCT(D102)</f>
        <v>4.9231486510156811E-3</v>
      </c>
      <c r="F102" s="24"/>
    </row>
    <row r="103" spans="3:22" ht="20" thickBot="1" x14ac:dyDescent="0.3">
      <c r="C103" s="122">
        <v>300</v>
      </c>
      <c r="D103" s="230">
        <f t="shared" ref="D103:D120" si="5">EXP(-($B$14*D$98)/(2*$B$8*$C103))/(1-EXP(-($B$14*D$98)/($B$8*$C103)))</f>
        <v>5.0871541240202732E-3</v>
      </c>
      <c r="E103" s="234">
        <f t="shared" ref="E103:E120" si="6" xml:space="preserve"> PRODUCT(D103)</f>
        <v>5.0871541240202732E-3</v>
      </c>
      <c r="F103" s="24"/>
      <c r="I103" s="154" t="s">
        <v>81</v>
      </c>
    </row>
    <row r="104" spans="3:22" ht="19" x14ac:dyDescent="0.25">
      <c r="C104" s="123">
        <f>C103+100</f>
        <v>400</v>
      </c>
      <c r="D104" s="230">
        <f t="shared" si="5"/>
        <v>1.9054841624569847E-2</v>
      </c>
      <c r="E104" s="234">
        <f t="shared" si="6"/>
        <v>1.9054841624569847E-2</v>
      </c>
      <c r="F104" s="24"/>
      <c r="H104" s="80" t="s">
        <v>78</v>
      </c>
      <c r="I104" s="128">
        <f>E102</f>
        <v>4.9231486510156811E-3</v>
      </c>
    </row>
    <row r="105" spans="3:22" ht="20" thickBot="1" x14ac:dyDescent="0.3">
      <c r="C105" s="123">
        <f t="shared" ref="C105:C120" si="7">C104+100</f>
        <v>500</v>
      </c>
      <c r="D105" s="230">
        <f t="shared" si="5"/>
        <v>4.2135406872049391E-2</v>
      </c>
      <c r="E105" s="234">
        <f t="shared" si="6"/>
        <v>4.2135406872049391E-2</v>
      </c>
      <c r="F105" s="24"/>
      <c r="H105" s="81" t="s">
        <v>79</v>
      </c>
      <c r="I105" s="130">
        <f>P37</f>
        <v>4.9232E-3</v>
      </c>
    </row>
    <row r="106" spans="3:22" ht="22" x14ac:dyDescent="0.3">
      <c r="C106" s="123">
        <f t="shared" si="7"/>
        <v>600</v>
      </c>
      <c r="D106" s="230">
        <f t="shared" si="5"/>
        <v>7.1688044286948749E-2</v>
      </c>
      <c r="E106" s="234">
        <f t="shared" si="6"/>
        <v>7.1688044286948749E-2</v>
      </c>
      <c r="F106" s="24"/>
      <c r="H106" s="25" t="s">
        <v>80</v>
      </c>
      <c r="I106" s="161">
        <f>ABS(I104-I105)/I104</f>
        <v>1.0430110475807803E-5</v>
      </c>
    </row>
    <row r="107" spans="3:22" ht="19" x14ac:dyDescent="0.25">
      <c r="C107" s="123">
        <f t="shared" si="7"/>
        <v>700</v>
      </c>
      <c r="D107" s="230">
        <f t="shared" si="5"/>
        <v>0.10514273316292055</v>
      </c>
      <c r="E107" s="234">
        <f t="shared" si="6"/>
        <v>0.10514273316292055</v>
      </c>
      <c r="F107" s="24"/>
    </row>
    <row r="108" spans="3:22" ht="19" x14ac:dyDescent="0.25">
      <c r="C108" s="123">
        <f t="shared" si="7"/>
        <v>800</v>
      </c>
      <c r="D108" s="230">
        <f t="shared" si="5"/>
        <v>0.14069416374876173</v>
      </c>
      <c r="E108" s="234">
        <f t="shared" si="6"/>
        <v>0.14069416374876173</v>
      </c>
      <c r="F108" s="24"/>
    </row>
    <row r="109" spans="3:22" ht="19" x14ac:dyDescent="0.25">
      <c r="C109" s="123">
        <f t="shared" si="7"/>
        <v>900</v>
      </c>
      <c r="D109" s="230">
        <f t="shared" si="5"/>
        <v>0.1772260117240739</v>
      </c>
      <c r="E109" s="234">
        <f t="shared" si="6"/>
        <v>0.1772260117240739</v>
      </c>
      <c r="F109" s="24"/>
    </row>
    <row r="110" spans="3:22" ht="19" x14ac:dyDescent="0.25">
      <c r="C110" s="123">
        <f t="shared" si="7"/>
        <v>1000</v>
      </c>
      <c r="D110" s="230">
        <f t="shared" si="5"/>
        <v>0.21409236554383554</v>
      </c>
      <c r="E110" s="234">
        <f t="shared" si="6"/>
        <v>0.21409236554383554</v>
      </c>
      <c r="F110" s="24"/>
    </row>
    <row r="111" spans="3:22" ht="19" x14ac:dyDescent="0.25">
      <c r="C111" s="123">
        <f t="shared" si="7"/>
        <v>1100</v>
      </c>
      <c r="D111" s="230">
        <f t="shared" si="5"/>
        <v>0.25093724825300529</v>
      </c>
      <c r="E111" s="234">
        <f t="shared" si="6"/>
        <v>0.25093724825300529</v>
      </c>
      <c r="F111" s="24"/>
    </row>
    <row r="112" spans="3:22" ht="19" x14ac:dyDescent="0.25">
      <c r="C112" s="123">
        <f t="shared" si="7"/>
        <v>1200</v>
      </c>
      <c r="D112" s="230">
        <f t="shared" si="5"/>
        <v>0.2875751767591051</v>
      </c>
      <c r="E112" s="234">
        <f t="shared" si="6"/>
        <v>0.2875751767591051</v>
      </c>
      <c r="F112" s="24"/>
    </row>
    <row r="113" spans="2:15" ht="19" x14ac:dyDescent="0.25">
      <c r="C113" s="123">
        <f t="shared" si="7"/>
        <v>1300</v>
      </c>
      <c r="D113" s="230">
        <f t="shared" si="5"/>
        <v>0.32391833665024211</v>
      </c>
      <c r="E113" s="234">
        <f t="shared" si="6"/>
        <v>0.32391833665024211</v>
      </c>
      <c r="F113" s="24"/>
    </row>
    <row r="114" spans="2:15" ht="19" x14ac:dyDescent="0.25">
      <c r="C114" s="123">
        <f t="shared" si="7"/>
        <v>1400</v>
      </c>
      <c r="D114" s="230">
        <f t="shared" si="5"/>
        <v>0.3599337159308883</v>
      </c>
      <c r="E114" s="234">
        <f t="shared" si="6"/>
        <v>0.3599337159308883</v>
      </c>
      <c r="F114" s="24"/>
    </row>
    <row r="115" spans="2:15" ht="19" x14ac:dyDescent="0.25">
      <c r="C115" s="123">
        <f t="shared" si="7"/>
        <v>1500</v>
      </c>
      <c r="D115" s="230">
        <f t="shared" si="5"/>
        <v>0.39561827494920127</v>
      </c>
      <c r="E115" s="234">
        <f t="shared" si="6"/>
        <v>0.39561827494920127</v>
      </c>
      <c r="F115" s="24"/>
    </row>
    <row r="116" spans="2:15" ht="19" x14ac:dyDescent="0.25">
      <c r="C116" s="123">
        <f t="shared" si="7"/>
        <v>1600</v>
      </c>
      <c r="D116" s="230">
        <f t="shared" si="5"/>
        <v>0.43098468715454891</v>
      </c>
      <c r="E116" s="234">
        <f t="shared" si="6"/>
        <v>0.43098468715454891</v>
      </c>
      <c r="F116" s="24"/>
    </row>
    <row r="117" spans="2:15" ht="19" x14ac:dyDescent="0.25">
      <c r="C117" s="123">
        <f t="shared" si="7"/>
        <v>1700</v>
      </c>
      <c r="D117" s="230">
        <f t="shared" si="5"/>
        <v>0.4660532126807474</v>
      </c>
      <c r="E117" s="234">
        <f t="shared" si="6"/>
        <v>0.4660532126807474</v>
      </c>
      <c r="F117" s="24"/>
    </row>
    <row r="118" spans="2:15" ht="19" x14ac:dyDescent="0.25">
      <c r="C118" s="123">
        <f t="shared" si="7"/>
        <v>1800</v>
      </c>
      <c r="D118" s="230">
        <f t="shared" si="5"/>
        <v>0.50084711988216657</v>
      </c>
      <c r="E118" s="234">
        <f t="shared" si="6"/>
        <v>0.50084711988216657</v>
      </c>
      <c r="F118" s="24"/>
    </row>
    <row r="119" spans="2:15" ht="19" x14ac:dyDescent="0.25">
      <c r="C119" s="123">
        <f t="shared" si="7"/>
        <v>1900</v>
      </c>
      <c r="D119" s="230">
        <f t="shared" si="5"/>
        <v>0.53539015862716988</v>
      </c>
      <c r="E119" s="234">
        <f t="shared" si="6"/>
        <v>0.53539015862716988</v>
      </c>
      <c r="F119" s="24"/>
    </row>
    <row r="120" spans="2:15" ht="20" thickBot="1" x14ac:dyDescent="0.3">
      <c r="C120" s="124">
        <f t="shared" si="7"/>
        <v>2000</v>
      </c>
      <c r="D120" s="230">
        <f t="shared" si="5"/>
        <v>0.56970521891876702</v>
      </c>
      <c r="E120" s="235">
        <f t="shared" si="6"/>
        <v>0.56970521891876702</v>
      </c>
      <c r="F120" s="24"/>
    </row>
    <row r="127" spans="2:15" ht="19" x14ac:dyDescent="0.25">
      <c r="B127" s="1"/>
      <c r="C127" s="1"/>
      <c r="D127" s="1"/>
      <c r="E127" s="1"/>
      <c r="F127" s="1" t="s">
        <v>65</v>
      </c>
      <c r="G127" s="1"/>
      <c r="H127" s="1"/>
      <c r="I127" s="1"/>
      <c r="J127" s="1"/>
      <c r="K127" s="1"/>
      <c r="L127" s="1"/>
      <c r="M127" s="1"/>
      <c r="N127" s="1"/>
      <c r="O127" s="1"/>
    </row>
    <row r="128" spans="2:15" ht="27" x14ac:dyDescent="0.35">
      <c r="B128" s="1"/>
      <c r="C128" s="125" t="s">
        <v>90</v>
      </c>
      <c r="D128" s="126"/>
      <c r="E128" s="1"/>
      <c r="F128" s="1"/>
      <c r="G128" s="1"/>
      <c r="H128" s="1"/>
      <c r="I128" s="1"/>
      <c r="J128" s="1"/>
      <c r="K128" s="1"/>
      <c r="L128" s="1"/>
      <c r="M128" s="1"/>
      <c r="N128" s="1"/>
      <c r="O128" s="1"/>
    </row>
    <row r="129" spans="2:15" ht="20" thickBot="1" x14ac:dyDescent="0.3">
      <c r="B129" s="1"/>
      <c r="C129" s="1"/>
      <c r="D129" s="1"/>
      <c r="E129" s="1"/>
      <c r="F129" s="1"/>
      <c r="G129" s="1"/>
      <c r="H129" s="1"/>
      <c r="I129" s="1"/>
      <c r="J129" s="1"/>
      <c r="K129" s="1"/>
      <c r="L129" s="1"/>
      <c r="M129" s="1"/>
      <c r="N129" s="1"/>
      <c r="O129" s="1"/>
    </row>
    <row r="130" spans="2:15" ht="21" x14ac:dyDescent="0.25">
      <c r="B130" s="1"/>
      <c r="C130" s="242" t="s">
        <v>126</v>
      </c>
      <c r="D130" s="244"/>
      <c r="E130" s="1"/>
      <c r="F130" s="1"/>
      <c r="G130" s="1"/>
      <c r="H130" s="1"/>
      <c r="I130" s="1"/>
      <c r="J130" s="1"/>
      <c r="K130" s="1"/>
      <c r="L130" s="1"/>
      <c r="M130" s="1"/>
      <c r="N130" s="1"/>
      <c r="O130" s="1"/>
    </row>
    <row r="131" spans="2:15" ht="20" thickBot="1" x14ac:dyDescent="0.3">
      <c r="B131" s="1"/>
      <c r="C131" s="251">
        <f>(D132*D133)/(D132+D133)*(D134^2)</f>
        <v>5.5581496979818291E-45</v>
      </c>
      <c r="D131" s="252"/>
      <c r="E131" s="107"/>
      <c r="F131" s="107"/>
      <c r="G131" s="1"/>
      <c r="H131" s="1"/>
      <c r="I131" s="1"/>
      <c r="J131" s="1"/>
      <c r="K131" s="1"/>
      <c r="L131" s="1"/>
      <c r="M131" s="1"/>
      <c r="N131" s="1"/>
      <c r="O131" s="1"/>
    </row>
    <row r="132" spans="2:15" ht="22" thickBot="1" x14ac:dyDescent="0.35">
      <c r="B132" s="1"/>
      <c r="C132" s="249" t="s">
        <v>125</v>
      </c>
      <c r="D132" s="250">
        <f>12.011*$U$9</f>
        <v>1.9938259999999996E-26</v>
      </c>
      <c r="E132" s="4"/>
      <c r="F132" s="4"/>
      <c r="G132" s="1"/>
      <c r="H132" s="1"/>
      <c r="I132" s="1"/>
      <c r="J132" s="1"/>
      <c r="K132" s="1"/>
      <c r="L132" s="1"/>
      <c r="M132" s="1"/>
      <c r="N132" s="1"/>
      <c r="O132" s="1"/>
    </row>
    <row r="133" spans="2:15" ht="22" thickBot="1" x14ac:dyDescent="0.35">
      <c r="B133" s="1"/>
      <c r="C133" s="170" t="s">
        <v>124</v>
      </c>
      <c r="D133" s="250">
        <f>15.999*$U$9</f>
        <v>2.6558340000000001E-26</v>
      </c>
      <c r="E133" s="1"/>
      <c r="F133" s="1"/>
      <c r="G133" s="1"/>
      <c r="H133" s="1"/>
      <c r="I133" s="1"/>
      <c r="J133" s="1"/>
      <c r="K133" s="1"/>
      <c r="L133" s="1"/>
      <c r="M133" s="1"/>
      <c r="N133" s="1"/>
      <c r="O133" s="1"/>
    </row>
    <row r="134" spans="2:15" ht="22" thickBot="1" x14ac:dyDescent="0.35">
      <c r="B134" s="1"/>
      <c r="C134" s="170" t="s">
        <v>123</v>
      </c>
      <c r="D134" s="73">
        <f xml:space="preserve"> (0.487399 +6.49865)*0.0000000001</f>
        <v>6.9860489999999996E-10</v>
      </c>
      <c r="E134" s="1"/>
      <c r="F134" s="1"/>
      <c r="G134" s="1"/>
      <c r="H134" s="1"/>
      <c r="I134" s="1"/>
      <c r="J134" s="1"/>
      <c r="K134" s="1"/>
      <c r="L134" s="1"/>
      <c r="M134" s="1"/>
      <c r="N134" s="1"/>
      <c r="O134" s="1"/>
    </row>
    <row r="135" spans="2:15" ht="20" thickBot="1" x14ac:dyDescent="0.3">
      <c r="B135" s="1"/>
      <c r="C135" s="1"/>
      <c r="D135" s="1"/>
      <c r="E135" s="1"/>
      <c r="F135" s="1"/>
      <c r="G135" s="1"/>
      <c r="H135" s="1"/>
      <c r="I135" s="1"/>
      <c r="J135" s="1"/>
      <c r="K135" s="1"/>
      <c r="L135" s="1"/>
      <c r="M135" s="1"/>
      <c r="N135" s="1"/>
      <c r="O135" s="1"/>
    </row>
    <row r="136" spans="2:15" ht="23" thickBot="1" x14ac:dyDescent="0.35">
      <c r="B136" s="1"/>
      <c r="C136" s="172" t="s">
        <v>67</v>
      </c>
      <c r="D136" s="154" t="s">
        <v>122</v>
      </c>
      <c r="E136" s="236"/>
      <c r="F136" s="1"/>
      <c r="G136" s="1"/>
      <c r="H136" s="159" t="s">
        <v>82</v>
      </c>
      <c r="I136" s="160"/>
      <c r="J136" s="160"/>
      <c r="K136" s="160"/>
      <c r="L136" s="160"/>
      <c r="M136" s="160"/>
      <c r="N136" s="160"/>
      <c r="O136" s="1"/>
    </row>
    <row r="137" spans="2:15" ht="20" thickBot="1" x14ac:dyDescent="0.3">
      <c r="B137" s="1"/>
      <c r="C137" s="147">
        <v>300</v>
      </c>
      <c r="D137" s="151">
        <f>(8*PI()^2*$C137*$C$131*$B$8)/($H$139*$B$14^2)</f>
        <v>4140.1211210920683</v>
      </c>
      <c r="E137" s="4"/>
      <c r="F137" s="4"/>
      <c r="G137" s="1"/>
      <c r="H137" s="1"/>
      <c r="I137" s="1"/>
      <c r="J137" s="1"/>
      <c r="K137" s="1"/>
      <c r="L137" s="1"/>
      <c r="M137" s="1"/>
      <c r="N137" s="1"/>
      <c r="O137" s="1"/>
    </row>
    <row r="138" spans="2:15" ht="20" thickBot="1" x14ac:dyDescent="0.3">
      <c r="B138" s="1"/>
      <c r="C138" s="148">
        <f>C137+100</f>
        <v>400</v>
      </c>
      <c r="D138" s="151">
        <f t="shared" ref="D138:D154" si="8">(8*PI()^2*$C138*$C$131*$B$8)/($H$139*$B$14^2)</f>
        <v>5520.1614947894241</v>
      </c>
      <c r="E138" s="4"/>
      <c r="F138" s="1"/>
      <c r="G138" s="1"/>
      <c r="L138" s="154" t="s">
        <v>127</v>
      </c>
      <c r="M138" s="253"/>
      <c r="N138" s="1"/>
      <c r="O138" s="1"/>
    </row>
    <row r="139" spans="2:15" ht="20" thickBot="1" x14ac:dyDescent="0.3">
      <c r="B139" s="1"/>
      <c r="C139" s="148">
        <f t="shared" ref="C139:C154" si="9">C138+100</f>
        <v>500</v>
      </c>
      <c r="D139" s="151">
        <f t="shared" si="8"/>
        <v>6900.2018684867808</v>
      </c>
      <c r="E139" s="4"/>
      <c r="F139" s="1"/>
      <c r="G139" s="111" t="s">
        <v>118</v>
      </c>
      <c r="H139" s="113">
        <v>1</v>
      </c>
      <c r="K139" s="80" t="s">
        <v>78</v>
      </c>
      <c r="L139" s="128">
        <f>(8*PI()^2*$A$22*$C$131*$B$8)/($H$139*$B$14^2)</f>
        <v>4114.5903741786669</v>
      </c>
      <c r="M139" s="254"/>
      <c r="N139" s="1"/>
      <c r="O139" s="1"/>
    </row>
    <row r="140" spans="2:15" ht="20" thickBot="1" x14ac:dyDescent="0.3">
      <c r="B140" s="1"/>
      <c r="C140" s="148">
        <f t="shared" si="9"/>
        <v>600</v>
      </c>
      <c r="D140" s="151">
        <f t="shared" si="8"/>
        <v>8280.2422421841366</v>
      </c>
      <c r="E140" s="4"/>
      <c r="F140" s="1"/>
      <c r="G140" s="1"/>
      <c r="K140" s="81" t="s">
        <v>79</v>
      </c>
      <c r="L140" s="130">
        <f>P34</f>
        <v>109.006</v>
      </c>
      <c r="M140" s="254"/>
      <c r="N140" s="1"/>
      <c r="O140" s="1"/>
    </row>
    <row r="141" spans="2:15" ht="23" thickBot="1" x14ac:dyDescent="0.35">
      <c r="B141" s="1"/>
      <c r="C141" s="148">
        <f t="shared" si="9"/>
        <v>700</v>
      </c>
      <c r="D141" s="151">
        <f t="shared" si="8"/>
        <v>9660.2826158814933</v>
      </c>
      <c r="E141" s="4"/>
      <c r="F141" s="1"/>
      <c r="G141" s="1"/>
      <c r="H141" s="1"/>
      <c r="I141" s="1"/>
      <c r="K141" s="25" t="s">
        <v>80</v>
      </c>
      <c r="L141" s="161">
        <f>ABS(L139-L140)/L139</f>
        <v>0.9735074478655098</v>
      </c>
      <c r="M141" s="255"/>
      <c r="N141" s="1"/>
      <c r="O141" s="1"/>
    </row>
    <row r="142" spans="2:15" ht="20" thickBot="1" x14ac:dyDescent="0.3">
      <c r="B142" s="1"/>
      <c r="C142" s="148">
        <f t="shared" si="9"/>
        <v>800</v>
      </c>
      <c r="D142" s="151">
        <f t="shared" si="8"/>
        <v>11040.322989578848</v>
      </c>
      <c r="E142" s="4"/>
      <c r="F142" s="1"/>
      <c r="G142" s="1"/>
    </row>
    <row r="143" spans="2:15" ht="20" thickBot="1" x14ac:dyDescent="0.3">
      <c r="B143" s="1"/>
      <c r="C143" s="148">
        <f t="shared" si="9"/>
        <v>900</v>
      </c>
      <c r="D143" s="151">
        <f t="shared" si="8"/>
        <v>12420.363363276205</v>
      </c>
      <c r="E143" s="4"/>
      <c r="F143" s="1"/>
      <c r="G143" s="1"/>
    </row>
    <row r="144" spans="2:15" ht="20" thickBot="1" x14ac:dyDescent="0.3">
      <c r="B144" s="1"/>
      <c r="C144" s="148">
        <f t="shared" si="9"/>
        <v>1000</v>
      </c>
      <c r="D144" s="151">
        <f t="shared" si="8"/>
        <v>13800.403736973562</v>
      </c>
      <c r="E144" s="4"/>
      <c r="F144" s="1"/>
      <c r="G144" s="1"/>
    </row>
    <row r="145" spans="3:5" ht="20" thickBot="1" x14ac:dyDescent="0.3">
      <c r="C145" s="148">
        <f t="shared" si="9"/>
        <v>1100</v>
      </c>
      <c r="D145" s="151">
        <f t="shared" si="8"/>
        <v>15180.444110670916</v>
      </c>
      <c r="E145" s="4"/>
    </row>
    <row r="146" spans="3:5" ht="20" thickBot="1" x14ac:dyDescent="0.3">
      <c r="C146" s="148">
        <f t="shared" si="9"/>
        <v>1200</v>
      </c>
      <c r="D146" s="151">
        <f t="shared" si="8"/>
        <v>16560.484484368273</v>
      </c>
      <c r="E146" s="4"/>
    </row>
    <row r="147" spans="3:5" ht="20" thickBot="1" x14ac:dyDescent="0.3">
      <c r="C147" s="148">
        <f t="shared" si="9"/>
        <v>1300</v>
      </c>
      <c r="D147" s="151">
        <f t="shared" si="8"/>
        <v>17940.52485806563</v>
      </c>
      <c r="E147" s="4"/>
    </row>
    <row r="148" spans="3:5" ht="20" thickBot="1" x14ac:dyDescent="0.3">
      <c r="C148" s="148">
        <f t="shared" si="9"/>
        <v>1400</v>
      </c>
      <c r="D148" s="151">
        <f t="shared" si="8"/>
        <v>19320.565231762987</v>
      </c>
      <c r="E148" s="4"/>
    </row>
    <row r="149" spans="3:5" ht="20" thickBot="1" x14ac:dyDescent="0.3">
      <c r="C149" s="148">
        <f t="shared" si="9"/>
        <v>1500</v>
      </c>
      <c r="D149" s="151">
        <f t="shared" si="8"/>
        <v>20700.60560546034</v>
      </c>
      <c r="E149" s="4"/>
    </row>
    <row r="150" spans="3:5" ht="20" thickBot="1" x14ac:dyDescent="0.3">
      <c r="C150" s="148">
        <f t="shared" si="9"/>
        <v>1600</v>
      </c>
      <c r="D150" s="151">
        <f t="shared" si="8"/>
        <v>22080.645979157696</v>
      </c>
      <c r="E150" s="4"/>
    </row>
    <row r="151" spans="3:5" ht="20" thickBot="1" x14ac:dyDescent="0.3">
      <c r="C151" s="148">
        <f t="shared" si="9"/>
        <v>1700</v>
      </c>
      <c r="D151" s="151">
        <f t="shared" si="8"/>
        <v>23460.686352855057</v>
      </c>
      <c r="E151" s="4"/>
    </row>
    <row r="152" spans="3:5" ht="20" thickBot="1" x14ac:dyDescent="0.3">
      <c r="C152" s="148">
        <f t="shared" si="9"/>
        <v>1800</v>
      </c>
      <c r="D152" s="151">
        <f t="shared" si="8"/>
        <v>24840.72672655241</v>
      </c>
      <c r="E152" s="4"/>
    </row>
    <row r="153" spans="3:5" ht="20" thickBot="1" x14ac:dyDescent="0.3">
      <c r="C153" s="148">
        <f t="shared" si="9"/>
        <v>1900</v>
      </c>
      <c r="D153" s="151">
        <f t="shared" si="8"/>
        <v>26220.767100249766</v>
      </c>
      <c r="E153" s="4"/>
    </row>
    <row r="154" spans="3:5" ht="20" thickBot="1" x14ac:dyDescent="0.3">
      <c r="C154" s="149">
        <f t="shared" si="9"/>
        <v>2000</v>
      </c>
      <c r="D154" s="151">
        <f t="shared" si="8"/>
        <v>27600.807473947123</v>
      </c>
      <c r="E154" s="4"/>
    </row>
    <row r="162" spans="2:16" ht="19" x14ac:dyDescent="0.25">
      <c r="B162" s="1"/>
      <c r="C162" s="1"/>
      <c r="D162" s="1"/>
      <c r="E162" s="1"/>
      <c r="F162" s="1"/>
      <c r="G162" s="1"/>
      <c r="H162" s="1"/>
      <c r="I162" s="1"/>
      <c r="J162" s="1"/>
      <c r="K162" s="1"/>
      <c r="L162" s="1"/>
      <c r="M162" s="1"/>
      <c r="N162" s="1"/>
      <c r="O162" s="1"/>
      <c r="P162" s="1"/>
    </row>
    <row r="163" spans="2:16" ht="19" x14ac:dyDescent="0.25">
      <c r="B163" s="1"/>
      <c r="C163" s="1"/>
      <c r="D163" s="1"/>
      <c r="E163" s="1"/>
      <c r="F163" s="1" t="s">
        <v>65</v>
      </c>
      <c r="G163" s="1"/>
      <c r="H163" s="1"/>
      <c r="I163" s="1"/>
      <c r="J163" s="1"/>
      <c r="K163" s="1"/>
      <c r="L163" s="1"/>
      <c r="M163" s="1"/>
      <c r="N163" s="1"/>
      <c r="O163" s="1"/>
    </row>
    <row r="164" spans="2:16" ht="27" x14ac:dyDescent="0.35">
      <c r="B164" s="1"/>
      <c r="C164" s="125" t="s">
        <v>91</v>
      </c>
      <c r="D164" s="126"/>
      <c r="E164" s="1"/>
      <c r="F164" s="1"/>
      <c r="G164" s="1"/>
      <c r="H164" s="1"/>
      <c r="I164" s="1"/>
      <c r="J164" s="1"/>
      <c r="K164" s="1"/>
      <c r="L164" s="1"/>
      <c r="M164" s="1"/>
      <c r="N164" s="1"/>
      <c r="O164" s="1"/>
    </row>
    <row r="165" spans="2:16" ht="19" x14ac:dyDescent="0.25">
      <c r="B165" s="1"/>
      <c r="C165" s="1"/>
      <c r="D165" s="1"/>
      <c r="E165" s="1"/>
      <c r="F165" s="1"/>
      <c r="G165" s="1"/>
      <c r="H165" s="1"/>
      <c r="I165" s="1"/>
      <c r="J165" s="1"/>
      <c r="K165" s="1"/>
      <c r="L165" s="1"/>
      <c r="M165" s="1"/>
      <c r="N165" s="1"/>
      <c r="O165" s="1"/>
    </row>
    <row r="166" spans="2:16" ht="20" thickBot="1" x14ac:dyDescent="0.3">
      <c r="B166" s="1"/>
      <c r="C166" s="175" t="s">
        <v>94</v>
      </c>
      <c r="F166" s="1"/>
      <c r="G166" s="1"/>
      <c r="H166" s="1"/>
      <c r="I166" s="1"/>
      <c r="J166" s="1"/>
      <c r="K166" s="1"/>
      <c r="L166" s="1"/>
      <c r="M166" s="1"/>
      <c r="N166" s="1"/>
      <c r="O166" s="1"/>
    </row>
    <row r="167" spans="2:16" ht="20" thickBot="1" x14ac:dyDescent="0.3">
      <c r="B167" s="1"/>
      <c r="C167" s="90"/>
      <c r="D167" s="164">
        <v>1</v>
      </c>
      <c r="E167" s="165">
        <f>D167+1</f>
        <v>2</v>
      </c>
      <c r="F167" s="165">
        <f>E167+1</f>
        <v>3</v>
      </c>
      <c r="G167" s="166" t="s">
        <v>96</v>
      </c>
      <c r="H167" s="1"/>
      <c r="I167" s="1"/>
      <c r="J167" s="1"/>
      <c r="K167" s="1"/>
      <c r="L167" s="1"/>
      <c r="M167" s="1"/>
      <c r="N167" s="1"/>
      <c r="O167" s="1"/>
    </row>
    <row r="168" spans="2:16" ht="20" thickBot="1" x14ac:dyDescent="0.3">
      <c r="B168" s="1"/>
      <c r="C168" s="177" t="s">
        <v>95</v>
      </c>
      <c r="D168" s="182">
        <f>J$46</f>
        <v>-113.317126082</v>
      </c>
      <c r="E168" s="182">
        <f t="shared" ref="E168:G168" si="10">K$46</f>
        <v>-113.317319316</v>
      </c>
      <c r="F168" s="182">
        <f t="shared" si="10"/>
        <v>-113.317323135</v>
      </c>
      <c r="G168" s="182">
        <f t="shared" si="10"/>
        <v>-113.317323135</v>
      </c>
      <c r="H168" s="1"/>
      <c r="I168" s="1"/>
      <c r="J168" s="1"/>
      <c r="K168" s="1"/>
      <c r="L168" s="1"/>
      <c r="M168" s="1"/>
      <c r="N168" s="1"/>
      <c r="O168" s="1"/>
    </row>
    <row r="169" spans="2:16" ht="20" thickBot="1" x14ac:dyDescent="0.3">
      <c r="B169" s="1"/>
      <c r="C169" s="176" t="s">
        <v>97</v>
      </c>
      <c r="D169" s="183">
        <f>D168*$K$7</f>
        <v>-4.9406266971751995E-16</v>
      </c>
      <c r="E169" s="183">
        <f t="shared" ref="E169:G169" si="11">E168*$K$7</f>
        <v>-4.9406351221776001E-16</v>
      </c>
      <c r="F169" s="183">
        <f t="shared" si="11"/>
        <v>-4.9406352886859995E-16</v>
      </c>
      <c r="G169" s="183">
        <f t="shared" si="11"/>
        <v>-4.9406352886859995E-16</v>
      </c>
      <c r="H169" s="1"/>
      <c r="I169" s="1"/>
      <c r="J169" s="1"/>
      <c r="K169" s="1"/>
      <c r="L169" s="1"/>
      <c r="M169" s="1"/>
      <c r="N169" s="1"/>
      <c r="O169" s="1"/>
    </row>
    <row r="170" spans="2:16" ht="20" thickBot="1" x14ac:dyDescent="0.3">
      <c r="B170" s="1"/>
      <c r="D170" s="1"/>
      <c r="E170" s="1"/>
      <c r="F170" s="1"/>
      <c r="G170" s="1"/>
      <c r="H170" s="1"/>
      <c r="I170" s="1"/>
      <c r="J170" s="1"/>
      <c r="K170" s="1"/>
      <c r="L170" s="1"/>
      <c r="M170" s="1"/>
      <c r="N170" s="1"/>
      <c r="O170" s="1"/>
    </row>
    <row r="171" spans="2:16" ht="22" thickBot="1" x14ac:dyDescent="0.35">
      <c r="B171" s="1"/>
      <c r="C171" s="121" t="s">
        <v>98</v>
      </c>
      <c r="D171" s="1"/>
      <c r="E171" s="1"/>
      <c r="F171" s="1"/>
      <c r="G171" s="1"/>
      <c r="H171" s="1"/>
      <c r="I171" s="1"/>
      <c r="J171" s="1"/>
      <c r="K171" s="1"/>
      <c r="L171" s="1"/>
      <c r="M171" s="1"/>
      <c r="N171" s="1"/>
      <c r="O171" s="1"/>
    </row>
    <row r="172" spans="2:16" ht="23" thickBot="1" x14ac:dyDescent="0.35">
      <c r="B172" s="1"/>
      <c r="C172" s="181">
        <f>G169+L23</f>
        <v>-4.9404165474859992E-16</v>
      </c>
      <c r="F172" s="1"/>
      <c r="G172" s="1"/>
      <c r="H172" s="159" t="s">
        <v>82</v>
      </c>
      <c r="I172" s="160"/>
      <c r="J172" s="160"/>
      <c r="K172" s="160"/>
      <c r="L172" s="160"/>
      <c r="M172" s="160"/>
      <c r="N172" s="1"/>
      <c r="O172" s="1"/>
    </row>
    <row r="173" spans="2:16" ht="20" thickBot="1" x14ac:dyDescent="0.3">
      <c r="B173" s="1"/>
      <c r="F173" s="4"/>
      <c r="G173" s="1"/>
      <c r="H173" s="1"/>
      <c r="I173" s="1"/>
      <c r="J173" s="1"/>
      <c r="K173" s="1"/>
      <c r="L173" s="1"/>
      <c r="M173" s="1"/>
      <c r="N173" s="1"/>
      <c r="O173" s="1"/>
    </row>
    <row r="174" spans="2:16" ht="22" thickBot="1" x14ac:dyDescent="0.3">
      <c r="B174" s="1"/>
      <c r="C174" s="172" t="s">
        <v>67</v>
      </c>
      <c r="D174" s="173" t="s">
        <v>93</v>
      </c>
      <c r="F174" s="1"/>
      <c r="G174" s="1"/>
      <c r="L174" s="154" t="s">
        <v>81</v>
      </c>
      <c r="M174" s="1"/>
      <c r="N174" s="1"/>
      <c r="O174" s="1"/>
    </row>
    <row r="175" spans="2:16" ht="19" x14ac:dyDescent="0.25">
      <c r="B175" s="1"/>
      <c r="C175" s="147">
        <v>300</v>
      </c>
      <c r="D175" s="151">
        <f>1</f>
        <v>1</v>
      </c>
      <c r="F175" s="1"/>
      <c r="G175" s="1"/>
      <c r="K175" s="80" t="s">
        <v>78</v>
      </c>
      <c r="L175" s="128">
        <f>1</f>
        <v>1</v>
      </c>
      <c r="M175" s="1"/>
      <c r="N175" s="1"/>
      <c r="O175" s="1"/>
    </row>
    <row r="176" spans="2:16" ht="20" thickBot="1" x14ac:dyDescent="0.3">
      <c r="B176" s="1"/>
      <c r="C176" s="148">
        <f>C175+100</f>
        <v>400</v>
      </c>
      <c r="D176" s="152">
        <f>1</f>
        <v>1</v>
      </c>
      <c r="F176" s="1"/>
      <c r="G176" s="1"/>
      <c r="K176" s="81" t="s">
        <v>79</v>
      </c>
      <c r="L176" s="130">
        <f>P32</f>
        <v>1</v>
      </c>
      <c r="M176" s="1"/>
      <c r="N176" s="1"/>
      <c r="O176" s="1"/>
    </row>
    <row r="177" spans="2:15" ht="22" x14ac:dyDescent="0.3">
      <c r="B177" s="1"/>
      <c r="C177" s="148">
        <f t="shared" ref="C177:C192" si="12">C176+100</f>
        <v>500</v>
      </c>
      <c r="D177" s="152">
        <f>1</f>
        <v>1</v>
      </c>
      <c r="F177" s="1"/>
      <c r="G177" s="1"/>
      <c r="H177" s="1"/>
      <c r="I177" s="1"/>
      <c r="K177" s="25" t="s">
        <v>80</v>
      </c>
      <c r="L177" s="161">
        <f>ABS(L175-L176)/L175</f>
        <v>0</v>
      </c>
      <c r="M177" s="1"/>
      <c r="N177" s="1"/>
      <c r="O177" s="1"/>
    </row>
    <row r="178" spans="2:15" ht="19" x14ac:dyDescent="0.25">
      <c r="B178" s="1"/>
      <c r="C178" s="148">
        <f t="shared" si="12"/>
        <v>600</v>
      </c>
      <c r="D178" s="152">
        <f>1</f>
        <v>1</v>
      </c>
      <c r="F178" s="1"/>
      <c r="G178" s="1"/>
    </row>
    <row r="179" spans="2:15" ht="19" x14ac:dyDescent="0.25">
      <c r="B179" s="1"/>
      <c r="C179" s="148">
        <f t="shared" si="12"/>
        <v>700</v>
      </c>
      <c r="D179" s="152">
        <f>1</f>
        <v>1</v>
      </c>
      <c r="F179" s="1"/>
      <c r="G179" s="1"/>
    </row>
    <row r="180" spans="2:15" ht="19" x14ac:dyDescent="0.25">
      <c r="B180" s="1"/>
      <c r="C180" s="148">
        <f t="shared" si="12"/>
        <v>800</v>
      </c>
      <c r="D180" s="152">
        <f>1</f>
        <v>1</v>
      </c>
      <c r="F180" s="1"/>
      <c r="G180" s="1"/>
    </row>
    <row r="181" spans="2:15" ht="19" x14ac:dyDescent="0.25">
      <c r="C181" s="148">
        <f t="shared" si="12"/>
        <v>900</v>
      </c>
      <c r="D181" s="152">
        <f>1</f>
        <v>1</v>
      </c>
    </row>
    <row r="182" spans="2:15" ht="19" x14ac:dyDescent="0.25">
      <c r="C182" s="148">
        <f t="shared" si="12"/>
        <v>1000</v>
      </c>
      <c r="D182" s="152">
        <f>1</f>
        <v>1</v>
      </c>
    </row>
    <row r="183" spans="2:15" ht="19" x14ac:dyDescent="0.25">
      <c r="C183" s="148">
        <f t="shared" si="12"/>
        <v>1100</v>
      </c>
      <c r="D183" s="152">
        <f>1</f>
        <v>1</v>
      </c>
    </row>
    <row r="184" spans="2:15" ht="19" x14ac:dyDescent="0.25">
      <c r="C184" s="148">
        <f t="shared" si="12"/>
        <v>1200</v>
      </c>
      <c r="D184" s="152">
        <f>1</f>
        <v>1</v>
      </c>
    </row>
    <row r="185" spans="2:15" ht="19" x14ac:dyDescent="0.25">
      <c r="C185" s="148">
        <f t="shared" si="12"/>
        <v>1300</v>
      </c>
      <c r="D185" s="152">
        <f>1</f>
        <v>1</v>
      </c>
    </row>
    <row r="186" spans="2:15" ht="19" x14ac:dyDescent="0.25">
      <c r="C186" s="148">
        <f t="shared" si="12"/>
        <v>1400</v>
      </c>
      <c r="D186" s="152">
        <f>1</f>
        <v>1</v>
      </c>
    </row>
    <row r="187" spans="2:15" ht="19" x14ac:dyDescent="0.25">
      <c r="C187" s="148">
        <f t="shared" si="12"/>
        <v>1500</v>
      </c>
      <c r="D187" s="152">
        <f>1</f>
        <v>1</v>
      </c>
    </row>
    <row r="188" spans="2:15" ht="19" x14ac:dyDescent="0.25">
      <c r="C188" s="148">
        <f t="shared" si="12"/>
        <v>1600</v>
      </c>
      <c r="D188" s="152">
        <f>1</f>
        <v>1</v>
      </c>
    </row>
    <row r="189" spans="2:15" ht="19" x14ac:dyDescent="0.25">
      <c r="C189" s="148">
        <f t="shared" si="12"/>
        <v>1700</v>
      </c>
      <c r="D189" s="152">
        <f>1</f>
        <v>1</v>
      </c>
    </row>
    <row r="190" spans="2:15" ht="19" x14ac:dyDescent="0.25">
      <c r="C190" s="148">
        <f t="shared" si="12"/>
        <v>1800</v>
      </c>
      <c r="D190" s="152">
        <f>1</f>
        <v>1</v>
      </c>
    </row>
    <row r="191" spans="2:15" ht="19" x14ac:dyDescent="0.25">
      <c r="C191" s="148">
        <f t="shared" si="12"/>
        <v>1900</v>
      </c>
      <c r="D191" s="152">
        <f>1</f>
        <v>1</v>
      </c>
    </row>
    <row r="192" spans="2:15" ht="20" thickBot="1" x14ac:dyDescent="0.3">
      <c r="C192" s="149">
        <f t="shared" si="12"/>
        <v>2000</v>
      </c>
      <c r="D192" s="152">
        <f>1</f>
        <v>1</v>
      </c>
    </row>
    <row r="197" spans="3:11" ht="17" thickBot="1" x14ac:dyDescent="0.25"/>
    <row r="198" spans="3:11" ht="20" thickBot="1" x14ac:dyDescent="0.3">
      <c r="E198" s="1"/>
      <c r="F198" s="1" t="s">
        <v>65</v>
      </c>
      <c r="G198" s="1"/>
      <c r="H198" s="242" t="s">
        <v>104</v>
      </c>
      <c r="I198" s="243"/>
      <c r="J198" s="243"/>
      <c r="K198" s="244"/>
    </row>
    <row r="199" spans="3:11" ht="28" thickBot="1" x14ac:dyDescent="0.4">
      <c r="C199" s="125" t="s">
        <v>99</v>
      </c>
      <c r="D199" s="126"/>
      <c r="E199" s="1"/>
      <c r="F199" s="1"/>
      <c r="G199" s="1"/>
      <c r="H199" s="184" t="s">
        <v>100</v>
      </c>
      <c r="I199" s="184" t="s">
        <v>101</v>
      </c>
      <c r="J199" s="184" t="s">
        <v>102</v>
      </c>
      <c r="K199" s="184" t="s">
        <v>103</v>
      </c>
    </row>
    <row r="202" spans="3:11" ht="17" thickBot="1" x14ac:dyDescent="0.25"/>
    <row r="203" spans="3:11" ht="20" thickBot="1" x14ac:dyDescent="0.25">
      <c r="D203" s="240" t="s">
        <v>113</v>
      </c>
      <c r="E203" s="241"/>
    </row>
    <row r="204" spans="3:11" ht="20" thickBot="1" x14ac:dyDescent="0.3">
      <c r="D204" s="170" t="s">
        <v>111</v>
      </c>
      <c r="E204" s="191" t="s">
        <v>109</v>
      </c>
    </row>
    <row r="205" spans="3:11" ht="19" x14ac:dyDescent="0.25">
      <c r="C205" s="74" t="s">
        <v>44</v>
      </c>
      <c r="D205" s="67">
        <f>$Q23</f>
        <v>4.9729999999999999</v>
      </c>
      <c r="E205" s="128">
        <f>D205*4.184</f>
        <v>20.807032</v>
      </c>
    </row>
    <row r="206" spans="3:11" ht="19" x14ac:dyDescent="0.25">
      <c r="C206" s="75" t="s">
        <v>45</v>
      </c>
      <c r="D206" s="67">
        <f t="shared" ref="D206:D209" si="13">$Q24</f>
        <v>0</v>
      </c>
      <c r="E206" s="129">
        <f t="shared" ref="E206:E209" si="14">D206*4.184</f>
        <v>0</v>
      </c>
    </row>
    <row r="207" spans="3:11" ht="19" x14ac:dyDescent="0.25">
      <c r="C207" s="75" t="s">
        <v>46</v>
      </c>
      <c r="D207" s="67">
        <f t="shared" si="13"/>
        <v>2.9809999999999999</v>
      </c>
      <c r="E207" s="129">
        <f t="shared" si="14"/>
        <v>12.472504000000001</v>
      </c>
    </row>
    <row r="208" spans="3:11" ht="19" x14ac:dyDescent="0.25">
      <c r="C208" s="75" t="s">
        <v>47</v>
      </c>
      <c r="D208" s="67">
        <f t="shared" si="13"/>
        <v>1.9870000000000001</v>
      </c>
      <c r="E208" s="129">
        <f t="shared" si="14"/>
        <v>8.3136080000000003</v>
      </c>
    </row>
    <row r="209" spans="3:16" ht="20" thickBot="1" x14ac:dyDescent="0.3">
      <c r="C209" s="76" t="s">
        <v>48</v>
      </c>
      <c r="D209" s="67">
        <f t="shared" si="13"/>
        <v>5.0000000000000001E-3</v>
      </c>
      <c r="E209" s="129">
        <f t="shared" si="14"/>
        <v>2.0920000000000001E-2</v>
      </c>
    </row>
    <row r="210" spans="3:16" ht="24" customHeight="1" x14ac:dyDescent="0.2"/>
    <row r="211" spans="3:16" ht="17" thickBot="1" x14ac:dyDescent="0.25"/>
    <row r="212" spans="3:16" ht="23" thickBot="1" x14ac:dyDescent="0.35">
      <c r="D212" s="237" t="s">
        <v>109</v>
      </c>
      <c r="E212" s="238"/>
      <c r="F212" s="238"/>
      <c r="G212" s="238"/>
      <c r="H212" s="239"/>
      <c r="J212" s="159" t="s">
        <v>82</v>
      </c>
      <c r="K212" s="160"/>
      <c r="L212" s="160"/>
      <c r="M212" s="160"/>
      <c r="N212" s="160"/>
      <c r="O212" s="160"/>
      <c r="P212" s="1"/>
    </row>
    <row r="213" spans="3:16" ht="20" thickBot="1" x14ac:dyDescent="0.3">
      <c r="C213" s="172" t="s">
        <v>67</v>
      </c>
      <c r="D213" s="185" t="s">
        <v>108</v>
      </c>
      <c r="E213" s="186" t="s">
        <v>105</v>
      </c>
      <c r="F213" s="186" t="s">
        <v>106</v>
      </c>
      <c r="G213" s="187" t="s">
        <v>107</v>
      </c>
      <c r="H213" s="121" t="s">
        <v>110</v>
      </c>
      <c r="J213" s="1"/>
      <c r="K213" s="1"/>
      <c r="L213" s="1"/>
      <c r="M213" s="1"/>
      <c r="N213" s="1"/>
      <c r="O213" s="1"/>
      <c r="P213" s="1"/>
    </row>
    <row r="214" spans="3:16" ht="20" thickBot="1" x14ac:dyDescent="0.3">
      <c r="C214" s="167">
        <v>298.14999999999998</v>
      </c>
      <c r="D214" s="256">
        <f>3*$B$7/2</f>
        <v>12.471599999999999</v>
      </c>
      <c r="E214" s="257">
        <f>$B$7*SUM(($D$42*$D$42)*EXP($D$42/$C214)/($C214^2*(EXP($D$42/$C214)-1)^2))</f>
        <v>2.2761519560843217E-2</v>
      </c>
      <c r="F214" s="257">
        <f>$B$7</f>
        <v>8.3143999999999991</v>
      </c>
      <c r="G214" s="258">
        <v>0</v>
      </c>
      <c r="H214" s="210">
        <f t="shared" ref="H214:H232" si="15">SUM(D214:G214)</f>
        <v>20.808761519560839</v>
      </c>
      <c r="K214" s="185" t="s">
        <v>108</v>
      </c>
      <c r="L214" s="186" t="s">
        <v>105</v>
      </c>
      <c r="M214" s="186" t="s">
        <v>106</v>
      </c>
      <c r="N214" s="187" t="s">
        <v>107</v>
      </c>
      <c r="O214" s="121" t="s">
        <v>110</v>
      </c>
      <c r="P214" s="1"/>
    </row>
    <row r="215" spans="3:16" ht="20" thickBot="1" x14ac:dyDescent="0.3">
      <c r="C215" s="147">
        <v>300</v>
      </c>
      <c r="D215" s="208">
        <f>3*$B$7/2</f>
        <v>12.471599999999999</v>
      </c>
      <c r="E215" s="209" cm="1">
        <f t="array" ref="E215">$B$7*SUM(($D$42:$D$42*$D$42:$D$42)*EXP($D$42:$D$42/$C215)/($C215^2*(EXP($D$42:$D$42/$C215)-1)^2))</f>
        <v>2.4004474059753179E-2</v>
      </c>
      <c r="F215" s="209">
        <f t="shared" ref="F215:F232" si="16">$B$7</f>
        <v>8.3143999999999991</v>
      </c>
      <c r="G215" s="203">
        <v>0</v>
      </c>
      <c r="H215" s="210">
        <f t="shared" si="15"/>
        <v>20.810004474059753</v>
      </c>
      <c r="J215" s="80" t="s">
        <v>78</v>
      </c>
      <c r="K215" s="128">
        <f>D$214</f>
        <v>12.471599999999999</v>
      </c>
      <c r="L215" s="128">
        <f t="shared" ref="L215:O215" si="17">E$214</f>
        <v>2.2761519560843217E-2</v>
      </c>
      <c r="M215" s="128">
        <f t="shared" si="17"/>
        <v>8.3143999999999991</v>
      </c>
      <c r="N215" s="128">
        <f t="shared" si="17"/>
        <v>0</v>
      </c>
      <c r="O215" s="128">
        <f t="shared" si="17"/>
        <v>20.808761519560839</v>
      </c>
      <c r="P215" s="1"/>
    </row>
    <row r="216" spans="3:16" ht="20" thickBot="1" x14ac:dyDescent="0.3">
      <c r="C216" s="148">
        <f>C215+100</f>
        <v>400</v>
      </c>
      <c r="D216" s="204">
        <f t="shared" ref="D216:D232" si="18">3*$B$7/2</f>
        <v>12.471599999999999</v>
      </c>
      <c r="E216" s="259" cm="1">
        <f t="array" ref="E216">$B$7*SUM(($D$42:$D$42*$D$42:$D$42)*EXP($D$42:$D$42/$C216)/($C216^2*(EXP($D$42:$D$42/$C216)-1)^2))</f>
        <v>0.18944052483986734</v>
      </c>
      <c r="F216" s="259">
        <f t="shared" si="16"/>
        <v>8.3143999999999991</v>
      </c>
      <c r="G216" s="205">
        <v>0</v>
      </c>
      <c r="H216" s="210">
        <f t="shared" si="15"/>
        <v>20.975440524839865</v>
      </c>
      <c r="J216" s="81" t="s">
        <v>79</v>
      </c>
      <c r="K216" s="130">
        <f>E207</f>
        <v>12.472504000000001</v>
      </c>
      <c r="L216" s="130">
        <f>E209</f>
        <v>2.0920000000000001E-2</v>
      </c>
      <c r="M216" s="130">
        <f>E208</f>
        <v>8.3136080000000003</v>
      </c>
      <c r="N216" s="130">
        <f>E206</f>
        <v>0</v>
      </c>
      <c r="O216" s="130">
        <f>E205</f>
        <v>20.807032</v>
      </c>
      <c r="P216" s="1"/>
    </row>
    <row r="217" spans="3:16" ht="23" thickBot="1" x14ac:dyDescent="0.35">
      <c r="C217" s="148">
        <f t="shared" ref="C217:C232" si="19">C216+100</f>
        <v>500</v>
      </c>
      <c r="D217" s="204">
        <f t="shared" si="18"/>
        <v>12.471599999999999</v>
      </c>
      <c r="E217" s="259" cm="1">
        <f t="array" ref="E217">$B$7*SUM(($D$42:$D$42*$D$42:$D$42)*EXP($D$42:$D$42/$C217)/($C217^2*(EXP($D$42:$D$42/$C217)-1)^2))</f>
        <v>0.59283650143156996</v>
      </c>
      <c r="F217" s="259">
        <f t="shared" si="16"/>
        <v>8.3143999999999991</v>
      </c>
      <c r="G217" s="205">
        <v>0</v>
      </c>
      <c r="H217" s="210">
        <f t="shared" si="15"/>
        <v>21.378836501431568</v>
      </c>
      <c r="J217" s="25" t="s">
        <v>80</v>
      </c>
      <c r="K217" s="161">
        <f>IFERROR(ABS(K215-K216)/K215,0)</f>
        <v>7.2484685204946797E-5</v>
      </c>
      <c r="L217" s="161">
        <f t="shared" ref="L217:O217" si="20">IFERROR(ABS(L215-L216)/L215,0)</f>
        <v>8.0904948192087892E-2</v>
      </c>
      <c r="M217" s="161">
        <f t="shared" si="20"/>
        <v>9.5256422591984244E-5</v>
      </c>
      <c r="N217" s="161">
        <f t="shared" si="20"/>
        <v>0</v>
      </c>
      <c r="O217" s="161">
        <f t="shared" si="20"/>
        <v>8.311496862578668E-5</v>
      </c>
      <c r="P217" s="1"/>
    </row>
    <row r="218" spans="3:16" ht="20" thickBot="1" x14ac:dyDescent="0.3">
      <c r="C218" s="148">
        <f t="shared" si="19"/>
        <v>600</v>
      </c>
      <c r="D218" s="204">
        <f t="shared" si="18"/>
        <v>12.471599999999999</v>
      </c>
      <c r="E218" s="259" cm="1">
        <f t="array" ref="E218">$B$7*SUM(($D$42:$D$42*$D$42:$D$42)*EXP($D$42:$D$42/$C218)/($C218^2*(EXP($D$42:$D$42/$C218)-1)^2))</f>
        <v>1.1917096706702937</v>
      </c>
      <c r="F218" s="259">
        <f t="shared" si="16"/>
        <v>8.3143999999999991</v>
      </c>
      <c r="G218" s="205">
        <v>0</v>
      </c>
      <c r="H218" s="210">
        <f t="shared" si="15"/>
        <v>21.977709670670293</v>
      </c>
    </row>
    <row r="219" spans="3:16" ht="20" thickBot="1" x14ac:dyDescent="0.3">
      <c r="C219" s="148">
        <f t="shared" si="19"/>
        <v>700</v>
      </c>
      <c r="D219" s="204">
        <f t="shared" si="18"/>
        <v>12.471599999999999</v>
      </c>
      <c r="E219" s="259" cm="1">
        <f t="array" ref="E219">$B$7*SUM(($D$42:$D$42*$D$42:$D$42)*EXP($D$42:$D$42/$C219)/($C219^2*(EXP($D$42:$D$42/$C219)-1)^2))</f>
        <v>1.8833941140524633</v>
      </c>
      <c r="F219" s="259">
        <f t="shared" si="16"/>
        <v>8.3143999999999991</v>
      </c>
      <c r="G219" s="205">
        <v>0</v>
      </c>
      <c r="H219" s="210">
        <f t="shared" si="15"/>
        <v>22.669394114052459</v>
      </c>
    </row>
    <row r="220" spans="3:16" ht="20" thickBot="1" x14ac:dyDescent="0.3">
      <c r="C220" s="148">
        <f t="shared" si="19"/>
        <v>800</v>
      </c>
      <c r="D220" s="204">
        <f t="shared" si="18"/>
        <v>12.471599999999999</v>
      </c>
      <c r="E220" s="259" cm="1">
        <f t="array" ref="E220">$B$7*SUM(($D$42:$D$42*$D$42:$D$42)*EXP($D$42:$D$42/$C220)/($C220^2*(EXP($D$42:$D$42/$C220)-1)^2))</f>
        <v>2.5819654475922409</v>
      </c>
      <c r="F220" s="259">
        <f t="shared" si="16"/>
        <v>8.3143999999999991</v>
      </c>
      <c r="G220" s="205">
        <v>0</v>
      </c>
      <c r="H220" s="210">
        <f t="shared" si="15"/>
        <v>23.36796544759224</v>
      </c>
    </row>
    <row r="221" spans="3:16" ht="20" thickBot="1" x14ac:dyDescent="0.3">
      <c r="C221" s="148">
        <f t="shared" si="19"/>
        <v>900</v>
      </c>
      <c r="D221" s="204">
        <f t="shared" si="18"/>
        <v>12.471599999999999</v>
      </c>
      <c r="E221" s="259" cm="1">
        <f t="array" ref="E221">$B$7*SUM(($D$42:$D$42*$D$42:$D$42)*EXP($D$42:$D$42/$C221)/($C221^2*(EXP($D$42:$D$42/$C221)-1)^2))</f>
        <v>3.2370376597368984</v>
      </c>
      <c r="F221" s="259">
        <f t="shared" si="16"/>
        <v>8.3143999999999991</v>
      </c>
      <c r="G221" s="205">
        <v>0</v>
      </c>
      <c r="H221" s="210">
        <f t="shared" si="15"/>
        <v>24.023037659736897</v>
      </c>
    </row>
    <row r="222" spans="3:16" ht="20" thickBot="1" x14ac:dyDescent="0.3">
      <c r="C222" s="148">
        <f t="shared" si="19"/>
        <v>1000</v>
      </c>
      <c r="D222" s="204">
        <f t="shared" si="18"/>
        <v>12.471599999999999</v>
      </c>
      <c r="E222" s="259" cm="1">
        <f t="array" ref="E222">$B$7*SUM(($D$42:$D$42*$D$42:$D$42)*EXP($D$42:$D$42/$C222)/($C222^2*(EXP($D$42:$D$42/$C222)-1)^2))</f>
        <v>3.8263078185720105</v>
      </c>
      <c r="F222" s="259">
        <f t="shared" si="16"/>
        <v>8.3143999999999991</v>
      </c>
      <c r="G222" s="205">
        <v>0</v>
      </c>
      <c r="H222" s="210">
        <f t="shared" si="15"/>
        <v>24.61230781857201</v>
      </c>
    </row>
    <row r="223" spans="3:16" ht="20" thickBot="1" x14ac:dyDescent="0.3">
      <c r="C223" s="148">
        <f t="shared" si="19"/>
        <v>1100</v>
      </c>
      <c r="D223" s="204">
        <f t="shared" si="18"/>
        <v>12.471599999999999</v>
      </c>
      <c r="E223" s="259" cm="1">
        <f t="array" ref="E223">$B$7*SUM(($D$42:$D$42*$D$42:$D$42)*EXP($D$42:$D$42/$C223)/($C223^2*(EXP($D$42:$D$42/$C223)-1)^2))</f>
        <v>4.3443239644553051</v>
      </c>
      <c r="F223" s="259">
        <f t="shared" si="16"/>
        <v>8.3143999999999991</v>
      </c>
      <c r="G223" s="205">
        <v>0</v>
      </c>
      <c r="H223" s="210">
        <f t="shared" si="15"/>
        <v>25.130323964455304</v>
      </c>
    </row>
    <row r="224" spans="3:16" ht="20" thickBot="1" x14ac:dyDescent="0.3">
      <c r="C224" s="148">
        <f t="shared" si="19"/>
        <v>1200</v>
      </c>
      <c r="D224" s="204">
        <f t="shared" si="18"/>
        <v>12.471599999999999</v>
      </c>
      <c r="E224" s="259" cm="1">
        <f t="array" ref="E224">$B$7*SUM(($D$42:$D$42*$D$42:$D$42)*EXP($D$42:$D$42/$C224)/($C224^2*(EXP($D$42:$D$42/$C224)-1)^2))</f>
        <v>4.7942141265533387</v>
      </c>
      <c r="F224" s="259">
        <f t="shared" si="16"/>
        <v>8.3143999999999991</v>
      </c>
      <c r="G224" s="205">
        <v>0</v>
      </c>
      <c r="H224" s="210">
        <f t="shared" si="15"/>
        <v>25.580214126553336</v>
      </c>
    </row>
    <row r="225" spans="3:11" ht="20" thickBot="1" x14ac:dyDescent="0.3">
      <c r="C225" s="148">
        <f t="shared" si="19"/>
        <v>1300</v>
      </c>
      <c r="D225" s="204">
        <f t="shared" si="18"/>
        <v>12.471599999999999</v>
      </c>
      <c r="E225" s="259" cm="1">
        <f t="array" ref="E225">$B$7*SUM(($D$42:$D$42*$D$42:$D$42)*EXP($D$42:$D$42/$C225)/($C225^2*(EXP($D$42:$D$42/$C225)-1)^2))</f>
        <v>5.182762934785881</v>
      </c>
      <c r="F225" s="259">
        <f t="shared" si="16"/>
        <v>8.3143999999999991</v>
      </c>
      <c r="G225" s="205">
        <v>0</v>
      </c>
      <c r="H225" s="210">
        <f t="shared" si="15"/>
        <v>25.968762934785879</v>
      </c>
    </row>
    <row r="226" spans="3:11" ht="20" thickBot="1" x14ac:dyDescent="0.3">
      <c r="C226" s="148">
        <f t="shared" si="19"/>
        <v>1400</v>
      </c>
      <c r="D226" s="204">
        <f t="shared" si="18"/>
        <v>12.471599999999999</v>
      </c>
      <c r="E226" s="259" cm="1">
        <f t="array" ref="E226">$B$7*SUM(($D$42:$D$42*$D$42:$D$42)*EXP($D$42:$D$42/$C226)/($C226^2*(EXP($D$42:$D$42/$C226)-1)^2))</f>
        <v>5.5177986773939924</v>
      </c>
      <c r="F226" s="259">
        <f t="shared" si="16"/>
        <v>8.3143999999999991</v>
      </c>
      <c r="G226" s="205">
        <v>0</v>
      </c>
      <c r="H226" s="210">
        <f t="shared" si="15"/>
        <v>26.303798677393992</v>
      </c>
    </row>
    <row r="227" spans="3:11" ht="20" thickBot="1" x14ac:dyDescent="0.3">
      <c r="C227" s="148">
        <f t="shared" si="19"/>
        <v>1500</v>
      </c>
      <c r="D227" s="204">
        <f t="shared" si="18"/>
        <v>12.471599999999999</v>
      </c>
      <c r="E227" s="259" cm="1">
        <f t="array" ref="E227">$B$7*SUM(($D$42:$D$42*$D$42:$D$42)*EXP($D$42:$D$42/$C227)/($C227^2*(EXP($D$42:$D$42/$C227)-1)^2))</f>
        <v>5.8069346055152318</v>
      </c>
      <c r="F227" s="259">
        <f t="shared" si="16"/>
        <v>8.3143999999999991</v>
      </c>
      <c r="G227" s="205">
        <v>0</v>
      </c>
      <c r="H227" s="210">
        <f t="shared" si="15"/>
        <v>26.592934605515229</v>
      </c>
    </row>
    <row r="228" spans="3:11" ht="20" thickBot="1" x14ac:dyDescent="0.3">
      <c r="C228" s="148">
        <f t="shared" si="19"/>
        <v>1600</v>
      </c>
      <c r="D228" s="204">
        <f t="shared" si="18"/>
        <v>12.471599999999999</v>
      </c>
      <c r="E228" s="259" cm="1">
        <f t="array" ref="E228">$B$7*SUM(($D$42:$D$42*$D$42:$D$42)*EXP($D$42:$D$42/$C228)/($C228^2*(EXP($D$42:$D$42/$C228)-1)^2))</f>
        <v>6.0570393662412449</v>
      </c>
      <c r="F228" s="259">
        <f t="shared" si="16"/>
        <v>8.3143999999999991</v>
      </c>
      <c r="G228" s="205">
        <v>0</v>
      </c>
      <c r="H228" s="210">
        <f t="shared" si="15"/>
        <v>26.843039366241243</v>
      </c>
    </row>
    <row r="229" spans="3:11" ht="20" thickBot="1" x14ac:dyDescent="0.3">
      <c r="C229" s="148">
        <f t="shared" si="19"/>
        <v>1700</v>
      </c>
      <c r="D229" s="204">
        <f t="shared" si="18"/>
        <v>12.471599999999999</v>
      </c>
      <c r="E229" s="259" cm="1">
        <f t="array" ref="E229">$B$7*SUM(($D$42:$D$42*$D$42:$D$42)*EXP($D$42:$D$42/$C229)/($C229^2*(EXP($D$42:$D$42/$C229)-1)^2))</f>
        <v>6.2740761002867353</v>
      </c>
      <c r="F229" s="259">
        <f t="shared" si="16"/>
        <v>8.3143999999999991</v>
      </c>
      <c r="G229" s="205">
        <v>0</v>
      </c>
      <c r="H229" s="210">
        <f t="shared" si="15"/>
        <v>27.060076100286732</v>
      </c>
    </row>
    <row r="230" spans="3:11" ht="20" thickBot="1" x14ac:dyDescent="0.3">
      <c r="C230" s="148">
        <f t="shared" si="19"/>
        <v>1800</v>
      </c>
      <c r="D230" s="204">
        <f t="shared" si="18"/>
        <v>12.471599999999999</v>
      </c>
      <c r="E230" s="259" cm="1">
        <f t="array" ref="E230">$B$7*SUM(($D$42:$D$42*$D$42:$D$42)*EXP($D$42:$D$42/$C230)/($C230^2*(EXP($D$42:$D$42/$C230)-1)^2))</f>
        <v>6.4631153267764168</v>
      </c>
      <c r="F230" s="259">
        <f t="shared" si="16"/>
        <v>8.3143999999999991</v>
      </c>
      <c r="G230" s="205">
        <v>0</v>
      </c>
      <c r="H230" s="210">
        <f t="shared" si="15"/>
        <v>27.249115326776415</v>
      </c>
    </row>
    <row r="231" spans="3:11" ht="20" thickBot="1" x14ac:dyDescent="0.3">
      <c r="C231" s="148">
        <f t="shared" si="19"/>
        <v>1900</v>
      </c>
      <c r="D231" s="204">
        <f t="shared" si="18"/>
        <v>12.471599999999999</v>
      </c>
      <c r="E231" s="259" cm="1">
        <f t="array" ref="E231">$B$7*SUM(($D$42:$D$42*$D$42:$D$42)*EXP($D$42:$D$42/$C231)/($C231^2*(EXP($D$42:$D$42/$C231)-1)^2))</f>
        <v>6.6284207793534424</v>
      </c>
      <c r="F231" s="259">
        <f t="shared" si="16"/>
        <v>8.3143999999999991</v>
      </c>
      <c r="G231" s="205">
        <v>0</v>
      </c>
      <c r="H231" s="210">
        <f t="shared" si="15"/>
        <v>27.414420779353442</v>
      </c>
    </row>
    <row r="232" spans="3:11" ht="20" thickBot="1" x14ac:dyDescent="0.3">
      <c r="C232" s="149">
        <f t="shared" si="19"/>
        <v>2000</v>
      </c>
      <c r="D232" s="206">
        <f t="shared" si="18"/>
        <v>12.471599999999999</v>
      </c>
      <c r="E232" s="211" cm="1">
        <f t="array" ref="E232">$B$7*SUM(($D$42:$D$42*$D$42:$D$42)*EXP($D$42:$D$42/$C232)/($C232^2*(EXP($D$42:$D$42/$C232)-1)^2))</f>
        <v>6.773558185544446</v>
      </c>
      <c r="F232" s="211">
        <f t="shared" si="16"/>
        <v>8.3143999999999991</v>
      </c>
      <c r="G232" s="207">
        <v>0</v>
      </c>
      <c r="H232" s="174">
        <f t="shared" si="15"/>
        <v>27.559558185544443</v>
      </c>
    </row>
    <row r="238" spans="3:11" ht="17" thickBot="1" x14ac:dyDescent="0.25"/>
    <row r="239" spans="3:11" ht="20" thickBot="1" x14ac:dyDescent="0.3">
      <c r="E239" s="1"/>
      <c r="F239" s="1" t="s">
        <v>65</v>
      </c>
      <c r="G239" s="1"/>
      <c r="H239" s="242" t="s">
        <v>104</v>
      </c>
      <c r="I239" s="243"/>
      <c r="J239" s="243"/>
      <c r="K239" s="244"/>
    </row>
    <row r="240" spans="3:11" ht="28" thickBot="1" x14ac:dyDescent="0.4">
      <c r="C240" s="125" t="s">
        <v>117</v>
      </c>
      <c r="D240" s="126"/>
      <c r="E240" s="1"/>
      <c r="F240" s="1"/>
      <c r="G240" s="1"/>
      <c r="H240" s="184" t="s">
        <v>100</v>
      </c>
      <c r="I240" s="184" t="s">
        <v>101</v>
      </c>
      <c r="J240" s="184" t="s">
        <v>102</v>
      </c>
      <c r="K240" s="184" t="s">
        <v>103</v>
      </c>
    </row>
    <row r="244" spans="3:10" ht="20" thickBot="1" x14ac:dyDescent="0.25">
      <c r="D244" s="245"/>
      <c r="E244" s="245"/>
    </row>
    <row r="245" spans="3:10" ht="20" thickBot="1" x14ac:dyDescent="0.25">
      <c r="D245" s="240" t="s">
        <v>112</v>
      </c>
      <c r="E245" s="241"/>
    </row>
    <row r="246" spans="3:10" ht="20" thickBot="1" x14ac:dyDescent="0.3">
      <c r="D246" s="170" t="s">
        <v>111</v>
      </c>
      <c r="E246" s="191" t="s">
        <v>109</v>
      </c>
    </row>
    <row r="247" spans="3:10" ht="19" x14ac:dyDescent="0.25">
      <c r="C247" s="74" t="s">
        <v>44</v>
      </c>
      <c r="D247" s="189">
        <f>$R23</f>
        <v>47.234000000000002</v>
      </c>
      <c r="E247" s="128">
        <f>D247*4.184</f>
        <v>197.62705600000001</v>
      </c>
    </row>
    <row r="248" spans="3:10" ht="19" x14ac:dyDescent="0.25">
      <c r="C248" s="75" t="s">
        <v>45</v>
      </c>
      <c r="D248" s="189">
        <f t="shared" ref="D248:D251" si="21">$R24</f>
        <v>0</v>
      </c>
      <c r="E248" s="129">
        <f t="shared" ref="E248:E251" si="22">D248*4.184</f>
        <v>0</v>
      </c>
    </row>
    <row r="249" spans="3:10" ht="19" x14ac:dyDescent="0.25">
      <c r="C249" s="75" t="s">
        <v>46</v>
      </c>
      <c r="D249" s="189">
        <f t="shared" si="21"/>
        <v>35.923000000000002</v>
      </c>
      <c r="E249" s="129">
        <f t="shared" si="22"/>
        <v>150.30183200000002</v>
      </c>
    </row>
    <row r="250" spans="3:10" ht="19" x14ac:dyDescent="0.25">
      <c r="C250" s="75" t="s">
        <v>47</v>
      </c>
      <c r="D250" s="189">
        <f t="shared" si="21"/>
        <v>11.31</v>
      </c>
      <c r="E250" s="129">
        <f t="shared" si="22"/>
        <v>47.321040000000004</v>
      </c>
    </row>
    <row r="251" spans="3:10" ht="20" thickBot="1" x14ac:dyDescent="0.3">
      <c r="C251" s="76" t="s">
        <v>48</v>
      </c>
      <c r="D251" s="189">
        <f t="shared" si="21"/>
        <v>1E-3</v>
      </c>
      <c r="E251" s="129">
        <f t="shared" si="22"/>
        <v>4.1840000000000002E-3</v>
      </c>
    </row>
    <row r="253" spans="3:10" ht="17" thickBot="1" x14ac:dyDescent="0.25"/>
    <row r="254" spans="3:10" ht="20" thickBot="1" x14ac:dyDescent="0.3">
      <c r="C254" s="91" t="s">
        <v>26</v>
      </c>
      <c r="D254" s="196"/>
      <c r="E254" s="196"/>
      <c r="F254" s="196"/>
      <c r="G254" s="197"/>
      <c r="I254" s="115" t="s">
        <v>115</v>
      </c>
      <c r="J254" s="198">
        <f>($B$14^2)/(8*PI()*PI()*$G$258*$B$8)</f>
        <v>0.54176580986423606</v>
      </c>
    </row>
    <row r="255" spans="3:10" ht="20" thickBot="1" x14ac:dyDescent="0.3">
      <c r="C255" s="193"/>
      <c r="D255" s="108" t="s">
        <v>35</v>
      </c>
      <c r="E255" s="109" t="s">
        <v>36</v>
      </c>
      <c r="F255" s="110" t="s">
        <v>37</v>
      </c>
      <c r="G255" s="121" t="s">
        <v>110</v>
      </c>
      <c r="I255" s="107"/>
      <c r="J255" s="107"/>
    </row>
    <row r="256" spans="3:10" ht="22" thickBot="1" x14ac:dyDescent="0.3">
      <c r="C256" s="55" t="s">
        <v>30</v>
      </c>
      <c r="D256" s="63">
        <f>D$23</f>
        <v>0</v>
      </c>
      <c r="E256" s="63">
        <f t="shared" ref="E256:F256" si="23">E$23</f>
        <v>31.66677</v>
      </c>
      <c r="F256" s="63">
        <f t="shared" si="23"/>
        <v>31.66677</v>
      </c>
      <c r="G256" s="61">
        <f>SQRT(F256^2 + E256^2 + D256^2)</f>
        <v>44.783575610549455</v>
      </c>
      <c r="J256" s="107"/>
    </row>
    <row r="257" spans="1:18" ht="22" thickBot="1" x14ac:dyDescent="0.3">
      <c r="C257" s="56" t="s">
        <v>28</v>
      </c>
      <c r="D257" s="66">
        <f>D256*$U$9</f>
        <v>0</v>
      </c>
      <c r="E257" s="66">
        <f t="shared" ref="E257" si="24">E256*$U$9</f>
        <v>5.2566838199999999E-26</v>
      </c>
      <c r="F257" s="194">
        <f t="shared" ref="F257" si="25">F256*$U$9</f>
        <v>5.2566838199999999E-26</v>
      </c>
      <c r="G257" s="61">
        <f t="shared" ref="G257:G258" si="26">SQRT(F257^2 + E257^2 + D257^2)</f>
        <v>7.4340735513512095E-26</v>
      </c>
    </row>
    <row r="258" spans="1:18" ht="22" thickBot="1" x14ac:dyDescent="0.3">
      <c r="C258" s="57" t="s">
        <v>29</v>
      </c>
      <c r="D258" s="68">
        <f>D257*($Q$8)^2</f>
        <v>0</v>
      </c>
      <c r="E258" s="69">
        <f>E257*($Q$8)^2</f>
        <v>5.2566838200000004E-46</v>
      </c>
      <c r="F258" s="190">
        <f t="shared" ref="F258" si="27">F257*($Q$8)^2</f>
        <v>5.2566838200000004E-46</v>
      </c>
      <c r="G258" s="61">
        <f t="shared" si="26"/>
        <v>7.4340735513512102E-46</v>
      </c>
    </row>
    <row r="259" spans="1:18" ht="17" thickBot="1" x14ac:dyDescent="0.25"/>
    <row r="260" spans="1:18" ht="20" thickBot="1" x14ac:dyDescent="0.3">
      <c r="F260" s="237" t="s">
        <v>109</v>
      </c>
      <c r="G260" s="238"/>
      <c r="H260" s="238"/>
      <c r="I260" s="238"/>
      <c r="J260" s="239"/>
    </row>
    <row r="261" spans="1:18" ht="23" thickBot="1" x14ac:dyDescent="0.35">
      <c r="C261" s="172" t="s">
        <v>67</v>
      </c>
      <c r="D261" s="192" t="s">
        <v>116</v>
      </c>
      <c r="E261" s="167" t="s">
        <v>114</v>
      </c>
      <c r="F261" s="215" t="s">
        <v>108</v>
      </c>
      <c r="G261" s="195" t="s">
        <v>105</v>
      </c>
      <c r="H261" s="195" t="s">
        <v>106</v>
      </c>
      <c r="I261" s="216" t="s">
        <v>107</v>
      </c>
      <c r="J261" s="121" t="s">
        <v>110</v>
      </c>
      <c r="L261" s="159" t="s">
        <v>82</v>
      </c>
      <c r="M261" s="160"/>
      <c r="N261" s="160"/>
      <c r="O261" s="160"/>
      <c r="P261" s="160"/>
      <c r="Q261" s="160"/>
    </row>
    <row r="262" spans="1:18" ht="20" thickBot="1" x14ac:dyDescent="0.3">
      <c r="C262" s="167">
        <v>298.14999999999998</v>
      </c>
      <c r="D262" s="199">
        <f>$B$7*C262/$B$16</f>
        <v>2.4465219442388352E-2</v>
      </c>
      <c r="E262" s="212">
        <f>((2*PI()*$A$28*$U$9*$B$8*$C262)/($B$14*$B$14))^(3/2)</f>
        <v>1.4323874224160131E+32</v>
      </c>
      <c r="F262" s="202">
        <f t="shared" ref="F262:F280" si="28">$B$7*LN(($D262/$B$6)*EXP(5/2)*E262)</f>
        <v>150.29660645441712</v>
      </c>
      <c r="G262" s="209" cm="1">
        <f t="array" ref="G262">$B$7*SUM((($D$42:$D$42)/$C262)/(EXP($D$42:$D$42/$C262)-1)-LN(1-EXP(-$D$42:$D$42/$C262)))</f>
        <v>2.3431943432770095E-3</v>
      </c>
      <c r="H262" s="217">
        <f t="shared" ref="H262:H280" si="29">$B$7*LN(EXP(1)*$C262/($A$31*$J$254))</f>
        <v>60.782572286022663</v>
      </c>
      <c r="I262" s="203">
        <v>0</v>
      </c>
      <c r="J262" s="188">
        <f>SUM(F262:I262)</f>
        <v>211.08152193478304</v>
      </c>
      <c r="L262" s="1"/>
      <c r="M262" s="1"/>
      <c r="N262" s="1"/>
      <c r="O262" s="1"/>
      <c r="P262" s="1"/>
      <c r="Q262" s="1"/>
    </row>
    <row r="263" spans="1:18" ht="20" thickBot="1" x14ac:dyDescent="0.3">
      <c r="C263" s="147">
        <v>300</v>
      </c>
      <c r="D263" s="199">
        <f>$B$7*C263/$B$16</f>
        <v>2.4617024426350848E-2</v>
      </c>
      <c r="E263" s="212">
        <f>((2*PI()*$A$28*$U$9*$B$8*$C263)/($B$14*$B$14))^(3/2)</f>
        <v>1.4457398781975956E+32</v>
      </c>
      <c r="F263" s="202">
        <f t="shared" si="28"/>
        <v>150.42518364280136</v>
      </c>
      <c r="G263" s="209" cm="1">
        <f t="array" ref="G263">$B$7*SUM((($D$42:$D$42)/$C263)/(EXP($D$42:$D$42/$C263)-1)-LN(1-EXP(-$D$42:$D$42/$C263)))</f>
        <v>2.4878067464088756E-3</v>
      </c>
      <c r="H263" s="217">
        <f t="shared" si="29"/>
        <v>60.834003161376337</v>
      </c>
      <c r="I263" s="203">
        <v>0</v>
      </c>
      <c r="J263" s="188">
        <f>SUM(F263:I263)</f>
        <v>211.2616746109241</v>
      </c>
      <c r="N263" s="185" t="s">
        <v>108</v>
      </c>
      <c r="O263" s="186" t="s">
        <v>105</v>
      </c>
      <c r="P263" s="186" t="s">
        <v>106</v>
      </c>
      <c r="Q263" s="187" t="s">
        <v>107</v>
      </c>
      <c r="R263" s="121" t="s">
        <v>110</v>
      </c>
    </row>
    <row r="264" spans="1:18" ht="20" thickBot="1" x14ac:dyDescent="0.3">
      <c r="C264" s="148">
        <f>C263+100</f>
        <v>400</v>
      </c>
      <c r="D264" s="200">
        <f t="shared" ref="D264:D280" si="30">$B$7*C264/$B$16</f>
        <v>3.2822699235134464E-2</v>
      </c>
      <c r="E264" s="213">
        <f t="shared" ref="E264:E280" si="31">(2*PI()*$A$28*$U$9*$B$8*$C264/($B$14)^2)^(3/2)</f>
        <v>2.2258621542814782E+32</v>
      </c>
      <c r="F264" s="218">
        <f t="shared" si="28"/>
        <v>156.404943200784</v>
      </c>
      <c r="G264" s="259" cm="1">
        <f t="array" ref="G264">$B$7*SUM((($D$42:$D$42)/$C264)/(EXP($D$42:$D$42/$C264)-1)-LN(1-EXP(-$D$42:$D$42/$C264)))</f>
        <v>2.6923090193936884E-2</v>
      </c>
      <c r="H264" s="260">
        <f t="shared" si="29"/>
        <v>63.225906984569427</v>
      </c>
      <c r="I264" s="205">
        <v>0</v>
      </c>
      <c r="J264" s="188">
        <f t="shared" ref="J264:J280" si="32">SUM(F264:I264)</f>
        <v>219.65777327554738</v>
      </c>
      <c r="M264" s="80" t="s">
        <v>78</v>
      </c>
      <c r="N264" s="221">
        <f>F$262</f>
        <v>150.29660645441712</v>
      </c>
      <c r="O264" s="221">
        <f t="shared" ref="O264:R264" si="33">G$262</f>
        <v>2.3431943432770095E-3</v>
      </c>
      <c r="P264" s="221">
        <f t="shared" si="33"/>
        <v>60.782572286022663</v>
      </c>
      <c r="Q264" s="221">
        <f t="shared" si="33"/>
        <v>0</v>
      </c>
      <c r="R264" s="221">
        <f t="shared" si="33"/>
        <v>211.08152193478304</v>
      </c>
    </row>
    <row r="265" spans="1:18" ht="20" thickBot="1" x14ac:dyDescent="0.3">
      <c r="C265" s="148">
        <f t="shared" ref="C265:C280" si="34">C264+100</f>
        <v>500</v>
      </c>
      <c r="D265" s="200">
        <f t="shared" si="30"/>
        <v>4.1028374043918084E-2</v>
      </c>
      <c r="E265" s="213">
        <f t="shared" si="31"/>
        <v>3.1107369284484175E+32</v>
      </c>
      <c r="F265" s="218">
        <f t="shared" si="28"/>
        <v>161.0432050584011</v>
      </c>
      <c r="G265" s="259" cm="1">
        <f t="array" ref="G265">$B$7*SUM((($D$42:$D$42)/$C265)/(EXP($D$42:$D$42/$C265)-1)-LN(1-EXP(-$D$42:$D$42/$C265)))</f>
        <v>0.10810465425108372</v>
      </c>
      <c r="H265" s="260">
        <f t="shared" si="29"/>
        <v>65.081211727616292</v>
      </c>
      <c r="I265" s="205">
        <v>0</v>
      </c>
      <c r="J265" s="188">
        <f t="shared" si="32"/>
        <v>226.2325214402685</v>
      </c>
      <c r="M265" s="81" t="s">
        <v>79</v>
      </c>
      <c r="N265" s="221">
        <f>E249</f>
        <v>150.30183200000002</v>
      </c>
      <c r="O265" s="221">
        <f>E251</f>
        <v>4.1840000000000002E-3</v>
      </c>
      <c r="P265" s="221">
        <f>E250</f>
        <v>47.321040000000004</v>
      </c>
      <c r="Q265" s="221">
        <f>E248</f>
        <v>0</v>
      </c>
      <c r="R265" s="221">
        <f>E247</f>
        <v>197.62705600000001</v>
      </c>
    </row>
    <row r="266" spans="1:18" ht="23" thickBot="1" x14ac:dyDescent="0.35">
      <c r="C266" s="148">
        <f t="shared" si="34"/>
        <v>600</v>
      </c>
      <c r="D266" s="200">
        <f t="shared" si="30"/>
        <v>4.9234048852701696E-2</v>
      </c>
      <c r="E266" s="213">
        <f t="shared" si="31"/>
        <v>4.089169886821344E+32</v>
      </c>
      <c r="F266" s="218">
        <f t="shared" si="28"/>
        <v>164.83294093792037</v>
      </c>
      <c r="G266" s="259" cm="1">
        <f t="array" ref="G266">$B$7*SUM((($D$42:$D$42)/$C266)/(EXP($D$42:$D$42/$C266)-1)-LN(1-EXP(-$D$42:$D$42/$C266)))</f>
        <v>0.26691379423066131</v>
      </c>
      <c r="H266" s="260">
        <f t="shared" si="29"/>
        <v>66.597106079423952</v>
      </c>
      <c r="I266" s="205">
        <v>0</v>
      </c>
      <c r="J266" s="188">
        <f t="shared" si="32"/>
        <v>231.696960811575</v>
      </c>
      <c r="L266" s="1"/>
      <c r="M266" s="25" t="s">
        <v>80</v>
      </c>
      <c r="N266" s="161">
        <f>IFERROR(ABS(N264-N265)/N264,0)</f>
        <v>3.4768220694906404E-5</v>
      </c>
      <c r="O266" s="161">
        <f t="shared" ref="O266:R266" si="35">IFERROR(ABS(O264-O265)/O264,0)</f>
        <v>0.78559666295053565</v>
      </c>
      <c r="P266" s="161">
        <f t="shared" si="35"/>
        <v>0.22147026326357405</v>
      </c>
      <c r="Q266" s="161">
        <f t="shared" si="35"/>
        <v>0</v>
      </c>
      <c r="R266" s="161">
        <f t="shared" si="35"/>
        <v>6.3740614580844263E-2</v>
      </c>
    </row>
    <row r="267" spans="1:18" ht="20" thickBot="1" x14ac:dyDescent="0.3">
      <c r="A267" s="24"/>
      <c r="C267" s="148">
        <f t="shared" si="34"/>
        <v>700</v>
      </c>
      <c r="D267" s="200">
        <f t="shared" si="30"/>
        <v>5.7439723661485309E-2</v>
      </c>
      <c r="E267" s="213">
        <f t="shared" si="31"/>
        <v>5.1529429988218338E+32</v>
      </c>
      <c r="F267" s="218">
        <f t="shared" si="28"/>
        <v>168.03711696880967</v>
      </c>
      <c r="G267" s="259" cm="1">
        <f t="array" ref="G267">$B$7*SUM((($D$42:$D$42)/$C267)/(EXP($D$42:$D$42/$C267)-1)-LN(1-EXP(-$D$42:$D$42/$C267)))</f>
        <v>0.50199934621035802</v>
      </c>
      <c r="H267" s="260">
        <f t="shared" si="29"/>
        <v>67.878776491779718</v>
      </c>
      <c r="I267" s="205">
        <v>0</v>
      </c>
      <c r="J267" s="188">
        <f t="shared" si="32"/>
        <v>236.41789280679976</v>
      </c>
    </row>
    <row r="268" spans="1:18" ht="20" thickBot="1" x14ac:dyDescent="0.3">
      <c r="A268" s="24"/>
      <c r="C268" s="148">
        <f t="shared" si="34"/>
        <v>800</v>
      </c>
      <c r="D268" s="200">
        <f t="shared" si="30"/>
        <v>6.5645398470268929E-2</v>
      </c>
      <c r="E268" s="213">
        <f t="shared" si="31"/>
        <v>6.2956888931157401E+32</v>
      </c>
      <c r="F268" s="218">
        <f t="shared" si="28"/>
        <v>170.81270049590307</v>
      </c>
      <c r="G268" s="259" cm="1">
        <f t="array" ref="G268">$B$7*SUM((($D$42:$D$42)/$C268)/(EXP($D$42:$D$42/$C268)-1)-LN(1-EXP(-$D$42:$D$42/$C268)))</f>
        <v>0.79936610524716301</v>
      </c>
      <c r="H268" s="260">
        <f t="shared" si="29"/>
        <v>68.989009902617028</v>
      </c>
      <c r="I268" s="205">
        <v>0</v>
      </c>
      <c r="J268" s="188">
        <f t="shared" si="32"/>
        <v>240.60107650376727</v>
      </c>
    </row>
    <row r="269" spans="1:18" ht="20" thickBot="1" x14ac:dyDescent="0.3">
      <c r="C269" s="148">
        <f t="shared" si="34"/>
        <v>900</v>
      </c>
      <c r="D269" s="200">
        <f t="shared" si="30"/>
        <v>7.3851073279052548E-2</v>
      </c>
      <c r="E269" s="213">
        <f t="shared" si="31"/>
        <v>7.5122847707000013E+32</v>
      </c>
      <c r="F269" s="218">
        <f t="shared" si="28"/>
        <v>173.26093867505662</v>
      </c>
      <c r="G269" s="259" cm="1">
        <f t="array" ref="G269">$B$7*SUM((($D$42:$D$42)/$C269)/(EXP($D$42:$D$42/$C269)-1)-LN(1-EXP(-$D$42:$D$42/$C269)))</f>
        <v>1.1418743830017353</v>
      </c>
      <c r="H269" s="260">
        <f t="shared" si="29"/>
        <v>69.96830517427847</v>
      </c>
      <c r="I269" s="205">
        <v>0</v>
      </c>
      <c r="J269" s="188">
        <f t="shared" si="32"/>
        <v>244.37111823233684</v>
      </c>
    </row>
    <row r="270" spans="1:18" ht="20" thickBot="1" x14ac:dyDescent="0.3">
      <c r="C270" s="148">
        <f t="shared" si="34"/>
        <v>1000</v>
      </c>
      <c r="D270" s="200">
        <f t="shared" si="30"/>
        <v>8.2056748087836168E-2</v>
      </c>
      <c r="E270" s="213">
        <f t="shared" si="31"/>
        <v>8.7984927063731771E+32</v>
      </c>
      <c r="F270" s="218">
        <f t="shared" si="28"/>
        <v>175.45096235352017</v>
      </c>
      <c r="G270" s="259" cm="1">
        <f t="array" ref="G270">$B$7*SUM((($D$42:$D$42)/$C270)/(EXP($D$42:$D$42/$C270)-1)-LN(1-EXP(-$D$42:$D$42/$C270)))</f>
        <v>1.5140488234954543</v>
      </c>
      <c r="H270" s="260">
        <f t="shared" si="29"/>
        <v>70.8443146456639</v>
      </c>
      <c r="I270" s="205">
        <v>0</v>
      </c>
      <c r="J270" s="188">
        <f t="shared" si="32"/>
        <v>247.80932582267951</v>
      </c>
    </row>
    <row r="271" spans="1:18" ht="20" thickBot="1" x14ac:dyDescent="0.3">
      <c r="C271" s="148">
        <f t="shared" si="34"/>
        <v>1100</v>
      </c>
      <c r="D271" s="200">
        <f t="shared" si="30"/>
        <v>9.0262422896619773E-2</v>
      </c>
      <c r="E271" s="213">
        <f t="shared" si="31"/>
        <v>1.0150730701105125E+33</v>
      </c>
      <c r="F271" s="218">
        <f t="shared" si="28"/>
        <v>177.43207975093279</v>
      </c>
      <c r="G271" s="259" cm="1">
        <f t="array" ref="G271">$B$7*SUM((($D$42:$D$42)/$C271)/(EXP($D$42:$D$42/$C271)-1)-LN(1-EXP(-$D$42:$D$42/$C271)))</f>
        <v>1.9035903681047774</v>
      </c>
      <c r="H271" s="260">
        <f t="shared" si="29"/>
        <v>71.636761604628973</v>
      </c>
      <c r="I271" s="205">
        <v>0</v>
      </c>
      <c r="J271" s="188">
        <f t="shared" si="32"/>
        <v>250.97243172366655</v>
      </c>
    </row>
    <row r="272" spans="1:18" ht="20" thickBot="1" x14ac:dyDescent="0.3">
      <c r="C272" s="148">
        <f t="shared" si="34"/>
        <v>1200</v>
      </c>
      <c r="D272" s="200">
        <f t="shared" si="30"/>
        <v>9.8468097705403393E-2</v>
      </c>
      <c r="E272" s="213">
        <f t="shared" si="31"/>
        <v>1.1565919025580665E+33</v>
      </c>
      <c r="F272" s="218">
        <f t="shared" si="28"/>
        <v>179.24069823303932</v>
      </c>
      <c r="G272" s="259" cm="1">
        <f t="array" ref="G272">$B$7*SUM((($D$42:$D$42)/$C272)/(EXP($D$42:$D$42/$C272)-1)-LN(1-EXP(-$D$42:$D$42/$C272)))</f>
        <v>2.3013569289373237</v>
      </c>
      <c r="H272" s="260">
        <f t="shared" si="29"/>
        <v>72.36020899747156</v>
      </c>
      <c r="I272" s="205">
        <v>0</v>
      </c>
      <c r="J272" s="188">
        <f t="shared" si="32"/>
        <v>253.90226415944818</v>
      </c>
    </row>
    <row r="273" spans="3:10" ht="20" thickBot="1" x14ac:dyDescent="0.3">
      <c r="C273" s="148">
        <f t="shared" si="34"/>
        <v>1300</v>
      </c>
      <c r="D273" s="200">
        <f t="shared" si="30"/>
        <v>0.10667377251418701</v>
      </c>
      <c r="E273" s="213">
        <f t="shared" si="31"/>
        <v>1.304137271023695E+33</v>
      </c>
      <c r="F273" s="218">
        <f t="shared" si="28"/>
        <v>180.90446595474143</v>
      </c>
      <c r="G273" s="259" cm="1">
        <f t="array" ref="G273">$B$7*SUM((($D$42:$D$42)/$C273)/(EXP($D$42:$D$42/$C273)-1)-LN(1-EXP(-$D$42:$D$42/$C273)))</f>
        <v>2.7008249351754476</v>
      </c>
      <c r="H273" s="260">
        <f t="shared" si="29"/>
        <v>73.025716086152414</v>
      </c>
      <c r="I273" s="205">
        <v>0</v>
      </c>
      <c r="J273" s="188">
        <f t="shared" si="32"/>
        <v>256.63100697606933</v>
      </c>
    </row>
    <row r="274" spans="3:10" ht="20" thickBot="1" x14ac:dyDescent="0.3">
      <c r="C274" s="148">
        <f t="shared" si="34"/>
        <v>1400</v>
      </c>
      <c r="D274" s="200">
        <f t="shared" si="30"/>
        <v>0.11487944732297062</v>
      </c>
      <c r="E274" s="213">
        <f t="shared" si="31"/>
        <v>1.4574723750138691E+33</v>
      </c>
      <c r="F274" s="218">
        <f t="shared" si="28"/>
        <v>182.44487426392871</v>
      </c>
      <c r="G274" s="259" cm="1">
        <f t="array" ref="G274">$B$7*SUM((($D$42:$D$42)/$C274)/(EXP($D$42:$D$42/$C274)-1)-LN(1-EXP(-$D$42:$D$42/$C274)))</f>
        <v>3.0974763874374225</v>
      </c>
      <c r="H274" s="260">
        <f t="shared" si="29"/>
        <v>73.641879409827311</v>
      </c>
      <c r="I274" s="205">
        <v>0</v>
      </c>
      <c r="J274" s="188">
        <f t="shared" si="32"/>
        <v>259.18423006119343</v>
      </c>
    </row>
    <row r="275" spans="3:10" ht="20" thickBot="1" x14ac:dyDescent="0.3">
      <c r="C275" s="148">
        <f t="shared" si="34"/>
        <v>1500</v>
      </c>
      <c r="D275" s="200">
        <f t="shared" si="30"/>
        <v>0.12308512213175424</v>
      </c>
      <c r="E275" s="213">
        <f t="shared" si="31"/>
        <v>1.6163863227160172E+33</v>
      </c>
      <c r="F275" s="218">
        <f t="shared" si="28"/>
        <v>183.87896009065639</v>
      </c>
      <c r="G275" s="259" cm="1">
        <f t="array" ref="G275">$B$7*SUM((($D$42:$D$42)/$C275)/(EXP($D$42:$D$42/$C275)-1)-LN(1-EXP(-$D$42:$D$42/$C275)))</f>
        <v>3.4882678748839373</v>
      </c>
      <c r="H275" s="260">
        <f t="shared" si="29"/>
        <v>74.215513740518418</v>
      </c>
      <c r="I275" s="205">
        <v>0</v>
      </c>
      <c r="J275" s="188">
        <f t="shared" si="32"/>
        <v>261.58274170605875</v>
      </c>
    </row>
    <row r="276" spans="3:10" ht="20" thickBot="1" x14ac:dyDescent="0.3">
      <c r="C276" s="148">
        <f t="shared" si="34"/>
        <v>1600</v>
      </c>
      <c r="D276" s="200">
        <f t="shared" si="30"/>
        <v>0.13129079694053786</v>
      </c>
      <c r="E276" s="213">
        <f t="shared" si="31"/>
        <v>1.7806897234251673E+33</v>
      </c>
      <c r="F276" s="218">
        <f t="shared" si="28"/>
        <v>185.22045779102197</v>
      </c>
      <c r="G276" s="259" cm="1">
        <f t="array" ref="G276">$B$7*SUM((($D$42:$D$42)/$C276)/(EXP($D$42:$D$42/$C276)-1)-LN(1-EXP(-$D$42:$D$42/$C276)))</f>
        <v>3.8712157179400979</v>
      </c>
      <c r="H276" s="260">
        <f t="shared" si="29"/>
        <v>74.752112820664635</v>
      </c>
      <c r="I276" s="205">
        <v>0</v>
      </c>
      <c r="J276" s="188">
        <f t="shared" si="32"/>
        <v>263.84378632962671</v>
      </c>
    </row>
    <row r="277" spans="3:10" ht="20" thickBot="1" x14ac:dyDescent="0.3">
      <c r="C277" s="148">
        <f t="shared" si="34"/>
        <v>1700</v>
      </c>
      <c r="D277" s="200">
        <f t="shared" si="30"/>
        <v>0.13949647174932148</v>
      </c>
      <c r="E277" s="213">
        <f t="shared" si="31"/>
        <v>1.9502112636605715E+33</v>
      </c>
      <c r="F277" s="218">
        <f t="shared" si="28"/>
        <v>186.48060118009846</v>
      </c>
      <c r="G277" s="259" cm="1">
        <f t="array" ref="G277">$B$7*SUM((($D$42:$D$42)/$C277)/(EXP($D$42:$D$42/$C277)-1)-LN(1-EXP(-$D$42:$D$42/$C277)))</f>
        <v>4.2450873195944956</v>
      </c>
      <c r="H277" s="260">
        <f t="shared" si="29"/>
        <v>75.256170176295214</v>
      </c>
      <c r="I277" s="205">
        <v>0</v>
      </c>
      <c r="J277" s="188">
        <f t="shared" si="32"/>
        <v>265.98185867598818</v>
      </c>
    </row>
    <row r="278" spans="3:10" ht="20" thickBot="1" x14ac:dyDescent="0.3">
      <c r="C278" s="148">
        <f t="shared" si="34"/>
        <v>1800</v>
      </c>
      <c r="D278" s="200">
        <f t="shared" si="30"/>
        <v>0.1477021465581051</v>
      </c>
      <c r="E278" s="213">
        <f t="shared" si="31"/>
        <v>2.1247950014265655E+33</v>
      </c>
      <c r="F278" s="218">
        <f t="shared" si="28"/>
        <v>187.66869597017569</v>
      </c>
      <c r="G278" s="259" cm="1">
        <f t="array" ref="G278">$B$7*SUM((($D$42:$D$42)/$C278)/(EXP($D$42:$D$42/$C278)-1)-LN(1-EXP(-$D$42:$D$42/$C278)))</f>
        <v>4.6091772353671541</v>
      </c>
      <c r="H278" s="260">
        <f t="shared" si="29"/>
        <v>75.731408092326078</v>
      </c>
      <c r="I278" s="205">
        <v>0</v>
      </c>
      <c r="J278" s="188">
        <f t="shared" si="32"/>
        <v>268.00928129786894</v>
      </c>
    </row>
    <row r="279" spans="3:10" ht="20" thickBot="1" x14ac:dyDescent="0.3">
      <c r="C279" s="148">
        <f t="shared" si="34"/>
        <v>1900</v>
      </c>
      <c r="D279" s="200">
        <f t="shared" si="30"/>
        <v>0.15590782136688872</v>
      </c>
      <c r="E279" s="213">
        <f t="shared" si="31"/>
        <v>2.3042981957816015E+33</v>
      </c>
      <c r="F279" s="218">
        <f t="shared" si="28"/>
        <v>188.79253723149955</v>
      </c>
      <c r="G279" s="259" cm="1">
        <f t="array" ref="G279">$B$7*SUM((($D$42:$D$42)/$C279)/(EXP($D$42:$D$42/$C279)-1)-LN(1-EXP(-$D$42:$D$42/$C279)))</f>
        <v>4.9631468340724529</v>
      </c>
      <c r="H279" s="260">
        <f t="shared" si="29"/>
        <v>76.180944596855667</v>
      </c>
      <c r="I279" s="205">
        <v>0</v>
      </c>
      <c r="J279" s="188">
        <f t="shared" si="32"/>
        <v>269.93662866242767</v>
      </c>
    </row>
    <row r="280" spans="3:10" ht="20" thickBot="1" x14ac:dyDescent="0.3">
      <c r="C280" s="149">
        <f t="shared" si="34"/>
        <v>2000</v>
      </c>
      <c r="D280" s="201">
        <f t="shared" si="30"/>
        <v>0.16411349617567234</v>
      </c>
      <c r="E280" s="214">
        <f t="shared" si="31"/>
        <v>2.4885895427587478E+33</v>
      </c>
      <c r="F280" s="219">
        <f t="shared" si="28"/>
        <v>189.85871964863918</v>
      </c>
      <c r="G280" s="211" cm="1">
        <f t="array" ref="G280">$B$7*SUM((($D$42:$D$42)/$C280)/(EXP($D$42:$D$42/$C280)-1)-LN(1-EXP(-$D$42:$D$42/$C280)))</f>
        <v>5.3069102691943222</v>
      </c>
      <c r="H280" s="220">
        <f t="shared" si="29"/>
        <v>76.607417563711508</v>
      </c>
      <c r="I280" s="207">
        <v>0</v>
      </c>
      <c r="J280" s="180">
        <f t="shared" si="32"/>
        <v>271.77304748154501</v>
      </c>
    </row>
  </sheetData>
  <mergeCells count="12">
    <mergeCell ref="A53:V53"/>
    <mergeCell ref="A18:V18"/>
    <mergeCell ref="H198:K198"/>
    <mergeCell ref="D212:H212"/>
    <mergeCell ref="C100:D100"/>
    <mergeCell ref="C130:D130"/>
    <mergeCell ref="C131:D131"/>
    <mergeCell ref="F260:J260"/>
    <mergeCell ref="D203:E203"/>
    <mergeCell ref="D245:E245"/>
    <mergeCell ref="H239:K239"/>
    <mergeCell ref="D244:E2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Edoardo Cabiati</dc:creator>
  <cp:lastModifiedBy>Edoardo Cabiati</cp:lastModifiedBy>
  <dcterms:created xsi:type="dcterms:W3CDTF">2024-08-14T21:56:07Z</dcterms:created>
  <dcterms:modified xsi:type="dcterms:W3CDTF">2024-08-16T00:39:28Z</dcterms:modified>
</cp:coreProperties>
</file>