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edoardocabiati/Desktop/Cose_brutte_PoliMI/V anno/II semestre/Molecular Modelling for Processes/MMfP/Project4/"/>
    </mc:Choice>
  </mc:AlternateContent>
  <xr:revisionPtr revIDLastSave="0" documentId="13_ncr:1_{F296B5D2-B921-9546-89A9-E6D7FA9522A5}" xr6:coauthVersionLast="47" xr6:coauthVersionMax="47" xr10:uidLastSave="{00000000-0000-0000-0000-000000000000}"/>
  <bookViews>
    <workbookView xWindow="0" yWindow="760" windowWidth="30240" windowHeight="17740" xr2:uid="{BCAB5495-7A25-E24D-B8BB-73108533BADD}"/>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75" i="1" l="1"/>
  <c r="D176" i="1"/>
  <c r="D177" i="1"/>
  <c r="D178" i="1"/>
  <c r="D179" i="1"/>
  <c r="D180" i="1"/>
  <c r="D181" i="1"/>
  <c r="D182" i="1"/>
  <c r="D183" i="1"/>
  <c r="D184" i="1"/>
  <c r="D185" i="1"/>
  <c r="D186" i="1"/>
  <c r="D187" i="1"/>
  <c r="D188" i="1"/>
  <c r="D189" i="1"/>
  <c r="D190" i="1"/>
  <c r="D191" i="1"/>
  <c r="D192" i="1"/>
  <c r="D175" i="1"/>
  <c r="G263" i="1" a="1"/>
  <c r="G263" i="1" s="1"/>
  <c r="G264" i="1" a="1"/>
  <c r="G264" i="1"/>
  <c r="G265" i="1" a="1"/>
  <c r="G265" i="1" s="1"/>
  <c r="G266" i="1" a="1"/>
  <c r="G266" i="1" s="1"/>
  <c r="G267" i="1" a="1"/>
  <c r="G267" i="1" s="1"/>
  <c r="G268" i="1" a="1"/>
  <c r="G268" i="1" s="1"/>
  <c r="G269" i="1" a="1"/>
  <c r="G269" i="1"/>
  <c r="G270" i="1" a="1"/>
  <c r="G270" i="1"/>
  <c r="G271" i="1" a="1"/>
  <c r="G271" i="1" s="1"/>
  <c r="G272" i="1" a="1"/>
  <c r="G272" i="1"/>
  <c r="G273" i="1" a="1"/>
  <c r="G273" i="1" s="1"/>
  <c r="G274" i="1" a="1"/>
  <c r="G274" i="1"/>
  <c r="G275" i="1" a="1"/>
  <c r="G275" i="1" s="1"/>
  <c r="G276" i="1" a="1"/>
  <c r="G276" i="1"/>
  <c r="G277" i="1" a="1"/>
  <c r="G277" i="1"/>
  <c r="G278" i="1" a="1"/>
  <c r="G278" i="1" s="1"/>
  <c r="G279" i="1" a="1"/>
  <c r="G279" i="1" s="1"/>
  <c r="G280" i="1" a="1"/>
  <c r="G280" i="1"/>
  <c r="G262" i="1" a="1"/>
  <c r="G262" i="1" s="1"/>
  <c r="E256" i="1"/>
  <c r="F256" i="1"/>
  <c r="D256" i="1"/>
  <c r="D248" i="1" l="1"/>
  <c r="D249" i="1"/>
  <c r="D250" i="1"/>
  <c r="D251" i="1"/>
  <c r="D247" i="1"/>
  <c r="D206" i="1"/>
  <c r="D207" i="1"/>
  <c r="D208" i="1"/>
  <c r="D209" i="1"/>
  <c r="D205" i="1"/>
  <c r="E215" i="1" l="1" a="1"/>
  <c r="E215" i="1" s="1"/>
  <c r="E216" i="1" a="1"/>
  <c r="E216" i="1"/>
  <c r="E217" i="1" a="1"/>
  <c r="E217" i="1"/>
  <c r="E218" i="1" a="1"/>
  <c r="E218" i="1" s="1"/>
  <c r="E219" i="1" a="1"/>
  <c r="E219" i="1" s="1"/>
  <c r="E220" i="1" a="1"/>
  <c r="E220" i="1" s="1"/>
  <c r="E221" i="1" a="1"/>
  <c r="E221" i="1"/>
  <c r="E222" i="1" a="1"/>
  <c r="E222" i="1" s="1"/>
  <c r="E223" i="1" a="1"/>
  <c r="E223" i="1" s="1"/>
  <c r="E224" i="1" a="1"/>
  <c r="E224" i="1"/>
  <c r="E225" i="1" a="1"/>
  <c r="E225" i="1"/>
  <c r="E226" i="1" a="1"/>
  <c r="E226" i="1" s="1"/>
  <c r="E227" i="1" a="1"/>
  <c r="E227" i="1" s="1"/>
  <c r="E228" i="1" a="1"/>
  <c r="E228" i="1"/>
  <c r="E229" i="1" a="1"/>
  <c r="E229" i="1"/>
  <c r="E230" i="1" a="1"/>
  <c r="E230" i="1" s="1"/>
  <c r="E231" i="1" a="1"/>
  <c r="E231" i="1" s="1"/>
  <c r="E232" i="1" a="1"/>
  <c r="E232" i="1" s="1"/>
  <c r="E214" i="1" a="1"/>
  <c r="E214" i="1" s="1"/>
  <c r="M139" i="1" l="1"/>
  <c r="E154" i="1"/>
  <c r="E138" i="1"/>
  <c r="E139" i="1"/>
  <c r="E140" i="1"/>
  <c r="E141" i="1"/>
  <c r="E142" i="1"/>
  <c r="E143" i="1"/>
  <c r="E144" i="1"/>
  <c r="E145" i="1"/>
  <c r="E146" i="1"/>
  <c r="E147" i="1"/>
  <c r="E148" i="1"/>
  <c r="E149" i="1"/>
  <c r="E150" i="1"/>
  <c r="E151" i="1"/>
  <c r="E152" i="1"/>
  <c r="E153" i="1"/>
  <c r="E137" i="1"/>
  <c r="E97" i="1" l="1" a="1"/>
  <c r="E97" i="1" s="1"/>
  <c r="E98" i="1" s="1"/>
  <c r="E103" i="1" s="1"/>
  <c r="F97" i="1" a="1"/>
  <c r="F97" i="1" s="1"/>
  <c r="F98" i="1" s="1"/>
  <c r="D97" i="1" a="1"/>
  <c r="D97" i="1" s="1"/>
  <c r="D98" i="1" s="1"/>
  <c r="D103" i="1" s="1"/>
  <c r="M45" i="1"/>
  <c r="G256" i="1"/>
  <c r="E168" i="1"/>
  <c r="F168" i="1"/>
  <c r="D168" i="1"/>
  <c r="D169" i="1" s="1"/>
  <c r="Q265" i="1"/>
  <c r="Q266" i="1" s="1"/>
  <c r="P265" i="1"/>
  <c r="O265" i="1"/>
  <c r="N265" i="1"/>
  <c r="Q264" i="1"/>
  <c r="O216" i="1"/>
  <c r="K215" i="1"/>
  <c r="K209" i="1"/>
  <c r="M215" i="1"/>
  <c r="N215" i="1"/>
  <c r="F214" i="1"/>
  <c r="D214" i="1"/>
  <c r="E248" i="1"/>
  <c r="E249" i="1"/>
  <c r="E250" i="1"/>
  <c r="E251" i="1"/>
  <c r="E247" i="1"/>
  <c r="R265" i="1" s="1"/>
  <c r="O264" i="1"/>
  <c r="E262" i="1"/>
  <c r="D262" i="1"/>
  <c r="D263" i="1"/>
  <c r="E263" i="1"/>
  <c r="F257" i="1"/>
  <c r="F258" i="1" s="1"/>
  <c r="E257" i="1"/>
  <c r="E258" i="1" s="1"/>
  <c r="D257" i="1"/>
  <c r="D258" i="1" s="1"/>
  <c r="C264" i="1"/>
  <c r="C265" i="1" s="1"/>
  <c r="D265" i="1" s="1"/>
  <c r="E206" i="1"/>
  <c r="N216" i="1" s="1"/>
  <c r="N217" i="1" s="1"/>
  <c r="E207" i="1"/>
  <c r="K216" i="1" s="1"/>
  <c r="K217" i="1" s="1"/>
  <c r="E208" i="1"/>
  <c r="M216" i="1" s="1"/>
  <c r="M217" i="1" s="1"/>
  <c r="E209" i="1"/>
  <c r="L216" i="1" s="1"/>
  <c r="E205" i="1"/>
  <c r="F216" i="1"/>
  <c r="F217" i="1"/>
  <c r="F218" i="1"/>
  <c r="F219" i="1"/>
  <c r="F220" i="1"/>
  <c r="F221" i="1"/>
  <c r="F222" i="1"/>
  <c r="F223" i="1"/>
  <c r="F224" i="1"/>
  <c r="F225" i="1"/>
  <c r="F226" i="1"/>
  <c r="F227" i="1"/>
  <c r="F228" i="1"/>
  <c r="F229" i="1"/>
  <c r="F230" i="1"/>
  <c r="F231" i="1"/>
  <c r="F232" i="1"/>
  <c r="F215" i="1"/>
  <c r="D215" i="1"/>
  <c r="D216" i="1"/>
  <c r="D217" i="1"/>
  <c r="D218" i="1"/>
  <c r="D219" i="1"/>
  <c r="D220" i="1"/>
  <c r="D221" i="1"/>
  <c r="D222" i="1"/>
  <c r="D223" i="1"/>
  <c r="D224" i="1"/>
  <c r="D225" i="1"/>
  <c r="D226" i="1"/>
  <c r="D227" i="1"/>
  <c r="D228" i="1"/>
  <c r="D229" i="1"/>
  <c r="D230" i="1"/>
  <c r="D231" i="1"/>
  <c r="D232" i="1"/>
  <c r="C216" i="1"/>
  <c r="L176" i="1"/>
  <c r="L38" i="1"/>
  <c r="L33" i="1"/>
  <c r="L28" i="1"/>
  <c r="L23" i="1"/>
  <c r="E169" i="1"/>
  <c r="F169" i="1"/>
  <c r="E167" i="1"/>
  <c r="K45" i="1"/>
  <c r="L45" i="1" s="1"/>
  <c r="C176" i="1"/>
  <c r="C177" i="1" s="1"/>
  <c r="C178" i="1" s="1"/>
  <c r="C179" i="1" s="1"/>
  <c r="E24" i="1"/>
  <c r="E25" i="1" s="1"/>
  <c r="F24" i="1"/>
  <c r="F25" i="1" s="1"/>
  <c r="D24" i="1"/>
  <c r="D25" i="1" s="1"/>
  <c r="L140" i="1"/>
  <c r="M140" i="1" s="1"/>
  <c r="C138" i="1"/>
  <c r="C139" i="1" s="1"/>
  <c r="L105" i="1"/>
  <c r="E101" i="1"/>
  <c r="F101" i="1" s="1"/>
  <c r="C104" i="1"/>
  <c r="C105" i="1" s="1"/>
  <c r="C106" i="1" s="1"/>
  <c r="C107" i="1" s="1"/>
  <c r="C108" i="1" s="1"/>
  <c r="C109" i="1" s="1"/>
  <c r="C110" i="1" s="1"/>
  <c r="C111" i="1" s="1"/>
  <c r="C112" i="1" s="1"/>
  <c r="C113" i="1" s="1"/>
  <c r="C114" i="1" s="1"/>
  <c r="C115" i="1" s="1"/>
  <c r="C116" i="1" s="1"/>
  <c r="C117" i="1" s="1"/>
  <c r="C118" i="1" s="1"/>
  <c r="C119" i="1" s="1"/>
  <c r="C120" i="1" s="1"/>
  <c r="L68" i="1"/>
  <c r="T9" i="1"/>
  <c r="V8" i="1"/>
  <c r="V7" i="1" s="1"/>
  <c r="D65" i="1"/>
  <c r="L67" i="1" s="1"/>
  <c r="F43" i="1"/>
  <c r="F44" i="1"/>
  <c r="F42" i="1"/>
  <c r="C66" i="1"/>
  <c r="D66" i="1" s="1"/>
  <c r="K38" i="1"/>
  <c r="J38" i="1"/>
  <c r="I38" i="1"/>
  <c r="K33" i="1"/>
  <c r="J33" i="1"/>
  <c r="I33" i="1"/>
  <c r="K28" i="1"/>
  <c r="J28" i="1"/>
  <c r="I28" i="1"/>
  <c r="K23" i="1"/>
  <c r="J23" i="1"/>
  <c r="I23" i="1"/>
  <c r="C43" i="1"/>
  <c r="C44" i="1" s="1"/>
  <c r="B13" i="1"/>
  <c r="G258" i="1" l="1"/>
  <c r="G257" i="1"/>
  <c r="O266" i="1"/>
  <c r="E132" i="1"/>
  <c r="H214" i="1"/>
  <c r="O215" i="1" s="1"/>
  <c r="O217" i="1" s="1"/>
  <c r="L215" i="1"/>
  <c r="L217" i="1" s="1"/>
  <c r="F262" i="1"/>
  <c r="N264" i="1" s="1"/>
  <c r="N266" i="1" s="1"/>
  <c r="F118" i="1"/>
  <c r="D118" i="1"/>
  <c r="M141" i="1"/>
  <c r="D110" i="1"/>
  <c r="C172" i="1"/>
  <c r="L177" i="1" s="1"/>
  <c r="H216" i="1"/>
  <c r="F132" i="1"/>
  <c r="F263" i="1"/>
  <c r="D117" i="1"/>
  <c r="D109" i="1"/>
  <c r="D116" i="1"/>
  <c r="D115" i="1"/>
  <c r="D107" i="1"/>
  <c r="J254" i="1"/>
  <c r="H262" i="1" s="1"/>
  <c r="D113" i="1"/>
  <c r="E265" i="1"/>
  <c r="F265" i="1" s="1"/>
  <c r="D108" i="1"/>
  <c r="D114" i="1"/>
  <c r="D102" i="1"/>
  <c r="F102" i="1"/>
  <c r="D112" i="1"/>
  <c r="D104" i="1"/>
  <c r="F120" i="1"/>
  <c r="F119" i="1"/>
  <c r="F117" i="1"/>
  <c r="F116" i="1"/>
  <c r="F115" i="1"/>
  <c r="F114" i="1"/>
  <c r="F113" i="1"/>
  <c r="F112" i="1"/>
  <c r="F111" i="1"/>
  <c r="F110" i="1"/>
  <c r="F109" i="1"/>
  <c r="F108" i="1"/>
  <c r="F107" i="1"/>
  <c r="F106" i="1"/>
  <c r="F105" i="1"/>
  <c r="F104" i="1"/>
  <c r="F103" i="1"/>
  <c r="G103" i="1" s="1"/>
  <c r="E102" i="1"/>
  <c r="H215" i="1"/>
  <c r="E264" i="1"/>
  <c r="D264" i="1"/>
  <c r="D106" i="1"/>
  <c r="D105" i="1"/>
  <c r="D120" i="1"/>
  <c r="D119" i="1"/>
  <c r="D111" i="1"/>
  <c r="E120" i="1"/>
  <c r="E119" i="1"/>
  <c r="E118" i="1"/>
  <c r="E117" i="1"/>
  <c r="E116" i="1"/>
  <c r="E115" i="1"/>
  <c r="E114" i="1"/>
  <c r="E113" i="1"/>
  <c r="E112" i="1"/>
  <c r="E111" i="1"/>
  <c r="E110" i="1"/>
  <c r="E109" i="1"/>
  <c r="E108" i="1"/>
  <c r="E107" i="1"/>
  <c r="E106" i="1"/>
  <c r="E105" i="1"/>
  <c r="E104" i="1"/>
  <c r="D132" i="1"/>
  <c r="D138" i="1" s="1"/>
  <c r="C217" i="1"/>
  <c r="C266" i="1"/>
  <c r="C267" i="1"/>
  <c r="C180" i="1"/>
  <c r="C140" i="1"/>
  <c r="L69" i="1"/>
  <c r="E65" i="1"/>
  <c r="E66" i="1"/>
  <c r="C67" i="1"/>
  <c r="C68" i="1"/>
  <c r="G111" i="1" l="1"/>
  <c r="G117" i="1"/>
  <c r="G113" i="1"/>
  <c r="G116" i="1"/>
  <c r="G119" i="1"/>
  <c r="G112" i="1"/>
  <c r="G102" i="1"/>
  <c r="G114" i="1"/>
  <c r="G118" i="1"/>
  <c r="G120" i="1"/>
  <c r="G104" i="1"/>
  <c r="G105" i="1"/>
  <c r="G107" i="1"/>
  <c r="G106" i="1"/>
  <c r="G115" i="1"/>
  <c r="G108" i="1"/>
  <c r="G109" i="1"/>
  <c r="G110" i="1"/>
  <c r="H264" i="1"/>
  <c r="J262" i="1"/>
  <c r="R264" i="1" s="1"/>
  <c r="R266" i="1" s="1"/>
  <c r="P264" i="1"/>
  <c r="P266" i="1" s="1"/>
  <c r="H266" i="1"/>
  <c r="H263" i="1"/>
  <c r="J263" i="1" s="1"/>
  <c r="H265" i="1"/>
  <c r="J265" i="1" s="1"/>
  <c r="F264" i="1"/>
  <c r="D139" i="1"/>
  <c r="L139" i="1"/>
  <c r="L141" i="1" s="1"/>
  <c r="D137" i="1"/>
  <c r="D140" i="1"/>
  <c r="C218" i="1"/>
  <c r="H217" i="1"/>
  <c r="E267" i="1"/>
  <c r="D267" i="1"/>
  <c r="E266" i="1"/>
  <c r="D266" i="1"/>
  <c r="H267" i="1"/>
  <c r="C268" i="1"/>
  <c r="C181" i="1"/>
  <c r="C141" i="1"/>
  <c r="D67" i="1"/>
  <c r="E67" i="1" s="1"/>
  <c r="C69" i="1"/>
  <c r="D68" i="1"/>
  <c r="E68" i="1" s="1"/>
  <c r="F267" i="1" l="1"/>
  <c r="J264" i="1"/>
  <c r="F266" i="1"/>
  <c r="J266" i="1"/>
  <c r="D141" i="1"/>
  <c r="J267" i="1"/>
  <c r="C219" i="1"/>
  <c r="H218" i="1"/>
  <c r="E268" i="1"/>
  <c r="D268" i="1"/>
  <c r="H268" i="1"/>
  <c r="C269" i="1"/>
  <c r="C182" i="1"/>
  <c r="C142" i="1"/>
  <c r="C70" i="1"/>
  <c r="D69" i="1"/>
  <c r="E69" i="1" s="1"/>
  <c r="F268" i="1" l="1"/>
  <c r="D142" i="1"/>
  <c r="J268" i="1"/>
  <c r="C220" i="1"/>
  <c r="H219" i="1"/>
  <c r="D269" i="1"/>
  <c r="E269" i="1"/>
  <c r="H269" i="1"/>
  <c r="C270" i="1"/>
  <c r="C183" i="1"/>
  <c r="C143" i="1"/>
  <c r="C71" i="1"/>
  <c r="D70" i="1"/>
  <c r="E70" i="1" s="1"/>
  <c r="D143" i="1" l="1"/>
  <c r="C221" i="1"/>
  <c r="H220" i="1"/>
  <c r="E270" i="1"/>
  <c r="D270" i="1"/>
  <c r="H270" i="1"/>
  <c r="F269" i="1"/>
  <c r="J269" i="1" s="1"/>
  <c r="C271" i="1"/>
  <c r="C184" i="1"/>
  <c r="C144" i="1"/>
  <c r="C72" i="1"/>
  <c r="D71" i="1"/>
  <c r="E71" i="1" s="1"/>
  <c r="F270" i="1" l="1"/>
  <c r="J270" i="1"/>
  <c r="D144" i="1"/>
  <c r="C222" i="1"/>
  <c r="H221" i="1"/>
  <c r="E271" i="1"/>
  <c r="D271" i="1"/>
  <c r="F271" i="1" s="1"/>
  <c r="H271" i="1"/>
  <c r="C272" i="1"/>
  <c r="C185" i="1"/>
  <c r="C145" i="1"/>
  <c r="C73" i="1"/>
  <c r="D72" i="1"/>
  <c r="E72" i="1" s="1"/>
  <c r="J271" i="1" l="1"/>
  <c r="D145" i="1"/>
  <c r="C223" i="1"/>
  <c r="H222" i="1"/>
  <c r="E272" i="1"/>
  <c r="D272" i="1"/>
  <c r="H272" i="1"/>
  <c r="C273" i="1"/>
  <c r="C186" i="1"/>
  <c r="C146" i="1"/>
  <c r="C74" i="1"/>
  <c r="D73" i="1"/>
  <c r="E73" i="1" s="1"/>
  <c r="F272" i="1" l="1"/>
  <c r="J272" i="1" s="1"/>
  <c r="D146" i="1"/>
  <c r="C224" i="1"/>
  <c r="H223" i="1"/>
  <c r="E273" i="1"/>
  <c r="D273" i="1"/>
  <c r="H273" i="1"/>
  <c r="C274" i="1"/>
  <c r="C187" i="1"/>
  <c r="C147" i="1"/>
  <c r="C75" i="1"/>
  <c r="D74" i="1"/>
  <c r="E74" i="1" s="1"/>
  <c r="F273" i="1" l="1"/>
  <c r="J273" i="1" s="1"/>
  <c r="D147" i="1"/>
  <c r="C225" i="1"/>
  <c r="H224" i="1"/>
  <c r="E274" i="1"/>
  <c r="D274" i="1"/>
  <c r="F274" i="1" s="1"/>
  <c r="H274" i="1"/>
  <c r="C275" i="1"/>
  <c r="C188" i="1"/>
  <c r="C148" i="1"/>
  <c r="C76" i="1"/>
  <c r="D75" i="1"/>
  <c r="E75" i="1" s="1"/>
  <c r="J274" i="1" l="1"/>
  <c r="D148" i="1"/>
  <c r="C226" i="1"/>
  <c r="H225" i="1"/>
  <c r="E275" i="1"/>
  <c r="D275" i="1"/>
  <c r="H275" i="1"/>
  <c r="C276" i="1"/>
  <c r="C189" i="1"/>
  <c r="C149" i="1"/>
  <c r="C77" i="1"/>
  <c r="D76" i="1"/>
  <c r="E76" i="1" s="1"/>
  <c r="F275" i="1" l="1"/>
  <c r="J275" i="1"/>
  <c r="D149" i="1"/>
  <c r="C227" i="1"/>
  <c r="H226" i="1"/>
  <c r="E276" i="1"/>
  <c r="D276" i="1"/>
  <c r="H276" i="1"/>
  <c r="C277" i="1"/>
  <c r="C190" i="1"/>
  <c r="C150" i="1"/>
  <c r="C78" i="1"/>
  <c r="D77" i="1"/>
  <c r="E77" i="1" s="1"/>
  <c r="F276" i="1" l="1"/>
  <c r="J276" i="1" s="1"/>
  <c r="D150" i="1"/>
  <c r="C228" i="1"/>
  <c r="H227" i="1"/>
  <c r="D277" i="1"/>
  <c r="E277" i="1"/>
  <c r="H277" i="1"/>
  <c r="C278" i="1"/>
  <c r="C191" i="1"/>
  <c r="C151" i="1"/>
  <c r="C79" i="1"/>
  <c r="D78" i="1"/>
  <c r="E78" i="1" s="1"/>
  <c r="D151" i="1" l="1"/>
  <c r="C229" i="1"/>
  <c r="H228" i="1"/>
  <c r="E278" i="1"/>
  <c r="D278" i="1"/>
  <c r="F278" i="1" s="1"/>
  <c r="H278" i="1"/>
  <c r="F277" i="1"/>
  <c r="J277" i="1" s="1"/>
  <c r="C279" i="1"/>
  <c r="C192" i="1"/>
  <c r="C152" i="1"/>
  <c r="C80" i="1"/>
  <c r="D79" i="1"/>
  <c r="E79" i="1" s="1"/>
  <c r="J278" i="1" l="1"/>
  <c r="D152" i="1"/>
  <c r="C230" i="1"/>
  <c r="H229" i="1"/>
  <c r="E279" i="1"/>
  <c r="D279" i="1"/>
  <c r="H279" i="1"/>
  <c r="C280" i="1"/>
  <c r="C153" i="1"/>
  <c r="C81" i="1"/>
  <c r="D80" i="1"/>
  <c r="E80" i="1" s="1"/>
  <c r="F279" i="1" l="1"/>
  <c r="J279" i="1" s="1"/>
  <c r="D153" i="1"/>
  <c r="C231" i="1"/>
  <c r="H230" i="1"/>
  <c r="E280" i="1"/>
  <c r="D280" i="1"/>
  <c r="H280" i="1"/>
  <c r="C154" i="1"/>
  <c r="C82" i="1"/>
  <c r="D81" i="1"/>
  <c r="E81" i="1" s="1"/>
  <c r="F280" i="1" l="1"/>
  <c r="J280" i="1" s="1"/>
  <c r="D154" i="1"/>
  <c r="C232" i="1"/>
  <c r="H232" i="1" s="1"/>
  <c r="H231" i="1"/>
  <c r="D82" i="1"/>
  <c r="E82" i="1"/>
  <c r="L104" i="1"/>
  <c r="L10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<sst xmlns="http://schemas.openxmlformats.org/spreadsheetml/2006/main" count="247" uniqueCount="127">
  <si>
    <t>TABLE OF CONSTANTS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</si>
  <si>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</si>
  <si>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</si>
  <si>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</si>
  <si>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</si>
  <si>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</si>
  <si>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</si>
  <si>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t>hartree</t>
  </si>
  <si>
    <t>eV</t>
  </si>
  <si>
    <t>kcal/mol</t>
  </si>
  <si>
    <t>kJ/mol</t>
  </si>
  <si>
    <t>J</t>
  </si>
  <si>
    <t>Hz</t>
  </si>
  <si>
    <t>TABLE OF CONVERSIONS (ENERGY)</t>
  </si>
  <si>
    <r>
      <t>cm</t>
    </r>
    <r>
      <rPr>
        <b/>
        <vertAlign val="superscript"/>
        <sz val="14"/>
        <color theme="1"/>
        <rFont val="Aptos Narrow"/>
        <scheme val="minor"/>
      </rPr>
      <t>-1</t>
    </r>
  </si>
  <si>
    <r>
      <t>o</t>
    </r>
    <r>
      <rPr>
        <b/>
        <sz val="14"/>
        <color theme="1"/>
        <rFont val="Aptos Narrow"/>
        <scheme val="minor"/>
      </rPr>
      <t>K</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</si>
  <si>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</si>
  <si>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t>TABLE OF CONVERSIONS (DISTANCE)</t>
  </si>
  <si>
    <t>a0</t>
  </si>
  <si>
    <t>angstrom</t>
  </si>
  <si>
    <t>m</t>
  </si>
  <si>
    <t xml:space="preserve">                      out
in</t>
  </si>
  <si>
    <t>Rotational Symmetry Number</t>
  </si>
  <si>
    <t>Temperature [ K ]</t>
  </si>
  <si>
    <t>Pressure [Atm]</t>
  </si>
  <si>
    <t>Molecular Mass [ amu ]</t>
  </si>
  <si>
    <t xml:space="preserve">Principal Moments of Inertia </t>
  </si>
  <si>
    <t>Rotational Temperatures [ K ]</t>
  </si>
  <si>
    <t>Rotational Constants [ GHZ ]</t>
  </si>
  <si>
    <r>
      <t>[ kg Å</t>
    </r>
    <r>
      <rPr>
        <b/>
        <vertAlign val="superscript"/>
        <sz val="14"/>
        <color theme="1"/>
        <rFont val="Aptos Narrow (Body)"/>
      </rPr>
      <t>2</t>
    </r>
    <r>
      <rPr>
        <b/>
        <sz val="14"/>
        <color theme="1"/>
        <rFont val="Aptos Narrow"/>
        <family val="2"/>
        <scheme val="minor"/>
      </rPr>
      <t xml:space="preserve"> ]</t>
    </r>
  </si>
  <si>
    <r>
      <t>[ kg m</t>
    </r>
    <r>
      <rPr>
        <b/>
        <vertAlign val="superscript"/>
        <sz val="14"/>
        <color theme="1"/>
        <rFont val="Aptos Narrow (Body)"/>
      </rPr>
      <t>2</t>
    </r>
    <r>
      <rPr>
        <b/>
        <sz val="14"/>
        <color theme="1"/>
        <rFont val="Aptos Narrow"/>
        <family val="2"/>
        <scheme val="minor"/>
      </rPr>
      <t xml:space="preserve"> ]</t>
    </r>
  </si>
  <si>
    <r>
      <t>[ amu Å</t>
    </r>
    <r>
      <rPr>
        <b/>
        <vertAlign val="superscript"/>
        <sz val="14"/>
        <color theme="1"/>
        <rFont val="Aptos Narrow (Body)"/>
      </rPr>
      <t xml:space="preserve">2 </t>
    </r>
    <r>
      <rPr>
        <b/>
        <sz val="14"/>
        <color theme="1"/>
        <rFont val="Aptos Narrow"/>
        <family val="2"/>
        <scheme val="minor"/>
      </rPr>
      <t>]</t>
    </r>
  </si>
  <si>
    <t xml:space="preserve">                   out
in</t>
  </si>
  <si>
    <r>
      <t>m</t>
    </r>
    <r>
      <rPr>
        <b/>
        <vertAlign val="subscript"/>
        <sz val="14"/>
        <color theme="1"/>
        <rFont val="Aptos Narrow (Body)"/>
      </rPr>
      <t>e</t>
    </r>
  </si>
  <si>
    <t>TABLE OF CONVERSIONS (MASS)</t>
  </si>
  <si>
    <t>kg</t>
  </si>
  <si>
    <t>x</t>
  </si>
  <si>
    <t>y</t>
  </si>
  <si>
    <t>z</t>
  </si>
  <si>
    <t>Zero-point Correction [ Hartree/Particle ]</t>
  </si>
  <si>
    <t>Thermal Correction to Energy [ Hartree/Particle ]</t>
  </si>
  <si>
    <t>Thermal Correction to Enthalpy [ Hartree/Particle ]</t>
  </si>
  <si>
    <t>Thermal Correction to Gibbs Free Energy [ Hartree/Particle ]</t>
  </si>
  <si>
    <t>E (Thermal) [KCal/Mol]</t>
  </si>
  <si>
    <t>S [Cal/Mol-Kelvin]</t>
  </si>
  <si>
    <t>Total</t>
  </si>
  <si>
    <t>Electronic</t>
  </si>
  <si>
    <t>Translational</t>
  </si>
  <si>
    <t>Rotational</t>
  </si>
  <si>
    <t>Vibrational</t>
  </si>
  <si>
    <t>Q</t>
  </si>
  <si>
    <t>Log10(Q)</t>
  </si>
  <si>
    <t>Ln(Q)</t>
  </si>
  <si>
    <t>Total Bot</t>
  </si>
  <si>
    <t>Total V=0</t>
  </si>
  <si>
    <t>Vib (Bot)</t>
  </si>
  <si>
    <t>Vib (V=0)</t>
  </si>
  <si>
    <t>INTERNAL ENERGY, HEAT CAPACITY,ENTROPY</t>
  </si>
  <si>
    <r>
      <t>C</t>
    </r>
    <r>
      <rPr>
        <b/>
        <vertAlign val="subscript"/>
        <sz val="14"/>
        <rFont val="Calibri"/>
        <family val="2"/>
      </rPr>
      <t>V</t>
    </r>
    <r>
      <rPr>
        <b/>
        <sz val="14"/>
        <rFont val="Calibri"/>
        <family val="2"/>
      </rPr>
      <t xml:space="preserve"> [Cal/Mol-Kelvin]</t>
    </r>
  </si>
  <si>
    <t>MOLECULAR PARTITION FUNCTION</t>
  </si>
  <si>
    <t>Vibrational Temperatures
 [ K ]</t>
  </si>
  <si>
    <t>Harmonic 
Frequencies 
[ cm^-1 ]</t>
  </si>
  <si>
    <t>Zero-point Vibrational Energy</t>
  </si>
  <si>
    <t xml:space="preserve"> [ J/mol ]</t>
  </si>
  <si>
    <t xml:space="preserve"> [ Kcal/mol ]</t>
  </si>
  <si>
    <t>Hartree</t>
  </si>
  <si>
    <t xml:space="preserve"> from theory...</t>
  </si>
  <si>
    <r>
      <t>Volume [ m</t>
    </r>
    <r>
      <rPr>
        <b/>
        <vertAlign val="superscript"/>
        <sz val="14"/>
        <color rgb="FFFF0000"/>
        <rFont val="Aptos Narrow (Body)"/>
      </rPr>
      <t>3</t>
    </r>
    <r>
      <rPr>
        <b/>
        <sz val="14"/>
        <color rgb="FFFF0000"/>
        <rFont val="Aptos Narrow (Body)"/>
      </rPr>
      <t xml:space="preserve"> ]</t>
    </r>
  </si>
  <si>
    <t>Temperatures[K]</t>
  </si>
  <si>
    <t>Harmonic 
Frequencies 
[ Hz ]</t>
  </si>
  <si>
    <t>Reduced Masses [ amu ]</t>
  </si>
  <si>
    <r>
      <rPr>
        <b/>
        <sz val="14"/>
        <color theme="1"/>
        <rFont val="Aptos Narrow"/>
        <scheme val="minor"/>
      </rPr>
      <t>Tamb</t>
    </r>
    <r>
      <rPr>
        <sz val="14"/>
        <color theme="1"/>
        <rFont val="Aptos Narrow"/>
        <scheme val="minor"/>
      </rPr>
      <t xml:space="preserve"> [ K ]</t>
    </r>
  </si>
  <si>
    <r>
      <rPr>
        <b/>
        <sz val="14"/>
        <color theme="1"/>
        <rFont val="Aptos Narrow"/>
        <scheme val="minor"/>
      </rPr>
      <t xml:space="preserve">P </t>
    </r>
    <r>
      <rPr>
        <sz val="14"/>
        <color theme="1"/>
        <rFont val="Aptos Narrow"/>
        <scheme val="minor"/>
      </rPr>
      <t>[ atm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</si>
  <si>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</si>
  <si>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rPr>
        <b/>
        <sz val="14"/>
        <color theme="1"/>
        <rFont val="Aptos Narrow"/>
        <scheme val="minor"/>
      </rPr>
      <t xml:space="preserve">P </t>
    </r>
    <r>
      <rPr>
        <sz val="14"/>
        <color theme="1"/>
        <rFont val="Aptos Narrow"/>
        <scheme val="minor"/>
      </rPr>
      <t>[ Pa ]</t>
    </r>
  </si>
  <si>
    <t>1. TRANSLATIONAL P.F.</t>
  </si>
  <si>
    <r>
      <rPr>
        <b/>
        <sz val="14"/>
        <color theme="1"/>
        <rFont val="Aptos Narrow"/>
        <scheme val="minor"/>
      </rPr>
      <t>h</t>
    </r>
    <r>
      <rPr>
        <sz val="14"/>
        <color theme="1"/>
        <rFont val="Aptos Narrow"/>
        <scheme val="minor"/>
      </rPr>
      <t xml:space="preserve"> [ J s ]</t>
    </r>
  </si>
  <si>
    <r>
      <t>Q</t>
    </r>
    <r>
      <rPr>
        <b/>
        <vertAlign val="subscript"/>
        <sz val="14"/>
        <color rgb="FFFF0000"/>
        <rFont val="Aptos Narrow (Body)"/>
      </rPr>
      <t>transl</t>
    </r>
  </si>
  <si>
    <t>u</t>
  </si>
  <si>
    <t>Theoretical</t>
  </si>
  <si>
    <t>Gaussian</t>
  </si>
  <si>
    <t>P. Error</t>
  </si>
  <si>
    <t>298.15 K</t>
  </si>
  <si>
    <t>COMPARISON AT 298.15 K (Gaussian output is actually set at 298.15 K)</t>
  </si>
  <si>
    <t>2. VIBRATIONAL  P.F.</t>
  </si>
  <si>
    <t xml:space="preserve">                               i
T[K]</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</si>
  <si>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</si>
  <si>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</si>
  <si>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</si>
  <si>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</si>
  <si>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</si>
  <si>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3. ROTATIONAL P.F.</t>
  </si>
  <si>
    <r>
      <t>[ kg m</t>
    </r>
    <r>
      <rPr>
        <b/>
        <vertAlign val="superscript"/>
        <sz val="14"/>
        <color rgb="FFFF0000"/>
        <rFont val="Aptos Narrow (Body)"/>
      </rPr>
      <t>2</t>
    </r>
    <r>
      <rPr>
        <b/>
        <sz val="14"/>
        <color rgb="FFFF0000"/>
        <rFont val="Aptos Narrow"/>
        <family val="2"/>
        <scheme val="minor"/>
      </rPr>
      <t xml:space="preserve"> ]</t>
    </r>
  </si>
  <si>
    <t>4. ELECTRONIC P.F.</t>
  </si>
  <si>
    <t>Energies SCF [ Hartree ]</t>
  </si>
  <si>
    <r>
      <t>Q</t>
    </r>
    <r>
      <rPr>
        <b/>
        <vertAlign val="subscript"/>
        <sz val="14"/>
        <color rgb="FFFF0000"/>
        <rFont val="Aptos Narrow (Body)"/>
      </rPr>
      <t>el</t>
    </r>
  </si>
  <si>
    <t xml:space="preserve">Energies SCF </t>
  </si>
  <si>
    <t>[ Hartree ]</t>
  </si>
  <si>
    <t>final</t>
  </si>
  <si>
    <t>[ J ]</t>
  </si>
  <si>
    <r>
      <t>E</t>
    </r>
    <r>
      <rPr>
        <b/>
        <vertAlign val="subscript"/>
        <sz val="14"/>
        <color rgb="FFFF0000"/>
        <rFont val="Aptos Narrow (Body)"/>
      </rPr>
      <t>el</t>
    </r>
    <r>
      <rPr>
        <b/>
        <sz val="14"/>
        <color rgb="FFFF0000"/>
        <rFont val="Aptos Narrow"/>
        <scheme val="minor"/>
      </rPr>
      <t xml:space="preserve"> [ J ]</t>
    </r>
  </si>
  <si>
    <t>5. HEAT CAPACITY</t>
  </si>
  <si>
    <t>TRANS.</t>
  </si>
  <si>
    <t>VIBR.</t>
  </si>
  <si>
    <t>ROT.</t>
  </si>
  <si>
    <t>ELECT.</t>
  </si>
  <si>
    <t>CONTRIBUTES</t>
  </si>
  <si>
    <t>Vibration</t>
  </si>
  <si>
    <t>Rotation</t>
  </si>
  <si>
    <t>Electron</t>
  </si>
  <si>
    <t xml:space="preserve">Translation </t>
  </si>
  <si>
    <t>[ J mol-1 K -1 ]</t>
  </si>
  <si>
    <t>TOT</t>
  </si>
  <si>
    <t>[Cal/Mol-Kelvin]</t>
  </si>
  <si>
    <t>Entropy</t>
  </si>
  <si>
    <t>Heat Capacity (V=const)</t>
  </si>
  <si>
    <t>Transl. Factor (A)</t>
  </si>
  <si>
    <t>ϑrot</t>
  </si>
  <si>
    <t>Vtilde</t>
  </si>
  <si>
    <t>6. ENTROPY</t>
  </si>
  <si>
    <t>Theoretical 𝜎</t>
  </si>
  <si>
    <r>
      <t>Q</t>
    </r>
    <r>
      <rPr>
        <b/>
        <vertAlign val="subscript"/>
        <sz val="14"/>
        <color rgb="FFFF0000"/>
        <rFont val="Aptos Narrow (Body)"/>
      </rPr>
      <t>rot</t>
    </r>
    <r>
      <rPr>
        <b/>
        <sz val="14"/>
        <color rgb="FFFF0000"/>
        <rFont val="Aptos Narrow"/>
        <scheme val="minor"/>
      </rPr>
      <t>(1) and 𝜎=2</t>
    </r>
  </si>
  <si>
    <r>
      <t>Q</t>
    </r>
    <r>
      <rPr>
        <b/>
        <vertAlign val="subscript"/>
        <sz val="14"/>
        <color rgb="FFFF0000"/>
        <rFont val="Aptos Narrow (Body)"/>
      </rPr>
      <t>rot</t>
    </r>
    <r>
      <rPr>
        <b/>
        <sz val="14"/>
        <color rgb="FFFF0000"/>
        <rFont val="Aptos Narrow"/>
        <scheme val="minor"/>
      </rPr>
      <t>(2) and 𝜎=2</t>
    </r>
  </si>
  <si>
    <t>𝜎=2 and (1)</t>
  </si>
  <si>
    <t>𝜎=2 and (2)</t>
  </si>
  <si>
    <r>
      <t>THEORETICAL DATA - H</t>
    </r>
    <r>
      <rPr>
        <b/>
        <vertAlign val="subscript"/>
        <sz val="22"/>
        <color theme="1"/>
        <rFont val="Aptos Narrow (Body)"/>
      </rPr>
      <t>2</t>
    </r>
    <r>
      <rPr>
        <b/>
        <sz val="22"/>
        <color theme="1"/>
        <rFont val="Aptos Narrow"/>
        <scheme val="minor"/>
      </rPr>
      <t>O</t>
    </r>
  </si>
  <si>
    <r>
      <t>EXPERIMENTAL DATA - H</t>
    </r>
    <r>
      <rPr>
        <b/>
        <vertAlign val="subscript"/>
        <sz val="22"/>
        <color theme="1"/>
        <rFont val="Aptos Narrow (Body)"/>
      </rPr>
      <t>2</t>
    </r>
    <r>
      <rPr>
        <b/>
        <sz val="22"/>
        <color theme="1"/>
        <rFont val="Aptos Narrow"/>
        <scheme val="minor"/>
      </rPr>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</si>
</sst>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
    <numFmt numFmtId="166" formatCode="#,##0.00000"/>
    <numFmt numFmtId="167" formatCode="0.000E+00"/>
  </numFmts>
  <fonts count="44" x14ac:knownFonts="1">
    <font>
      <sz val="12"/>
      <color theme="1"/>
      <name val="Aptos Narrow"/>
      <family val="2"/>
      <scheme val="minor"/>
    </font>
    <font>
      <sz val="14"/>
      <color rgb="FF202122"/>
      <name val="Arial"/>
      <family val="2"/>
    </font>
    <font>
      <sz val="14"/>
      <color theme="1"/>
      <name val="Aptos Narrow"/>
      <family val="2"/>
      <scheme val="minor"/>
    </font>
    <font>
      <sz val="14"/>
      <color theme="1"/>
      <name val="Aptos Narrow (Corpo)"/>
    </font>
    <font>
      <sz val="12"/>
      <color theme="1"/>
      <name val="Aptos Narrow"/>
      <scheme val="minor"/>
    </font>
    <font>
      <sz val="14"/>
      <color theme="1"/>
      <name val="Aptos Narrow"/>
      <scheme val="minor"/>
    </font>
    <font>
      <vertAlign val="superscript"/>
      <sz val="14"/>
      <color theme="1"/>
      <name val="Aptos Narrow"/>
      <scheme val="minor"/>
    </font>
    <fon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b/>
      <sz val="14"/>
      <color theme="1"/>
      <name val="Aptos Narrow"/>
      <scheme val="minor"/>
    </font>
    <font>
      <b/>
      <vertAlign val="subscript"/>
      <sz val="14"/>
      <color theme="1"/>
      <name val="Aptos Narrow"/>
      <scheme val="minor"/>
    </font>
    <font>
      <b/>
      <sz val="14"/>
      <color rgb="FF202122"/>
      <name val="Aptos Narrow"/>
      <scheme val="minor"/>
    </font>
    <font>
      <b/>
      <vertAlign val="subscript"/>
      <sz val="14"/>
      <color rgb="FF202122"/>
      <name val="Aptos Narrow"/>
      <scheme val="minor"/>
    </font>
    <font>
      <b/>
      <vertAlign val="subscript"/>
      <sz val="14"/>
      <color theme="1"/>
      <name val="Aptos Narrow (Corpo)"/>
    </font>
    <font>
      <b/>
      <sz val="12"/>
      <color theme="1"/>
      <name val="Aptos Narrow"/>
      <scheme val="minor"/>
    </font>
    <font>
      <b/>
      <vertAlign val="superscript"/>
      <sz val="14"/>
      <color theme="1"/>
      <name val="Aptos Narrow"/>
      <scheme val="minor"/>
    </font>
    <font>
      <sz val="14"/>
      <color rgb="FF000000"/>
      <name val="Aptos Narrow"/>
      <scheme val="minor"/>
    </font>
    <font>
      <b/>
      <sz val="16"/>
      <color theme="1"/>
      <name val="Aptos Narrow"/>
      <scheme val="minor"/>
    </font>
    <font>
      <vertAlign val="superscript"/>
      <sz val="14"/>
      <color theme="1"/>
      <name val="Aptos Narrow (Body)"/>
    </font>
    <font>
      <b/>
      <sz val="10"/>
      <color theme="1"/>
      <name val="Aptos Narrow (Body)"/>
    </font>
    <font>
      <b/>
      <sz val="14"/>
      <color theme="1"/>
      <name val="Aptos Narrow (Body)"/>
    </font>
    <font>
      <b/>
      <sz val="16"/>
      <color theme="1"/>
      <name val="Aptos Narrow (Body)"/>
    </font>
    <font>
      <b/>
      <sz val="14"/>
      <color rgb="FFFF0000"/>
      <name val="Aptos Narrow"/>
      <scheme val="minor"/>
    </font>
    <font>
      <b/>
      <sz val="14"/>
      <color theme="1"/>
      <name val="Aptos Narrow"/>
      <family val="2"/>
      <scheme val="minor"/>
    </font>
    <font>
      <b/>
      <vertAlign val="superscript"/>
      <sz val="14"/>
      <color theme="1"/>
      <name val="Aptos Narrow (Body)"/>
    </font>
    <font>
      <b/>
      <vertAlign val="subscript"/>
      <sz val="14"/>
      <color theme="1"/>
      <name val="Aptos Narrow (Body)"/>
    </font>
    <font>
      <b/>
      <sz val="14"/>
      <color rgb="FFFF0000"/>
      <name val="Aptos Narrow (Body)"/>
    </font>
    <font>
      <b/>
      <sz val="14"/>
      <name val="Calibri"/>
      <family val="2"/>
    </font>
    <font>
      <b/>
      <vertAlign val="subscript"/>
      <sz val="14"/>
      <name val="Calibri"/>
      <family val="2"/>
    </font>
    <font>
      <b/>
      <sz val="14"/>
      <color rgb="FFFF0000"/>
      <name val="Calibri"/>
      <family val="2"/>
    </font>
    <font>
      <b/>
      <sz val="20"/>
      <color theme="1"/>
      <name val="Aptos Narrow (Body)"/>
    </font>
    <font>
      <sz val="20"/>
      <color theme="1"/>
      <name val="Aptos Narrow"/>
      <family val="2"/>
      <scheme val="minor"/>
    </font>
    <font>
      <b/>
      <sz val="14"/>
      <color rgb="FFFF0000"/>
      <name val="Aptos Narrow"/>
      <family val="2"/>
      <scheme val="minor"/>
    </font>
    <font>
      <b/>
      <vertAlign val="superscript"/>
      <sz val="14"/>
      <color rgb="FFFF0000"/>
      <name val="Aptos Narrow (Body)"/>
    </font>
    <font>
      <b/>
      <vertAlign val="subscript"/>
      <sz val="14"/>
      <color rgb="FFFF0000"/>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sz val="14"/>
      <color theme="1"/>
      <name val="Calibri"/>
      <family val="2"/>
    </font>
    <font>
      <b/>
      <sz val="22"/>
      <color theme="1"/>
      <name val="Aptos Narrow"/>
      <scheme val="minor"/>
    </font>
    <font>
      <b/>
      <vertAlign val="subscript"/>
      <sz val="22"/>
      <color theme="1"/>
      <name val="Aptos Narrow (Body)"/>
    </font>
  </fonts>
  <fills count="9">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1"/>
        <bgColor indexed="64"/>
      </patternFill>
    </fill>
    <fill>
      <patternFill patternType="solid">
        <fgColor rgb="FFE97674"/>
        <bgColor indexed="64"/>
      </patternFill>
    </fill>
  </fills>
  <borders count="57">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diagonalDown="1">
      <left style="medium">
        <color indexed="64"/>
      </left>
      <right style="thin">
        <color indexed="64"/>
      </right>
      <top style="thin">
        <color indexed="64"/>
      </top>
      <bottom style="thin">
        <color indexed="64"/>
      </bottom>
      <diagonal style="medium">
        <color indexed="64"/>
      </diagonal>
    </border>
    <border>
      <left/>
      <right/>
      <top/>
      <bottom style="double">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87">
    <xf numFmtId="0" fontId="0" fillId="0" borderId="0" xfId="0"/>
    <xf numFmtId="0" fontId="2" fillId="0" borderId="0" xfId="0" applyFont="1"/>
    <xf numFmtId="0" fontId="4" fillId="0" borderId="0" xfId="0" applyFont="1"/>
    <xf numFmtId="0" fontId="5" fillId="0" borderId="0" xfId="0" applyFont="1"/>
    <xf numFmtId="11" fontId="2" fillId="0" borderId="0" xfId="0" applyNumberFormat="1" applyFont="1"/>
    <xf numFmtId="0" fontId="11" fillId="3" borderId="7" xfId="0" applyFont="1" applyFill="1" applyBorder="1"/>
    <xf numFmtId="0" fontId="17" fillId="3" borderId="7" xfId="0" applyFont="1" applyFill="1" applyBorder="1"/>
    <xf numFmtId="0" fontId="5" fillId="3" borderId="7" xfId="0" applyFont="1" applyFill="1" applyBorder="1"/>
    <xf numFmtId="3" fontId="5" fillId="3" borderId="7" xfId="0" applyNumberFormat="1" applyFont="1" applyFill="1" applyBorder="1"/>
    <xf numFmtId="11" fontId="5" fillId="3" borderId="7" xfId="0" applyNumberFormat="1" applyFont="1" applyFill="1" applyBorder="1"/>
    <xf numFmtId="0" fontId="19" fillId="3" borderId="1" xfId="0" applyFont="1" applyFill="1" applyBorder="1"/>
    <xf numFmtId="0" fontId="11" fillId="3" borderId="11" xfId="0" applyFont="1" applyFill="1" applyBorder="1"/>
    <xf numFmtId="0" fontId="4" fillId="3" borderId="2" xfId="0" applyFont="1" applyFill="1" applyBorder="1"/>
    <xf numFmtId="0" fontId="11" fillId="3" borderId="3" xfId="0" applyFont="1" applyFill="1" applyBorder="1"/>
    <xf numFmtId="0" fontId="11" fillId="3" borderId="4" xfId="0" applyFont="1" applyFill="1" applyBorder="1"/>
    <xf numFmtId="11" fontId="5" fillId="3" borderId="4" xfId="0" applyNumberFormat="1" applyFont="1" applyFill="1" applyBorder="1"/>
    <xf numFmtId="11" fontId="18" fillId="3" borderId="4" xfId="0" applyNumberFormat="1" applyFont="1" applyFill="1" applyBorder="1"/>
    <xf numFmtId="0" fontId="17" fillId="3" borderId="3" xfId="0" applyFont="1" applyFill="1" applyBorder="1"/>
    <xf numFmtId="0" fontId="11" fillId="3" borderId="5" xfId="0" applyFont="1" applyFill="1" applyBorder="1"/>
    <xf numFmtId="11" fontId="5" fillId="3" borderId="12" xfId="0" applyNumberFormat="1" applyFont="1" applyFill="1" applyBorder="1"/>
    <xf numFmtId="0" fontId="5" fillId="3" borderId="12" xfId="0" applyFont="1" applyFill="1" applyBorder="1"/>
    <xf numFmtId="0" fontId="5" fillId="3" borderId="6" xfId="0" applyFont="1" applyFill="1" applyBorder="1"/>
    <xf numFmtId="165" fontId="5" fillId="3" borderId="7" xfId="0" applyNumberFormat="1" applyFont="1" applyFill="1" applyBorder="1"/>
    <xf numFmtId="0" fontId="21" fillId="3" borderId="15" xfId="0" applyFont="1" applyFill="1" applyBorder="1" applyAlignment="1">
      <alignment wrapText="1"/>
    </xf>
    <xf numFmtId="11" fontId="0" fillId="0" borderId="0" xfId="0" applyNumberFormat="1"/>
    <xf numFmtId="0" fontId="19" fillId="4" borderId="0" xfId="0" applyFont="1" applyFill="1"/>
    <xf numFmtId="0" fontId="11" fillId="4" borderId="7" xfId="0" applyFont="1" applyFill="1" applyBorder="1"/>
    <xf numFmtId="0" fontId="2" fillId="4" borderId="7" xfId="0" applyFont="1" applyFill="1" applyBorder="1"/>
    <xf numFmtId="166" fontId="2" fillId="4" borderId="7" xfId="0" applyNumberFormat="1" applyFont="1" applyFill="1" applyBorder="1"/>
    <xf numFmtId="0" fontId="19" fillId="4" borderId="1" xfId="0" applyFont="1" applyFill="1" applyBorder="1"/>
    <xf numFmtId="0" fontId="2" fillId="4" borderId="11" xfId="0" applyFont="1" applyFill="1" applyBorder="1"/>
    <xf numFmtId="0" fontId="2" fillId="4" borderId="2" xfId="0" applyFont="1" applyFill="1" applyBorder="1"/>
    <xf numFmtId="0" fontId="11" fillId="4" borderId="4" xfId="0" applyFont="1" applyFill="1" applyBorder="1"/>
    <xf numFmtId="0" fontId="11" fillId="4" borderId="3" xfId="0" applyFont="1" applyFill="1" applyBorder="1"/>
    <xf numFmtId="11" fontId="2" fillId="4" borderId="4" xfId="0" applyNumberFormat="1" applyFont="1" applyFill="1" applyBorder="1"/>
    <xf numFmtId="0" fontId="11" fillId="4" borderId="5" xfId="0" applyFont="1" applyFill="1" applyBorder="1"/>
    <xf numFmtId="11" fontId="2" fillId="4" borderId="12" xfId="0" applyNumberFormat="1" applyFont="1" applyFill="1" applyBorder="1"/>
    <xf numFmtId="0" fontId="2" fillId="4" borderId="6" xfId="0" applyFont="1" applyFill="1" applyBorder="1"/>
    <xf numFmtId="0" fontId="2" fillId="0" borderId="10" xfId="0" applyFont="1" applyBorder="1" applyAlignment="1">
      <alignment horizontal="center"/>
    </xf>
    <xf numFmtId="0" fontId="24" fillId="0" borderId="0" xfId="0" applyFont="1"/>
    <xf numFmtId="0" fontId="21" fillId="4" borderId="15" xfId="0" applyFont="1" applyFill="1" applyBorder="1" applyAlignment="1">
      <alignment wrapText="1"/>
    </xf>
    <xf numFmtId="0" fontId="19" fillId="5" borderId="1" xfId="0" applyFont="1" applyFill="1" applyBorder="1"/>
    <xf numFmtId="0" fontId="2" fillId="5" borderId="11" xfId="0" applyFont="1" applyFill="1" applyBorder="1"/>
    <xf numFmtId="0" fontId="2" fillId="5" borderId="2" xfId="0" applyFont="1" applyFill="1" applyBorder="1"/>
    <xf numFmtId="0" fontId="21" fillId="5" borderId="15" xfId="0" applyFont="1" applyFill="1" applyBorder="1" applyAlignment="1">
      <alignment wrapText="1"/>
    </xf>
    <xf numFmtId="0" fontId="11" fillId="5" borderId="7" xfId="0" applyFont="1" applyFill="1" applyBorder="1"/>
    <xf numFmtId="0" fontId="11" fillId="5" borderId="4" xfId="0" applyFont="1" applyFill="1" applyBorder="1"/>
    <xf numFmtId="0" fontId="11" fillId="5" borderId="3" xfId="0" applyFont="1" applyFill="1" applyBorder="1"/>
    <xf numFmtId="0" fontId="2" fillId="5" borderId="7" xfId="0" applyFont="1" applyFill="1" applyBorder="1"/>
    <xf numFmtId="11" fontId="2" fillId="5" borderId="7" xfId="0" applyNumberFormat="1" applyFont="1" applyFill="1" applyBorder="1"/>
    <xf numFmtId="11" fontId="2" fillId="5" borderId="4" xfId="0" applyNumberFormat="1" applyFont="1" applyFill="1" applyBorder="1"/>
    <xf numFmtId="0" fontId="11" fillId="5" borderId="5" xfId="0" applyFont="1" applyFill="1" applyBorder="1"/>
    <xf numFmtId="11" fontId="2" fillId="5" borderId="12" xfId="0" applyNumberFormat="1" applyFont="1" applyFill="1" applyBorder="1"/>
    <xf numFmtId="0" fontId="2" fillId="5" borderId="6" xfId="0" applyFont="1" applyFill="1" applyBorder="1"/>
    <xf numFmtId="167" fontId="5" fillId="3" borderId="7" xfId="0" applyNumberFormat="1" applyFont="1" applyFill="1" applyBorder="1"/>
    <xf numFmtId="0" fontId="25" fillId="0" borderId="17" xfId="0" applyFont="1" applyBorder="1"/>
    <xf numFmtId="0" fontId="25" fillId="0" borderId="20" xfId="0" applyFont="1" applyBorder="1"/>
    <xf numFmtId="0" fontId="25" fillId="0" borderId="22" xfId="0" applyFont="1" applyBorder="1"/>
    <xf numFmtId="0" fontId="2" fillId="0" borderId="29" xfId="0" applyFont="1" applyBorder="1"/>
    <xf numFmtId="0" fontId="2" fillId="0" borderId="30" xfId="0" applyFont="1" applyBorder="1"/>
    <xf numFmtId="0" fontId="2" fillId="0" borderId="31" xfId="0" applyFont="1" applyBorder="1"/>
    <xf numFmtId="0" fontId="2" fillId="0" borderId="33" xfId="0" applyFont="1" applyBorder="1"/>
    <xf numFmtId="0" fontId="2" fillId="0" borderId="10" xfId="0" applyFont="1" applyBorder="1"/>
    <xf numFmtId="0" fontId="2" fillId="6" borderId="25" xfId="0" applyFont="1" applyFill="1" applyBorder="1"/>
    <xf numFmtId="0" fontId="2" fillId="6" borderId="18" xfId="0" applyFont="1" applyFill="1" applyBorder="1"/>
    <xf numFmtId="0" fontId="2" fillId="6" borderId="19" xfId="0" applyFont="1" applyFill="1" applyBorder="1"/>
    <xf numFmtId="11" fontId="2" fillId="6" borderId="3" xfId="0" applyNumberFormat="1" applyFont="1" applyFill="1" applyBorder="1"/>
    <xf numFmtId="11" fontId="2" fillId="6" borderId="7" xfId="0" applyNumberFormat="1" applyFont="1" applyFill="1" applyBorder="1"/>
    <xf numFmtId="11" fontId="2" fillId="6" borderId="5" xfId="0" applyNumberFormat="1" applyFont="1" applyFill="1" applyBorder="1"/>
    <xf numFmtId="11" fontId="2" fillId="6" borderId="12" xfId="0" applyNumberFormat="1" applyFont="1" applyFill="1" applyBorder="1"/>
    <xf numFmtId="11" fontId="2" fillId="6" borderId="6" xfId="0" applyNumberFormat="1" applyFont="1" applyFill="1" applyBorder="1"/>
    <xf numFmtId="0" fontId="28" fillId="0" borderId="26" xfId="0" applyFont="1" applyBorder="1"/>
    <xf numFmtId="0" fontId="2" fillId="0" borderId="27" xfId="0" applyFont="1" applyBorder="1"/>
    <xf numFmtId="0" fontId="2" fillId="0" borderId="28" xfId="0" applyFont="1" applyBorder="1"/>
    <xf numFmtId="0" fontId="29" fillId="0" borderId="33" xfId="0" applyFont="1" applyBorder="1" applyAlignment="1">
      <alignment horizontal="center" vertical="top"/>
    </xf>
    <xf numFmtId="0" fontId="29" fillId="0" borderId="34" xfId="0" applyFont="1" applyBorder="1" applyAlignment="1">
      <alignment horizontal="center" vertical="top"/>
    </xf>
    <xf numFmtId="0" fontId="29" fillId="0" borderId="35" xfId="0" applyFont="1" applyBorder="1" applyAlignment="1">
      <alignment horizontal="center" vertical="top"/>
    </xf>
    <xf numFmtId="0" fontId="29" fillId="0" borderId="29" xfId="0" applyFont="1" applyBorder="1" applyAlignment="1">
      <alignment horizontal="center" vertical="top"/>
    </xf>
    <xf numFmtId="0" fontId="29" fillId="0" borderId="30" xfId="0" applyFont="1" applyBorder="1" applyAlignment="1">
      <alignment horizontal="center" vertical="top"/>
    </xf>
    <xf numFmtId="0" fontId="29" fillId="0" borderId="31" xfId="0" applyFont="1" applyBorder="1" applyAlignment="1">
      <alignment horizontal="center" vertical="top"/>
    </xf>
    <xf numFmtId="0" fontId="2" fillId="0" borderId="17" xfId="0" applyFont="1" applyBorder="1"/>
    <xf numFmtId="0" fontId="2" fillId="0" borderId="22" xfId="0" applyFont="1" applyBorder="1"/>
    <xf numFmtId="0" fontId="29" fillId="0" borderId="40" xfId="0" applyFont="1" applyBorder="1" applyAlignment="1">
      <alignment horizontal="center" vertical="top"/>
    </xf>
    <xf numFmtId="0" fontId="29" fillId="0" borderId="41" xfId="0" applyFont="1" applyBorder="1" applyAlignment="1">
      <alignment horizontal="center" vertical="top"/>
    </xf>
    <xf numFmtId="0" fontId="29" fillId="0" borderId="42" xfId="0" applyFont="1" applyBorder="1" applyAlignment="1">
      <alignment horizontal="center" vertical="top"/>
    </xf>
    <xf numFmtId="0" fontId="2" fillId="6" borderId="7" xfId="0" applyFont="1" applyFill="1" applyBorder="1"/>
    <xf numFmtId="0" fontId="2" fillId="6" borderId="4" xfId="0" applyFont="1" applyFill="1" applyBorder="1"/>
    <xf numFmtId="0" fontId="2" fillId="6" borderId="12" xfId="0" applyFont="1" applyFill="1" applyBorder="1"/>
    <xf numFmtId="0" fontId="2" fillId="6" borderId="6" xfId="0" applyFont="1" applyFill="1" applyBorder="1"/>
    <xf numFmtId="0" fontId="2" fillId="7" borderId="17" xfId="0" applyFont="1" applyFill="1" applyBorder="1"/>
    <xf numFmtId="0" fontId="0" fillId="7" borderId="0" xfId="0" applyFill="1"/>
    <xf numFmtId="0" fontId="24" fillId="0" borderId="26" xfId="0" applyFont="1" applyBorder="1"/>
    <xf numFmtId="0" fontId="0" fillId="7" borderId="10" xfId="0" applyFill="1" applyBorder="1"/>
    <xf numFmtId="0" fontId="2" fillId="6" borderId="9" xfId="0" applyFont="1" applyFill="1" applyBorder="1"/>
    <xf numFmtId="0" fontId="2" fillId="6" borderId="43" xfId="0" applyFont="1" applyFill="1" applyBorder="1"/>
    <xf numFmtId="0" fontId="2" fillId="6" borderId="32" xfId="0" applyFont="1" applyFill="1" applyBorder="1"/>
    <xf numFmtId="0" fontId="2" fillId="7" borderId="10" xfId="0" applyFont="1" applyFill="1" applyBorder="1"/>
    <xf numFmtId="0" fontId="0" fillId="0" borderId="27" xfId="0" applyBorder="1"/>
    <xf numFmtId="0" fontId="0" fillId="0" borderId="28" xfId="0" applyBorder="1"/>
    <xf numFmtId="0" fontId="31" fillId="0" borderId="26" xfId="0" applyFont="1" applyBorder="1" applyAlignment="1">
      <alignment horizontal="left" vertical="top"/>
    </xf>
    <xf numFmtId="0" fontId="16" fillId="0" borderId="33" xfId="0" applyFont="1" applyBorder="1" applyAlignment="1">
      <alignment horizontal="center"/>
    </xf>
    <xf numFmtId="0" fontId="16" fillId="0" borderId="34" xfId="0" applyFont="1" applyBorder="1" applyAlignment="1">
      <alignment horizontal="center"/>
    </xf>
    <xf numFmtId="0" fontId="16" fillId="0" borderId="35" xfId="0" applyFont="1" applyBorder="1" applyAlignment="1">
      <alignment horizontal="center"/>
    </xf>
    <xf numFmtId="0" fontId="2" fillId="6" borderId="44" xfId="0" applyFont="1" applyFill="1" applyBorder="1"/>
    <xf numFmtId="0" fontId="2" fillId="6" borderId="45" xfId="0" applyFont="1" applyFill="1" applyBorder="1"/>
    <xf numFmtId="0" fontId="2" fillId="6" borderId="46" xfId="0" applyFont="1" applyFill="1" applyBorder="1"/>
    <xf numFmtId="0" fontId="16" fillId="0" borderId="0" xfId="0" applyFont="1" applyAlignment="1">
      <alignment horizontal="center"/>
    </xf>
    <xf numFmtId="0" fontId="24" fillId="0" borderId="29" xfId="0" applyFont="1" applyBorder="1" applyAlignment="1">
      <alignment horizontal="center" wrapText="1"/>
    </xf>
    <xf numFmtId="0" fontId="24" fillId="0" borderId="31" xfId="0" applyFont="1" applyBorder="1" applyAlignment="1">
      <alignment horizontal="center" wrapText="1"/>
    </xf>
    <xf numFmtId="0" fontId="29" fillId="0" borderId="0" xfId="0" applyFont="1" applyAlignment="1">
      <alignment horizontal="center" vertical="top"/>
    </xf>
    <xf numFmtId="0" fontId="11" fillId="0" borderId="33" xfId="0" applyFont="1" applyBorder="1"/>
    <xf numFmtId="0" fontId="11" fillId="0" borderId="35" xfId="0" applyFont="1" applyBorder="1"/>
    <xf numFmtId="0" fontId="11" fillId="0" borderId="0" xfId="0" applyFont="1" applyAlignment="1">
      <alignment horizontal="center"/>
    </xf>
    <xf numFmtId="0" fontId="11" fillId="0" borderId="22" xfId="0" applyFont="1" applyBorder="1" applyAlignment="1">
      <alignment horizontal="center"/>
    </xf>
    <xf numFmtId="0" fontId="11" fillId="0" borderId="13" xfId="0" applyFont="1" applyBorder="1" applyAlignment="1">
      <alignment horizontal="center"/>
    </xf>
    <xf numFmtId="0" fontId="11" fillId="0" borderId="14" xfId="0" applyFont="1" applyBorder="1" applyAlignment="1">
      <alignment horizontal="center"/>
    </xf>
    <xf numFmtId="0" fontId="11" fillId="0" borderId="26" xfId="0" applyFont="1" applyBorder="1" applyAlignment="1">
      <alignment horizontal="center"/>
    </xf>
    <xf numFmtId="0" fontId="11" fillId="0" borderId="27" xfId="0" applyFont="1" applyBorder="1" applyAlignment="1">
      <alignment horizontal="center"/>
    </xf>
    <xf numFmtId="0" fontId="11" fillId="0" borderId="28" xfId="0" applyFont="1" applyBorder="1" applyAlignment="1">
      <alignment horizontal="center"/>
    </xf>
    <xf numFmtId="0" fontId="2" fillId="6" borderId="29" xfId="0" applyFont="1" applyFill="1" applyBorder="1"/>
    <xf numFmtId="0" fontId="2" fillId="6" borderId="30" xfId="0" applyFont="1" applyFill="1" applyBorder="1"/>
    <xf numFmtId="0" fontId="2" fillId="6" borderId="31" xfId="0" applyFont="1" applyFill="1" applyBorder="1"/>
    <xf numFmtId="0" fontId="2" fillId="6" borderId="10" xfId="0" applyFont="1" applyFill="1" applyBorder="1"/>
    <xf numFmtId="0" fontId="11" fillId="0" borderId="29" xfId="0" applyFont="1" applyBorder="1" applyAlignment="1">
      <alignment horizontal="center"/>
    </xf>
    <xf numFmtId="0" fontId="11" fillId="0" borderId="30" xfId="0" applyFont="1" applyBorder="1" applyAlignment="1">
      <alignment horizontal="center"/>
    </xf>
    <xf numFmtId="0" fontId="11" fillId="0" borderId="31" xfId="0" applyFont="1" applyBorder="1" applyAlignment="1">
      <alignment horizontal="center"/>
    </xf>
    <xf numFmtId="0" fontId="5" fillId="6" borderId="29" xfId="0" applyFont="1" applyFill="1" applyBorder="1"/>
    <xf numFmtId="0" fontId="5" fillId="6" borderId="30" xfId="0" applyFont="1" applyFill="1" applyBorder="1"/>
    <xf numFmtId="0" fontId="5" fillId="6" borderId="31" xfId="0" applyFont="1" applyFill="1" applyBorder="1"/>
    <xf numFmtId="0" fontId="24" fillId="0" borderId="10" xfId="0" applyFont="1" applyBorder="1" applyAlignment="1">
      <alignment horizontal="center"/>
    </xf>
    <xf numFmtId="0" fontId="11" fillId="0" borderId="33" xfId="0" applyFont="1" applyBorder="1" applyAlignment="1">
      <alignment horizontal="center"/>
    </xf>
    <xf numFmtId="0" fontId="11" fillId="0" borderId="34" xfId="0" applyFont="1" applyBorder="1" applyAlignment="1">
      <alignment horizontal="center"/>
    </xf>
    <xf numFmtId="0" fontId="11" fillId="0" borderId="35" xfId="0" applyFont="1" applyBorder="1" applyAlignment="1">
      <alignment horizontal="center"/>
    </xf>
    <xf numFmtId="0" fontId="32" fillId="8" borderId="0" xfId="0" applyFont="1" applyFill="1"/>
    <xf numFmtId="0" fontId="33" fillId="8" borderId="0" xfId="0" applyFont="1" applyFill="1"/>
    <xf numFmtId="11" fontId="2" fillId="6" borderId="0" xfId="0" applyNumberFormat="1" applyFont="1" applyFill="1"/>
    <xf numFmtId="0" fontId="2" fillId="6" borderId="8" xfId="0" applyFont="1" applyFill="1" applyBorder="1"/>
    <xf numFmtId="0" fontId="2" fillId="6" borderId="48" xfId="0" applyFont="1" applyFill="1" applyBorder="1"/>
    <xf numFmtId="0" fontId="24" fillId="0" borderId="42" xfId="0" applyFont="1" applyBorder="1" applyAlignment="1">
      <alignment horizontal="center" wrapText="1"/>
    </xf>
    <xf numFmtId="11" fontId="2" fillId="6" borderId="33" xfId="0" applyNumberFormat="1" applyFont="1" applyFill="1" applyBorder="1"/>
    <xf numFmtId="11" fontId="2" fillId="6" borderId="34" xfId="0" applyNumberFormat="1" applyFont="1" applyFill="1" applyBorder="1"/>
    <xf numFmtId="11" fontId="2" fillId="6" borderId="35" xfId="0" applyNumberFormat="1" applyFont="1" applyFill="1" applyBorder="1"/>
    <xf numFmtId="0" fontId="24" fillId="0" borderId="10" xfId="0" applyFont="1" applyBorder="1" applyAlignment="1">
      <alignment horizontal="center" vertical="center" wrapText="1"/>
    </xf>
    <xf numFmtId="0" fontId="5" fillId="2" borderId="20" xfId="0" applyFont="1" applyFill="1" applyBorder="1"/>
    <xf numFmtId="0" fontId="7" fillId="2" borderId="20" xfId="0" applyFont="1" applyFill="1" applyBorder="1"/>
    <xf numFmtId="11" fontId="1" fillId="2" borderId="21" xfId="0" applyNumberFormat="1" applyFont="1" applyFill="1" applyBorder="1"/>
    <xf numFmtId="11" fontId="2" fillId="2" borderId="21" xfId="0" applyNumberFormat="1" applyFont="1" applyFill="1" applyBorder="1"/>
    <xf numFmtId="0" fontId="5" fillId="2" borderId="49" xfId="0" applyFont="1" applyFill="1" applyBorder="1"/>
    <xf numFmtId="0" fontId="2" fillId="2" borderId="21" xfId="0" applyFont="1" applyFill="1" applyBorder="1" applyAlignment="1">
      <alignment horizontal="right" vertical="center"/>
    </xf>
    <xf numFmtId="11" fontId="2" fillId="2" borderId="47" xfId="0" applyNumberFormat="1" applyFont="1" applyFill="1" applyBorder="1" applyAlignment="1">
      <alignment horizontal="right"/>
    </xf>
    <xf numFmtId="0" fontId="5" fillId="2" borderId="38" xfId="0" applyFont="1" applyFill="1" applyBorder="1"/>
    <xf numFmtId="164" fontId="7" fillId="2" borderId="44" xfId="0" applyNumberFormat="1" applyFont="1" applyFill="1" applyBorder="1"/>
    <xf numFmtId="11" fontId="1" fillId="2" borderId="44" xfId="0" applyNumberFormat="1" applyFont="1" applyFill="1" applyBorder="1"/>
    <xf numFmtId="0" fontId="2" fillId="2" borderId="44" xfId="0" applyFont="1" applyFill="1" applyBorder="1" applyAlignment="1">
      <alignment horizontal="right" vertical="center"/>
    </xf>
    <xf numFmtId="11" fontId="7" fillId="2" borderId="47" xfId="0" applyNumberFormat="1" applyFont="1" applyFill="1" applyBorder="1"/>
    <xf numFmtId="0" fontId="19" fillId="2" borderId="26" xfId="0" applyFont="1" applyFill="1" applyBorder="1"/>
    <xf numFmtId="0" fontId="5" fillId="2" borderId="28" xfId="0" applyFont="1" applyFill="1" applyBorder="1"/>
    <xf numFmtId="11" fontId="2" fillId="2" borderId="44" xfId="0" applyNumberFormat="1" applyFont="1" applyFill="1" applyBorder="1"/>
    <xf numFmtId="0" fontId="11" fillId="0" borderId="1" xfId="0" applyFont="1" applyBorder="1" applyAlignment="1">
      <alignment horizontal="center"/>
    </xf>
    <xf numFmtId="0" fontId="11" fillId="0" borderId="38" xfId="0" applyFont="1" applyBorder="1" applyAlignment="1">
      <alignment horizontal="center"/>
    </xf>
    <xf numFmtId="0" fontId="11" fillId="0" borderId="39" xfId="0" applyFont="1" applyBorder="1" applyAlignment="1">
      <alignment horizontal="center"/>
    </xf>
    <xf numFmtId="0" fontId="28" fillId="0" borderId="23" xfId="0" applyFont="1" applyBorder="1" applyAlignment="1">
      <alignment horizontal="center" vertical="center"/>
    </xf>
    <xf numFmtId="11" fontId="2" fillId="0" borderId="33" xfId="0" applyNumberFormat="1" applyFont="1" applyBorder="1"/>
    <xf numFmtId="11" fontId="2" fillId="0" borderId="34" xfId="0" applyNumberFormat="1" applyFont="1" applyBorder="1"/>
    <xf numFmtId="11" fontId="2" fillId="0" borderId="35" xfId="0" applyNumberFormat="1" applyFont="1" applyBorder="1"/>
    <xf numFmtId="0" fontId="24" fillId="0" borderId="23" xfId="0" applyFont="1" applyBorder="1" applyAlignment="1">
      <alignment horizontal="center" vertical="center"/>
    </xf>
    <xf numFmtId="11" fontId="2" fillId="2" borderId="44" xfId="0" applyNumberFormat="1" applyFont="1" applyFill="1" applyBorder="1" applyAlignment="1">
      <alignment horizontal="right" vertical="center"/>
    </xf>
    <xf numFmtId="11" fontId="2" fillId="0" borderId="1" xfId="0" applyNumberFormat="1" applyFont="1" applyBorder="1"/>
    <xf numFmtId="11" fontId="2" fillId="0" borderId="38" xfId="0" applyNumberFormat="1" applyFont="1" applyBorder="1"/>
    <xf numFmtId="11" fontId="2" fillId="0" borderId="39" xfId="0" applyNumberFormat="1" applyFont="1" applyBorder="1"/>
    <xf numFmtId="0" fontId="23" fillId="8" borderId="0" xfId="0" applyFont="1" applyFill="1"/>
    <xf numFmtId="0" fontId="2" fillId="8" borderId="0" xfId="0" applyFont="1" applyFill="1"/>
    <xf numFmtId="10" fontId="2" fillId="4" borderId="0" xfId="0" applyNumberFormat="1" applyFont="1" applyFill="1"/>
    <xf numFmtId="0" fontId="0" fillId="8" borderId="0" xfId="0" applyFill="1"/>
    <xf numFmtId="0" fontId="24" fillId="0" borderId="50" xfId="0" applyFont="1" applyBorder="1" applyAlignment="1">
      <alignment horizontal="left" vertical="center" wrapText="1"/>
    </xf>
    <xf numFmtId="0" fontId="16" fillId="0" borderId="29" xfId="0" applyFont="1" applyBorder="1" applyAlignment="1">
      <alignment horizontal="center"/>
    </xf>
    <xf numFmtId="0" fontId="16" fillId="0" borderId="30" xfId="0" applyFont="1" applyBorder="1" applyAlignment="1">
      <alignment horizontal="center"/>
    </xf>
    <xf numFmtId="0" fontId="16" fillId="0" borderId="31" xfId="0" applyFont="1" applyBorder="1" applyAlignment="1">
      <alignment horizontal="center"/>
    </xf>
    <xf numFmtId="0" fontId="16" fillId="0" borderId="29" xfId="0" applyFont="1" applyBorder="1" applyAlignment="1">
      <alignment horizontal="center" vertical="center"/>
    </xf>
    <xf numFmtId="0" fontId="16" fillId="0" borderId="30" xfId="0" applyFont="1" applyBorder="1" applyAlignment="1">
      <alignment horizontal="center" vertical="center"/>
    </xf>
    <xf numFmtId="0" fontId="11" fillId="0" borderId="10" xfId="0" applyFont="1" applyBorder="1" applyAlignment="1">
      <alignment horizontal="center"/>
    </xf>
    <xf numFmtId="0" fontId="28" fillId="0" borderId="10" xfId="0" applyFont="1" applyBorder="1"/>
    <xf numFmtId="0" fontId="28" fillId="0" borderId="10" xfId="0" applyFont="1" applyBorder="1" applyAlignment="1">
      <alignment horizontal="center"/>
    </xf>
    <xf numFmtId="0" fontId="24" fillId="0" borderId="26" xfId="0" applyFont="1" applyBorder="1" applyAlignment="1">
      <alignment horizontal="center"/>
    </xf>
    <xf numFmtId="0" fontId="2" fillId="6" borderId="40" xfId="0" applyFont="1" applyFill="1" applyBorder="1"/>
    <xf numFmtId="11" fontId="2" fillId="6" borderId="29" xfId="0" applyNumberFormat="1" applyFont="1" applyFill="1" applyBorder="1"/>
    <xf numFmtId="11" fontId="2" fillId="6" borderId="30" xfId="0" applyNumberFormat="1" applyFont="1" applyFill="1" applyBorder="1"/>
    <xf numFmtId="11" fontId="2" fillId="6" borderId="31" xfId="0" applyNumberFormat="1" applyFont="1" applyFill="1" applyBorder="1"/>
    <xf numFmtId="11" fontId="0" fillId="0" borderId="7" xfId="0" applyNumberFormat="1" applyBorder="1"/>
    <xf numFmtId="0" fontId="34" fillId="0" borderId="22" xfId="0" applyFont="1" applyBorder="1" applyAlignment="1">
      <alignment horizontal="center"/>
    </xf>
    <xf numFmtId="0" fontId="24" fillId="0" borderId="17" xfId="0" applyFont="1" applyBorder="1" applyAlignment="1">
      <alignment horizontal="center" vertical="center"/>
    </xf>
    <xf numFmtId="0" fontId="24" fillId="0" borderId="37" xfId="0" applyFont="1" applyBorder="1" applyAlignment="1">
      <alignment horizontal="center" vertical="center"/>
    </xf>
    <xf numFmtId="11" fontId="2" fillId="0" borderId="2" xfId="0" applyNumberFormat="1" applyFont="1" applyBorder="1"/>
    <xf numFmtId="11" fontId="2" fillId="0" borderId="10" xfId="0" applyNumberFormat="1" applyFont="1" applyBorder="1"/>
    <xf numFmtId="0" fontId="31" fillId="0" borderId="0" xfId="0" applyFont="1"/>
    <xf numFmtId="0" fontId="24" fillId="0" borderId="24" xfId="0" applyFont="1" applyBorder="1" applyAlignment="1">
      <alignment horizontal="center"/>
    </xf>
    <xf numFmtId="0" fontId="28" fillId="0" borderId="33" xfId="0" applyFont="1" applyBorder="1" applyAlignment="1">
      <alignment horizontal="center"/>
    </xf>
    <xf numFmtId="0" fontId="11" fillId="0" borderId="52" xfId="0" applyFont="1" applyBorder="1" applyAlignment="1">
      <alignment horizontal="center"/>
    </xf>
    <xf numFmtId="0" fontId="5" fillId="6" borderId="52" xfId="0" applyFont="1" applyFill="1" applyBorder="1"/>
    <xf numFmtId="11" fontId="0" fillId="0" borderId="10" xfId="0" applyNumberFormat="1" applyBorder="1"/>
    <xf numFmtId="11" fontId="0" fillId="0" borderId="10" xfId="0" applyNumberFormat="1" applyBorder="1" applyAlignment="1">
      <alignment horizontal="center"/>
    </xf>
    <xf numFmtId="0" fontId="41" fillId="6" borderId="10" xfId="0" applyFont="1" applyFill="1" applyBorder="1" applyAlignment="1">
      <alignment horizontal="center" vertical="center"/>
    </xf>
    <xf numFmtId="11" fontId="2" fillId="6" borderId="10" xfId="0" applyNumberFormat="1" applyFont="1" applyFill="1" applyBorder="1" applyAlignment="1">
      <alignment horizontal="center"/>
    </xf>
    <xf numFmtId="0" fontId="16" fillId="0" borderId="10" xfId="0" applyFont="1" applyBorder="1" applyAlignment="1">
      <alignment horizontal="center"/>
    </xf>
    <xf numFmtId="0" fontId="24" fillId="0" borderId="29" xfId="0" applyFont="1" applyBorder="1" applyAlignment="1">
      <alignment horizontal="center"/>
    </xf>
    <xf numFmtId="0" fontId="24" fillId="0" borderId="30" xfId="0" applyFont="1" applyBorder="1" applyAlignment="1">
      <alignment horizontal="center"/>
    </xf>
    <xf numFmtId="0" fontId="24" fillId="0" borderId="31" xfId="0" applyFont="1" applyBorder="1" applyAlignment="1">
      <alignment horizontal="center"/>
    </xf>
    <xf numFmtId="11" fontId="0" fillId="0" borderId="23" xfId="0" applyNumberFormat="1" applyBorder="1"/>
    <xf numFmtId="11" fontId="2" fillId="6" borderId="51" xfId="0" applyNumberFormat="1" applyFont="1" applyFill="1" applyBorder="1"/>
    <xf numFmtId="11" fontId="2" fillId="6" borderId="53" xfId="0" applyNumberFormat="1" applyFont="1" applyFill="1" applyBorder="1"/>
    <xf numFmtId="0" fontId="24" fillId="0" borderId="31" xfId="0" applyFont="1" applyBorder="1"/>
    <xf numFmtId="0" fontId="11" fillId="0" borderId="17" xfId="0" applyFont="1" applyBorder="1" applyAlignment="1">
      <alignment horizontal="center"/>
    </xf>
    <xf numFmtId="0" fontId="0" fillId="7" borderId="24" xfId="0" applyFill="1" applyBorder="1"/>
    <xf numFmtId="11" fontId="2" fillId="6" borderId="38" xfId="0" applyNumberFormat="1" applyFont="1" applyFill="1" applyBorder="1"/>
    <xf numFmtId="0" fontId="24" fillId="0" borderId="41" xfId="0" applyFont="1" applyBorder="1" applyAlignment="1">
      <alignment horizontal="center"/>
    </xf>
    <xf numFmtId="0" fontId="24" fillId="0" borderId="27" xfId="0" applyFont="1" applyBorder="1"/>
    <xf numFmtId="0" fontId="24" fillId="0" borderId="28" xfId="0" applyFont="1" applyBorder="1"/>
    <xf numFmtId="11" fontId="11" fillId="6" borderId="31" xfId="0" applyNumberFormat="1" applyFont="1" applyFill="1" applyBorder="1" applyAlignment="1">
      <alignment horizontal="center"/>
    </xf>
    <xf numFmtId="11" fontId="2" fillId="0" borderId="33" xfId="0" applyNumberFormat="1" applyFont="1" applyBorder="1" applyAlignment="1">
      <alignment horizontal="center"/>
    </xf>
    <xf numFmtId="11" fontId="2" fillId="0" borderId="34" xfId="0" applyNumberFormat="1" applyFont="1" applyBorder="1" applyAlignment="1">
      <alignment horizontal="center"/>
    </xf>
    <xf numFmtId="11" fontId="2" fillId="0" borderId="35" xfId="0" applyNumberFormat="1" applyFont="1" applyBorder="1" applyAlignment="1">
      <alignment horizontal="center"/>
    </xf>
    <xf numFmtId="11" fontId="2" fillId="0" borderId="17" xfId="0" applyNumberFormat="1" applyFont="1" applyBorder="1" applyAlignment="1">
      <alignment horizontal="center"/>
    </xf>
    <xf numFmtId="0" fontId="2" fillId="0" borderId="37"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2" fillId="0" borderId="14" xfId="0" applyFont="1" applyBorder="1" applyAlignment="1">
      <alignment horizontal="center"/>
    </xf>
    <xf numFmtId="164" fontId="2" fillId="0" borderId="36" xfId="0" applyNumberFormat="1" applyFont="1" applyBorder="1" applyAlignment="1">
      <alignment horizontal="center"/>
    </xf>
    <xf numFmtId="11" fontId="2" fillId="0" borderId="23" xfId="0" applyNumberFormat="1" applyFont="1" applyBorder="1"/>
    <xf numFmtId="164" fontId="2" fillId="0" borderId="13" xfId="0" applyNumberFormat="1" applyFont="1" applyBorder="1" applyAlignment="1">
      <alignment horizontal="center"/>
    </xf>
    <xf numFmtId="0" fontId="2" fillId="0" borderId="13" xfId="0" applyFont="1" applyBorder="1" applyAlignment="1">
      <alignment horizontal="center"/>
    </xf>
    <xf numFmtId="11" fontId="2" fillId="0" borderId="11" xfId="0" applyNumberFormat="1" applyFont="1" applyBorder="1" applyAlignment="1">
      <alignment horizontal="center"/>
    </xf>
    <xf numFmtId="11" fontId="2" fillId="0" borderId="8" xfId="0" applyNumberFormat="1" applyFont="1" applyBorder="1" applyAlignment="1">
      <alignment horizontal="center"/>
    </xf>
    <xf numFmtId="11" fontId="2" fillId="0" borderId="48" xfId="0" applyNumberFormat="1" applyFont="1" applyBorder="1" applyAlignment="1">
      <alignment horizontal="center"/>
    </xf>
    <xf numFmtId="0" fontId="24" fillId="0" borderId="40" xfId="0" applyFont="1" applyBorder="1" applyAlignment="1">
      <alignment horizontal="center"/>
    </xf>
    <xf numFmtId="0" fontId="24" fillId="0" borderId="42" xfId="0" applyFont="1" applyBorder="1" applyAlignment="1">
      <alignment horizontal="center"/>
    </xf>
    <xf numFmtId="11" fontId="2" fillId="0" borderId="36" xfId="0" applyNumberFormat="1" applyFont="1" applyBorder="1" applyAlignment="1">
      <alignment horizontal="center"/>
    </xf>
    <xf numFmtId="11" fontId="2" fillId="0" borderId="20" xfId="0" applyNumberFormat="1" applyFont="1" applyBorder="1" applyAlignment="1">
      <alignment horizontal="center"/>
    </xf>
    <xf numFmtId="11" fontId="2" fillId="0" borderId="22" xfId="0" applyNumberFormat="1" applyFont="1" applyBorder="1" applyAlignment="1">
      <alignment horizontal="center"/>
    </xf>
    <xf numFmtId="11" fontId="2" fillId="0" borderId="13" xfId="0" applyNumberFormat="1" applyFont="1" applyBorder="1" applyAlignment="1">
      <alignment horizontal="center"/>
    </xf>
    <xf numFmtId="11" fontId="2" fillId="6" borderId="10" xfId="0" applyNumberFormat="1" applyFont="1" applyFill="1" applyBorder="1"/>
    <xf numFmtId="0" fontId="2" fillId="6" borderId="33" xfId="0" applyFont="1" applyFill="1" applyBorder="1"/>
    <xf numFmtId="0" fontId="2" fillId="6" borderId="34" xfId="0" applyFont="1" applyFill="1" applyBorder="1"/>
    <xf numFmtId="0" fontId="2" fillId="6" borderId="35" xfId="0" applyFont="1" applyFill="1" applyBorder="1"/>
    <xf numFmtId="11" fontId="2" fillId="6" borderId="31" xfId="0" applyNumberFormat="1" applyFont="1" applyFill="1" applyBorder="1" applyAlignment="1">
      <alignment horizontal="center"/>
    </xf>
    <xf numFmtId="0" fontId="2" fillId="6" borderId="2" xfId="0" applyFont="1" applyFill="1" applyBorder="1"/>
    <xf numFmtId="0" fontId="2" fillId="6" borderId="11" xfId="0" applyFont="1" applyFill="1" applyBorder="1"/>
    <xf numFmtId="0" fontId="16" fillId="0" borderId="40" xfId="0" applyFont="1" applyBorder="1" applyAlignment="1">
      <alignment horizontal="center"/>
    </xf>
    <xf numFmtId="0" fontId="16" fillId="0" borderId="41" xfId="0" applyFont="1" applyBorder="1" applyAlignment="1">
      <alignment horizontal="center"/>
    </xf>
    <xf numFmtId="0" fontId="16" fillId="0" borderId="42" xfId="0" applyFont="1" applyBorder="1" applyAlignment="1">
      <alignment horizontal="center"/>
    </xf>
    <xf numFmtId="0" fontId="41" fillId="6" borderId="29" xfId="0" applyFont="1" applyFill="1" applyBorder="1" applyAlignment="1">
      <alignment horizontal="center" vertical="center"/>
    </xf>
    <xf numFmtId="0" fontId="41" fillId="6" borderId="30" xfId="0" applyFont="1" applyFill="1" applyBorder="1" applyAlignment="1">
      <alignment horizontal="center" vertical="center"/>
    </xf>
    <xf numFmtId="0" fontId="37" fillId="0" borderId="26" xfId="0" applyFont="1" applyBorder="1"/>
    <xf numFmtId="0" fontId="16" fillId="0" borderId="52" xfId="0" applyFont="1" applyBorder="1" applyAlignment="1">
      <alignment horizontal="center" vertical="center"/>
    </xf>
    <xf numFmtId="0" fontId="39" fillId="0" borderId="28" xfId="0" applyFont="1" applyBorder="1" applyAlignment="1">
      <alignment horizontal="center"/>
    </xf>
    <xf numFmtId="0" fontId="16" fillId="0" borderId="0" xfId="0" applyFont="1" applyAlignment="1">
      <alignment horizontal="center" vertical="center"/>
    </xf>
    <xf numFmtId="0" fontId="0" fillId="7" borderId="33" xfId="0" applyFill="1" applyBorder="1"/>
    <xf numFmtId="0" fontId="0" fillId="0" borderId="34" xfId="0" applyBorder="1"/>
    <xf numFmtId="0" fontId="0" fillId="0" borderId="35" xfId="0" applyBorder="1"/>
    <xf numFmtId="11" fontId="0" fillId="0" borderId="54" xfId="0" applyNumberFormat="1" applyBorder="1"/>
    <xf numFmtId="11" fontId="0" fillId="0" borderId="55" xfId="0" applyNumberFormat="1" applyBorder="1"/>
    <xf numFmtId="11" fontId="0" fillId="0" borderId="56" xfId="0" applyNumberFormat="1" applyBorder="1"/>
    <xf numFmtId="11" fontId="0" fillId="0" borderId="25" xfId="0" applyNumberFormat="1" applyBorder="1"/>
    <xf numFmtId="11" fontId="0" fillId="0" borderId="18" xfId="0" applyNumberFormat="1" applyBorder="1"/>
    <xf numFmtId="11" fontId="0" fillId="0" borderId="19" xfId="0" applyNumberFormat="1" applyBorder="1"/>
    <xf numFmtId="11" fontId="0" fillId="0" borderId="3" xfId="0" applyNumberFormat="1" applyBorder="1"/>
    <xf numFmtId="11" fontId="0" fillId="0" borderId="4" xfId="0" applyNumberFormat="1" applyBorder="1"/>
    <xf numFmtId="11" fontId="0" fillId="0" borderId="5" xfId="0" applyNumberFormat="1" applyBorder="1"/>
    <xf numFmtId="11" fontId="0" fillId="0" borderId="12" xfId="0" applyNumberFormat="1" applyBorder="1"/>
    <xf numFmtId="11" fontId="0" fillId="0" borderId="6" xfId="0" applyNumberFormat="1" applyBorder="1"/>
    <xf numFmtId="0" fontId="2" fillId="0" borderId="0" xfId="0" applyFont="1" applyAlignment="1">
      <alignment horizontal="center"/>
    </xf>
    <xf numFmtId="0" fontId="2" fillId="0" borderId="26" xfId="0" applyFont="1" applyBorder="1" applyAlignment="1">
      <alignment horizontal="center"/>
    </xf>
    <xf numFmtId="164" fontId="2" fillId="0" borderId="27" xfId="0" applyNumberFormat="1" applyFont="1" applyBorder="1" applyAlignment="1">
      <alignment horizontal="center"/>
    </xf>
    <xf numFmtId="0" fontId="2" fillId="0" borderId="27" xfId="0" applyFont="1" applyBorder="1" applyAlignment="1">
      <alignment horizontal="center"/>
    </xf>
    <xf numFmtId="0" fontId="2" fillId="0" borderId="28" xfId="0" applyFont="1" applyBorder="1" applyAlignment="1">
      <alignment horizontal="center"/>
    </xf>
    <xf numFmtId="164" fontId="2" fillId="0" borderId="0" xfId="0" applyNumberFormat="1" applyFont="1" applyAlignment="1">
      <alignment horizontal="center"/>
    </xf>
    <xf numFmtId="11" fontId="2" fillId="0" borderId="0" xfId="0" applyNumberFormat="1" applyFont="1" applyAlignment="1">
      <alignment horizontal="center"/>
    </xf>
    <xf numFmtId="0" fontId="42" fillId="0" borderId="16" xfId="0" applyFont="1" applyBorder="1" applyAlignment="1">
      <alignment horizontal="center"/>
    </xf>
    <xf numFmtId="0" fontId="24" fillId="0" borderId="17" xfId="0" applyFont="1" applyBorder="1" applyAlignment="1">
      <alignment horizontal="center"/>
    </xf>
    <xf numFmtId="0" fontId="24" fillId="0" borderId="36" xfId="0" applyFont="1" applyBorder="1" applyAlignment="1">
      <alignment horizontal="center"/>
    </xf>
    <xf numFmtId="0" fontId="24" fillId="0" borderId="37" xfId="0" applyFont="1" applyBorder="1" applyAlignment="1">
      <alignment horizontal="center"/>
    </xf>
    <xf numFmtId="0" fontId="22" fillId="0" borderId="26" xfId="0" applyFont="1" applyBorder="1" applyAlignment="1">
      <alignment horizontal="center"/>
    </xf>
    <xf numFmtId="0" fontId="22" fillId="0" borderId="27" xfId="0" applyFont="1" applyBorder="1" applyAlignment="1">
      <alignment horizontal="center"/>
    </xf>
    <xf numFmtId="0" fontId="22" fillId="0" borderId="28" xfId="0" applyFont="1" applyBorder="1" applyAlignment="1">
      <alignment horizontal="center"/>
    </xf>
    <xf numFmtId="0" fontId="29" fillId="0" borderId="26" xfId="0" applyFont="1" applyBorder="1" applyAlignment="1">
      <alignment horizontal="center" vertical="top"/>
    </xf>
    <xf numFmtId="0" fontId="29" fillId="0" borderId="28" xfId="0" applyFont="1" applyBorder="1" applyAlignment="1">
      <alignment horizontal="center" vertical="top"/>
    </xf>
    <xf numFmtId="0" fontId="29" fillId="0" borderId="0" xfId="0" applyFont="1" applyAlignment="1">
      <alignment horizontal="center" vertical="top"/>
    </xf>
  </cellXfs>
  <cellStyles count="1">
    <cellStyle name="Normal" xfId="0" builtinId="0"/>
  </cellStyles>
  <dxfs count="0"/>
  <tableStyles count="0" defaultTableStyle="TableStyleMedium2" defaultPivotStyle="PivotStyleLight16"/>
  <colors>
    <mruColors>
      <color rgb="FFE97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Foglio1!$E$64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Foglio1!$C$65:$C$82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Foglio1!$E$65:$E$82</c:f>
              <c:numCache>
                <c:formatCode>0.00E+00</c:formatCode>
                <c:ptCount val="18"/>
                <c:pt idx="0">
                  <c:v>3049654.2964746249</c:v>
                </c:pt>
                <c:pt idx="1">
                  <c:v>6260333.2586841406</c:v>
                </c:pt>
                <c:pt idx="2">
                  <c:v>10936352.131422339</c:v>
                </c:pt>
                <c:pt idx="3">
                  <c:v>17251449.866495226</c:v>
                </c:pt>
                <c:pt idx="4">
                  <c:v>25362530.044261605</c:v>
                </c:pt>
                <c:pt idx="5">
                  <c:v>35413792.797625959</c:v>
                </c:pt>
                <c:pt idx="6">
                  <c:v>47539405.683132768</c:v>
                </c:pt>
                <c:pt idx="7">
                  <c:v>61865350.028581679</c:v>
                </c:pt>
                <c:pt idx="8">
                  <c:v>78510761.071194604</c:v>
                </c:pt>
                <c:pt idx="9">
                  <c:v>97588937.487187162</c:v>
                </c:pt>
                <c:pt idx="10">
                  <c:v>119208124.48748784</c:v>
                </c:pt>
                <c:pt idx="11">
                  <c:v>143472135.85875982</c:v>
                </c:pt>
                <c:pt idx="12">
                  <c:v>170480857.8697885</c:v>
                </c:pt>
                <c:pt idx="13">
                  <c:v>200330664.27789077</c:v>
                </c:pt>
                <c:pt idx="14">
                  <c:v>233114762.97150701</c:v>
                </c:pt>
                <c:pt idx="15">
                  <c:v>268923489.05697256</c:v>
                </c:pt>
                <c:pt idx="16">
                  <c:v>307844555.31012899</c:v>
                </c:pt>
                <c:pt idx="17">
                  <c:v>349963268.20551682</c:v>
                </c:pt>
              </c:numCache>
            </c:numRef>
          </c:val>
          <c:smooth val="0"/>
          <c:extLst>
            <c:ext xmlns:c16="http://schemas.microsoft.com/office/drawing/2014/chart" uri="{C3380CC4-5D6E-409C-BE32-E72D297353CC}">
              <c16:uniqueId val="{00000001-A299-EE45-9B35-3B932BA7C510}"/>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Foglio1!$C$102:$C$120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Foglio1!$G$102:$G$120</c:f>
              <c:numCache>
                <c:formatCode>General</c:formatCode>
                <c:ptCount val="19"/>
                <c:pt idx="0">
                  <c:v>1.6142419417418757E-10</c:v>
                </c:pt>
                <c:pt idx="1">
                  <c:v>1.855082668784347E-10</c:v>
                </c:pt>
                <c:pt idx="2">
                  <c:v>5.0406484895422924E-8</c:v>
                </c:pt>
                <c:pt idx="3">
                  <c:v>1.4629950407126921E-6</c:v>
                </c:pt>
                <c:pt idx="4">
                  <c:v>1.3917529687877594E-5</c:v>
                </c:pt>
                <c:pt idx="5">
                  <c:v>7.0133750675118502E-5</c:v>
                </c:pt>
                <c:pt idx="6">
                  <c:v>2.3790459010295092E-4</c:v>
                </c:pt>
                <c:pt idx="7">
                  <c:v>6.2043171810677203E-4</c:v>
                </c:pt>
                <c:pt idx="8">
                  <c:v>1.3469596942530403E-3</c:v>
                </c:pt>
                <c:pt idx="9">
                  <c:v>2.5604934217519667E-3</c:v>
                </c:pt>
                <c:pt idx="10">
                  <c:v>4.4074388116079923E-3</c:v>
                </c:pt>
                <c:pt idx="11">
                  <c:v>7.0308022892973821E-3</c:v>
                </c:pt>
                <c:pt idx="12">
                  <c:v>1.0566645688391822E-2</c:v>
                </c:pt>
                <c:pt idx="13">
                  <c:v>1.5142840460980146E-2</c:v>
                </c:pt>
                <c:pt idx="14">
                  <c:v>2.0879191321025052E-2</c:v>
                </c:pt>
                <c:pt idx="15">
                  <c:v>2.7888247440029598E-2</c:v>
                </c:pt>
                <c:pt idx="16">
                  <c:v>3.6276372401637884E-2</c:v>
                </c:pt>
                <c:pt idx="17">
                  <c:v>4.6144833846395575E-2</c:v>
                </c:pt>
                <c:pt idx="18">
                  <c:v>5.759079642759888E-2</c:v>
                </c:pt>
              </c:numCache>
            </c:numRef>
          </c:val>
          <c:smooth val="0"/>
          <c:extLst>
            <c:ext xmlns:c16="http://schemas.microsoft.com/office/drawing/2014/chart" uri="{C3380CC4-5D6E-409C-BE32-E72D297353CC}">
              <c16:uniqueId val="{00000001-2B32-4943-AFE3-8A02B15DCE7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Foglio1!$D$136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Foglio1!$C$137:$C$154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Foglio1!$D$137:$D$154</c:f>
              <c:numCache>
                <c:formatCode>0.00E+00</c:formatCode>
                <c:ptCount val="18"/>
                <c:pt idx="0">
                  <c:v>297.03047368624931</c:v>
                </c:pt>
                <c:pt idx="1">
                  <c:v>457.30833050741234</c:v>
                </c:pt>
                <c:pt idx="2">
                  <c:v>639.10782105719147</c:v>
                </c:pt>
                <c:pt idx="3">
                  <c:v>840.12904865039923</c:v>
                </c:pt>
                <c:pt idx="4">
                  <c:v>1058.6836006256458</c:v>
                </c:pt>
                <c:pt idx="5">
                  <c:v>1293.4632863795462</c:v>
                </c:pt>
                <c:pt idx="6">
                  <c:v>1543.415615462497</c:v>
                </c:pt>
                <c:pt idx="7">
                  <c:v>1807.6698967155737</c:v>
                </c:pt>
                <c:pt idx="8">
                  <c:v>2085.4902004707433</c:v>
                </c:pt>
                <c:pt idx="9">
                  <c:v>2376.2437894900077</c:v>
                </c:pt>
                <c:pt idx="10">
                  <c:v>2679.3790308045805</c:v>
                </c:pt>
                <c:pt idx="11">
                  <c:v>2994.4094125335473</c:v>
                </c:pt>
                <c:pt idx="12">
                  <c:v>3320.9016527570702</c:v>
                </c:pt>
                <c:pt idx="13">
                  <c:v>3658.4666440592682</c:v>
                </c:pt>
                <c:pt idx="14">
                  <c:v>4006.7524190834752</c:v>
                </c:pt>
                <c:pt idx="15">
                  <c:v>4365.4385915309749</c:v>
                </c:pt>
                <c:pt idx="16">
                  <c:v>4734.2318969626021</c:v>
                </c:pt>
                <c:pt idx="17">
                  <c:v>5112.8625684574872</c:v>
                </c:pt>
              </c:numCache>
            </c:numRef>
          </c:val>
          <c:smooth val="0"/>
          <c:extLst>
            <c:ext xmlns:c16="http://schemas.microsoft.com/office/drawing/2014/chart" uri="{C3380CC4-5D6E-409C-BE32-E72D297353CC}">
              <c16:uniqueId val="{00000000-A35C-BD49-8E71-3180E2A6DA15}"/>
            </c:ext>
          </c:extLst>
        </c:ser>
        <c:ser>
          <c:idx val="1"/>
          <c:order val="1"/>
          <c:tx>
            <c:strRef>
              <c:f>Foglio1!$E$136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Foglio1!$C$137:$C$154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Foglio1!$E$137:$E$154</c:f>
              <c:numCache>
                <c:formatCode>0.00E+00</c:formatCode>
                <c:ptCount val="18"/>
                <c:pt idx="0">
                  <c:v>44.036832644096386</c:v>
                </c:pt>
                <c:pt idx="1">
                  <c:v>67.799139150206813</c:v>
                </c:pt>
                <c:pt idx="2">
                  <c:v>94.752177472393626</c:v>
                </c:pt>
                <c:pt idx="3">
                  <c:v>124.5549719384706</c:v>
                </c:pt>
                <c:pt idx="4">
                  <c:v>156.95720363374636</c:v>
                </c:pt>
                <c:pt idx="5">
                  <c:v>191.76492420688615</c:v>
                </c:pt>
                <c:pt idx="6">
                  <c:v>228.82209463194795</c:v>
                </c:pt>
                <c:pt idx="7">
                  <c:v>267.99962889168285</c:v>
                </c:pt>
                <c:pt idx="8">
                  <c:v>309.18842029670515</c:v>
                </c:pt>
                <c:pt idx="9">
                  <c:v>352.2946611527712</c:v>
                </c:pt>
                <c:pt idx="10">
                  <c:v>397.23656803738118</c:v>
                </c:pt>
                <c:pt idx="11">
                  <c:v>443.94201218199993</c:v>
                </c:pt>
                <c:pt idx="12">
                  <c:v>492.34675652990694</c:v>
                </c:pt>
                <c:pt idx="13">
                  <c:v>542.39311320165473</c:v>
                </c:pt>
                <c:pt idx="14">
                  <c:v>594.0289005897863</c:v>
                </c:pt>
                <c:pt idx="15">
                  <c:v>647.2066191982417</c:v>
                </c:pt>
                <c:pt idx="16">
                  <c:v>701.88279053515885</c:v>
                </c:pt>
                <c:pt idx="17">
                  <c:v>758.01741977914787</c:v>
                </c:pt>
              </c:numCache>
            </c:numRef>
          </c:val>
          <c:smooth val="0"/>
          <c:extLst>
            <c:ext xmlns:c16="http://schemas.microsoft.com/office/drawing/2014/chart" uri="{C3380CC4-5D6E-409C-BE32-E72D297353CC}">
              <c16:uniqueId val="{00000001-A35C-BD49-8E71-3180E2A6DA1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Foglio1!$D$174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Foglio1!$C$175:$C$192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Foglio1!$D$175:$D$192</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23D2-D646-AE18-A74779275A97}"/>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Foglio1!$C$215:$C$232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Foglio1!$H$215:$H$232</c:f>
              <c:numCache>
                <c:formatCode>0.00E+00</c:formatCode>
                <c:ptCount val="18"/>
                <c:pt idx="0">
                  <c:v>25.168680738871643</c:v>
                </c:pt>
                <c:pt idx="1">
                  <c:v>25.817450098465009</c:v>
                </c:pt>
                <c:pt idx="2">
                  <c:v>26.764581590573293</c:v>
                </c:pt>
                <c:pt idx="3">
                  <c:v>27.823852884221346</c:v>
                </c:pt>
                <c:pt idx="4">
                  <c:v>28.922903563474055</c:v>
                </c:pt>
                <c:pt idx="5">
                  <c:v>30.050328287916898</c:v>
                </c:pt>
                <c:pt idx="6">
                  <c:v>31.201493439782464</c:v>
                </c:pt>
                <c:pt idx="7">
                  <c:v>32.36270822029222</c:v>
                </c:pt>
                <c:pt idx="8">
                  <c:v>33.514023301097083</c:v>
                </c:pt>
                <c:pt idx="9">
                  <c:v>34.635208874160995</c:v>
                </c:pt>
                <c:pt idx="10">
                  <c:v>35.70963679062654</c:v>
                </c:pt>
                <c:pt idx="11">
                  <c:v>36.725681669698048</c:v>
                </c:pt>
                <c:pt idx="12">
                  <c:v>37.676556677661154</c:v>
                </c:pt>
                <c:pt idx="13">
                  <c:v>38.5594504267806</c:v>
                </c:pt>
                <c:pt idx="14">
                  <c:v>39.374498897629934</c:v>
                </c:pt>
                <c:pt idx="15">
                  <c:v>40.123850155452629</c:v>
                </c:pt>
                <c:pt idx="16">
                  <c:v>40.810913006316568</c:v>
                </c:pt>
                <c:pt idx="17">
                  <c:v>41.43979726772892</c:v>
                </c:pt>
              </c:numCache>
            </c:numRef>
          </c:val>
          <c:smooth val="0"/>
          <c:extLst>
            <c:ext xmlns:c16="http://schemas.microsoft.com/office/drawing/2014/chart" uri="{C3380CC4-5D6E-409C-BE32-E72D297353CC}">
              <c16:uniqueId val="{00000000-52B5-4D48-B17E-0294C8EFDCE3}"/>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Foglio1!$C$263:$C$280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Foglio1!$J$263:$J$280</c:f>
              <c:numCache>
                <c:formatCode>0.00E+00</c:formatCode>
                <c:ptCount val="18"/>
                <c:pt idx="0">
                  <c:v>189.65477464624468</c:v>
                </c:pt>
                <c:pt idx="1">
                  <c:v>198.17026477880916</c:v>
                </c:pt>
                <c:pt idx="2">
                  <c:v>204.95721273841858</c:v>
                </c:pt>
                <c:pt idx="3">
                  <c:v>210.68767410005472</c:v>
                </c:pt>
                <c:pt idx="4">
                  <c:v>215.69972981566735</c:v>
                </c:pt>
                <c:pt idx="5">
                  <c:v>220.19025587753251</c:v>
                </c:pt>
                <c:pt idx="6">
                  <c:v>224.28560291372028</c:v>
                </c:pt>
                <c:pt idx="7">
                  <c:v>228.07110630151627</c:v>
                </c:pt>
                <c:pt idx="8">
                  <c:v>231.60598185203401</c:v>
                </c:pt>
                <c:pt idx="9">
                  <c:v>234.93216232650369</c:v>
                </c:pt>
                <c:pt idx="10">
                  <c:v>238.07999501345793</c:v>
                </c:pt>
                <c:pt idx="11">
                  <c:v>241.07201545300919</c:v>
                </c:pt>
                <c:pt idx="12">
                  <c:v>243.92545383769402</c:v>
                </c:pt>
                <c:pt idx="13">
                  <c:v>246.65389413686114</c:v>
                </c:pt>
                <c:pt idx="14">
                  <c:v>249.26837007937388</c:v>
                </c:pt>
                <c:pt idx="15">
                  <c:v>251.77809041648874</c:v>
                </c:pt>
                <c:pt idx="16">
                  <c:v>254.19092194825953</c:v>
                </c:pt>
                <c:pt idx="17">
                  <c:v>256.51371485855384</c:v>
                </c:pt>
              </c:numCache>
            </c:numRef>
          </c:val>
          <c:smooth val="0"/>
          <c:extLst>
            <c:ext xmlns:c16="http://schemas.microsoft.com/office/drawing/2014/chart" uri="{C3380CC4-5D6E-409C-BE32-E72D297353CC}">
              <c16:uniqueId val="{00000000-0AE4-EE4D-B5AC-7089D9138EF2}"/>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3" name="Straight Arrow Connector 2">
          <a:extLst>
            <a:ext uri="{FF2B5EF4-FFF2-40B4-BE49-F238E27FC236}">
              <a16:creationId xmlns:a16="http://schemas.microsoft.com/office/drawing/2014/main" id="{766F5F82-436A-8994-0E1F-F8E2292BCD21}"/>
            </a:ext>
          </a:extLst>
        </xdr:cNvPr>
        <xdr:cNvCxnSpPr/>
      </xdr:nvCxnSpPr>
      <xdr:spPr>
        <a:xfrm>
          <a:off x="4884615" y="6852418"/>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4" name="Straight Arrow Connector 3">
          <a:extLst>
            <a:ext uri="{FF2B5EF4-FFF2-40B4-BE49-F238E27FC236}">
              <a16:creationId xmlns:a16="http://schemas.microsoft.com/office/drawing/2014/main" id="{FC066E15-6264-AB42-85A1-CD3F24F9109C}"/>
            </a:ext>
          </a:extLst>
        </xdr:cNvPr>
        <xdr:cNvCxnSpPr/>
      </xdr:nvCxnSpPr>
      <xdr:spPr>
        <a:xfrm>
          <a:off x="4841631" y="7856137"/>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8" name="Straight Arrow Connector 7">
          <a:extLst>
            <a:ext uri="{FF2B5EF4-FFF2-40B4-BE49-F238E27FC236}">
              <a16:creationId xmlns:a16="http://schemas.microsoft.com/office/drawing/2014/main" id="{7C23EF24-EB71-B31E-610D-8C9F4E0E7443}"/>
            </a:ext>
          </a:extLst>
        </xdr:cNvPr>
        <xdr:cNvCxnSpPr/>
      </xdr:nvCxnSpPr>
      <xdr:spPr>
        <a:xfrm>
          <a:off x="6174827" y="14641495"/>
          <a:ext cx="2233449"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a:t>
              </a:r>
              <a:r>
                <a:rPr lang="en-US" sz="1600" b="0" i="0">
                  <a:latin typeface="Cambria Math" panose="02040503050406030204" pitchFamily="18" charset="0"/>
                </a:rPr>
                <a:t>^</a:t>
              </a:r>
              <a:r>
                <a:rPr lang="it-IT" sz="1600" b="0" i="0">
                  <a:latin typeface="Cambria Math" panose="02040503050406030204" pitchFamily="18" charset="0"/>
                </a:rPr>
                <a:t>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11" name="Left Brace 10">
          <a:extLst>
            <a:ext uri="{FF2B5EF4-FFF2-40B4-BE49-F238E27FC236}">
              <a16:creationId xmlns:a16="http://schemas.microsoft.com/office/drawing/2014/main" id="{DE281D51-0CC5-F420-F131-39C062F376A2}"/>
            </a:ext>
          </a:extLst>
        </xdr:cNvPr>
        <xdr:cNvSpPr/>
      </xdr:nvSpPr>
      <xdr:spPr>
        <a:xfrm>
          <a:off x="8536420" y="14287500"/>
          <a:ext cx="209262" cy="1212273"/>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29" name="Straight Arrow Connector 28">
          <a:extLst>
            <a:ext uri="{FF2B5EF4-FFF2-40B4-BE49-F238E27FC236}">
              <a16:creationId xmlns:a16="http://schemas.microsoft.com/office/drawing/2014/main" id="{876D4E3A-F607-F44A-90AF-945FCA971896}"/>
            </a:ext>
          </a:extLst>
        </xdr:cNvPr>
        <xdr:cNvCxnSpPr/>
      </xdr:nvCxnSpPr>
      <xdr:spPr>
        <a:xfrm flipV="1">
          <a:off x="6479352" y="9936574"/>
          <a:ext cx="82315" cy="42333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33" name="Straight Arrow Connector 32">
          <a:extLst>
            <a:ext uri="{FF2B5EF4-FFF2-40B4-BE49-F238E27FC236}">
              <a16:creationId xmlns:a16="http://schemas.microsoft.com/office/drawing/2014/main" id="{69EECA0A-143D-F147-AEEA-D9E5473AF5E5}"/>
            </a:ext>
          </a:extLst>
        </xdr:cNvPr>
        <xdr:cNvCxnSpPr/>
      </xdr:nvCxnSpPr>
      <xdr:spPr>
        <a:xfrm flipH="1" flipV="1">
          <a:off x="6961481" y="9866019"/>
          <a:ext cx="646760" cy="482129"/>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40" name="Chart 39">
          <a:extLst>
            <a:ext uri="{FF2B5EF4-FFF2-40B4-BE49-F238E27FC236}">
              <a16:creationId xmlns:a16="http://schemas.microsoft.com/office/drawing/2014/main" id="{C537CA78-6FCB-FEFF-31EC-5F72D67BB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41" name="Straight Arrow Connector 40">
          <a:extLst>
            <a:ext uri="{FF2B5EF4-FFF2-40B4-BE49-F238E27FC236}">
              <a16:creationId xmlns:a16="http://schemas.microsoft.com/office/drawing/2014/main" id="{526BFF3D-25F3-5848-921B-3DD0C651E3D0}"/>
            </a:ext>
          </a:extLst>
        </xdr:cNvPr>
        <xdr:cNvCxnSpPr/>
      </xdr:nvCxnSpPr>
      <xdr:spPr>
        <a:xfrm>
          <a:off x="5786339" y="23871294"/>
          <a:ext cx="2481212"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𝑣𝑖𝑏=∏24_(𝑖=1)^(𝑁_𝑣𝑖𝑏)▒𝑒^((−(ℎ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43" name="Rectangle 42">
          <a:extLst>
            <a:ext uri="{FF2B5EF4-FFF2-40B4-BE49-F238E27FC236}">
              <a16:creationId xmlns:a16="http://schemas.microsoft.com/office/drawing/2014/main" id="{72FBFC5C-F123-354F-91DC-DD399F56DE9D}"/>
            </a:ext>
          </a:extLst>
        </xdr:cNvPr>
        <xdr:cNvSpPr/>
      </xdr:nvSpPr>
      <xdr:spPr>
        <a:xfrm>
          <a:off x="11102538" y="23185397"/>
          <a:ext cx="3026211" cy="12206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9</xdr:col>
      <xdr:colOff>4646</xdr:colOff>
      <xdr:row>107</xdr:row>
      <xdr:rowOff>101599</xdr:rowOff>
    </xdr:from>
    <xdr:to>
      <xdr:col>14</xdr:col>
      <xdr:colOff>0</xdr:colOff>
      <xdr:row>123</xdr:row>
      <xdr:rowOff>127000</xdr:rowOff>
    </xdr:to>
    <xdr:graphicFrame macro="">
      <xdr:nvGraphicFramePr>
        <xdr:cNvPr id="45" name="Chart 44">
          <a:extLst>
            <a:ext uri="{FF2B5EF4-FFF2-40B4-BE49-F238E27FC236}">
              <a16:creationId xmlns:a16="http://schemas.microsoft.com/office/drawing/2014/main" id="{65D586B4-954E-BF50-42F3-3F0636CE5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46" name="Straight Arrow Connector 45">
          <a:extLst>
            <a:ext uri="{FF2B5EF4-FFF2-40B4-BE49-F238E27FC236}">
              <a16:creationId xmlns:a16="http://schemas.microsoft.com/office/drawing/2014/main" id="{5B70BC7E-7D23-7F47-B2D8-ED5A0D760DD1}"/>
            </a:ext>
          </a:extLst>
        </xdr:cNvPr>
        <xdr:cNvCxnSpPr/>
      </xdr:nvCxnSpPr>
      <xdr:spPr>
        <a:xfrm>
          <a:off x="6006661" y="14795647"/>
          <a:ext cx="24804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49" name="Left Brace 48">
          <a:extLst>
            <a:ext uri="{FF2B5EF4-FFF2-40B4-BE49-F238E27FC236}">
              <a16:creationId xmlns:a16="http://schemas.microsoft.com/office/drawing/2014/main" id="{59284195-DCF7-7A4A-BB53-0B4841E19D3F}"/>
            </a:ext>
          </a:extLst>
        </xdr:cNvPr>
        <xdr:cNvSpPr/>
      </xdr:nvSpPr>
      <xdr:spPr>
        <a:xfrm>
          <a:off x="8624454" y="14499359"/>
          <a:ext cx="741315" cy="1179754"/>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56" name="Rounded Rectangle 55">
          <a:extLst>
            <a:ext uri="{FF2B5EF4-FFF2-40B4-BE49-F238E27FC236}">
              <a16:creationId xmlns:a16="http://schemas.microsoft.com/office/drawing/2014/main" id="{7DBD8B5F-7ECC-CBA0-8286-D1B03C567B95}"/>
            </a:ext>
          </a:extLst>
        </xdr:cNvPr>
        <xdr:cNvSpPr/>
      </xdr:nvSpPr>
      <xdr:spPr>
        <a:xfrm>
          <a:off x="9235132" y="32678775"/>
          <a:ext cx="2934537" cy="779026"/>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59" name="Curved Connector 58">
          <a:extLst>
            <a:ext uri="{FF2B5EF4-FFF2-40B4-BE49-F238E27FC236}">
              <a16:creationId xmlns:a16="http://schemas.microsoft.com/office/drawing/2014/main" id="{D6E45BA1-5C4E-B666-40DA-7708264B9084}"/>
            </a:ext>
          </a:extLst>
        </xdr:cNvPr>
        <xdr:cNvCxnSpPr>
          <a:endCxn id="57" idx="1"/>
        </xdr:cNvCxnSpPr>
      </xdr:nvCxnSpPr>
      <xdr:spPr>
        <a:xfrm rot="16200000" flipH="1">
          <a:off x="12505499" y="33378775"/>
          <a:ext cx="598708" cy="328602"/>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60" name="Chart 59">
          <a:extLst>
            <a:ext uri="{FF2B5EF4-FFF2-40B4-BE49-F238E27FC236}">
              <a16:creationId xmlns:a16="http://schemas.microsoft.com/office/drawing/2014/main" id="{AB471078-D93C-7467-9E8B-7596AB315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61" name="TextBox 60">
          <a:extLst>
            <a:ext uri="{FF2B5EF4-FFF2-40B4-BE49-F238E27FC236}">
              <a16:creationId xmlns:a16="http://schemas.microsoft.com/office/drawing/2014/main" id="{17FE8F14-366B-A462-67A4-6268203FA495}"/>
            </a:ext>
          </a:extLst>
        </xdr:cNvPr>
        <xdr:cNvSpPr txBox="1"/>
      </xdr:nvSpPr>
      <xdr:spPr>
        <a:xfrm>
          <a:off x="11797186" y="4001012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62" name="Straight Arrow Connector 61">
          <a:extLst>
            <a:ext uri="{FF2B5EF4-FFF2-40B4-BE49-F238E27FC236}">
              <a16:creationId xmlns:a16="http://schemas.microsoft.com/office/drawing/2014/main" id="{F048CF4A-DCB3-DE40-8164-C1F069403CE4}"/>
            </a:ext>
          </a:extLst>
        </xdr:cNvPr>
        <xdr:cNvCxnSpPr/>
      </xdr:nvCxnSpPr>
      <xdr:spPr>
        <a:xfrm>
          <a:off x="6007033" y="14673578"/>
          <a:ext cx="2616840"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𝑡𝑟𝑎𝑛𝑠𝑙=∑24_(𝑖=0)^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66" name="Rectangle 65">
          <a:extLst>
            <a:ext uri="{FF2B5EF4-FFF2-40B4-BE49-F238E27FC236}">
              <a16:creationId xmlns:a16="http://schemas.microsoft.com/office/drawing/2014/main" id="{6AF128DD-B119-2E44-AD70-45A999CC7302}"/>
            </a:ext>
          </a:extLst>
        </xdr:cNvPr>
        <xdr:cNvSpPr/>
      </xdr:nvSpPr>
      <xdr:spPr>
        <a:xfrm>
          <a:off x="12732014" y="41384202"/>
          <a:ext cx="4391820" cy="12272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67" name="Curved Connector 66">
          <a:extLst>
            <a:ext uri="{FF2B5EF4-FFF2-40B4-BE49-F238E27FC236}">
              <a16:creationId xmlns:a16="http://schemas.microsoft.com/office/drawing/2014/main" id="{DB615C68-D341-A24B-ADC5-B502AB570D65}"/>
            </a:ext>
          </a:extLst>
        </xdr:cNvPr>
        <xdr:cNvCxnSpPr/>
      </xdr:nvCxnSpPr>
      <xdr:spPr>
        <a:xfrm flipV="1">
          <a:off x="11747500" y="41441913"/>
          <a:ext cx="898527" cy="468087"/>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71" name="Curved Connector 70">
          <a:extLst>
            <a:ext uri="{FF2B5EF4-FFF2-40B4-BE49-F238E27FC236}">
              <a16:creationId xmlns:a16="http://schemas.microsoft.com/office/drawing/2014/main" id="{F4C4ADF8-DF70-4B47-96E4-90254604535E}"/>
            </a:ext>
          </a:extLst>
        </xdr:cNvPr>
        <xdr:cNvCxnSpPr/>
      </xdr:nvCxnSpPr>
      <xdr:spPr>
        <a:xfrm>
          <a:off x="11868346" y="14689097"/>
          <a:ext cx="934179" cy="169746"/>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73" name="Curved Connector 72">
          <a:extLst>
            <a:ext uri="{FF2B5EF4-FFF2-40B4-BE49-F238E27FC236}">
              <a16:creationId xmlns:a16="http://schemas.microsoft.com/office/drawing/2014/main" id="{4A9014D7-6962-9F79-D444-5FF21216EEEB}"/>
            </a:ext>
          </a:extLst>
        </xdr:cNvPr>
        <xdr:cNvCxnSpPr>
          <a:endCxn id="69" idx="1"/>
        </xdr:cNvCxnSpPr>
      </xdr:nvCxnSpPr>
      <xdr:spPr>
        <a:xfrm rot="16200000" flipH="1">
          <a:off x="13040148" y="42662051"/>
          <a:ext cx="496570"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77" name="Chart 76">
          <a:extLst>
            <a:ext uri="{FF2B5EF4-FFF2-40B4-BE49-F238E27FC236}">
              <a16:creationId xmlns:a16="http://schemas.microsoft.com/office/drawing/2014/main" id="{0729CD33-7580-0DD6-2141-B46987690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78" name="Straight Arrow Connector 77">
          <a:extLst>
            <a:ext uri="{FF2B5EF4-FFF2-40B4-BE49-F238E27FC236}">
              <a16:creationId xmlns:a16="http://schemas.microsoft.com/office/drawing/2014/main" id="{6006B184-4892-F743-80B3-19AC4EC239ED}"/>
            </a:ext>
          </a:extLst>
        </xdr:cNvPr>
        <xdr:cNvCxnSpPr/>
      </xdr:nvCxnSpPr>
      <xdr:spPr>
        <a:xfrm>
          <a:off x="6006661" y="41245513"/>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82" name="TextBox 81">
          <a:extLst>
            <a:ext uri="{FF2B5EF4-FFF2-40B4-BE49-F238E27FC236}">
              <a16:creationId xmlns:a16="http://schemas.microsoft.com/office/drawing/2014/main" id="{FFAC3BD0-1CF0-FB4C-A23E-264667CAECBD}"/>
            </a:ext>
          </a:extLst>
        </xdr:cNvPr>
        <xdr:cNvSpPr txBox="1"/>
      </xdr:nvSpPr>
      <xdr:spPr>
        <a:xfrm>
          <a:off x="13144209" y="50927732"/>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84" name="Straight Arrow Connector 83">
          <a:extLst>
            <a:ext uri="{FF2B5EF4-FFF2-40B4-BE49-F238E27FC236}">
              <a16:creationId xmlns:a16="http://schemas.microsoft.com/office/drawing/2014/main" id="{A8248C63-95AD-8C51-B428-1D1F8CDE8C2C}"/>
            </a:ext>
          </a:extLst>
        </xdr:cNvPr>
        <xdr:cNvCxnSpPr/>
      </xdr:nvCxnSpPr>
      <xdr:spPr>
        <a:xfrm flipH="1">
          <a:off x="9042644" y="50641250"/>
          <a:ext cx="696058" cy="40908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85" name="Straight Arrow Connector 84">
          <a:extLst>
            <a:ext uri="{FF2B5EF4-FFF2-40B4-BE49-F238E27FC236}">
              <a16:creationId xmlns:a16="http://schemas.microsoft.com/office/drawing/2014/main" id="{3D240A77-968A-2E45-BC81-7238C6146753}"/>
            </a:ext>
          </a:extLst>
        </xdr:cNvPr>
        <xdr:cNvCxnSpPr/>
      </xdr:nvCxnSpPr>
      <xdr:spPr>
        <a:xfrm flipH="1">
          <a:off x="10401300" y="50296396"/>
          <a:ext cx="212725" cy="7195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87" name="Straight Arrow Connector 86">
          <a:extLst>
            <a:ext uri="{FF2B5EF4-FFF2-40B4-BE49-F238E27FC236}">
              <a16:creationId xmlns:a16="http://schemas.microsoft.com/office/drawing/2014/main" id="{929BFFCC-8E08-C849-80EA-26EA8CFB7D97}"/>
            </a:ext>
          </a:extLst>
        </xdr:cNvPr>
        <xdr:cNvCxnSpPr/>
      </xdr:nvCxnSpPr>
      <xdr:spPr>
        <a:xfrm>
          <a:off x="11472740" y="50629038"/>
          <a:ext cx="427404" cy="7998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90" name="Straight Arrow Connector 89">
          <a:extLst>
            <a:ext uri="{FF2B5EF4-FFF2-40B4-BE49-F238E27FC236}">
              <a16:creationId xmlns:a16="http://schemas.microsoft.com/office/drawing/2014/main" id="{1F662DD2-8E14-2A48-9254-B80A2354CA81}"/>
            </a:ext>
          </a:extLst>
        </xdr:cNvPr>
        <xdr:cNvCxnSpPr/>
      </xdr:nvCxnSpPr>
      <xdr:spPr>
        <a:xfrm>
          <a:off x="12474087" y="50622933"/>
          <a:ext cx="567836" cy="35413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93" name="Rectangle 92">
          <a:extLst>
            <a:ext uri="{FF2B5EF4-FFF2-40B4-BE49-F238E27FC236}">
              <a16:creationId xmlns:a16="http://schemas.microsoft.com/office/drawing/2014/main" id="{09EB672E-6720-1A4B-BC2A-0023DC67095C}"/>
            </a:ext>
          </a:extLst>
        </xdr:cNvPr>
        <xdr:cNvSpPr/>
      </xdr:nvSpPr>
      <xdr:spPr>
        <a:xfrm>
          <a:off x="13716001" y="50444401"/>
          <a:ext cx="298704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95" name="Chart 94">
          <a:extLst>
            <a:ext uri="{FF2B5EF4-FFF2-40B4-BE49-F238E27FC236}">
              <a16:creationId xmlns:a16="http://schemas.microsoft.com/office/drawing/2014/main" id="{CC261C4D-CCD8-9AD7-E6F6-03C6D4035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106" name="Straight Arrow Connector 105">
          <a:extLst>
            <a:ext uri="{FF2B5EF4-FFF2-40B4-BE49-F238E27FC236}">
              <a16:creationId xmlns:a16="http://schemas.microsoft.com/office/drawing/2014/main" id="{ED0DD984-E0C8-6741-804C-1B040B480A93}"/>
            </a:ext>
          </a:extLst>
        </xdr:cNvPr>
        <xdr:cNvCxnSpPr/>
      </xdr:nvCxnSpPr>
      <xdr:spPr>
        <a:xfrm>
          <a:off x="6006661" y="49847647"/>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111" name="Straight Arrow Connector 110">
          <a:extLst>
            <a:ext uri="{FF2B5EF4-FFF2-40B4-BE49-F238E27FC236}">
              <a16:creationId xmlns:a16="http://schemas.microsoft.com/office/drawing/2014/main" id="{671C3A9E-A52B-F947-B122-D1FC02E704F4}"/>
            </a:ext>
          </a:extLst>
        </xdr:cNvPr>
        <xdr:cNvCxnSpPr/>
      </xdr:nvCxnSpPr>
      <xdr:spPr>
        <a:xfrm flipH="1">
          <a:off x="9052169" y="50132925"/>
          <a:ext cx="707456"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112" name="Straight Arrow Connector 111">
          <a:extLst>
            <a:ext uri="{FF2B5EF4-FFF2-40B4-BE49-F238E27FC236}">
              <a16:creationId xmlns:a16="http://schemas.microsoft.com/office/drawing/2014/main" id="{92B7CCCD-B87F-A043-A21D-BC2FE06E9189}"/>
            </a:ext>
          </a:extLst>
        </xdr:cNvPr>
        <xdr:cNvCxnSpPr/>
      </xdr:nvCxnSpPr>
      <xdr:spPr>
        <a:xfrm flipH="1">
          <a:off x="10325325" y="60453916"/>
          <a:ext cx="285318" cy="101709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113" name="Straight Arrow Connector 112">
          <a:extLst>
            <a:ext uri="{FF2B5EF4-FFF2-40B4-BE49-F238E27FC236}">
              <a16:creationId xmlns:a16="http://schemas.microsoft.com/office/drawing/2014/main" id="{942D57B3-FA86-CF44-B9CC-10E7A58EE3EC}"/>
            </a:ext>
          </a:extLst>
        </xdr:cNvPr>
        <xdr:cNvCxnSpPr/>
      </xdr:nvCxnSpPr>
      <xdr:spPr>
        <a:xfrm>
          <a:off x="11474149" y="60460266"/>
          <a:ext cx="865141" cy="7176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114" name="Straight Arrow Connector 113">
          <a:extLst>
            <a:ext uri="{FF2B5EF4-FFF2-40B4-BE49-F238E27FC236}">
              <a16:creationId xmlns:a16="http://schemas.microsoft.com/office/drawing/2014/main" id="{E95B03C0-9571-3048-B1F8-4E34E10F302C}"/>
            </a:ext>
          </a:extLst>
        </xdr:cNvPr>
        <xdr:cNvCxnSpPr/>
      </xdr:nvCxnSpPr>
      <xdr:spPr>
        <a:xfrm>
          <a:off x="12667124" y="60454161"/>
          <a:ext cx="1137551" cy="3480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123" name="Curved Connector 122">
          <a:extLst>
            <a:ext uri="{FF2B5EF4-FFF2-40B4-BE49-F238E27FC236}">
              <a16:creationId xmlns:a16="http://schemas.microsoft.com/office/drawing/2014/main" id="{EB701971-6F19-78AB-A7BE-787397812EC6}"/>
            </a:ext>
          </a:extLst>
        </xdr:cNvPr>
        <xdr:cNvCxnSpPr>
          <a:endCxn id="107" idx="0"/>
        </xdr:cNvCxnSpPr>
      </xdr:nvCxnSpPr>
      <xdr:spPr>
        <a:xfrm>
          <a:off x="8305800" y="61002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126" name="Chart 125">
          <a:extLst>
            <a:ext uri="{FF2B5EF4-FFF2-40B4-BE49-F238E27FC236}">
              <a16:creationId xmlns:a16="http://schemas.microsoft.com/office/drawing/2014/main" id="{D8D7C8EE-19B6-8CF0-6191-79A87A166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4A28-E1E8-F84A-AD17-148A134F4736}">
  <dimension ref="A3:AA280"/>
  <sheetViews>
    <sheetView tabSelected="1" topLeftCell="A164" zoomScale="83" workbookViewId="0">
      <selection activeCell="L176" sqref="L176"/>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8.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5" t="s">
        <v>0</v>
      </c>
      <c r="B5" s="156"/>
      <c r="D5" s="10" t="s">
        <v>13</v>
      </c>
      <c r="E5" s="11"/>
      <c r="F5" s="11"/>
      <c r="G5" s="11"/>
      <c r="H5" s="11"/>
      <c r="I5" s="11"/>
      <c r="J5" s="11"/>
      <c r="K5" s="11"/>
      <c r="L5" s="12"/>
      <c r="N5" s="29" t="s">
        <v>17</v>
      </c>
      <c r="O5" s="30"/>
      <c r="P5" s="30"/>
      <c r="Q5" s="31"/>
      <c r="S5" s="41" t="s">
        <v>34</v>
      </c>
      <c r="T5" s="42"/>
      <c r="U5" s="42"/>
      <c r="V5" s="43"/>
    </row>
    <row r="6" spans="1:22" ht="32" customHeight="1" x14ac:dyDescent="0.3">
      <c r="A6" s="147" t="s">
        <v>1</v>
      </c>
      <c r="B6" s="154">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0" t="s">
        <v>2</v>
      </c>
      <c r="B7" s="151">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4" t="s">
        <v>3</v>
      </c>
      <c r="B8" s="145">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0" t="s">
        <v>4</v>
      </c>
      <c r="B9" s="152">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3" t="s">
        <v>5</v>
      </c>
      <c r="B10" s="146">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0" t="s">
        <v>16</v>
      </c>
      <c r="B11" s="157">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3" t="s">
        <v>6</v>
      </c>
      <c r="B12" s="146">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0" t="s">
        <v>71</v>
      </c>
      <c r="B13" s="153">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0" t="s">
        <v>76</v>
      </c>
      <c r="B14" s="166">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3" t="s">
        <v>72</v>
      </c>
      <c r="B15" s="148">
        <v>1</v>
      </c>
    </row>
    <row r="16" spans="1:22" ht="19" x14ac:dyDescent="0.25">
      <c r="A16" s="150" t="s">
        <v>74</v>
      </c>
      <c r="B16" s="153">
        <v>101325</v>
      </c>
    </row>
    <row r="17" spans="1:27" ht="21" x14ac:dyDescent="0.25">
      <c r="A17" s="147" t="s">
        <v>73</v>
      </c>
      <c r="B17" s="149">
        <v>299792459</v>
      </c>
    </row>
    <row r="18" spans="1:27" ht="34" thickBot="1" x14ac:dyDescent="0.5">
      <c r="A18" s="277" t="s">
        <v>126</v>
      </c>
      <c r="B18" s="277"/>
      <c r="C18" s="277"/>
      <c r="D18" s="277"/>
      <c r="E18" s="277"/>
      <c r="F18" s="277"/>
      <c r="G18" s="277"/>
      <c r="H18" s="277"/>
      <c r="I18" s="277"/>
      <c r="J18" s="277"/>
      <c r="K18" s="277"/>
      <c r="L18" s="277"/>
      <c r="M18" s="277"/>
      <c r="N18" s="277"/>
      <c r="O18" s="277"/>
      <c r="P18" s="277"/>
      <c r="Q18" s="277"/>
      <c r="R18" s="277"/>
      <c r="S18" s="277"/>
      <c r="T18" s="277"/>
      <c r="U18" s="277"/>
      <c r="V18" s="277"/>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3" t="s">
        <v>36</v>
      </c>
      <c r="E22" s="114" t="s">
        <v>37</v>
      </c>
      <c r="F22" s="115" t="s">
        <v>38</v>
      </c>
      <c r="G22" s="1"/>
      <c r="H22" s="123" t="s">
        <v>65</v>
      </c>
      <c r="I22" s="124" t="s">
        <v>9</v>
      </c>
      <c r="J22" s="124" t="s">
        <v>10</v>
      </c>
      <c r="K22" s="197" t="s">
        <v>8</v>
      </c>
      <c r="L22" s="125"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2.16805</v>
      </c>
      <c r="E23" s="64">
        <v>4.2622499999999999</v>
      </c>
      <c r="F23" s="65">
        <v>6.4302999999999999</v>
      </c>
      <c r="G23" s="1"/>
      <c r="H23" s="126">
        <v>2.1288999999999999E-2</v>
      </c>
      <c r="I23" s="127">
        <f>H23*$H$7</f>
        <v>13.358911367000001</v>
      </c>
      <c r="J23" s="127">
        <f>H23*$I$7</f>
        <v>55.8942695</v>
      </c>
      <c r="K23" s="198">
        <f>H23*$F$7</f>
        <v>5.792885923</v>
      </c>
      <c r="L23" s="244">
        <f>H23*$K$7</f>
        <v>9.2820039999999992E-20</v>
      </c>
      <c r="M23" s="1"/>
      <c r="N23" s="1"/>
      <c r="O23" s="74" t="s">
        <v>45</v>
      </c>
      <c r="P23" s="93">
        <v>15.138</v>
      </c>
      <c r="Q23" s="85">
        <v>6.0140000000000002</v>
      </c>
      <c r="R23" s="86">
        <v>45.1</v>
      </c>
      <c r="S23" s="1"/>
      <c r="T23" s="1"/>
      <c r="U23" s="1"/>
      <c r="V23" s="1"/>
      <c r="W23" s="1"/>
      <c r="X23" s="1"/>
      <c r="Y23" s="1"/>
      <c r="Z23" s="1"/>
      <c r="AA23" s="1"/>
    </row>
    <row r="24" spans="1:27" ht="22" thickBot="1" x14ac:dyDescent="0.3">
      <c r="A24" s="39" t="s">
        <v>24</v>
      </c>
      <c r="B24" s="1"/>
      <c r="C24" s="56" t="s">
        <v>29</v>
      </c>
      <c r="D24" s="66">
        <f>D23*$U$9</f>
        <v>3.5989629999999997E-27</v>
      </c>
      <c r="E24" s="66">
        <f t="shared" ref="E24:F24" si="0">E23*$U$9</f>
        <v>7.0753349999999999E-27</v>
      </c>
      <c r="F24" s="66">
        <f t="shared" si="0"/>
        <v>1.0674298E-26</v>
      </c>
      <c r="G24" s="1"/>
      <c r="M24" s="1"/>
      <c r="N24" s="1"/>
      <c r="O24" s="75" t="s">
        <v>46</v>
      </c>
      <c r="P24" s="93">
        <v>0</v>
      </c>
      <c r="Q24" s="85">
        <v>0</v>
      </c>
      <c r="R24" s="86">
        <v>0</v>
      </c>
      <c r="S24" s="1"/>
      <c r="T24" s="1"/>
      <c r="U24" s="1"/>
      <c r="V24" s="1"/>
      <c r="W24" s="1"/>
      <c r="X24" s="1"/>
      <c r="Y24" s="1"/>
      <c r="Z24" s="1"/>
      <c r="AA24" s="1"/>
    </row>
    <row r="25" spans="1:27" ht="22" thickBot="1" x14ac:dyDescent="0.3">
      <c r="A25" s="38">
        <v>1</v>
      </c>
      <c r="B25" s="1"/>
      <c r="C25" s="57" t="s">
        <v>30</v>
      </c>
      <c r="D25" s="68">
        <f>D24*($Q$8)^2</f>
        <v>3.5989630000000002E-47</v>
      </c>
      <c r="E25" s="69">
        <f>E24*($Q$8)^2</f>
        <v>7.0753350000000009E-47</v>
      </c>
      <c r="F25" s="70">
        <f t="shared" ref="F25" si="1">F24*($Q$8)^2</f>
        <v>1.0674298000000001E-46</v>
      </c>
      <c r="G25" s="1"/>
      <c r="M25" s="1"/>
      <c r="N25" s="1"/>
      <c r="O25" s="75" t="s">
        <v>47</v>
      </c>
      <c r="P25" s="93">
        <v>0.88900000000000001</v>
      </c>
      <c r="Q25" s="85">
        <v>2.9809999999999999</v>
      </c>
      <c r="R25" s="86">
        <v>34.607999999999997</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10.484</v>
      </c>
      <c r="S26" s="1"/>
      <c r="T26" s="1"/>
      <c r="U26" s="1"/>
      <c r="V26" s="1"/>
      <c r="W26" s="1"/>
      <c r="X26" s="1"/>
      <c r="Y26" s="1"/>
      <c r="Z26" s="1"/>
      <c r="AA26" s="1"/>
    </row>
    <row r="27" spans="1:27" ht="20" thickBot="1" x14ac:dyDescent="0.3">
      <c r="A27" s="39" t="s">
        <v>25</v>
      </c>
      <c r="B27" s="1"/>
      <c r="C27" s="39" t="s">
        <v>27</v>
      </c>
      <c r="D27" s="1"/>
      <c r="E27" s="1"/>
      <c r="F27" s="1"/>
      <c r="G27" s="1"/>
      <c r="H27" s="123" t="s">
        <v>65</v>
      </c>
      <c r="I27" s="124" t="s">
        <v>9</v>
      </c>
      <c r="J27" s="124" t="s">
        <v>10</v>
      </c>
      <c r="K27" s="197" t="s">
        <v>8</v>
      </c>
      <c r="L27" s="125" t="s">
        <v>11</v>
      </c>
      <c r="M27" s="1"/>
      <c r="N27" s="1"/>
      <c r="O27" s="76" t="s">
        <v>49</v>
      </c>
      <c r="P27" s="105">
        <v>13.361000000000001</v>
      </c>
      <c r="Q27" s="87">
        <v>5.1999999999999998E-2</v>
      </c>
      <c r="R27" s="88">
        <v>8.0000000000000002E-3</v>
      </c>
      <c r="S27" s="1"/>
      <c r="T27" s="1"/>
      <c r="U27" s="1"/>
      <c r="V27" s="1"/>
      <c r="W27" s="1"/>
      <c r="X27" s="1"/>
      <c r="Y27" s="1"/>
      <c r="Z27" s="1"/>
      <c r="AA27" s="1"/>
    </row>
    <row r="28" spans="1:27" ht="20" thickBot="1" x14ac:dyDescent="0.3">
      <c r="A28" s="38">
        <v>18.010560000000002</v>
      </c>
      <c r="B28" s="1"/>
      <c r="C28" s="116" t="s">
        <v>36</v>
      </c>
      <c r="D28" s="117" t="s">
        <v>37</v>
      </c>
      <c r="E28" s="118" t="s">
        <v>38</v>
      </c>
      <c r="F28" s="1"/>
      <c r="G28" s="1"/>
      <c r="H28" s="119">
        <v>2.4125000000000001E-2</v>
      </c>
      <c r="I28" s="127">
        <f>H28*$H$7</f>
        <v>15.138509875000002</v>
      </c>
      <c r="J28" s="127">
        <f>H28*$I$7</f>
        <v>63.340187499999999</v>
      </c>
      <c r="K28" s="128">
        <f>H28*$F$7</f>
        <v>6.5645813750000013</v>
      </c>
      <c r="L28" s="244">
        <f>H28*$K$7</f>
        <v>1.0518500000000001E-19</v>
      </c>
      <c r="M28" s="1"/>
      <c r="N28" s="1"/>
      <c r="O28" s="1"/>
      <c r="P28" s="1"/>
      <c r="Q28" s="1"/>
      <c r="R28" s="1"/>
      <c r="S28" s="1"/>
      <c r="T28" s="1"/>
      <c r="U28" s="1"/>
      <c r="V28" s="1"/>
      <c r="W28" s="1"/>
      <c r="X28" s="1"/>
      <c r="Y28" s="1"/>
      <c r="Z28" s="1"/>
      <c r="AA28" s="1"/>
    </row>
    <row r="29" spans="1:27" ht="20" thickBot="1" x14ac:dyDescent="0.3">
      <c r="A29" s="1"/>
      <c r="B29" s="1"/>
      <c r="C29" s="119">
        <v>39.950090000000003</v>
      </c>
      <c r="D29" s="120">
        <v>20.32114</v>
      </c>
      <c r="E29" s="121">
        <v>13.46963</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2</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2" t="s">
        <v>36</v>
      </c>
      <c r="D32" s="112" t="s">
        <v>37</v>
      </c>
      <c r="E32" s="112" t="s">
        <v>38</v>
      </c>
      <c r="F32" s="1"/>
      <c r="G32" s="1"/>
      <c r="H32" s="123" t="s">
        <v>65</v>
      </c>
      <c r="I32" s="124" t="s">
        <v>9</v>
      </c>
      <c r="J32" s="124" t="s">
        <v>10</v>
      </c>
      <c r="K32" s="197" t="s">
        <v>8</v>
      </c>
      <c r="L32" s="125" t="s">
        <v>11</v>
      </c>
      <c r="M32" s="1"/>
      <c r="N32" s="1"/>
      <c r="O32" s="74" t="s">
        <v>46</v>
      </c>
      <c r="P32" s="94">
        <v>1</v>
      </c>
      <c r="Q32" s="95">
        <v>0</v>
      </c>
      <c r="R32" s="95">
        <v>0</v>
      </c>
      <c r="S32" s="1"/>
      <c r="T32" s="1"/>
      <c r="U32" s="1"/>
      <c r="V32" s="1"/>
      <c r="W32" s="1"/>
      <c r="X32" s="1"/>
      <c r="Y32" s="1"/>
      <c r="Z32" s="1"/>
      <c r="AA32" s="1"/>
    </row>
    <row r="33" spans="1:27" ht="20" thickBot="1" x14ac:dyDescent="0.3">
      <c r="A33" s="1"/>
      <c r="B33" s="1"/>
      <c r="C33" s="58">
        <v>832.42582000000004</v>
      </c>
      <c r="D33" s="59">
        <v>423.42435</v>
      </c>
      <c r="E33" s="60">
        <v>280.66194999999999</v>
      </c>
      <c r="F33" s="1"/>
      <c r="G33" s="1"/>
      <c r="H33" s="119">
        <v>2.5069000000000001E-2</v>
      </c>
      <c r="I33" s="127">
        <f>H33*$H$7</f>
        <v>15.730872707000001</v>
      </c>
      <c r="J33" s="127">
        <f>H33*$I$7</f>
        <v>65.81865950000001</v>
      </c>
      <c r="K33" s="128">
        <f>H33*$F$7</f>
        <v>6.8214503830000011</v>
      </c>
      <c r="L33" s="244">
        <f>H33*$K$7</f>
        <v>1.0930084000000001E-19</v>
      </c>
      <c r="M33" s="1"/>
      <c r="N33" s="1"/>
      <c r="O33" s="75" t="s">
        <v>47</v>
      </c>
      <c r="P33" s="93">
        <v>3004320</v>
      </c>
      <c r="Q33" s="85">
        <v>6.4777459999999998</v>
      </c>
      <c r="R33" s="85">
        <v>14.915562</v>
      </c>
      <c r="S33" s="1"/>
      <c r="T33" s="1"/>
      <c r="U33" s="1"/>
      <c r="V33" s="1"/>
      <c r="W33" s="1"/>
      <c r="X33" s="1"/>
      <c r="Y33" s="1"/>
      <c r="Z33" s="1"/>
      <c r="AA33" s="1"/>
    </row>
    <row r="34" spans="1:27" ht="19" x14ac:dyDescent="0.25">
      <c r="A34" s="1"/>
      <c r="B34" s="1"/>
      <c r="E34" s="1"/>
      <c r="F34" s="1"/>
      <c r="G34" s="1"/>
      <c r="M34" s="1"/>
      <c r="N34" s="1"/>
      <c r="O34" s="75" t="s">
        <v>48</v>
      </c>
      <c r="P34" s="93">
        <v>43.630099999999999</v>
      </c>
      <c r="Q34" s="85">
        <v>1.639786</v>
      </c>
      <c r="R34" s="85">
        <v>3.7757480000000001</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2.1160200000000001E-2</v>
      </c>
      <c r="Q35" s="85">
        <v>-1.67448</v>
      </c>
      <c r="R35" s="85">
        <v>-3.8556319999999999</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131136000</v>
      </c>
      <c r="Q36" s="85">
        <v>8.1177220000000005</v>
      </c>
      <c r="R36" s="85">
        <v>18.691746999999999</v>
      </c>
      <c r="S36" s="1"/>
      <c r="T36" s="1"/>
      <c r="U36" s="1"/>
      <c r="V36" s="1"/>
      <c r="W36" s="1"/>
      <c r="X36" s="1"/>
      <c r="Y36" s="1"/>
      <c r="Z36" s="1"/>
      <c r="AA36" s="1"/>
    </row>
    <row r="37" spans="1:27" ht="20" thickBot="1" x14ac:dyDescent="0.3">
      <c r="A37" s="1"/>
      <c r="B37" s="1"/>
      <c r="C37" s="110" t="s">
        <v>63</v>
      </c>
      <c r="D37" s="62">
        <v>55894</v>
      </c>
      <c r="E37" s="1"/>
      <c r="F37" s="1"/>
      <c r="H37" s="123" t="s">
        <v>65</v>
      </c>
      <c r="I37" s="124" t="s">
        <v>9</v>
      </c>
      <c r="J37" s="124" t="s">
        <v>10</v>
      </c>
      <c r="K37" s="125" t="s">
        <v>8</v>
      </c>
      <c r="L37" s="125" t="s">
        <v>11</v>
      </c>
      <c r="M37" s="1"/>
      <c r="N37" s="1"/>
      <c r="O37" s="75" t="s">
        <v>55</v>
      </c>
      <c r="P37" s="93">
        <v>1.6143099999999999E-10</v>
      </c>
      <c r="Q37" s="85">
        <v>-9.7920119999999997</v>
      </c>
      <c r="R37" s="85">
        <v>-22.546941</v>
      </c>
      <c r="S37" s="1"/>
      <c r="T37" s="1"/>
      <c r="U37" s="1"/>
      <c r="V37" s="1"/>
      <c r="W37" s="1"/>
      <c r="X37" s="1"/>
      <c r="Y37" s="1"/>
      <c r="Z37" s="1"/>
      <c r="AA37" s="1"/>
    </row>
    <row r="38" spans="1:27" ht="20" thickBot="1" x14ac:dyDescent="0.3">
      <c r="A38" s="1"/>
      <c r="B38" s="1"/>
      <c r="C38" s="111" t="s">
        <v>64</v>
      </c>
      <c r="D38" s="122">
        <v>13.359</v>
      </c>
      <c r="E38" s="1"/>
      <c r="F38" s="1"/>
      <c r="H38" s="119">
        <v>3.64E-3</v>
      </c>
      <c r="I38" s="127">
        <f>H38*$H$7</f>
        <v>2.2841109200000003</v>
      </c>
      <c r="J38" s="127">
        <f>H38*$I$7</f>
        <v>9.5568200000000001</v>
      </c>
      <c r="K38" s="128">
        <f>H38*$F$7</f>
        <v>0.99046948000000012</v>
      </c>
      <c r="L38" s="244">
        <f>H38*$K$7</f>
        <v>1.5870399999999999E-20</v>
      </c>
      <c r="M38" s="1"/>
      <c r="N38" s="1"/>
      <c r="O38" s="76" t="s">
        <v>56</v>
      </c>
      <c r="P38" s="93">
        <v>1.00044</v>
      </c>
      <c r="Q38" s="85">
        <v>1.9000000000000001E-4</v>
      </c>
      <c r="R38" s="85">
        <v>4.37E-4</v>
      </c>
      <c r="S38" s="1"/>
      <c r="T38" s="1"/>
      <c r="U38" s="1"/>
      <c r="V38" s="1"/>
      <c r="W38" s="1"/>
      <c r="X38" s="1"/>
      <c r="Y38" s="1"/>
      <c r="Z38" s="1"/>
      <c r="AA38" s="1"/>
    </row>
    <row r="39" spans="1:27" ht="19" x14ac:dyDescent="0.25">
      <c r="A39" s="1"/>
      <c r="B39" s="1"/>
      <c r="C39" s="1"/>
      <c r="D39" s="1"/>
      <c r="E39" s="1"/>
      <c r="F39" s="1"/>
      <c r="J39" s="1"/>
      <c r="K39" s="1"/>
      <c r="L39" s="1"/>
      <c r="M39" s="1"/>
      <c r="N39" s="1"/>
      <c r="O39" s="109"/>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9"/>
      <c r="P40" s="1"/>
      <c r="Q40" s="1"/>
      <c r="R40" s="1"/>
      <c r="S40" s="1"/>
      <c r="T40" s="1"/>
      <c r="U40" s="1"/>
      <c r="V40" s="1"/>
      <c r="W40" s="1"/>
      <c r="X40" s="1"/>
      <c r="Y40" s="1"/>
      <c r="Z40" s="1"/>
      <c r="AA40" s="1"/>
    </row>
    <row r="41" spans="1:27" ht="64" customHeight="1" thickBot="1" x14ac:dyDescent="0.3">
      <c r="A41" s="1"/>
      <c r="B41" s="1"/>
      <c r="D41" s="107" t="s">
        <v>60</v>
      </c>
      <c r="E41" s="108" t="s">
        <v>61</v>
      </c>
      <c r="F41" s="138" t="s">
        <v>69</v>
      </c>
      <c r="G41" s="142" t="s">
        <v>70</v>
      </c>
      <c r="I41" s="1"/>
      <c r="J41" s="1"/>
      <c r="K41" s="1"/>
      <c r="L41" s="1"/>
      <c r="M41" s="1"/>
      <c r="N41" s="1"/>
      <c r="O41" s="1"/>
      <c r="P41" s="1"/>
      <c r="Q41" s="1"/>
      <c r="R41" s="1"/>
      <c r="S41" s="1"/>
      <c r="T41" s="1"/>
      <c r="U41" s="1"/>
      <c r="V41" s="1"/>
      <c r="W41" s="1"/>
      <c r="X41" s="1"/>
      <c r="Y41" s="1"/>
      <c r="Z41" s="1"/>
      <c r="AA41" s="1"/>
    </row>
    <row r="42" spans="1:27" ht="19" x14ac:dyDescent="0.25">
      <c r="A42" s="1"/>
      <c r="B42" s="1"/>
      <c r="C42" s="100">
        <v>1</v>
      </c>
      <c r="D42" s="245">
        <v>2306.39</v>
      </c>
      <c r="E42" s="246">
        <v>1603.0222000000001</v>
      </c>
      <c r="F42" s="139">
        <f>E42*$L$9</f>
        <v>48057483440460</v>
      </c>
      <c r="G42" s="241">
        <v>1.0838000000000001</v>
      </c>
      <c r="H42" s="106"/>
      <c r="K42" s="1"/>
      <c r="L42" s="1"/>
      <c r="M42" s="1"/>
      <c r="N42" s="1"/>
      <c r="O42" s="1"/>
      <c r="P42" s="1"/>
      <c r="Q42" s="1"/>
      <c r="R42" s="1"/>
      <c r="S42" s="1"/>
      <c r="T42" s="1"/>
      <c r="U42" s="1"/>
      <c r="V42" s="1"/>
      <c r="W42" s="1"/>
      <c r="X42" s="1"/>
      <c r="Y42" s="1"/>
      <c r="Z42" s="1"/>
      <c r="AA42" s="1"/>
    </row>
    <row r="43" spans="1:27" ht="19" x14ac:dyDescent="0.25">
      <c r="A43" s="1"/>
      <c r="B43" s="1"/>
      <c r="C43" s="101">
        <f>C42+1</f>
        <v>2</v>
      </c>
      <c r="D43" s="103">
        <v>5481.45</v>
      </c>
      <c r="E43" s="136">
        <v>3809.8024</v>
      </c>
      <c r="F43" s="140">
        <f t="shared" ref="F43:F44" si="2">E43*$L$9</f>
        <v>114215209090320</v>
      </c>
      <c r="G43" s="242">
        <v>1.0441</v>
      </c>
      <c r="H43" s="106"/>
      <c r="K43" s="1"/>
      <c r="L43" s="1"/>
      <c r="M43" s="1"/>
      <c r="N43" s="1"/>
      <c r="O43" s="1"/>
      <c r="P43" s="1"/>
      <c r="Q43" s="1"/>
      <c r="R43" s="1"/>
      <c r="S43" s="1"/>
      <c r="T43" s="1"/>
      <c r="U43" s="1"/>
      <c r="V43" s="1"/>
      <c r="W43" s="1"/>
      <c r="X43" s="1"/>
      <c r="Y43" s="1"/>
      <c r="Z43" s="1"/>
      <c r="AA43" s="1"/>
    </row>
    <row r="44" spans="1:27" ht="20" thickBot="1" x14ac:dyDescent="0.3">
      <c r="A44" s="1"/>
      <c r="B44" s="1"/>
      <c r="C44" s="102">
        <f t="shared" ref="C44" si="3">C43+1</f>
        <v>3</v>
      </c>
      <c r="D44" s="104">
        <v>5657.16</v>
      </c>
      <c r="E44" s="137">
        <v>3931.9306999999999</v>
      </c>
      <c r="F44" s="141">
        <f t="shared" si="2"/>
        <v>117876530034510</v>
      </c>
      <c r="G44" s="243">
        <v>1.0831</v>
      </c>
      <c r="H44" s="106"/>
      <c r="J44" s="194" t="s">
        <v>94</v>
      </c>
      <c r="M44" s="1"/>
      <c r="N44" s="1"/>
      <c r="O44" s="1"/>
      <c r="P44" s="1"/>
      <c r="Q44" s="1"/>
      <c r="R44" s="1"/>
      <c r="S44" s="1"/>
      <c r="T44" s="1"/>
      <c r="U44" s="1"/>
      <c r="V44" s="1"/>
      <c r="W44" s="1"/>
      <c r="X44" s="1"/>
      <c r="Y44" s="1"/>
      <c r="Z44" s="1"/>
      <c r="AA44" s="1"/>
    </row>
    <row r="45" spans="1:27" ht="20" thickBot="1" x14ac:dyDescent="0.3">
      <c r="A45" s="1"/>
      <c r="B45" s="1"/>
      <c r="C45" s="106"/>
      <c r="D45" s="1"/>
      <c r="E45" s="1"/>
      <c r="F45" s="4"/>
      <c r="G45" s="1"/>
      <c r="H45" s="106"/>
      <c r="J45" s="247">
        <v>1</v>
      </c>
      <c r="K45" s="248">
        <f>J45+1</f>
        <v>2</v>
      </c>
      <c r="L45" s="249">
        <f>K45+1</f>
        <v>3</v>
      </c>
      <c r="M45" s="249">
        <f>L45+1</f>
        <v>4</v>
      </c>
      <c r="N45" s="1"/>
      <c r="O45" s="1"/>
      <c r="P45" s="1"/>
      <c r="Q45" s="1"/>
      <c r="R45" s="1"/>
      <c r="S45" s="1"/>
      <c r="T45" s="1"/>
      <c r="U45" s="1"/>
      <c r="V45" s="1"/>
      <c r="W45" s="1"/>
      <c r="X45" s="1"/>
      <c r="Y45" s="1"/>
      <c r="Z45" s="1"/>
      <c r="AA45" s="1"/>
    </row>
    <row r="46" spans="1:27" ht="20" thickBot="1" x14ac:dyDescent="0.3">
      <c r="A46" s="1"/>
      <c r="B46" s="1"/>
      <c r="C46" s="106"/>
      <c r="E46" s="1"/>
      <c r="F46" s="4"/>
      <c r="H46" s="106"/>
      <c r="J46" s="250">
        <v>-76.433896609100003</v>
      </c>
      <c r="K46" s="251">
        <v>-76.434045551799997</v>
      </c>
      <c r="L46" s="251">
        <v>-76.434047683299994</v>
      </c>
      <c r="M46" s="121">
        <v>-76.434047683299994</v>
      </c>
      <c r="N46" s="1"/>
      <c r="O46" s="1"/>
      <c r="P46" s="1"/>
      <c r="Q46" s="1"/>
      <c r="R46" s="1"/>
      <c r="S46" s="1"/>
      <c r="T46" s="1"/>
      <c r="U46" s="1"/>
      <c r="V46" s="1"/>
      <c r="W46" s="1"/>
      <c r="X46" s="1"/>
      <c r="Y46" s="1"/>
      <c r="Z46" s="1"/>
      <c r="AA46" s="1"/>
    </row>
    <row r="47" spans="1:27" ht="19" x14ac:dyDescent="0.25">
      <c r="A47" s="1"/>
      <c r="B47" s="1"/>
      <c r="C47" s="106"/>
      <c r="E47" s="1"/>
      <c r="F47" s="4"/>
      <c r="H47" s="106"/>
      <c r="K47" s="1"/>
      <c r="L47" s="1"/>
      <c r="M47" s="1"/>
      <c r="N47" s="1"/>
      <c r="O47" s="1"/>
      <c r="P47" s="1"/>
      <c r="Q47" s="1"/>
      <c r="R47" s="1"/>
      <c r="S47" s="1"/>
      <c r="T47" s="1"/>
      <c r="U47" s="1"/>
      <c r="V47" s="1"/>
      <c r="W47" s="1"/>
      <c r="X47" s="1"/>
      <c r="Y47" s="1"/>
      <c r="Z47" s="1"/>
      <c r="AA47" s="1"/>
    </row>
    <row r="48" spans="1:27" ht="19" x14ac:dyDescent="0.25">
      <c r="A48" s="1"/>
      <c r="B48" s="1"/>
      <c r="C48" s="106"/>
      <c r="E48" s="1"/>
      <c r="F48" s="4"/>
      <c r="H48" s="106"/>
      <c r="N48" s="1"/>
      <c r="O48" s="1"/>
      <c r="P48" s="1"/>
      <c r="Q48" s="1"/>
      <c r="R48" s="1"/>
      <c r="S48" s="1"/>
      <c r="T48" s="1"/>
      <c r="U48" s="1"/>
      <c r="V48" s="1"/>
      <c r="W48" s="1"/>
      <c r="X48" s="1"/>
      <c r="Y48" s="1"/>
      <c r="Z48" s="1"/>
      <c r="AA48" s="1"/>
    </row>
    <row r="49" spans="1:27" ht="19" x14ac:dyDescent="0.25">
      <c r="A49" s="1"/>
      <c r="B49" s="1"/>
      <c r="C49" s="106"/>
      <c r="E49" s="1"/>
      <c r="F49" s="4"/>
      <c r="G49" s="1"/>
      <c r="H49" s="106"/>
      <c r="K49" s="1"/>
      <c r="L49" s="1"/>
      <c r="M49" s="1"/>
      <c r="N49" s="1"/>
      <c r="O49" s="1"/>
      <c r="P49" s="1"/>
      <c r="Q49" s="1"/>
      <c r="R49" s="1"/>
      <c r="S49" s="1"/>
      <c r="T49" s="1"/>
      <c r="U49" s="1"/>
      <c r="V49" s="1"/>
      <c r="W49" s="1"/>
      <c r="X49" s="1"/>
      <c r="Y49" s="1"/>
      <c r="Z49" s="1"/>
      <c r="AA49" s="1"/>
    </row>
    <row r="50" spans="1:27" ht="19" x14ac:dyDescent="0.25">
      <c r="A50" s="1"/>
      <c r="B50" s="1"/>
      <c r="C50" s="106"/>
      <c r="D50" s="1"/>
      <c r="E50" s="1"/>
      <c r="F50" s="4"/>
      <c r="G50" s="1"/>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277" t="s">
        <v>125</v>
      </c>
      <c r="B53" s="277"/>
      <c r="C53" s="277"/>
      <c r="D53" s="277"/>
      <c r="E53" s="277"/>
      <c r="F53" s="277"/>
      <c r="G53" s="277"/>
      <c r="H53" s="277"/>
      <c r="I53" s="277"/>
      <c r="J53" s="277"/>
      <c r="K53" s="277"/>
      <c r="L53" s="277"/>
      <c r="M53" s="277"/>
      <c r="N53" s="277"/>
      <c r="O53" s="277"/>
      <c r="P53" s="277"/>
      <c r="Q53" s="277"/>
      <c r="R53" s="277"/>
      <c r="S53" s="277"/>
      <c r="T53" s="277"/>
      <c r="U53" s="277"/>
      <c r="V53" s="277"/>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3" t="s">
        <v>75</v>
      </c>
      <c r="D56" s="134"/>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5" t="s">
        <v>68</v>
      </c>
      <c r="D64" s="161" t="s">
        <v>67</v>
      </c>
      <c r="E64" s="165" t="s">
        <v>77</v>
      </c>
      <c r="F64" s="1"/>
      <c r="G64" s="1"/>
      <c r="H64" s="170" t="s">
        <v>83</v>
      </c>
      <c r="I64" s="171"/>
      <c r="J64" s="171"/>
      <c r="K64" s="171"/>
      <c r="L64" s="171"/>
      <c r="M64" s="171"/>
      <c r="N64" s="171"/>
      <c r="O64" s="1"/>
      <c r="Q64" s="1"/>
      <c r="R64" s="1"/>
      <c r="S64" s="1"/>
      <c r="T64" s="1"/>
      <c r="U64" s="1"/>
      <c r="V64" s="1"/>
      <c r="W64" s="1"/>
      <c r="X64" s="1"/>
      <c r="Y64" s="1"/>
      <c r="Z64" s="1"/>
      <c r="AA64" s="1"/>
    </row>
    <row r="65" spans="2:27" ht="20" thickBot="1" x14ac:dyDescent="0.3">
      <c r="B65" s="1"/>
      <c r="C65" s="158">
        <v>300</v>
      </c>
      <c r="D65" s="167">
        <f t="shared" ref="D65:D82" si="4">C65*$B$8/$B$16</f>
        <v>4.0877868245743891E-26</v>
      </c>
      <c r="E65" s="162">
        <f xml:space="preserve"> (2*PI()*$A$28*$U$9*$B$8*C65/($B$14^2))^(3/2)*D65</f>
        <v>3049654.2964746249</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9">
        <f>C65+100</f>
        <v>400</v>
      </c>
      <c r="D66" s="168">
        <f t="shared" si="4"/>
        <v>5.4503824327658529E-26</v>
      </c>
      <c r="E66" s="163">
        <f t="shared" ref="E66:E82" si="5" xml:space="preserve"> (2*PI()*$A$28*$U$9*$B$8*C66/($B$14^2))^(3/2)*D66</f>
        <v>6260333.2586841406</v>
      </c>
      <c r="F66" s="1"/>
      <c r="G66" s="1"/>
      <c r="L66" s="165" t="s">
        <v>82</v>
      </c>
      <c r="M66" s="1"/>
      <c r="N66" s="1"/>
      <c r="O66" s="1"/>
      <c r="Q66" s="1"/>
      <c r="R66" s="1"/>
      <c r="S66" s="1"/>
      <c r="T66" s="1"/>
      <c r="U66" s="1"/>
      <c r="V66" s="1"/>
      <c r="W66" s="1"/>
      <c r="X66" s="1"/>
      <c r="Y66" s="1"/>
      <c r="Z66" s="1"/>
      <c r="AA66" s="1"/>
    </row>
    <row r="67" spans="2:27" ht="19" x14ac:dyDescent="0.25">
      <c r="B67" s="1"/>
      <c r="C67" s="159">
        <f t="shared" ref="C67:C82" si="6">C66+100</f>
        <v>500</v>
      </c>
      <c r="D67" s="168">
        <f t="shared" si="4"/>
        <v>6.812978040957315E-26</v>
      </c>
      <c r="E67" s="163">
        <f t="shared" si="5"/>
        <v>10936352.131422339</v>
      </c>
      <c r="F67" s="1"/>
      <c r="G67" s="1"/>
      <c r="K67" s="80" t="s">
        <v>79</v>
      </c>
      <c r="L67" s="139">
        <f xml:space="preserve"> (2*PI()*$A$28*$U$9*$B$8*A22/($B$14^2))^(3/2)*D65</f>
        <v>3021488.5283742412</v>
      </c>
      <c r="M67" s="1"/>
      <c r="N67" s="1"/>
      <c r="O67" s="1"/>
      <c r="Q67" s="1"/>
      <c r="R67" s="1"/>
      <c r="S67" s="1"/>
      <c r="T67" s="1"/>
      <c r="U67" s="1"/>
      <c r="V67" s="1"/>
      <c r="W67" s="1"/>
      <c r="X67" s="1"/>
      <c r="Y67" s="1"/>
      <c r="Z67" s="1"/>
      <c r="AA67" s="1"/>
    </row>
    <row r="68" spans="2:27" ht="20" thickBot="1" x14ac:dyDescent="0.3">
      <c r="B68" s="1"/>
      <c r="C68" s="159">
        <f t="shared" si="6"/>
        <v>600</v>
      </c>
      <c r="D68" s="168">
        <f t="shared" si="4"/>
        <v>8.1755736491487783E-26</v>
      </c>
      <c r="E68" s="163">
        <f t="shared" si="5"/>
        <v>17251449.866495226</v>
      </c>
      <c r="F68" s="1"/>
      <c r="G68" s="1"/>
      <c r="K68" s="81" t="s">
        <v>80</v>
      </c>
      <c r="L68" s="141">
        <f>P33</f>
        <v>3004320</v>
      </c>
      <c r="M68" s="1"/>
      <c r="N68" s="1"/>
      <c r="O68" s="1"/>
      <c r="Q68" s="1"/>
      <c r="R68" s="1"/>
      <c r="S68" s="1"/>
      <c r="T68" s="1"/>
      <c r="U68" s="1"/>
      <c r="V68" s="1"/>
      <c r="W68" s="1"/>
      <c r="X68" s="1"/>
      <c r="Y68" s="1"/>
      <c r="Z68" s="1"/>
      <c r="AA68" s="1"/>
    </row>
    <row r="69" spans="2:27" ht="22" x14ac:dyDescent="0.3">
      <c r="B69" s="1"/>
      <c r="C69" s="159">
        <f t="shared" si="6"/>
        <v>700</v>
      </c>
      <c r="D69" s="168">
        <f t="shared" si="4"/>
        <v>9.5381692573402415E-26</v>
      </c>
      <c r="E69" s="163">
        <f t="shared" si="5"/>
        <v>25362530.044261605</v>
      </c>
      <c r="F69" s="1"/>
      <c r="G69" s="1"/>
      <c r="H69" s="1"/>
      <c r="I69" s="1"/>
      <c r="K69" s="25" t="s">
        <v>81</v>
      </c>
      <c r="L69" s="172">
        <f>ABS(L67-L68)/L67</f>
        <v>5.6821424979822755E-3</v>
      </c>
      <c r="M69" s="1"/>
      <c r="N69" s="1"/>
      <c r="O69" s="1"/>
      <c r="Q69" s="1"/>
      <c r="R69" s="1"/>
      <c r="S69" s="1"/>
      <c r="T69" s="1"/>
      <c r="U69" s="1"/>
      <c r="V69" s="1"/>
      <c r="W69" s="1"/>
      <c r="X69" s="1"/>
      <c r="Y69" s="1"/>
      <c r="Z69" s="1"/>
      <c r="AA69" s="1"/>
    </row>
    <row r="70" spans="2:27" ht="19" x14ac:dyDescent="0.25">
      <c r="B70" s="1"/>
      <c r="C70" s="159">
        <f t="shared" si="6"/>
        <v>800</v>
      </c>
      <c r="D70" s="168">
        <f t="shared" si="4"/>
        <v>1.0900764865531706E-25</v>
      </c>
      <c r="E70" s="163">
        <f t="shared" si="5"/>
        <v>35413792.797625959</v>
      </c>
      <c r="F70" s="1"/>
      <c r="G70" s="1"/>
      <c r="Q70" s="1"/>
      <c r="R70" s="1"/>
      <c r="S70" s="1"/>
      <c r="T70" s="1"/>
      <c r="U70" s="1"/>
      <c r="V70" s="1"/>
      <c r="W70" s="1"/>
      <c r="X70" s="1"/>
      <c r="Y70" s="1"/>
      <c r="Z70" s="1"/>
      <c r="AA70" s="1"/>
    </row>
    <row r="71" spans="2:27" ht="19" x14ac:dyDescent="0.25">
      <c r="B71" s="1"/>
      <c r="C71" s="159">
        <f t="shared" si="6"/>
        <v>900</v>
      </c>
      <c r="D71" s="168">
        <f t="shared" si="4"/>
        <v>1.2263360473723168E-25</v>
      </c>
      <c r="E71" s="163">
        <f t="shared" si="5"/>
        <v>47539405.683132768</v>
      </c>
      <c r="F71" s="1"/>
      <c r="G71" s="1"/>
      <c r="Q71" s="1"/>
      <c r="R71" s="1"/>
      <c r="S71" s="1"/>
      <c r="T71" s="1"/>
      <c r="U71" s="1"/>
      <c r="V71" s="1"/>
      <c r="W71" s="1"/>
      <c r="X71" s="1"/>
      <c r="Y71" s="1"/>
      <c r="Z71" s="1"/>
      <c r="AA71" s="1"/>
    </row>
    <row r="72" spans="2:27" ht="19" x14ac:dyDescent="0.25">
      <c r="B72" s="1"/>
      <c r="C72" s="159">
        <f t="shared" si="6"/>
        <v>1000</v>
      </c>
      <c r="D72" s="168">
        <f t="shared" si="4"/>
        <v>1.362595608191463E-25</v>
      </c>
      <c r="E72" s="163">
        <f t="shared" si="5"/>
        <v>61865350.028581679</v>
      </c>
      <c r="F72" s="1"/>
      <c r="G72" s="1"/>
      <c r="Q72" s="1"/>
      <c r="R72" s="1"/>
      <c r="S72" s="1"/>
      <c r="T72" s="1"/>
      <c r="U72" s="1"/>
      <c r="V72" s="1"/>
      <c r="W72" s="1"/>
      <c r="X72" s="1"/>
      <c r="Y72" s="1"/>
      <c r="Z72" s="1"/>
      <c r="AA72" s="1"/>
    </row>
    <row r="73" spans="2:27" ht="19" x14ac:dyDescent="0.25">
      <c r="C73" s="159">
        <f t="shared" si="6"/>
        <v>1100</v>
      </c>
      <c r="D73" s="168">
        <f t="shared" si="4"/>
        <v>1.4988551690106094E-25</v>
      </c>
      <c r="E73" s="163">
        <f t="shared" si="5"/>
        <v>78510761.071194604</v>
      </c>
    </row>
    <row r="74" spans="2:27" ht="19" x14ac:dyDescent="0.25">
      <c r="C74" s="159">
        <f t="shared" si="6"/>
        <v>1200</v>
      </c>
      <c r="D74" s="168">
        <f t="shared" si="4"/>
        <v>1.6351147298297557E-25</v>
      </c>
      <c r="E74" s="163">
        <f t="shared" si="5"/>
        <v>97588937.487187162</v>
      </c>
    </row>
    <row r="75" spans="2:27" ht="19" x14ac:dyDescent="0.25">
      <c r="C75" s="159">
        <f t="shared" si="6"/>
        <v>1300</v>
      </c>
      <c r="D75" s="168">
        <f t="shared" si="4"/>
        <v>1.7713742906489019E-25</v>
      </c>
      <c r="E75" s="163">
        <f t="shared" si="5"/>
        <v>119208124.48748784</v>
      </c>
    </row>
    <row r="76" spans="2:27" ht="19" x14ac:dyDescent="0.25">
      <c r="C76" s="159">
        <f t="shared" si="6"/>
        <v>1400</v>
      </c>
      <c r="D76" s="168">
        <f t="shared" si="4"/>
        <v>1.9076338514680483E-25</v>
      </c>
      <c r="E76" s="163">
        <f t="shared" si="5"/>
        <v>143472135.85875982</v>
      </c>
    </row>
    <row r="77" spans="2:27" ht="19" x14ac:dyDescent="0.25">
      <c r="C77" s="159">
        <f t="shared" si="6"/>
        <v>1500</v>
      </c>
      <c r="D77" s="168">
        <f t="shared" si="4"/>
        <v>2.043893412287195E-25</v>
      </c>
      <c r="E77" s="163">
        <f t="shared" si="5"/>
        <v>170480857.8697885</v>
      </c>
    </row>
    <row r="78" spans="2:27" ht="19" x14ac:dyDescent="0.25">
      <c r="C78" s="159">
        <f t="shared" si="6"/>
        <v>1600</v>
      </c>
      <c r="D78" s="168">
        <f t="shared" si="4"/>
        <v>2.1801529731063412E-25</v>
      </c>
      <c r="E78" s="163">
        <f t="shared" si="5"/>
        <v>200330664.27789077</v>
      </c>
    </row>
    <row r="79" spans="2:27" ht="19" x14ac:dyDescent="0.25">
      <c r="C79" s="159">
        <f t="shared" si="6"/>
        <v>1700</v>
      </c>
      <c r="D79" s="168">
        <f t="shared" si="4"/>
        <v>2.3164125339254876E-25</v>
      </c>
      <c r="E79" s="163">
        <f t="shared" si="5"/>
        <v>233114762.97150701</v>
      </c>
    </row>
    <row r="80" spans="2:27" ht="19" x14ac:dyDescent="0.25">
      <c r="C80" s="159">
        <f t="shared" si="6"/>
        <v>1800</v>
      </c>
      <c r="D80" s="168">
        <f t="shared" si="4"/>
        <v>2.4526720947446336E-25</v>
      </c>
      <c r="E80" s="163">
        <f t="shared" si="5"/>
        <v>268923489.05697256</v>
      </c>
    </row>
    <row r="81" spans="3:7" ht="19" x14ac:dyDescent="0.25">
      <c r="C81" s="159">
        <f t="shared" si="6"/>
        <v>1900</v>
      </c>
      <c r="D81" s="168">
        <f t="shared" si="4"/>
        <v>2.58893165556378E-25</v>
      </c>
      <c r="E81" s="163">
        <f t="shared" si="5"/>
        <v>307844555.31012899</v>
      </c>
    </row>
    <row r="82" spans="3:7" ht="20" thickBot="1" x14ac:dyDescent="0.3">
      <c r="C82" s="160">
        <f t="shared" si="6"/>
        <v>2000</v>
      </c>
      <c r="D82" s="169">
        <f t="shared" si="4"/>
        <v>2.725191216382926E-25</v>
      </c>
      <c r="E82" s="164">
        <f t="shared" si="5"/>
        <v>349963268.20551682</v>
      </c>
    </row>
    <row r="92" spans="3:7" ht="22" customHeight="1" x14ac:dyDescent="0.25">
      <c r="F92" s="1" t="s">
        <v>66</v>
      </c>
    </row>
    <row r="93" spans="3:7" ht="27" x14ac:dyDescent="0.35">
      <c r="C93" s="133" t="s">
        <v>84</v>
      </c>
      <c r="D93" s="173"/>
      <c r="E93" s="1"/>
      <c r="F93" s="1"/>
      <c r="G93" s="1"/>
    </row>
    <row r="94" spans="3:7" ht="19" x14ac:dyDescent="0.25">
      <c r="E94" s="1"/>
      <c r="G94" s="1"/>
    </row>
    <row r="95" spans="3:7" ht="20" thickBot="1" x14ac:dyDescent="0.3">
      <c r="E95" s="1"/>
      <c r="F95" s="1"/>
      <c r="G95" s="1"/>
    </row>
    <row r="96" spans="3:7" ht="20" thickBot="1" x14ac:dyDescent="0.3">
      <c r="C96" s="181" t="s">
        <v>86</v>
      </c>
      <c r="E96" s="1"/>
      <c r="F96" s="1"/>
      <c r="G96" s="1"/>
    </row>
    <row r="97" spans="3:22" ht="22" thickBot="1" x14ac:dyDescent="0.3">
      <c r="C97" s="182" t="s">
        <v>87</v>
      </c>
      <c r="D97" s="184" cm="1">
        <f t="array" ref="D97">INDEX($E:$E,(COLUMN(D97)-4)*1+42)</f>
        <v>1603.0222000000001</v>
      </c>
      <c r="E97" s="184" cm="1">
        <f t="array" ref="E97">INDEX($E:$E,(COLUMN(E97)-4)*1+42)</f>
        <v>3809.8024</v>
      </c>
      <c r="F97" s="184" cm="1">
        <f t="array" ref="F97">INDEX($E:$E,(COLUMN(F97)-4)*1+42)</f>
        <v>3931.9306999999999</v>
      </c>
      <c r="G97" s="1"/>
      <c r="H97" s="1"/>
      <c r="I97" s="1"/>
      <c r="J97" s="1"/>
      <c r="K97" s="1"/>
      <c r="L97" s="1"/>
    </row>
    <row r="98" spans="3:22" ht="20" thickBot="1" x14ac:dyDescent="0.3">
      <c r="C98" s="183" t="s">
        <v>88</v>
      </c>
      <c r="D98" s="185">
        <f>D97*$L$9</f>
        <v>48057483440460</v>
      </c>
      <c r="E98" s="186">
        <f t="shared" ref="E98:F98" si="7">E97*$L$9</f>
        <v>114215209090320</v>
      </c>
      <c r="F98" s="187">
        <f t="shared" si="7"/>
        <v>117876530034510</v>
      </c>
      <c r="G98" s="4"/>
      <c r="H98" s="4"/>
      <c r="I98" s="4"/>
      <c r="J98" s="4"/>
      <c r="K98" s="4"/>
      <c r="L98" s="4"/>
    </row>
    <row r="99" spans="3:22" ht="17" thickBot="1" x14ac:dyDescent="0.25"/>
    <row r="100" spans="3:22" ht="30" customHeight="1" thickBot="1" x14ac:dyDescent="0.5">
      <c r="C100" s="252" t="s">
        <v>89</v>
      </c>
      <c r="D100" s="97"/>
      <c r="E100" s="97"/>
      <c r="F100" s="97"/>
      <c r="G100" s="254" t="s">
        <v>90</v>
      </c>
    </row>
    <row r="101" spans="3:22" ht="38" customHeight="1" thickBot="1" x14ac:dyDescent="0.35">
      <c r="C101" s="174" t="s">
        <v>85</v>
      </c>
      <c r="D101" s="178">
        <v>1</v>
      </c>
      <c r="E101" s="179">
        <f t="shared" ref="E101:F101" si="8">D101+1</f>
        <v>2</v>
      </c>
      <c r="F101" s="253">
        <f t="shared" si="8"/>
        <v>3</v>
      </c>
      <c r="G101" s="256"/>
      <c r="H101" s="255"/>
      <c r="J101" s="170" t="s">
        <v>83</v>
      </c>
      <c r="K101" s="171"/>
      <c r="L101" s="171"/>
      <c r="M101" s="171"/>
      <c r="N101" s="171"/>
      <c r="U101" s="1"/>
      <c r="V101" s="1"/>
    </row>
    <row r="102" spans="3:22" ht="20" thickBot="1" x14ac:dyDescent="0.3">
      <c r="C102" s="180">
        <v>298.14999999999998</v>
      </c>
      <c r="D102" s="259">
        <f>EXP(-($B$14*D$98)/(2*$B$8*$C102))/(1-EXP(-($B$14*D$98)/($B$8*$C102)))</f>
        <v>2.091260886297126E-2</v>
      </c>
      <c r="E102" s="260">
        <f t="shared" ref="E102:F102" si="9">EXP(-($B$14*E$98)/(2*$B$8*$C102))/(1-EXP(-($B$14*E$98)/($B$8*$C102)))</f>
        <v>1.0180482543440743E-4</v>
      </c>
      <c r="F102" s="261">
        <f t="shared" si="9"/>
        <v>7.5821443579899067E-5</v>
      </c>
      <c r="G102" s="257">
        <f xml:space="preserve"> PRODUCT(D102:F102)</f>
        <v>1.6142419417418757E-10</v>
      </c>
      <c r="H102" s="24"/>
    </row>
    <row r="103" spans="3:22" ht="20" thickBot="1" x14ac:dyDescent="0.3">
      <c r="C103" s="130">
        <v>300</v>
      </c>
      <c r="D103" s="262">
        <f t="shared" ref="D103:F120" si="10">EXP(-($B$14*D$98)/(2*$B$8*$C103))/(1-EXP(-($B$14*D$98)/($B$8*$C103)))</f>
        <v>2.141786338091466E-2</v>
      </c>
      <c r="E103" s="263">
        <f t="shared" si="10"/>
        <v>1.0774251920663638E-4</v>
      </c>
      <c r="F103" s="264">
        <f t="shared" si="10"/>
        <v>8.0389624142890669E-5</v>
      </c>
      <c r="G103" s="257">
        <f t="shared" ref="G103:G120" si="11" xml:space="preserve"> PRODUCT(D103:F103)</f>
        <v>1.855082668784347E-10</v>
      </c>
      <c r="H103" s="24"/>
      <c r="L103" s="165" t="s">
        <v>82</v>
      </c>
    </row>
    <row r="104" spans="3:22" ht="19" x14ac:dyDescent="0.25">
      <c r="C104" s="131">
        <f>C103+100</f>
        <v>400</v>
      </c>
      <c r="D104" s="265">
        <f t="shared" si="10"/>
        <v>5.6142956253281986E-2</v>
      </c>
      <c r="E104" s="188">
        <f t="shared" si="10"/>
        <v>1.057525446574704E-3</v>
      </c>
      <c r="F104" s="266">
        <f t="shared" si="10"/>
        <v>8.4898557161329426E-4</v>
      </c>
      <c r="G104" s="257">
        <f t="shared" si="11"/>
        <v>5.0406484895422924E-8</v>
      </c>
      <c r="H104" s="24"/>
      <c r="K104" s="80" t="s">
        <v>79</v>
      </c>
      <c r="L104" s="139">
        <f>G102</f>
        <v>1.6142419417418757E-10</v>
      </c>
    </row>
    <row r="105" spans="3:22" ht="20" thickBot="1" x14ac:dyDescent="0.3">
      <c r="C105" s="131">
        <f t="shared" ref="C105:C120" si="12">C104+100</f>
        <v>500</v>
      </c>
      <c r="D105" s="265">
        <f t="shared" si="10"/>
        <v>0.10061848171493497</v>
      </c>
      <c r="E105" s="188">
        <f t="shared" si="10"/>
        <v>4.1633200694187866E-3</v>
      </c>
      <c r="F105" s="266">
        <f t="shared" si="10"/>
        <v>3.4924105715969651E-3</v>
      </c>
      <c r="G105" s="257">
        <f t="shared" si="11"/>
        <v>1.4629950407126921E-6</v>
      </c>
      <c r="H105" s="24"/>
      <c r="K105" s="81" t="s">
        <v>80</v>
      </c>
      <c r="L105" s="141">
        <f>P37</f>
        <v>1.6143099999999999E-10</v>
      </c>
    </row>
    <row r="106" spans="3:22" ht="22" x14ac:dyDescent="0.3">
      <c r="C106" s="131">
        <f t="shared" si="12"/>
        <v>600</v>
      </c>
      <c r="D106" s="265">
        <f t="shared" si="10"/>
        <v>0.14951573138700611</v>
      </c>
      <c r="E106" s="188">
        <f t="shared" si="10"/>
        <v>1.0381027820450811E-2</v>
      </c>
      <c r="F106" s="266">
        <f t="shared" si="10"/>
        <v>8.9667469109630214E-3</v>
      </c>
      <c r="G106" s="257">
        <f t="shared" si="11"/>
        <v>1.3917529687877594E-5</v>
      </c>
      <c r="H106" s="24"/>
      <c r="K106" s="25" t="s">
        <v>81</v>
      </c>
      <c r="L106" s="172">
        <f>ABS(L104-L105)/L104</f>
        <v>4.216112613874192E-5</v>
      </c>
    </row>
    <row r="107" spans="3:22" ht="19" x14ac:dyDescent="0.25">
      <c r="C107" s="131">
        <f t="shared" si="12"/>
        <v>700</v>
      </c>
      <c r="D107" s="265">
        <f t="shared" si="10"/>
        <v>0.1999585512052936</v>
      </c>
      <c r="E107" s="188">
        <f t="shared" si="10"/>
        <v>1.9941925424761378E-2</v>
      </c>
      <c r="F107" s="266">
        <f t="shared" si="10"/>
        <v>1.7588143318914257E-2</v>
      </c>
      <c r="G107" s="257">
        <f t="shared" si="11"/>
        <v>7.0133750675118502E-5</v>
      </c>
      <c r="H107" s="24"/>
    </row>
    <row r="108" spans="3:22" ht="19" x14ac:dyDescent="0.25">
      <c r="C108" s="131">
        <f t="shared" si="12"/>
        <v>800</v>
      </c>
      <c r="D108" s="265">
        <f t="shared" si="10"/>
        <v>0.25059896138584747</v>
      </c>
      <c r="E108" s="188">
        <f t="shared" si="10"/>
        <v>3.2554024821837779E-2</v>
      </c>
      <c r="F108" s="266">
        <f t="shared" si="10"/>
        <v>2.9162104664645284E-2</v>
      </c>
      <c r="G108" s="257">
        <f t="shared" si="11"/>
        <v>2.3790459010295092E-4</v>
      </c>
      <c r="H108" s="24"/>
    </row>
    <row r="109" spans="3:22" ht="19" x14ac:dyDescent="0.25">
      <c r="C109" s="131">
        <f t="shared" si="12"/>
        <v>900</v>
      </c>
      <c r="D109" s="265">
        <f t="shared" si="10"/>
        <v>0.30086439085738276</v>
      </c>
      <c r="E109" s="188">
        <f t="shared" si="10"/>
        <v>4.7692143354138933E-2</v>
      </c>
      <c r="F109" s="266">
        <f t="shared" si="10"/>
        <v>4.323907174102485E-2</v>
      </c>
      <c r="G109" s="257">
        <f t="shared" si="11"/>
        <v>6.2043171810677203E-4</v>
      </c>
      <c r="H109" s="24"/>
    </row>
    <row r="110" spans="3:22" ht="19" x14ac:dyDescent="0.25">
      <c r="C110" s="131">
        <f t="shared" si="12"/>
        <v>1000</v>
      </c>
      <c r="D110" s="265">
        <f t="shared" si="10"/>
        <v>0.35054779918122586</v>
      </c>
      <c r="E110" s="188">
        <f t="shared" si="10"/>
        <v>6.4792984670564643E-2</v>
      </c>
      <c r="F110" s="266">
        <f t="shared" si="10"/>
        <v>5.9303369441751144E-2</v>
      </c>
      <c r="G110" s="257">
        <f t="shared" si="11"/>
        <v>1.3469596942530403E-3</v>
      </c>
      <c r="H110" s="24"/>
    </row>
    <row r="111" spans="3:22" ht="19" x14ac:dyDescent="0.25">
      <c r="C111" s="131">
        <f t="shared" si="12"/>
        <v>1100</v>
      </c>
      <c r="D111" s="265">
        <f t="shared" si="10"/>
        <v>0.39960714018689791</v>
      </c>
      <c r="E111" s="188">
        <f t="shared" si="10"/>
        <v>8.3350842888596302E-2</v>
      </c>
      <c r="F111" s="266">
        <f t="shared" si="10"/>
        <v>7.6874168054931094E-2</v>
      </c>
      <c r="G111" s="257">
        <f t="shared" si="11"/>
        <v>2.5604934217519667E-3</v>
      </c>
      <c r="H111" s="24"/>
    </row>
    <row r="112" spans="3:22" ht="19" x14ac:dyDescent="0.25">
      <c r="C112" s="131">
        <f t="shared" si="12"/>
        <v>1200</v>
      </c>
      <c r="D112" s="265">
        <f t="shared" si="10"/>
        <v>0.4480707138053362</v>
      </c>
      <c r="E112" s="188">
        <f t="shared" si="10"/>
        <v>0.10295045650633469</v>
      </c>
      <c r="F112" s="266">
        <f t="shared" si="10"/>
        <v>9.5545768059169006E-2</v>
      </c>
      <c r="G112" s="257">
        <f t="shared" si="11"/>
        <v>4.4074388116079923E-3</v>
      </c>
      <c r="H112" s="24"/>
    </row>
    <row r="113" spans="2:15" ht="19" x14ac:dyDescent="0.25">
      <c r="C113" s="131">
        <f t="shared" si="12"/>
        <v>1300</v>
      </c>
      <c r="D113" s="265">
        <f t="shared" si="10"/>
        <v>0.4959932502223563</v>
      </c>
      <c r="E113" s="188">
        <f t="shared" si="10"/>
        <v>0.12326807525298794</v>
      </c>
      <c r="F113" s="266">
        <f t="shared" si="10"/>
        <v>0.11499487996795464</v>
      </c>
      <c r="G113" s="257">
        <f t="shared" si="11"/>
        <v>7.0308022892973821E-3</v>
      </c>
      <c r="H113" s="24"/>
    </row>
    <row r="114" spans="2:15" ht="19" x14ac:dyDescent="0.25">
      <c r="C114" s="131">
        <f t="shared" si="12"/>
        <v>1400</v>
      </c>
      <c r="D114" s="265">
        <f t="shared" si="10"/>
        <v>0.54343595695831104</v>
      </c>
      <c r="E114" s="188">
        <f t="shared" si="10"/>
        <v>0.14405950481240185</v>
      </c>
      <c r="F114" s="266">
        <f t="shared" si="10"/>
        <v>0.13497298639422042</v>
      </c>
      <c r="G114" s="257">
        <f t="shared" si="11"/>
        <v>1.0566645688391822E-2</v>
      </c>
      <c r="H114" s="24"/>
    </row>
    <row r="115" spans="2:15" ht="19" x14ac:dyDescent="0.25">
      <c r="C115" s="131">
        <f t="shared" si="12"/>
        <v>1500</v>
      </c>
      <c r="D115" s="265">
        <f t="shared" si="10"/>
        <v>0.5904578541845189</v>
      </c>
      <c r="E115" s="188">
        <f t="shared" si="10"/>
        <v>0.16514472787650519</v>
      </c>
      <c r="F115" s="266">
        <f t="shared" si="10"/>
        <v>0.15529366127368902</v>
      </c>
      <c r="G115" s="257">
        <f t="shared" si="11"/>
        <v>1.5142840460980146E-2</v>
      </c>
      <c r="H115" s="24"/>
    </row>
    <row r="116" spans="2:15" ht="19" x14ac:dyDescent="0.25">
      <c r="C116" s="131">
        <f t="shared" si="12"/>
        <v>1600</v>
      </c>
      <c r="D116" s="265">
        <f t="shared" si="10"/>
        <v>0.63711240498475019</v>
      </c>
      <c r="E116" s="188">
        <f t="shared" si="10"/>
        <v>0.18639334784126821</v>
      </c>
      <c r="F116" s="266">
        <f t="shared" si="10"/>
        <v>0.17581956606838237</v>
      </c>
      <c r="G116" s="257">
        <f t="shared" si="11"/>
        <v>2.0879191321025052E-2</v>
      </c>
      <c r="H116" s="24"/>
    </row>
    <row r="117" spans="2:15" ht="19" x14ac:dyDescent="0.25">
      <c r="C117" s="131">
        <f t="shared" si="12"/>
        <v>1700</v>
      </c>
      <c r="D117" s="265">
        <f t="shared" si="10"/>
        <v>0.6834465905039846</v>
      </c>
      <c r="E117" s="188">
        <f t="shared" si="10"/>
        <v>0.2077123533388725</v>
      </c>
      <c r="F117" s="266">
        <f t="shared" si="10"/>
        <v>0.1964510324361454</v>
      </c>
      <c r="G117" s="257">
        <f t="shared" si="11"/>
        <v>2.7888247440029598E-2</v>
      </c>
      <c r="H117" s="24"/>
    </row>
    <row r="118" spans="2:15" ht="19" x14ac:dyDescent="0.25">
      <c r="C118" s="131">
        <f t="shared" si="12"/>
        <v>1800</v>
      </c>
      <c r="D118" s="265">
        <f t="shared" si="10"/>
        <v>0.72950106834140127</v>
      </c>
      <c r="E118" s="188">
        <f t="shared" si="10"/>
        <v>0.22903643512462507</v>
      </c>
      <c r="F118" s="266">
        <f t="shared" si="10"/>
        <v>0.21711675722925605</v>
      </c>
      <c r="G118" s="257">
        <f t="shared" si="11"/>
        <v>3.6276372401637884E-2</v>
      </c>
      <c r="H118" s="24"/>
    </row>
    <row r="119" spans="2:15" ht="19" x14ac:dyDescent="0.25">
      <c r="C119" s="131">
        <f t="shared" si="12"/>
        <v>1900</v>
      </c>
      <c r="D119" s="265">
        <f t="shared" si="10"/>
        <v>0.77531076492457496</v>
      </c>
      <c r="E119" s="188">
        <f t="shared" si="10"/>
        <v>0.25032058109739191</v>
      </c>
      <c r="F119" s="266">
        <f t="shared" si="10"/>
        <v>0.23776652700719786</v>
      </c>
      <c r="G119" s="257">
        <f t="shared" si="11"/>
        <v>4.6144833846395575E-2</v>
      </c>
      <c r="H119" s="24"/>
    </row>
    <row r="120" spans="2:15" ht="20" thickBot="1" x14ac:dyDescent="0.3">
      <c r="C120" s="132">
        <f t="shared" si="12"/>
        <v>2000</v>
      </c>
      <c r="D120" s="267">
        <f t="shared" si="10"/>
        <v>0.82090559689943199</v>
      </c>
      <c r="E120" s="268">
        <f t="shared" si="10"/>
        <v>0.27153452886783275</v>
      </c>
      <c r="F120" s="269">
        <f t="shared" si="10"/>
        <v>0.2583656686663644</v>
      </c>
      <c r="G120" s="258">
        <f t="shared" si="11"/>
        <v>5.759079642759888E-2</v>
      </c>
      <c r="H120" s="24"/>
    </row>
    <row r="127" spans="2:15" ht="19" x14ac:dyDescent="0.25">
      <c r="B127" s="1"/>
      <c r="C127" s="1"/>
      <c r="D127" s="1"/>
      <c r="E127" s="1"/>
      <c r="F127" s="1" t="s">
        <v>66</v>
      </c>
      <c r="G127" s="1"/>
      <c r="H127" s="1"/>
      <c r="I127" s="1"/>
      <c r="J127" s="1"/>
      <c r="K127" s="1"/>
      <c r="L127" s="1"/>
      <c r="M127" s="1"/>
      <c r="N127" s="1"/>
      <c r="O127" s="1"/>
    </row>
    <row r="128" spans="2:15" ht="27" x14ac:dyDescent="0.35">
      <c r="B128" s="1"/>
      <c r="C128" s="133" t="s">
        <v>91</v>
      </c>
      <c r="D128" s="134"/>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91" t="s">
        <v>26</v>
      </c>
      <c r="D130" s="72"/>
      <c r="E130" s="72"/>
      <c r="F130" s="73"/>
      <c r="G130" s="1"/>
      <c r="H130" s="1"/>
      <c r="I130" s="1"/>
      <c r="J130" s="1"/>
      <c r="K130" s="1"/>
      <c r="L130" s="1"/>
      <c r="M130" s="1"/>
      <c r="N130" s="1"/>
      <c r="O130" s="1"/>
    </row>
    <row r="131" spans="2:15" ht="20" thickBot="1" x14ac:dyDescent="0.3">
      <c r="B131" s="1"/>
      <c r="C131" s="92"/>
      <c r="D131" s="113" t="s">
        <v>36</v>
      </c>
      <c r="E131" s="114" t="s">
        <v>37</v>
      </c>
      <c r="F131" s="115" t="s">
        <v>38</v>
      </c>
      <c r="G131" s="1"/>
      <c r="H131" s="1"/>
      <c r="I131" s="1"/>
      <c r="J131" s="1"/>
      <c r="K131" s="1"/>
      <c r="L131" s="1"/>
      <c r="M131" s="1"/>
      <c r="N131" s="1"/>
      <c r="O131" s="1"/>
    </row>
    <row r="132" spans="2:15" ht="22" thickBot="1" x14ac:dyDescent="0.3">
      <c r="B132" s="1"/>
      <c r="C132" s="189" t="s">
        <v>92</v>
      </c>
      <c r="D132" s="68">
        <f>D24*($Q$8)^2</f>
        <v>3.5989630000000002E-47</v>
      </c>
      <c r="E132" s="68">
        <f t="shared" ref="E132:F132" si="13">E24*($Q$8)^2</f>
        <v>7.0753350000000009E-47</v>
      </c>
      <c r="F132" s="68">
        <f t="shared" si="13"/>
        <v>1.0674298000000001E-46</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90" t="s">
        <v>68</v>
      </c>
      <c r="D136" s="165" t="s">
        <v>121</v>
      </c>
      <c r="E136" s="165" t="s">
        <v>122</v>
      </c>
      <c r="F136" s="1"/>
      <c r="G136" s="1"/>
      <c r="H136" s="170" t="s">
        <v>83</v>
      </c>
      <c r="I136" s="171"/>
      <c r="J136" s="171"/>
      <c r="K136" s="171"/>
      <c r="L136" s="171"/>
      <c r="M136" s="171"/>
      <c r="N136" s="171"/>
      <c r="O136" s="1"/>
    </row>
    <row r="137" spans="2:15" ht="20" thickBot="1" x14ac:dyDescent="0.3">
      <c r="B137" s="1"/>
      <c r="C137" s="158">
        <v>300</v>
      </c>
      <c r="D137" s="162">
        <f>(8*PI()^2*(2*PI()*$B$8*C137)^(3/2)*SQRT($D$132*$E$132*$F$132))/($H$139*$B$14^3)</f>
        <v>297.03047368624931</v>
      </c>
      <c r="E137" s="192">
        <f>(SQRT(PI())/$A$31)*((C137^1.5)/SQRT($C$29*$D$29*$E$29))</f>
        <v>44.036832644096386</v>
      </c>
      <c r="F137" s="4"/>
      <c r="G137" s="1"/>
      <c r="H137" s="1"/>
      <c r="I137" s="1"/>
      <c r="J137" s="1"/>
      <c r="K137" s="1"/>
      <c r="L137" s="1"/>
      <c r="M137" s="1"/>
      <c r="N137" s="1"/>
      <c r="O137" s="1"/>
    </row>
    <row r="138" spans="2:15" ht="20" thickBot="1" x14ac:dyDescent="0.3">
      <c r="B138" s="1"/>
      <c r="C138" s="159">
        <f>C137+100</f>
        <v>400</v>
      </c>
      <c r="D138" s="163">
        <f>(8*PI()^2*(2*PI()*$B$8*C138)^(3/2)*SQRT($D$132*$E$132*$F$132))/($H$139*$B$14^3)</f>
        <v>457.30833050741234</v>
      </c>
      <c r="E138" s="192">
        <f t="shared" ref="E138:E153" si="14">(SQRT(PI())/$A$31)*((C138^1.5)/SQRT($C$29*$D$29*$E$29))</f>
        <v>67.799139150206813</v>
      </c>
      <c r="F138" s="1"/>
      <c r="G138" s="1"/>
      <c r="L138" s="165" t="s">
        <v>123</v>
      </c>
      <c r="M138" s="165" t="s">
        <v>124</v>
      </c>
      <c r="N138" s="1"/>
      <c r="O138" s="1"/>
    </row>
    <row r="139" spans="2:15" ht="20" thickBot="1" x14ac:dyDescent="0.3">
      <c r="B139" s="1"/>
      <c r="C139" s="159">
        <f t="shared" ref="C139:C154" si="15">C138+100</f>
        <v>500</v>
      </c>
      <c r="D139" s="163">
        <f t="shared" ref="D139:D154" si="16">(8*PI()^2*(2*PI()*$B$8*C139)^(3/2)*SQRT($D$132*$E$132*$F$132))/($H$139*$B$14^3)</f>
        <v>639.10782105719147</v>
      </c>
      <c r="E139" s="192">
        <f t="shared" si="14"/>
        <v>94.752177472393626</v>
      </c>
      <c r="F139" s="1"/>
      <c r="G139" s="116" t="s">
        <v>120</v>
      </c>
      <c r="H139" s="121">
        <v>2</v>
      </c>
      <c r="K139" s="80" t="s">
        <v>79</v>
      </c>
      <c r="L139" s="139">
        <f>8*PI()^2*(2*PI()*$B$8*A22)^(3/2)*SQRT($D$132*$E$132*$F$132)/($H$139*$B$14^3)</f>
        <v>294.28718194650514</v>
      </c>
      <c r="M139" s="135">
        <f>(SQRT(PI())/$A$31)*(($A$22^1.5)/SQRT($C$29*$D$29*$E$29))</f>
        <v>43.630120572645417</v>
      </c>
      <c r="N139" s="1"/>
      <c r="O139" s="1"/>
    </row>
    <row r="140" spans="2:15" ht="20" thickBot="1" x14ac:dyDescent="0.3">
      <c r="B140" s="1"/>
      <c r="C140" s="159">
        <f t="shared" si="15"/>
        <v>600</v>
      </c>
      <c r="D140" s="163">
        <f t="shared" si="16"/>
        <v>840.12904865039923</v>
      </c>
      <c r="E140" s="192">
        <f t="shared" si="14"/>
        <v>124.5549719384706</v>
      </c>
      <c r="F140" s="1"/>
      <c r="G140" s="1"/>
      <c r="K140" s="81" t="s">
        <v>80</v>
      </c>
      <c r="L140" s="141">
        <f>P34</f>
        <v>43.630099999999999</v>
      </c>
      <c r="M140" s="141">
        <f>L140</f>
        <v>43.630099999999999</v>
      </c>
      <c r="N140" s="1"/>
      <c r="O140" s="1"/>
    </row>
    <row r="141" spans="2:15" ht="23" thickBot="1" x14ac:dyDescent="0.35">
      <c r="B141" s="1"/>
      <c r="C141" s="159">
        <f t="shared" si="15"/>
        <v>700</v>
      </c>
      <c r="D141" s="163">
        <f t="shared" si="16"/>
        <v>1058.6836006256458</v>
      </c>
      <c r="E141" s="192">
        <f t="shared" si="14"/>
        <v>156.95720363374636</v>
      </c>
      <c r="F141" s="1"/>
      <c r="G141" s="1"/>
      <c r="H141" s="1"/>
      <c r="I141" s="1"/>
      <c r="K141" s="25" t="s">
        <v>81</v>
      </c>
      <c r="L141" s="172">
        <f>ABS(L139-L140)/L139</f>
        <v>0.85174311802703329</v>
      </c>
      <c r="M141" s="172">
        <f>ABS(M139-M140)/M139</f>
        <v>4.7152391852945541E-7</v>
      </c>
      <c r="N141" s="1"/>
      <c r="O141" s="1"/>
    </row>
    <row r="142" spans="2:15" ht="20" thickBot="1" x14ac:dyDescent="0.3">
      <c r="B142" s="1"/>
      <c r="C142" s="159">
        <f t="shared" si="15"/>
        <v>800</v>
      </c>
      <c r="D142" s="163">
        <f t="shared" si="16"/>
        <v>1293.4632863795462</v>
      </c>
      <c r="E142" s="192">
        <f t="shared" si="14"/>
        <v>191.76492420688615</v>
      </c>
      <c r="F142" s="1"/>
      <c r="G142" s="1"/>
    </row>
    <row r="143" spans="2:15" ht="20" thickBot="1" x14ac:dyDescent="0.3">
      <c r="B143" s="1"/>
      <c r="C143" s="159">
        <f t="shared" si="15"/>
        <v>900</v>
      </c>
      <c r="D143" s="163">
        <f t="shared" si="16"/>
        <v>1543.415615462497</v>
      </c>
      <c r="E143" s="192">
        <f t="shared" si="14"/>
        <v>228.82209463194795</v>
      </c>
      <c r="F143" s="1"/>
      <c r="G143" s="1"/>
    </row>
    <row r="144" spans="2:15" ht="20" thickBot="1" x14ac:dyDescent="0.3">
      <c r="B144" s="1"/>
      <c r="C144" s="159">
        <f t="shared" si="15"/>
        <v>1000</v>
      </c>
      <c r="D144" s="163">
        <f t="shared" si="16"/>
        <v>1807.6698967155737</v>
      </c>
      <c r="E144" s="192">
        <f t="shared" si="14"/>
        <v>267.99962889168285</v>
      </c>
      <c r="F144" s="1"/>
      <c r="G144" s="1"/>
    </row>
    <row r="145" spans="3:5" ht="20" thickBot="1" x14ac:dyDescent="0.3">
      <c r="C145" s="159">
        <f t="shared" si="15"/>
        <v>1100</v>
      </c>
      <c r="D145" s="163">
        <f t="shared" si="16"/>
        <v>2085.4902004707433</v>
      </c>
      <c r="E145" s="192">
        <f t="shared" si="14"/>
        <v>309.18842029670515</v>
      </c>
    </row>
    <row r="146" spans="3:5" ht="20" thickBot="1" x14ac:dyDescent="0.3">
      <c r="C146" s="159">
        <f t="shared" si="15"/>
        <v>1200</v>
      </c>
      <c r="D146" s="163">
        <f t="shared" si="16"/>
        <v>2376.2437894900077</v>
      </c>
      <c r="E146" s="192">
        <f t="shared" si="14"/>
        <v>352.2946611527712</v>
      </c>
    </row>
    <row r="147" spans="3:5" ht="20" thickBot="1" x14ac:dyDescent="0.3">
      <c r="C147" s="159">
        <f t="shared" si="15"/>
        <v>1300</v>
      </c>
      <c r="D147" s="163">
        <f t="shared" si="16"/>
        <v>2679.3790308045805</v>
      </c>
      <c r="E147" s="192">
        <f t="shared" si="14"/>
        <v>397.23656803738118</v>
      </c>
    </row>
    <row r="148" spans="3:5" ht="20" thickBot="1" x14ac:dyDescent="0.3">
      <c r="C148" s="159">
        <f t="shared" si="15"/>
        <v>1400</v>
      </c>
      <c r="D148" s="163">
        <f t="shared" si="16"/>
        <v>2994.4094125335473</v>
      </c>
      <c r="E148" s="192">
        <f t="shared" si="14"/>
        <v>443.94201218199993</v>
      </c>
    </row>
    <row r="149" spans="3:5" ht="20" thickBot="1" x14ac:dyDescent="0.3">
      <c r="C149" s="159">
        <f t="shared" si="15"/>
        <v>1500</v>
      </c>
      <c r="D149" s="163">
        <f t="shared" si="16"/>
        <v>3320.9016527570702</v>
      </c>
      <c r="E149" s="192">
        <f t="shared" si="14"/>
        <v>492.34675652990694</v>
      </c>
    </row>
    <row r="150" spans="3:5" ht="20" thickBot="1" x14ac:dyDescent="0.3">
      <c r="C150" s="159">
        <f t="shared" si="15"/>
        <v>1600</v>
      </c>
      <c r="D150" s="163">
        <f t="shared" si="16"/>
        <v>3658.4666440592682</v>
      </c>
      <c r="E150" s="192">
        <f t="shared" si="14"/>
        <v>542.39311320165473</v>
      </c>
    </row>
    <row r="151" spans="3:5" ht="20" thickBot="1" x14ac:dyDescent="0.3">
      <c r="C151" s="159">
        <f t="shared" si="15"/>
        <v>1700</v>
      </c>
      <c r="D151" s="163">
        <f t="shared" si="16"/>
        <v>4006.7524190834752</v>
      </c>
      <c r="E151" s="192">
        <f t="shared" si="14"/>
        <v>594.0289005897863</v>
      </c>
    </row>
    <row r="152" spans="3:5" ht="20" thickBot="1" x14ac:dyDescent="0.3">
      <c r="C152" s="159">
        <f t="shared" si="15"/>
        <v>1800</v>
      </c>
      <c r="D152" s="163">
        <f t="shared" si="16"/>
        <v>4365.4385915309749</v>
      </c>
      <c r="E152" s="192">
        <f t="shared" si="14"/>
        <v>647.2066191982417</v>
      </c>
    </row>
    <row r="153" spans="3:5" ht="20" thickBot="1" x14ac:dyDescent="0.3">
      <c r="C153" s="159">
        <f t="shared" si="15"/>
        <v>1900</v>
      </c>
      <c r="D153" s="163">
        <f t="shared" si="16"/>
        <v>4734.2318969626021</v>
      </c>
      <c r="E153" s="192">
        <f t="shared" si="14"/>
        <v>701.88279053515885</v>
      </c>
    </row>
    <row r="154" spans="3:5" ht="20" thickBot="1" x14ac:dyDescent="0.3">
      <c r="C154" s="160">
        <f t="shared" si="15"/>
        <v>2000</v>
      </c>
      <c r="D154" s="164">
        <f t="shared" si="16"/>
        <v>5112.8625684574872</v>
      </c>
      <c r="E154" s="192">
        <f>(SQRT(PI())/$A$31)*((C154^1.5)/SQRT($C$29*$D$29*$E$29))</f>
        <v>758.01741977914787</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3" t="s">
        <v>93</v>
      </c>
      <c r="D164" s="134"/>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194" t="s">
        <v>96</v>
      </c>
      <c r="F166" s="1"/>
      <c r="G166" s="1"/>
      <c r="H166" s="1"/>
      <c r="I166" s="1"/>
      <c r="J166" s="1"/>
      <c r="K166" s="1"/>
      <c r="L166" s="1"/>
      <c r="M166" s="1"/>
      <c r="N166" s="1"/>
      <c r="O166" s="1"/>
    </row>
    <row r="167" spans="2:16" ht="20" thickBot="1" x14ac:dyDescent="0.3">
      <c r="B167" s="1"/>
      <c r="C167" s="90"/>
      <c r="D167" s="175">
        <v>1</v>
      </c>
      <c r="E167" s="176">
        <f>D167+1</f>
        <v>2</v>
      </c>
      <c r="F167" s="177" t="s">
        <v>98</v>
      </c>
      <c r="G167" s="1"/>
      <c r="H167" s="1"/>
      <c r="I167" s="1"/>
      <c r="J167" s="1"/>
      <c r="K167" s="1"/>
      <c r="L167" s="1"/>
      <c r="M167" s="1"/>
      <c r="N167" s="1"/>
      <c r="O167" s="1"/>
    </row>
    <row r="168" spans="2:16" ht="20" thickBot="1" x14ac:dyDescent="0.3">
      <c r="B168" s="1"/>
      <c r="C168" s="196" t="s">
        <v>97</v>
      </c>
      <c r="D168" s="201">
        <f>J$46</f>
        <v>-76.433896609100003</v>
      </c>
      <c r="E168" s="201">
        <f t="shared" ref="E168:F168" si="17">K$46</f>
        <v>-76.434045551799997</v>
      </c>
      <c r="F168" s="201">
        <f t="shared" si="17"/>
        <v>-76.434047683299994</v>
      </c>
      <c r="G168" s="1"/>
      <c r="H168" s="1"/>
      <c r="I168" s="1"/>
      <c r="J168" s="1"/>
      <c r="K168" s="1"/>
      <c r="L168" s="1"/>
      <c r="M168" s="1"/>
      <c r="N168" s="1"/>
      <c r="O168" s="1"/>
    </row>
    <row r="169" spans="2:16" ht="20" thickBot="1" x14ac:dyDescent="0.3">
      <c r="B169" s="1"/>
      <c r="C169" s="195" t="s">
        <v>99</v>
      </c>
      <c r="D169" s="202">
        <f>D168*$K$7</f>
        <v>-3.33251789215676E-16</v>
      </c>
      <c r="E169" s="202">
        <f t="shared" ref="E169:F169" si="18">E168*$K$7</f>
        <v>-3.3325243860584799E-16</v>
      </c>
      <c r="F169" s="202">
        <f t="shared" si="18"/>
        <v>-3.3325244789918797E-16</v>
      </c>
      <c r="G169" s="1"/>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29" t="s">
        <v>100</v>
      </c>
      <c r="D171" s="1"/>
      <c r="E171" s="1"/>
      <c r="F171" s="1"/>
      <c r="G171" s="1"/>
      <c r="H171" s="1"/>
      <c r="I171" s="1"/>
      <c r="J171" s="1"/>
      <c r="K171" s="1"/>
      <c r="L171" s="1"/>
      <c r="M171" s="1"/>
      <c r="N171" s="1"/>
      <c r="O171" s="1"/>
    </row>
    <row r="172" spans="2:16" ht="23" thickBot="1" x14ac:dyDescent="0.35">
      <c r="B172" s="1"/>
      <c r="C172" s="200">
        <f>F169+L23</f>
        <v>-3.3315962785918799E-16</v>
      </c>
      <c r="F172" s="1"/>
      <c r="G172" s="1"/>
      <c r="H172" s="170" t="s">
        <v>83</v>
      </c>
      <c r="I172" s="171"/>
      <c r="J172" s="171"/>
      <c r="K172" s="171"/>
      <c r="L172" s="171"/>
      <c r="M172" s="171"/>
      <c r="N172" s="1"/>
      <c r="O172" s="1"/>
    </row>
    <row r="173" spans="2:16" ht="20" thickBot="1" x14ac:dyDescent="0.3">
      <c r="B173" s="1"/>
      <c r="F173" s="4"/>
      <c r="G173" s="1"/>
      <c r="H173" s="1"/>
      <c r="I173" s="1"/>
      <c r="J173" s="1"/>
      <c r="K173" s="1"/>
      <c r="L173" s="1"/>
      <c r="M173" s="1"/>
      <c r="N173" s="1"/>
      <c r="O173" s="1"/>
    </row>
    <row r="174" spans="2:16" ht="22" thickBot="1" x14ac:dyDescent="0.3">
      <c r="B174" s="1"/>
      <c r="C174" s="190" t="s">
        <v>68</v>
      </c>
      <c r="D174" s="191" t="s">
        <v>95</v>
      </c>
      <c r="F174" s="1"/>
      <c r="G174" s="1"/>
      <c r="L174" s="165" t="s">
        <v>82</v>
      </c>
      <c r="M174" s="1"/>
      <c r="N174" s="1"/>
      <c r="O174" s="1"/>
    </row>
    <row r="175" spans="2:16" ht="19" x14ac:dyDescent="0.25">
      <c r="B175" s="1"/>
      <c r="C175" s="158">
        <v>300</v>
      </c>
      <c r="D175" s="162">
        <f>1</f>
        <v>1</v>
      </c>
      <c r="F175" s="1"/>
      <c r="G175" s="1"/>
      <c r="K175" s="80" t="s">
        <v>79</v>
      </c>
      <c r="L175" s="139">
        <f>1</f>
        <v>1</v>
      </c>
      <c r="M175" s="1"/>
      <c r="N175" s="1"/>
      <c r="O175" s="1"/>
    </row>
    <row r="176" spans="2:16" ht="20" thickBot="1" x14ac:dyDescent="0.3">
      <c r="B176" s="1"/>
      <c r="C176" s="159">
        <f>C175+100</f>
        <v>400</v>
      </c>
      <c r="D176" s="163">
        <f>1</f>
        <v>1</v>
      </c>
      <c r="F176" s="1"/>
      <c r="G176" s="1"/>
      <c r="K176" s="81" t="s">
        <v>80</v>
      </c>
      <c r="L176" s="141">
        <f>P32</f>
        <v>1</v>
      </c>
      <c r="M176" s="1"/>
      <c r="N176" s="1"/>
      <c r="O176" s="1"/>
    </row>
    <row r="177" spans="2:15" ht="22" x14ac:dyDescent="0.3">
      <c r="B177" s="1"/>
      <c r="C177" s="159">
        <f t="shared" ref="C177:C192" si="19">C176+100</f>
        <v>500</v>
      </c>
      <c r="D177" s="163">
        <f>1</f>
        <v>1</v>
      </c>
      <c r="F177" s="1"/>
      <c r="G177" s="1"/>
      <c r="H177" s="1"/>
      <c r="I177" s="1"/>
      <c r="K177" s="25" t="s">
        <v>81</v>
      </c>
      <c r="L177" s="172">
        <f>ABS(L175-L176)/L175</f>
        <v>0</v>
      </c>
      <c r="M177" s="1"/>
      <c r="N177" s="1"/>
      <c r="O177" s="1"/>
    </row>
    <row r="178" spans="2:15" ht="19" x14ac:dyDescent="0.25">
      <c r="B178" s="1"/>
      <c r="C178" s="159">
        <f t="shared" si="19"/>
        <v>600</v>
      </c>
      <c r="D178" s="163">
        <f>1</f>
        <v>1</v>
      </c>
      <c r="F178" s="1"/>
      <c r="G178" s="1"/>
    </row>
    <row r="179" spans="2:15" ht="19" x14ac:dyDescent="0.25">
      <c r="B179" s="1"/>
      <c r="C179" s="159">
        <f t="shared" si="19"/>
        <v>700</v>
      </c>
      <c r="D179" s="163">
        <f>1</f>
        <v>1</v>
      </c>
      <c r="F179" s="1"/>
      <c r="G179" s="1"/>
    </row>
    <row r="180" spans="2:15" ht="19" x14ac:dyDescent="0.25">
      <c r="B180" s="1"/>
      <c r="C180" s="159">
        <f t="shared" si="19"/>
        <v>800</v>
      </c>
      <c r="D180" s="163">
        <f>1</f>
        <v>1</v>
      </c>
      <c r="F180" s="1"/>
      <c r="G180" s="1"/>
    </row>
    <row r="181" spans="2:15" ht="19" x14ac:dyDescent="0.25">
      <c r="C181" s="159">
        <f t="shared" si="19"/>
        <v>900</v>
      </c>
      <c r="D181" s="163">
        <f>1</f>
        <v>1</v>
      </c>
    </row>
    <row r="182" spans="2:15" ht="19" x14ac:dyDescent="0.25">
      <c r="C182" s="159">
        <f t="shared" si="19"/>
        <v>1000</v>
      </c>
      <c r="D182" s="163">
        <f>1</f>
        <v>1</v>
      </c>
    </row>
    <row r="183" spans="2:15" ht="19" x14ac:dyDescent="0.25">
      <c r="C183" s="159">
        <f t="shared" si="19"/>
        <v>1100</v>
      </c>
      <c r="D183" s="163">
        <f>1</f>
        <v>1</v>
      </c>
    </row>
    <row r="184" spans="2:15" ht="19" x14ac:dyDescent="0.25">
      <c r="C184" s="159">
        <f t="shared" si="19"/>
        <v>1200</v>
      </c>
      <c r="D184" s="163">
        <f>1</f>
        <v>1</v>
      </c>
    </row>
    <row r="185" spans="2:15" ht="19" x14ac:dyDescent="0.25">
      <c r="C185" s="159">
        <f t="shared" si="19"/>
        <v>1300</v>
      </c>
      <c r="D185" s="163">
        <f>1</f>
        <v>1</v>
      </c>
    </row>
    <row r="186" spans="2:15" ht="19" x14ac:dyDescent="0.25">
      <c r="C186" s="159">
        <f t="shared" si="19"/>
        <v>1400</v>
      </c>
      <c r="D186" s="163">
        <f>1</f>
        <v>1</v>
      </c>
    </row>
    <row r="187" spans="2:15" ht="19" x14ac:dyDescent="0.25">
      <c r="C187" s="159">
        <f t="shared" si="19"/>
        <v>1500</v>
      </c>
      <c r="D187" s="163">
        <f>1</f>
        <v>1</v>
      </c>
    </row>
    <row r="188" spans="2:15" ht="19" x14ac:dyDescent="0.25">
      <c r="C188" s="159">
        <f t="shared" si="19"/>
        <v>1600</v>
      </c>
      <c r="D188" s="163">
        <f>1</f>
        <v>1</v>
      </c>
    </row>
    <row r="189" spans="2:15" ht="19" x14ac:dyDescent="0.25">
      <c r="C189" s="159">
        <f t="shared" si="19"/>
        <v>1700</v>
      </c>
      <c r="D189" s="163">
        <f>1</f>
        <v>1</v>
      </c>
    </row>
    <row r="190" spans="2:15" ht="19" x14ac:dyDescent="0.25">
      <c r="C190" s="159">
        <f t="shared" si="19"/>
        <v>1800</v>
      </c>
      <c r="D190" s="163">
        <f>1</f>
        <v>1</v>
      </c>
    </row>
    <row r="191" spans="2:15" ht="19" x14ac:dyDescent="0.25">
      <c r="C191" s="159">
        <f t="shared" si="19"/>
        <v>1900</v>
      </c>
      <c r="D191" s="163">
        <f>1</f>
        <v>1</v>
      </c>
    </row>
    <row r="192" spans="2:15" ht="20" thickBot="1" x14ac:dyDescent="0.3">
      <c r="C192" s="160">
        <f t="shared" si="19"/>
        <v>2000</v>
      </c>
      <c r="D192" s="164">
        <f>1</f>
        <v>1</v>
      </c>
    </row>
    <row r="197" spans="3:11" ht="17" thickBot="1" x14ac:dyDescent="0.25"/>
    <row r="198" spans="3:11" ht="20" thickBot="1" x14ac:dyDescent="0.3">
      <c r="E198" s="1"/>
      <c r="F198" s="1" t="s">
        <v>66</v>
      </c>
      <c r="G198" s="1"/>
      <c r="H198" s="278" t="s">
        <v>106</v>
      </c>
      <c r="I198" s="279"/>
      <c r="J198" s="279"/>
      <c r="K198" s="280"/>
    </row>
    <row r="199" spans="3:11" ht="28" thickBot="1" x14ac:dyDescent="0.4">
      <c r="C199" s="133" t="s">
        <v>101</v>
      </c>
      <c r="D199" s="134"/>
      <c r="E199" s="1"/>
      <c r="F199" s="1"/>
      <c r="G199" s="1"/>
      <c r="H199" s="203" t="s">
        <v>102</v>
      </c>
      <c r="I199" s="203" t="s">
        <v>103</v>
      </c>
      <c r="J199" s="203" t="s">
        <v>104</v>
      </c>
      <c r="K199" s="203" t="s">
        <v>105</v>
      </c>
    </row>
    <row r="202" spans="3:11" ht="17" thickBot="1" x14ac:dyDescent="0.25"/>
    <row r="203" spans="3:11" ht="20" thickBot="1" x14ac:dyDescent="0.25">
      <c r="D203" s="284" t="s">
        <v>115</v>
      </c>
      <c r="E203" s="285"/>
    </row>
    <row r="204" spans="3:11" ht="20" thickBot="1" x14ac:dyDescent="0.3">
      <c r="D204" s="183" t="s">
        <v>113</v>
      </c>
      <c r="E204" s="210" t="s">
        <v>111</v>
      </c>
    </row>
    <row r="205" spans="3:11" ht="19" x14ac:dyDescent="0.25">
      <c r="C205" s="74" t="s">
        <v>45</v>
      </c>
      <c r="D205" s="67">
        <f>$Q23</f>
        <v>6.0140000000000002</v>
      </c>
      <c r="E205" s="139">
        <f>D205*4.184</f>
        <v>25.162576000000001</v>
      </c>
    </row>
    <row r="206" spans="3:11" ht="19" x14ac:dyDescent="0.25">
      <c r="C206" s="75" t="s">
        <v>46</v>
      </c>
      <c r="D206" s="67">
        <f t="shared" ref="D206:D209" si="20">$Q24</f>
        <v>0</v>
      </c>
      <c r="E206" s="140">
        <f t="shared" ref="E206:E209" si="21">D206*4.184</f>
        <v>0</v>
      </c>
    </row>
    <row r="207" spans="3:11" ht="19" x14ac:dyDescent="0.25">
      <c r="C207" s="75" t="s">
        <v>47</v>
      </c>
      <c r="D207" s="67">
        <f t="shared" si="20"/>
        <v>2.9809999999999999</v>
      </c>
      <c r="E207" s="140">
        <f t="shared" si="21"/>
        <v>12.472504000000001</v>
      </c>
    </row>
    <row r="208" spans="3:11" ht="19" x14ac:dyDescent="0.25">
      <c r="C208" s="75" t="s">
        <v>48</v>
      </c>
      <c r="D208" s="67">
        <f t="shared" si="20"/>
        <v>2.9809999999999999</v>
      </c>
      <c r="E208" s="140">
        <f t="shared" si="21"/>
        <v>12.472504000000001</v>
      </c>
    </row>
    <row r="209" spans="3:16" ht="20" thickBot="1" x14ac:dyDescent="0.3">
      <c r="C209" s="76" t="s">
        <v>49</v>
      </c>
      <c r="D209" s="67">
        <f t="shared" si="20"/>
        <v>5.1999999999999998E-2</v>
      </c>
      <c r="E209" s="140">
        <f t="shared" si="21"/>
        <v>0.21756800000000001</v>
      </c>
      <c r="K209">
        <f>COLUMN(E205)</f>
        <v>5</v>
      </c>
    </row>
    <row r="210" spans="3:16" ht="24" customHeight="1" x14ac:dyDescent="0.2"/>
    <row r="211" spans="3:16" ht="17" thickBot="1" x14ac:dyDescent="0.25"/>
    <row r="212" spans="3:16" ht="23" thickBot="1" x14ac:dyDescent="0.35">
      <c r="D212" s="281" t="s">
        <v>111</v>
      </c>
      <c r="E212" s="282"/>
      <c r="F212" s="282"/>
      <c r="G212" s="282"/>
      <c r="H212" s="283"/>
      <c r="J212" s="170" t="s">
        <v>83</v>
      </c>
      <c r="K212" s="171"/>
      <c r="L212" s="171"/>
      <c r="M212" s="171"/>
      <c r="N212" s="171"/>
      <c r="O212" s="171"/>
      <c r="P212" s="1"/>
    </row>
    <row r="213" spans="3:16" ht="20" thickBot="1" x14ac:dyDescent="0.3">
      <c r="C213" s="190" t="s">
        <v>68</v>
      </c>
      <c r="D213" s="204" t="s">
        <v>110</v>
      </c>
      <c r="E213" s="205" t="s">
        <v>107</v>
      </c>
      <c r="F213" s="205" t="s">
        <v>108</v>
      </c>
      <c r="G213" s="206" t="s">
        <v>109</v>
      </c>
      <c r="H213" s="129" t="s">
        <v>112</v>
      </c>
      <c r="J213" s="1"/>
      <c r="K213" s="1"/>
      <c r="L213" s="1"/>
      <c r="M213" s="1"/>
      <c r="N213" s="1"/>
      <c r="O213" s="1"/>
      <c r="P213" s="1"/>
    </row>
    <row r="214" spans="3:16" ht="20" thickBot="1" x14ac:dyDescent="0.3">
      <c r="C214" s="180">
        <v>298.14999999999998</v>
      </c>
      <c r="D214" s="271">
        <f>3*$B$7/2</f>
        <v>12.471599999999999</v>
      </c>
      <c r="E214" s="272" cm="1">
        <f t="array" ref="E214">$B$7*SUM(($D$42:$D$44*$D$42:$D$44)*EXP($D$42:$D$44/$C214)/($C214^2*(EXP($D$42:$D$44/$C214)-1)^2))</f>
        <v>0.21764069031923208</v>
      </c>
      <c r="F214" s="273">
        <f>3*$B$7/2</f>
        <v>12.471599999999999</v>
      </c>
      <c r="G214" s="274">
        <v>0</v>
      </c>
      <c r="H214" s="228">
        <f t="shared" ref="H214:H232" si="22">SUM(D214:G214)</f>
        <v>25.16084069031923</v>
      </c>
      <c r="K214" s="204" t="s">
        <v>110</v>
      </c>
      <c r="L214" s="205" t="s">
        <v>107</v>
      </c>
      <c r="M214" s="205" t="s">
        <v>108</v>
      </c>
      <c r="N214" s="206" t="s">
        <v>109</v>
      </c>
      <c r="O214" s="129" t="s">
        <v>112</v>
      </c>
      <c r="P214" s="1"/>
    </row>
    <row r="215" spans="3:16" ht="20" thickBot="1" x14ac:dyDescent="0.3">
      <c r="C215" s="158">
        <v>300</v>
      </c>
      <c r="D215" s="223">
        <f>3*$B$7/2</f>
        <v>12.471599999999999</v>
      </c>
      <c r="E215" s="227" cm="1">
        <f t="array" ref="E215">$B$7*SUM(($D$42:$D$44*$D$42:$D$44)*EXP($D$42:$D$44/$C215)/($C215^2*(EXP($D$42:$D$44/$C215)-1)^2))</f>
        <v>0.22548073887164538</v>
      </c>
      <c r="F215" s="270">
        <f>3*$B$7/2</f>
        <v>12.471599999999999</v>
      </c>
      <c r="G215" s="224">
        <v>0</v>
      </c>
      <c r="H215" s="228">
        <f t="shared" si="22"/>
        <v>25.168680738871643</v>
      </c>
      <c r="J215" s="80" t="s">
        <v>79</v>
      </c>
      <c r="K215" s="139">
        <f>D$214</f>
        <v>12.471599999999999</v>
      </c>
      <c r="L215" s="139">
        <f t="shared" ref="L215:O215" si="23">E$214</f>
        <v>0.21764069031923208</v>
      </c>
      <c r="M215" s="139">
        <f t="shared" si="23"/>
        <v>12.471599999999999</v>
      </c>
      <c r="N215" s="139">
        <f t="shared" si="23"/>
        <v>0</v>
      </c>
      <c r="O215" s="139">
        <f t="shared" si="23"/>
        <v>25.16084069031923</v>
      </c>
      <c r="P215" s="1"/>
    </row>
    <row r="216" spans="3:16" ht="20" thickBot="1" x14ac:dyDescent="0.3">
      <c r="C216" s="159">
        <f>C215+100</f>
        <v>400</v>
      </c>
      <c r="D216" s="223">
        <f t="shared" ref="D216:D232" si="24">3*$B$7/2</f>
        <v>12.471599999999999</v>
      </c>
      <c r="E216" s="275" cm="1">
        <f t="array" ref="E216">$B$7*SUM(($D$42:$D$44*$D$42:$D$44)*EXP($D$42:$D$44/$C216)/($C216^2*(EXP($D$42:$D$44/$C216)-1)^2))</f>
        <v>0.87425009846501445</v>
      </c>
      <c r="F216" s="270">
        <f t="shared" ref="F216:F232" si="25">3*$B$7/2</f>
        <v>12.471599999999999</v>
      </c>
      <c r="G216" s="224">
        <v>0</v>
      </c>
      <c r="H216" s="228">
        <f t="shared" si="22"/>
        <v>25.817450098465009</v>
      </c>
      <c r="J216" s="81" t="s">
        <v>80</v>
      </c>
      <c r="K216" s="141">
        <f>E207</f>
        <v>12.472504000000001</v>
      </c>
      <c r="L216" s="141">
        <f>E209</f>
        <v>0.21756800000000001</v>
      </c>
      <c r="M216" s="141">
        <f>E208</f>
        <v>12.472504000000001</v>
      </c>
      <c r="N216" s="141">
        <f>E206</f>
        <v>0</v>
      </c>
      <c r="O216" s="141">
        <f>E205</f>
        <v>25.162576000000001</v>
      </c>
      <c r="P216" s="1"/>
    </row>
    <row r="217" spans="3:16" ht="23" thickBot="1" x14ac:dyDescent="0.35">
      <c r="C217" s="159">
        <f t="shared" ref="C217:C232" si="26">C216+100</f>
        <v>500</v>
      </c>
      <c r="D217" s="223">
        <f t="shared" si="24"/>
        <v>12.471599999999999</v>
      </c>
      <c r="E217" s="275" cm="1">
        <f t="array" ref="E217">$B$7*SUM(($D$42:$D$44*$D$42:$D$44)*EXP($D$42:$D$44/$C217)/($C217^2*(EXP($D$42:$D$44/$C217)-1)^2))</f>
        <v>1.8213815905732966</v>
      </c>
      <c r="F217" s="270">
        <f t="shared" si="25"/>
        <v>12.471599999999999</v>
      </c>
      <c r="G217" s="224">
        <v>0</v>
      </c>
      <c r="H217" s="228">
        <f t="shared" si="22"/>
        <v>26.764581590573293</v>
      </c>
      <c r="J217" s="25" t="s">
        <v>81</v>
      </c>
      <c r="K217" s="172">
        <f>IFERROR(ABS(K215-K216)/K215,0)</f>
        <v>7.2484685204946797E-5</v>
      </c>
      <c r="L217" s="172">
        <f t="shared" ref="L217:O217" si="27">IFERROR(ABS(L215-L216)/L215,0)</f>
        <v>3.3399232067059942E-4</v>
      </c>
      <c r="M217" s="172">
        <f t="shared" si="27"/>
        <v>7.2484685204946797E-5</v>
      </c>
      <c r="N217" s="172">
        <f t="shared" si="27"/>
        <v>0</v>
      </c>
      <c r="O217" s="172">
        <f t="shared" si="27"/>
        <v>6.8968668500786812E-5</v>
      </c>
      <c r="P217" s="1"/>
    </row>
    <row r="218" spans="3:16" ht="20" thickBot="1" x14ac:dyDescent="0.3">
      <c r="C218" s="159">
        <f t="shared" si="26"/>
        <v>600</v>
      </c>
      <c r="D218" s="223">
        <f t="shared" si="24"/>
        <v>12.471599999999999</v>
      </c>
      <c r="E218" s="275" cm="1">
        <f t="array" ref="E218">$B$7*SUM(($D$42:$D$44*$D$42:$D$44)*EXP($D$42:$D$44/$C218)/($C218^2*(EXP($D$42:$D$44/$C218)-1)^2))</f>
        <v>2.8806528842213464</v>
      </c>
      <c r="F218" s="270">
        <f t="shared" si="25"/>
        <v>12.471599999999999</v>
      </c>
      <c r="G218" s="224">
        <v>0</v>
      </c>
      <c r="H218" s="228">
        <f t="shared" si="22"/>
        <v>27.823852884221346</v>
      </c>
    </row>
    <row r="219" spans="3:16" ht="20" thickBot="1" x14ac:dyDescent="0.3">
      <c r="C219" s="159">
        <f t="shared" si="26"/>
        <v>700</v>
      </c>
      <c r="D219" s="223">
        <f t="shared" si="24"/>
        <v>12.471599999999999</v>
      </c>
      <c r="E219" s="275" cm="1">
        <f t="array" ref="E219">$B$7*SUM(($D$42:$D$44*$D$42:$D$44)*EXP($D$42:$D$44/$C219)/($C219^2*(EXP($D$42:$D$44/$C219)-1)^2))</f>
        <v>3.9797035634740583</v>
      </c>
      <c r="F219" s="270">
        <f t="shared" si="25"/>
        <v>12.471599999999999</v>
      </c>
      <c r="G219" s="224">
        <v>0</v>
      </c>
      <c r="H219" s="228">
        <f t="shared" si="22"/>
        <v>28.922903563474055</v>
      </c>
    </row>
    <row r="220" spans="3:16" ht="20" thickBot="1" x14ac:dyDescent="0.3">
      <c r="C220" s="159">
        <f t="shared" si="26"/>
        <v>800</v>
      </c>
      <c r="D220" s="223">
        <f t="shared" si="24"/>
        <v>12.471599999999999</v>
      </c>
      <c r="E220" s="275" cm="1">
        <f t="array" ref="E220">$B$7*SUM(($D$42:$D$44*$D$42:$D$44)*EXP($D$42:$D$44/$C220)/($C220^2*(EXP($D$42:$D$44/$C220)-1)^2))</f>
        <v>5.1071282879169004</v>
      </c>
      <c r="F220" s="270">
        <f t="shared" si="25"/>
        <v>12.471599999999999</v>
      </c>
      <c r="G220" s="224">
        <v>0</v>
      </c>
      <c r="H220" s="228">
        <f t="shared" si="22"/>
        <v>30.050328287916898</v>
      </c>
    </row>
    <row r="221" spans="3:16" ht="20" thickBot="1" x14ac:dyDescent="0.3">
      <c r="C221" s="159">
        <f t="shared" si="26"/>
        <v>900</v>
      </c>
      <c r="D221" s="223">
        <f t="shared" si="24"/>
        <v>12.471599999999999</v>
      </c>
      <c r="E221" s="275" cm="1">
        <f t="array" ref="E221">$B$7*SUM(($D$42:$D$44*$D$42:$D$44)*EXP($D$42:$D$44/$C221)/($C221^2*(EXP($D$42:$D$44/$C221)-1)^2))</f>
        <v>6.2582934397824648</v>
      </c>
      <c r="F221" s="270">
        <f t="shared" si="25"/>
        <v>12.471599999999999</v>
      </c>
      <c r="G221" s="224">
        <v>0</v>
      </c>
      <c r="H221" s="228">
        <f t="shared" si="22"/>
        <v>31.201493439782464</v>
      </c>
    </row>
    <row r="222" spans="3:16" ht="20" thickBot="1" x14ac:dyDescent="0.3">
      <c r="C222" s="159">
        <f t="shared" si="26"/>
        <v>1000</v>
      </c>
      <c r="D222" s="223">
        <f t="shared" si="24"/>
        <v>12.471599999999999</v>
      </c>
      <c r="E222" s="275" cm="1">
        <f t="array" ref="E222">$B$7*SUM(($D$42:$D$44*$D$42:$D$44)*EXP($D$42:$D$44/$C222)/($C222^2*(EXP($D$42:$D$44/$C222)-1)^2))</f>
        <v>7.4195082202922178</v>
      </c>
      <c r="F222" s="270">
        <f t="shared" si="25"/>
        <v>12.471599999999999</v>
      </c>
      <c r="G222" s="224">
        <v>0</v>
      </c>
      <c r="H222" s="228">
        <f t="shared" si="22"/>
        <v>32.36270822029222</v>
      </c>
    </row>
    <row r="223" spans="3:16" ht="20" thickBot="1" x14ac:dyDescent="0.3">
      <c r="C223" s="159">
        <f t="shared" si="26"/>
        <v>1100</v>
      </c>
      <c r="D223" s="223">
        <f t="shared" si="24"/>
        <v>12.471599999999999</v>
      </c>
      <c r="E223" s="275" cm="1">
        <f t="array" ref="E223">$B$7*SUM(($D$42:$D$44*$D$42:$D$44)*EXP($D$42:$D$44/$C223)/($C223^2*(EXP($D$42:$D$44/$C223)-1)^2))</f>
        <v>8.5708233010970911</v>
      </c>
      <c r="F223" s="270">
        <f t="shared" si="25"/>
        <v>12.471599999999999</v>
      </c>
      <c r="G223" s="224">
        <v>0</v>
      </c>
      <c r="H223" s="228">
        <f t="shared" si="22"/>
        <v>33.514023301097083</v>
      </c>
    </row>
    <row r="224" spans="3:16" ht="20" thickBot="1" x14ac:dyDescent="0.3">
      <c r="C224" s="159">
        <f t="shared" si="26"/>
        <v>1200</v>
      </c>
      <c r="D224" s="223">
        <f t="shared" si="24"/>
        <v>12.471599999999999</v>
      </c>
      <c r="E224" s="275" cm="1">
        <f t="array" ref="E224">$B$7*SUM(($D$42:$D$44*$D$42:$D$44)*EXP($D$42:$D$44/$C224)/($C224^2*(EXP($D$42:$D$44/$C224)-1)^2))</f>
        <v>9.6920088741610009</v>
      </c>
      <c r="F224" s="270">
        <f t="shared" si="25"/>
        <v>12.471599999999999</v>
      </c>
      <c r="G224" s="224">
        <v>0</v>
      </c>
      <c r="H224" s="228">
        <f t="shared" si="22"/>
        <v>34.635208874160995</v>
      </c>
    </row>
    <row r="225" spans="3:11" ht="20" thickBot="1" x14ac:dyDescent="0.3">
      <c r="C225" s="159">
        <f t="shared" si="26"/>
        <v>1300</v>
      </c>
      <c r="D225" s="223">
        <f t="shared" si="24"/>
        <v>12.471599999999999</v>
      </c>
      <c r="E225" s="275" cm="1">
        <f t="array" ref="E225">$B$7*SUM(($D$42:$D$44*$D$42:$D$44)*EXP($D$42:$D$44/$C225)/($C225^2*(EXP($D$42:$D$44/$C225)-1)^2))</f>
        <v>10.766436790626543</v>
      </c>
      <c r="F225" s="270">
        <f t="shared" si="25"/>
        <v>12.471599999999999</v>
      </c>
      <c r="G225" s="224">
        <v>0</v>
      </c>
      <c r="H225" s="228">
        <f t="shared" si="22"/>
        <v>35.70963679062654</v>
      </c>
    </row>
    <row r="226" spans="3:11" ht="20" thickBot="1" x14ac:dyDescent="0.3">
      <c r="C226" s="159">
        <f t="shared" si="26"/>
        <v>1400</v>
      </c>
      <c r="D226" s="223">
        <f t="shared" si="24"/>
        <v>12.471599999999999</v>
      </c>
      <c r="E226" s="275" cm="1">
        <f t="array" ref="E226">$B$7*SUM(($D$42:$D$44*$D$42:$D$44)*EXP($D$42:$D$44/$C226)/($C226^2*(EXP($D$42:$D$44/$C226)-1)^2))</f>
        <v>11.782481669698056</v>
      </c>
      <c r="F226" s="270">
        <f t="shared" si="25"/>
        <v>12.471599999999999</v>
      </c>
      <c r="G226" s="224">
        <v>0</v>
      </c>
      <c r="H226" s="228">
        <f t="shared" si="22"/>
        <v>36.725681669698048</v>
      </c>
    </row>
    <row r="227" spans="3:11" ht="20" thickBot="1" x14ac:dyDescent="0.3">
      <c r="C227" s="159">
        <f t="shared" si="26"/>
        <v>1500</v>
      </c>
      <c r="D227" s="223">
        <f t="shared" si="24"/>
        <v>12.471599999999999</v>
      </c>
      <c r="E227" s="275" cm="1">
        <f t="array" ref="E227">$B$7*SUM(($D$42:$D$44*$D$42:$D$44)*EXP($D$42:$D$44/$C227)/($C227^2*(EXP($D$42:$D$44/$C227)-1)^2))</f>
        <v>12.733356677661156</v>
      </c>
      <c r="F227" s="270">
        <f t="shared" si="25"/>
        <v>12.471599999999999</v>
      </c>
      <c r="G227" s="224">
        <v>0</v>
      </c>
      <c r="H227" s="228">
        <f t="shared" si="22"/>
        <v>37.676556677661154</v>
      </c>
    </row>
    <row r="228" spans="3:11" ht="20" thickBot="1" x14ac:dyDescent="0.3">
      <c r="C228" s="159">
        <f t="shared" si="26"/>
        <v>1600</v>
      </c>
      <c r="D228" s="223">
        <f t="shared" si="24"/>
        <v>12.471599999999999</v>
      </c>
      <c r="E228" s="275" cm="1">
        <f t="array" ref="E228">$B$7*SUM(($D$42:$D$44*$D$42:$D$44)*EXP($D$42:$D$44/$C228)/($C228^2*(EXP($D$42:$D$44/$C228)-1)^2))</f>
        <v>13.616250426780603</v>
      </c>
      <c r="F228" s="270">
        <f t="shared" si="25"/>
        <v>12.471599999999999</v>
      </c>
      <c r="G228" s="224">
        <v>0</v>
      </c>
      <c r="H228" s="228">
        <f t="shared" si="22"/>
        <v>38.5594504267806</v>
      </c>
    </row>
    <row r="229" spans="3:11" ht="20" thickBot="1" x14ac:dyDescent="0.3">
      <c r="C229" s="159">
        <f t="shared" si="26"/>
        <v>1700</v>
      </c>
      <c r="D229" s="223">
        <f t="shared" si="24"/>
        <v>12.471599999999999</v>
      </c>
      <c r="E229" s="275" cm="1">
        <f t="array" ref="E229">$B$7*SUM(($D$42:$D$44*$D$42:$D$44)*EXP($D$42:$D$44/$C229)/($C229^2*(EXP($D$42:$D$44/$C229)-1)^2))</f>
        <v>14.431298897629938</v>
      </c>
      <c r="F229" s="270">
        <f t="shared" si="25"/>
        <v>12.471599999999999</v>
      </c>
      <c r="G229" s="224">
        <v>0</v>
      </c>
      <c r="H229" s="228">
        <f t="shared" si="22"/>
        <v>39.374498897629934</v>
      </c>
    </row>
    <row r="230" spans="3:11" ht="20" thickBot="1" x14ac:dyDescent="0.3">
      <c r="C230" s="159">
        <f t="shared" si="26"/>
        <v>1800</v>
      </c>
      <c r="D230" s="223">
        <f t="shared" si="24"/>
        <v>12.471599999999999</v>
      </c>
      <c r="E230" s="275" cm="1">
        <f t="array" ref="E230">$B$7*SUM(($D$42:$D$44*$D$42:$D$44)*EXP($D$42:$D$44/$C230)/($C230^2*(EXP($D$42:$D$44/$C230)-1)^2))</f>
        <v>15.180650155452629</v>
      </c>
      <c r="F230" s="270">
        <f t="shared" si="25"/>
        <v>12.471599999999999</v>
      </c>
      <c r="G230" s="224">
        <v>0</v>
      </c>
      <c r="H230" s="228">
        <f t="shared" si="22"/>
        <v>40.123850155452629</v>
      </c>
    </row>
    <row r="231" spans="3:11" ht="20" thickBot="1" x14ac:dyDescent="0.3">
      <c r="C231" s="159">
        <f t="shared" si="26"/>
        <v>1900</v>
      </c>
      <c r="D231" s="223">
        <f t="shared" si="24"/>
        <v>12.471599999999999</v>
      </c>
      <c r="E231" s="275" cm="1">
        <f t="array" ref="E231">$B$7*SUM(($D$42:$D$44*$D$42:$D$44)*EXP($D$42:$D$44/$C231)/($C231^2*(EXP($D$42:$D$44/$C231)-1)^2))</f>
        <v>15.867713006316567</v>
      </c>
      <c r="F231" s="270">
        <f t="shared" si="25"/>
        <v>12.471599999999999</v>
      </c>
      <c r="G231" s="224">
        <v>0</v>
      </c>
      <c r="H231" s="228">
        <f t="shared" si="22"/>
        <v>40.810913006316568</v>
      </c>
    </row>
    <row r="232" spans="3:11" ht="20" thickBot="1" x14ac:dyDescent="0.3">
      <c r="C232" s="160">
        <f t="shared" si="26"/>
        <v>2000</v>
      </c>
      <c r="D232" s="225">
        <f t="shared" si="24"/>
        <v>12.471599999999999</v>
      </c>
      <c r="E232" s="229" cm="1">
        <f t="array" ref="E232">$B$7*SUM(($D$42:$D$44*$D$42:$D$44)*EXP($D$42:$D$44/$C232)/($C232^2*(EXP($D$42:$D$44/$C232)-1)^2))</f>
        <v>16.496597267728923</v>
      </c>
      <c r="F232" s="230">
        <f t="shared" si="25"/>
        <v>12.471599999999999</v>
      </c>
      <c r="G232" s="226">
        <v>0</v>
      </c>
      <c r="H232" s="193">
        <f t="shared" si="22"/>
        <v>41.43979726772892</v>
      </c>
    </row>
    <row r="238" spans="3:11" ht="17" thickBot="1" x14ac:dyDescent="0.25"/>
    <row r="239" spans="3:11" ht="20" thickBot="1" x14ac:dyDescent="0.3">
      <c r="E239" s="1"/>
      <c r="F239" s="1" t="s">
        <v>66</v>
      </c>
      <c r="G239" s="1"/>
      <c r="H239" s="278" t="s">
        <v>106</v>
      </c>
      <c r="I239" s="279"/>
      <c r="J239" s="279"/>
      <c r="K239" s="280"/>
    </row>
    <row r="240" spans="3:11" ht="28" thickBot="1" x14ac:dyDescent="0.4">
      <c r="C240" s="133" t="s">
        <v>119</v>
      </c>
      <c r="D240" s="134"/>
      <c r="E240" s="1"/>
      <c r="F240" s="1"/>
      <c r="G240" s="1"/>
      <c r="H240" s="203" t="s">
        <v>102</v>
      </c>
      <c r="I240" s="203" t="s">
        <v>103</v>
      </c>
      <c r="J240" s="203" t="s">
        <v>104</v>
      </c>
      <c r="K240" s="203" t="s">
        <v>105</v>
      </c>
    </row>
    <row r="244" spans="3:10" ht="20" thickBot="1" x14ac:dyDescent="0.25">
      <c r="D244" s="286"/>
      <c r="E244" s="286"/>
    </row>
    <row r="245" spans="3:10" ht="20" thickBot="1" x14ac:dyDescent="0.25">
      <c r="D245" s="284" t="s">
        <v>114</v>
      </c>
      <c r="E245" s="285"/>
    </row>
    <row r="246" spans="3:10" ht="20" thickBot="1" x14ac:dyDescent="0.3">
      <c r="D246" s="183" t="s">
        <v>113</v>
      </c>
      <c r="E246" s="210" t="s">
        <v>111</v>
      </c>
    </row>
    <row r="247" spans="3:10" ht="19" x14ac:dyDescent="0.25">
      <c r="C247" s="74" t="s">
        <v>45</v>
      </c>
      <c r="D247" s="208">
        <f>$R23</f>
        <v>45.1</v>
      </c>
      <c r="E247" s="139">
        <f>D247*4.184</f>
        <v>188.69840000000002</v>
      </c>
    </row>
    <row r="248" spans="3:10" ht="19" x14ac:dyDescent="0.25">
      <c r="C248" s="75" t="s">
        <v>46</v>
      </c>
      <c r="D248" s="208">
        <f t="shared" ref="D248:D251" si="28">$R24</f>
        <v>0</v>
      </c>
      <c r="E248" s="140">
        <f t="shared" ref="E248:E251" si="29">D248*4.184</f>
        <v>0</v>
      </c>
    </row>
    <row r="249" spans="3:10" ht="19" x14ac:dyDescent="0.25">
      <c r="C249" s="75" t="s">
        <v>47</v>
      </c>
      <c r="D249" s="208">
        <f t="shared" si="28"/>
        <v>34.607999999999997</v>
      </c>
      <c r="E249" s="140">
        <f t="shared" si="29"/>
        <v>144.79987199999999</v>
      </c>
    </row>
    <row r="250" spans="3:10" ht="19" x14ac:dyDescent="0.25">
      <c r="C250" s="75" t="s">
        <v>48</v>
      </c>
      <c r="D250" s="208">
        <f t="shared" si="28"/>
        <v>10.484</v>
      </c>
      <c r="E250" s="140">
        <f t="shared" si="29"/>
        <v>43.865056000000003</v>
      </c>
    </row>
    <row r="251" spans="3:10" ht="20" thickBot="1" x14ac:dyDescent="0.3">
      <c r="C251" s="76" t="s">
        <v>49</v>
      </c>
      <c r="D251" s="208">
        <f t="shared" si="28"/>
        <v>8.0000000000000002E-3</v>
      </c>
      <c r="E251" s="140">
        <f t="shared" si="29"/>
        <v>3.3472000000000002E-2</v>
      </c>
    </row>
    <row r="253" spans="3:10" ht="17" thickBot="1" x14ac:dyDescent="0.25"/>
    <row r="254" spans="3:10" ht="20" thickBot="1" x14ac:dyDescent="0.3">
      <c r="C254" s="91" t="s">
        <v>26</v>
      </c>
      <c r="D254" s="215"/>
      <c r="E254" s="215"/>
      <c r="F254" s="215"/>
      <c r="G254" s="216"/>
      <c r="I254" s="123" t="s">
        <v>117</v>
      </c>
      <c r="J254" s="217">
        <f>($B$14^2)/(8*PI()*PI()*$G$258*$B$8)</f>
        <v>1.8865535129982716</v>
      </c>
    </row>
    <row r="255" spans="3:10" ht="20" thickBot="1" x14ac:dyDescent="0.3">
      <c r="C255" s="212"/>
      <c r="D255" s="113" t="s">
        <v>36</v>
      </c>
      <c r="E255" s="114" t="s">
        <v>37</v>
      </c>
      <c r="F255" s="115" t="s">
        <v>38</v>
      </c>
      <c r="G255" s="129" t="s">
        <v>112</v>
      </c>
      <c r="I255" s="112"/>
      <c r="J255" s="112"/>
    </row>
    <row r="256" spans="3:10" ht="22" thickBot="1" x14ac:dyDescent="0.3">
      <c r="C256" s="55" t="s">
        <v>31</v>
      </c>
      <c r="D256" s="63">
        <f>D$23</f>
        <v>2.16805</v>
      </c>
      <c r="E256" s="63">
        <f t="shared" ref="E256:F256" si="30">E$23</f>
        <v>4.2622499999999999</v>
      </c>
      <c r="F256" s="63">
        <f t="shared" si="30"/>
        <v>6.4302999999999999</v>
      </c>
      <c r="G256" s="61">
        <f>F256 + E256 + D256</f>
        <v>12.860600000000002</v>
      </c>
      <c r="J256" s="112"/>
    </row>
    <row r="257" spans="1:18" ht="22" thickBot="1" x14ac:dyDescent="0.3">
      <c r="C257" s="56" t="s">
        <v>29</v>
      </c>
      <c r="D257" s="66">
        <f>D256*$U$9</f>
        <v>3.5989629999999997E-27</v>
      </c>
      <c r="E257" s="66">
        <f t="shared" ref="E257" si="31">E256*$U$9</f>
        <v>7.0753349999999999E-27</v>
      </c>
      <c r="F257" s="213">
        <f t="shared" ref="F257" si="32">F256*$U$9</f>
        <v>1.0674298E-26</v>
      </c>
      <c r="G257" s="61">
        <f t="shared" ref="G257:G258" si="33">F257 + E257 + D257</f>
        <v>2.1348595999999999E-26</v>
      </c>
    </row>
    <row r="258" spans="1:18" ht="22" thickBot="1" x14ac:dyDescent="0.3">
      <c r="C258" s="57" t="s">
        <v>30</v>
      </c>
      <c r="D258" s="68">
        <f>D257*($Q$8)^2</f>
        <v>3.5989630000000002E-47</v>
      </c>
      <c r="E258" s="69">
        <f>E257*($Q$8)^2</f>
        <v>7.0753350000000009E-47</v>
      </c>
      <c r="F258" s="209">
        <f t="shared" ref="F258" si="34">F257*($Q$8)^2</f>
        <v>1.0674298000000001E-46</v>
      </c>
      <c r="G258" s="61">
        <f t="shared" si="33"/>
        <v>2.1348596000000002E-46</v>
      </c>
    </row>
    <row r="259" spans="1:18" ht="17" thickBot="1" x14ac:dyDescent="0.25"/>
    <row r="260" spans="1:18" ht="20" thickBot="1" x14ac:dyDescent="0.3">
      <c r="F260" s="281" t="s">
        <v>111</v>
      </c>
      <c r="G260" s="282"/>
      <c r="H260" s="282"/>
      <c r="I260" s="282"/>
      <c r="J260" s="283"/>
    </row>
    <row r="261" spans="1:18" ht="23" thickBot="1" x14ac:dyDescent="0.35">
      <c r="C261" s="190" t="s">
        <v>68</v>
      </c>
      <c r="D261" s="211" t="s">
        <v>118</v>
      </c>
      <c r="E261" s="180" t="s">
        <v>116</v>
      </c>
      <c r="F261" s="234" t="s">
        <v>110</v>
      </c>
      <c r="G261" s="214" t="s">
        <v>107</v>
      </c>
      <c r="H261" s="214" t="s">
        <v>108</v>
      </c>
      <c r="I261" s="235" t="s">
        <v>109</v>
      </c>
      <c r="J261" s="129" t="s">
        <v>112</v>
      </c>
      <c r="L261" s="170" t="s">
        <v>83</v>
      </c>
      <c r="M261" s="171"/>
      <c r="N261" s="171"/>
      <c r="O261" s="171"/>
      <c r="P261" s="171"/>
      <c r="Q261" s="171"/>
    </row>
    <row r="262" spans="1:18" ht="20" thickBot="1" x14ac:dyDescent="0.3">
      <c r="C262" s="180">
        <v>298.14999999999998</v>
      </c>
      <c r="D262" s="218">
        <f>$B$7*C262/$B$16</f>
        <v>2.4465219442388352E-2</v>
      </c>
      <c r="E262" s="231">
        <f>((2*PI()*$A$28*$U$9*$B$8*$C262)/($B$14*$B$14))^(3/2)</f>
        <v>7.3915021943171691E+31</v>
      </c>
      <c r="F262" s="221">
        <f t="shared" ref="F262:F280" si="35">$B$7*LN(($D262/$B$6)*EXP(5/2)*E262)</f>
        <v>144.79582699251688</v>
      </c>
      <c r="G262" s="227" cm="1">
        <f t="array" ref="G262">$B$7*SUM((($D$42:$D$44)/$C262)/(EXP($D$42:$D$44/$C262)-1)-LN(1-EXP(-$D$42:$D$44/$C262)))</f>
        <v>3.1752886289064121E-2</v>
      </c>
      <c r="H262" s="236">
        <f t="shared" ref="H262:H280" si="36">$B$7*LN(EXP(1)*$C262/($A$31*$J$254))</f>
        <v>44.645816292123527</v>
      </c>
      <c r="I262" s="222">
        <v>0</v>
      </c>
      <c r="J262" s="207">
        <f>SUM(F262:I262)</f>
        <v>189.47339617092948</v>
      </c>
      <c r="L262" s="1"/>
      <c r="M262" s="1"/>
      <c r="N262" s="1"/>
      <c r="O262" s="1"/>
      <c r="P262" s="1"/>
      <c r="Q262" s="1"/>
    </row>
    <row r="263" spans="1:18" ht="20" thickBot="1" x14ac:dyDescent="0.3">
      <c r="C263" s="158">
        <v>300</v>
      </c>
      <c r="D263" s="218">
        <f>$B$7*C263/$B$16</f>
        <v>2.4617024426350848E-2</v>
      </c>
      <c r="E263" s="231">
        <f>((2*PI()*$A$28*$U$9*$B$8*$C263)/($B$14*$B$14))^(3/2)</f>
        <v>7.4604044372889914E+31</v>
      </c>
      <c r="F263" s="221">
        <f t="shared" si="35"/>
        <v>144.92440418090109</v>
      </c>
      <c r="G263" s="227" cm="1">
        <f t="array" ref="G263">$B$7*SUM((($D$42:$D$44)/$C263)/(EXP($D$42:$D$44/$C263)-1)-LN(1-EXP(-$D$42:$D$44/$C263)))</f>
        <v>3.3123297866383815E-2</v>
      </c>
      <c r="H263" s="236">
        <f t="shared" si="36"/>
        <v>44.697247167477208</v>
      </c>
      <c r="I263" s="222">
        <v>0</v>
      </c>
      <c r="J263" s="207">
        <f>SUM(F263:I263)</f>
        <v>189.65477464624468</v>
      </c>
      <c r="N263" s="204" t="s">
        <v>110</v>
      </c>
      <c r="O263" s="205" t="s">
        <v>107</v>
      </c>
      <c r="P263" s="205" t="s">
        <v>108</v>
      </c>
      <c r="Q263" s="206" t="s">
        <v>109</v>
      </c>
      <c r="R263" s="129" t="s">
        <v>112</v>
      </c>
    </row>
    <row r="264" spans="1:18" ht="20" thickBot="1" x14ac:dyDescent="0.3">
      <c r="C264" s="159">
        <f>C263+100</f>
        <v>400</v>
      </c>
      <c r="D264" s="219">
        <f t="shared" ref="D264:D280" si="37">$B$7*C264/$B$16</f>
        <v>3.2822699235134464E-2</v>
      </c>
      <c r="E264" s="232">
        <f t="shared" ref="E264:E280" si="38">(2*PI()*$A$28*$U$9*$B$8*$C264/($B$14)^2)^(3/2)</f>
        <v>1.1486044027019348E+32</v>
      </c>
      <c r="F264" s="237">
        <f t="shared" si="35"/>
        <v>150.90416373888377</v>
      </c>
      <c r="G264" s="275" cm="1">
        <f t="array" ref="G264">$B$7*SUM((($D$42:$D$44)/$C264)/(EXP($D$42:$D$44/$C264)-1)-LN(1-EXP(-$D$42:$D$44/$C264)))</f>
        <v>0.17695004925508748</v>
      </c>
      <c r="H264" s="276">
        <f t="shared" si="36"/>
        <v>47.089150990670291</v>
      </c>
      <c r="I264" s="224">
        <v>0</v>
      </c>
      <c r="J264" s="207">
        <f t="shared" ref="J264:J280" si="39">SUM(F264:I264)</f>
        <v>198.17026477880916</v>
      </c>
      <c r="M264" s="80" t="s">
        <v>79</v>
      </c>
      <c r="N264" s="240">
        <f>F$262</f>
        <v>144.79582699251688</v>
      </c>
      <c r="O264" s="240">
        <f t="shared" ref="O264:R264" si="40">G$262</f>
        <v>3.1752886289064121E-2</v>
      </c>
      <c r="P264" s="240">
        <f t="shared" si="40"/>
        <v>44.645816292123527</v>
      </c>
      <c r="Q264" s="240">
        <f t="shared" si="40"/>
        <v>0</v>
      </c>
      <c r="R264" s="240">
        <f t="shared" si="40"/>
        <v>189.47339617092948</v>
      </c>
    </row>
    <row r="265" spans="1:18" ht="20" thickBot="1" x14ac:dyDescent="0.3">
      <c r="C265" s="159">
        <f t="shared" ref="C265:C280" si="41">C264+100</f>
        <v>500</v>
      </c>
      <c r="D265" s="219">
        <f t="shared" si="37"/>
        <v>4.1028374043918084E-2</v>
      </c>
      <c r="E265" s="232">
        <f t="shared" si="38"/>
        <v>1.6052234523106776E+32</v>
      </c>
      <c r="F265" s="237">
        <f t="shared" si="35"/>
        <v>155.54242559650098</v>
      </c>
      <c r="G265" s="275" cm="1">
        <f t="array" ref="G265">$B$7*SUM((($D$42:$D$44)/$C265)/(EXP($D$42:$D$44/$C265)-1)-LN(1-EXP(-$D$42:$D$44/$C265)))</f>
        <v>0.47033140820045105</v>
      </c>
      <c r="H265" s="276">
        <f t="shared" si="36"/>
        <v>48.944455733717156</v>
      </c>
      <c r="I265" s="224">
        <v>0</v>
      </c>
      <c r="J265" s="207">
        <f t="shared" si="39"/>
        <v>204.95721273841858</v>
      </c>
      <c r="M265" s="81" t="s">
        <v>80</v>
      </c>
      <c r="N265" s="240">
        <f>E249</f>
        <v>144.79987199999999</v>
      </c>
      <c r="O265" s="240">
        <f>E251</f>
        <v>3.3472000000000002E-2</v>
      </c>
      <c r="P265" s="240">
        <f>E250</f>
        <v>43.865056000000003</v>
      </c>
      <c r="Q265" s="240">
        <f>E248</f>
        <v>0</v>
      </c>
      <c r="R265" s="240">
        <f>E247</f>
        <v>188.69840000000002</v>
      </c>
    </row>
    <row r="266" spans="1:18" ht="23" thickBot="1" x14ac:dyDescent="0.35">
      <c r="C266" s="159">
        <f t="shared" si="41"/>
        <v>600</v>
      </c>
      <c r="D266" s="219">
        <f t="shared" si="37"/>
        <v>4.9234048852701696E-2</v>
      </c>
      <c r="E266" s="232">
        <f t="shared" si="38"/>
        <v>2.1101210272005078E+32</v>
      </c>
      <c r="F266" s="237">
        <f t="shared" si="35"/>
        <v>159.33216147602013</v>
      </c>
      <c r="G266" s="275" cm="1">
        <f t="array" ref="G266">$B$7*SUM((($D$42:$D$44)/$C266)/(EXP($D$42:$D$44/$C266)-1)-LN(1-EXP(-$D$42:$D$44/$C266)))</f>
        <v>0.89516253850976324</v>
      </c>
      <c r="H266" s="276">
        <f t="shared" si="36"/>
        <v>50.460350085524816</v>
      </c>
      <c r="I266" s="224">
        <v>0</v>
      </c>
      <c r="J266" s="207">
        <f t="shared" si="39"/>
        <v>210.68767410005472</v>
      </c>
      <c r="L266" s="1"/>
      <c r="M266" s="25" t="s">
        <v>81</v>
      </c>
      <c r="N266" s="172">
        <f>IFERROR(ABS(N264-N265)/N264,0)</f>
        <v>2.7935939640879654E-5</v>
      </c>
      <c r="O266" s="172">
        <f t="shared" ref="O266:R266" si="42">IFERROR(ABS(O264-O265)/O264,0)</f>
        <v>5.4140392003606728E-2</v>
      </c>
      <c r="P266" s="172">
        <f t="shared" si="42"/>
        <v>1.7487871361000676E-2</v>
      </c>
      <c r="Q266" s="172">
        <f t="shared" si="42"/>
        <v>0</v>
      </c>
      <c r="R266" s="172">
        <f t="shared" si="42"/>
        <v>4.0902637868501001E-3</v>
      </c>
    </row>
    <row r="267" spans="1:18" ht="20" thickBot="1" x14ac:dyDescent="0.3">
      <c r="A267" s="24"/>
      <c r="C267" s="159">
        <f t="shared" si="41"/>
        <v>700</v>
      </c>
      <c r="D267" s="219">
        <f t="shared" si="37"/>
        <v>5.7439723661485309E-2</v>
      </c>
      <c r="E267" s="232">
        <f t="shared" si="38"/>
        <v>2.6590564038002879E+32</v>
      </c>
      <c r="F267" s="237">
        <f t="shared" si="35"/>
        <v>162.53633750690943</v>
      </c>
      <c r="G267" s="275" cm="1">
        <f t="array" ref="G267">$B$7*SUM((($D$42:$D$44)/$C267)/(EXP($D$42:$D$44/$C267)-1)-LN(1-EXP(-$D$42:$D$44/$C267)))</f>
        <v>1.4213718108773707</v>
      </c>
      <c r="H267" s="276">
        <f t="shared" si="36"/>
        <v>51.742020497880567</v>
      </c>
      <c r="I267" s="224">
        <v>0</v>
      </c>
      <c r="J267" s="207">
        <f t="shared" si="39"/>
        <v>215.69972981566735</v>
      </c>
    </row>
    <row r="268" spans="1:18" ht="20" thickBot="1" x14ac:dyDescent="0.3">
      <c r="A268" s="24"/>
      <c r="C268" s="159">
        <f t="shared" si="41"/>
        <v>800</v>
      </c>
      <c r="D268" s="219">
        <f t="shared" si="37"/>
        <v>6.5645398470268929E-2</v>
      </c>
      <c r="E268" s="232">
        <f t="shared" si="38"/>
        <v>3.2487438482050577E+32</v>
      </c>
      <c r="F268" s="237">
        <f t="shared" si="35"/>
        <v>165.31192103400284</v>
      </c>
      <c r="G268" s="275" cm="1">
        <f t="array" ref="G268">$B$7*SUM((($D$42:$D$44)/$C268)/(EXP($D$42:$D$44/$C268)-1)-LN(1-EXP(-$D$42:$D$44/$C268)))</f>
        <v>2.0260809348117741</v>
      </c>
      <c r="H268" s="276">
        <f t="shared" si="36"/>
        <v>52.852253908717898</v>
      </c>
      <c r="I268" s="224">
        <v>0</v>
      </c>
      <c r="J268" s="207">
        <f t="shared" si="39"/>
        <v>220.19025587753251</v>
      </c>
    </row>
    <row r="269" spans="1:18" ht="20" thickBot="1" x14ac:dyDescent="0.3">
      <c r="C269" s="159">
        <f t="shared" si="41"/>
        <v>900</v>
      </c>
      <c r="D269" s="219">
        <f t="shared" si="37"/>
        <v>7.3851073279052548E-2</v>
      </c>
      <c r="E269" s="232">
        <f t="shared" si="38"/>
        <v>3.876539859119036E+32</v>
      </c>
      <c r="F269" s="237">
        <f t="shared" si="35"/>
        <v>167.76015921315638</v>
      </c>
      <c r="G269" s="275" cm="1">
        <f t="array" ref="G269">$B$7*SUM((($D$42:$D$44)/$C269)/(EXP($D$42:$D$44/$C269)-1)-LN(1-EXP(-$D$42:$D$44/$C269)))</f>
        <v>2.6938945201845699</v>
      </c>
      <c r="H269" s="276">
        <f t="shared" si="36"/>
        <v>53.831549180379334</v>
      </c>
      <c r="I269" s="224">
        <v>0</v>
      </c>
      <c r="J269" s="207">
        <f t="shared" si="39"/>
        <v>224.28560291372028</v>
      </c>
    </row>
    <row r="270" spans="1:18" ht="20" thickBot="1" x14ac:dyDescent="0.3">
      <c r="C270" s="159">
        <f t="shared" si="41"/>
        <v>1000</v>
      </c>
      <c r="D270" s="219">
        <f t="shared" si="37"/>
        <v>8.2056748087836168E-2</v>
      </c>
      <c r="E270" s="232">
        <f t="shared" si="38"/>
        <v>4.5402575537942556E+32</v>
      </c>
      <c r="F270" s="237">
        <f t="shared" si="35"/>
        <v>169.95018289162005</v>
      </c>
      <c r="G270" s="275" cm="1">
        <f t="array" ref="G270">$B$7*SUM((($D$42:$D$44)/$C270)/(EXP($D$42:$D$44/$C270)-1)-LN(1-EXP(-$D$42:$D$44/$C270)))</f>
        <v>3.4133647581314568</v>
      </c>
      <c r="H270" s="276">
        <f t="shared" si="36"/>
        <v>54.707558651764764</v>
      </c>
      <c r="I270" s="224">
        <v>0</v>
      </c>
      <c r="J270" s="207">
        <f t="shared" si="39"/>
        <v>228.07110630151627</v>
      </c>
    </row>
    <row r="271" spans="1:18" ht="20" thickBot="1" x14ac:dyDescent="0.3">
      <c r="C271" s="159">
        <f t="shared" si="41"/>
        <v>1100</v>
      </c>
      <c r="D271" s="219">
        <f t="shared" si="37"/>
        <v>9.0262422896619773E-2</v>
      </c>
      <c r="E271" s="232">
        <f t="shared" si="38"/>
        <v>5.238048524929821E+32</v>
      </c>
      <c r="F271" s="237">
        <f t="shared" si="35"/>
        <v>171.93130028903266</v>
      </c>
      <c r="G271" s="275" cm="1">
        <f t="array" ref="G271">$B$7*SUM((($D$42:$D$44)/$C271)/(EXP($D$42:$D$44/$C271)-1)-LN(1-EXP(-$D$42:$D$44/$C271)))</f>
        <v>4.1746759522715005</v>
      </c>
      <c r="H271" s="276">
        <f t="shared" si="36"/>
        <v>55.500005610729843</v>
      </c>
      <c r="I271" s="224">
        <v>0</v>
      </c>
      <c r="J271" s="207">
        <f t="shared" si="39"/>
        <v>231.60598185203401</v>
      </c>
    </row>
    <row r="272" spans="1:18" ht="20" thickBot="1" x14ac:dyDescent="0.3">
      <c r="C272" s="159">
        <f t="shared" si="41"/>
        <v>1200</v>
      </c>
      <c r="D272" s="219">
        <f t="shared" si="37"/>
        <v>9.8468097705403393E-2</v>
      </c>
      <c r="E272" s="232">
        <f t="shared" si="38"/>
        <v>5.9683235498311419E+32</v>
      </c>
      <c r="F272" s="237">
        <f t="shared" si="35"/>
        <v>173.73991877113909</v>
      </c>
      <c r="G272" s="275" cm="1">
        <f t="array" ref="G272">$B$7*SUM((($D$42:$D$44)/$C272)/(EXP($D$42:$D$44/$C272)-1)-LN(1-EXP(-$D$42:$D$44/$C272)))</f>
        <v>4.9687905517921909</v>
      </c>
      <c r="H272" s="276">
        <f t="shared" si="36"/>
        <v>56.223453003572416</v>
      </c>
      <c r="I272" s="224">
        <v>0</v>
      </c>
      <c r="J272" s="207">
        <f t="shared" si="39"/>
        <v>234.93216232650369</v>
      </c>
    </row>
    <row r="273" spans="3:10" ht="20" thickBot="1" x14ac:dyDescent="0.3">
      <c r="C273" s="159">
        <f t="shared" si="41"/>
        <v>1300</v>
      </c>
      <c r="D273" s="219">
        <f t="shared" si="37"/>
        <v>0.10667377251418701</v>
      </c>
      <c r="E273" s="232">
        <f t="shared" si="38"/>
        <v>6.7296971123939431E+32</v>
      </c>
      <c r="F273" s="237">
        <f t="shared" si="35"/>
        <v>175.40368649284119</v>
      </c>
      <c r="G273" s="275" cm="1">
        <f t="array" ref="G273">$B$7*SUM((($D$42:$D$44)/$C273)/(EXP($D$42:$D$44/$C273)-1)-LN(1-EXP(-$D$42:$D$44/$C273)))</f>
        <v>5.7873484283634919</v>
      </c>
      <c r="H273" s="276">
        <f t="shared" si="36"/>
        <v>56.888960092253264</v>
      </c>
      <c r="I273" s="224">
        <v>0</v>
      </c>
      <c r="J273" s="207">
        <f t="shared" si="39"/>
        <v>238.07999501345793</v>
      </c>
    </row>
    <row r="274" spans="3:10" ht="20" thickBot="1" x14ac:dyDescent="0.3">
      <c r="C274" s="159">
        <f t="shared" si="41"/>
        <v>1400</v>
      </c>
      <c r="D274" s="219">
        <f t="shared" si="37"/>
        <v>0.11487944732297062</v>
      </c>
      <c r="E274" s="232">
        <f t="shared" si="38"/>
        <v>7.520947258738813E+32</v>
      </c>
      <c r="F274" s="237">
        <f t="shared" si="35"/>
        <v>176.94409480202845</v>
      </c>
      <c r="G274" s="275" cm="1">
        <f t="array" ref="G274">$B$7*SUM((($D$42:$D$44)/$C274)/(EXP($D$42:$D$44/$C274)-1)-LN(1-EXP(-$D$42:$D$44/$C274)))</f>
        <v>6.6227972350525546</v>
      </c>
      <c r="H274" s="276">
        <f t="shared" si="36"/>
        <v>57.505123415928175</v>
      </c>
      <c r="I274" s="224">
        <v>0</v>
      </c>
      <c r="J274" s="207">
        <f t="shared" si="39"/>
        <v>241.07201545300919</v>
      </c>
    </row>
    <row r="275" spans="3:10" ht="20" thickBot="1" x14ac:dyDescent="0.3">
      <c r="C275" s="159">
        <f t="shared" si="41"/>
        <v>1500</v>
      </c>
      <c r="D275" s="219">
        <f t="shared" si="37"/>
        <v>0.12308512213175424</v>
      </c>
      <c r="E275" s="232">
        <f t="shared" si="38"/>
        <v>8.3409857307096011E+32</v>
      </c>
      <c r="F275" s="237">
        <f t="shared" si="35"/>
        <v>178.37818062875627</v>
      </c>
      <c r="G275" s="275" cm="1">
        <f t="array" ref="G275">$B$7*SUM((($D$42:$D$44)/$C275)/(EXP($D$42:$D$44/$C275)-1)-LN(1-EXP(-$D$42:$D$44/$C275)))</f>
        <v>7.4685154623184529</v>
      </c>
      <c r="H275" s="276">
        <f t="shared" si="36"/>
        <v>58.078757746619289</v>
      </c>
      <c r="I275" s="224">
        <v>0</v>
      </c>
      <c r="J275" s="207">
        <f t="shared" si="39"/>
        <v>243.92545383769402</v>
      </c>
    </row>
    <row r="276" spans="3:10" ht="20" thickBot="1" x14ac:dyDescent="0.3">
      <c r="C276" s="159">
        <f t="shared" si="41"/>
        <v>1600</v>
      </c>
      <c r="D276" s="219">
        <f t="shared" si="37"/>
        <v>0.13129079694053786</v>
      </c>
      <c r="E276" s="232">
        <f t="shared" si="38"/>
        <v>9.1888352216153993E+32</v>
      </c>
      <c r="F276" s="237">
        <f t="shared" si="35"/>
        <v>179.71967832912173</v>
      </c>
      <c r="G276" s="275" cm="1">
        <f t="array" ref="G276">$B$7*SUM((($D$42:$D$44)/$C276)/(EXP($D$42:$D$44/$C276)-1)-LN(1-EXP(-$D$42:$D$44/$C276)))</f>
        <v>8.3188589809738858</v>
      </c>
      <c r="H276" s="276">
        <f t="shared" si="36"/>
        <v>58.615356826765506</v>
      </c>
      <c r="I276" s="224">
        <v>0</v>
      </c>
      <c r="J276" s="207">
        <f t="shared" si="39"/>
        <v>246.65389413686114</v>
      </c>
    </row>
    <row r="277" spans="3:10" ht="20" thickBot="1" x14ac:dyDescent="0.3">
      <c r="C277" s="159">
        <f t="shared" si="41"/>
        <v>1700</v>
      </c>
      <c r="D277" s="219">
        <f t="shared" si="37"/>
        <v>0.13949647174932148</v>
      </c>
      <c r="E277" s="232">
        <f t="shared" si="38"/>
        <v>1.0063611708077801E+33</v>
      </c>
      <c r="F277" s="237">
        <f t="shared" si="35"/>
        <v>180.9798217181982</v>
      </c>
      <c r="G277" s="275" cm="1">
        <f t="array" ref="G277">$B$7*SUM((($D$42:$D$44)/$C277)/(EXP($D$42:$D$44/$C277)-1)-LN(1-EXP(-$D$42:$D$44/$C277)))</f>
        <v>9.1691341787796183</v>
      </c>
      <c r="H277" s="276">
        <f t="shared" si="36"/>
        <v>59.119414182396071</v>
      </c>
      <c r="I277" s="224">
        <v>0</v>
      </c>
      <c r="J277" s="207">
        <f t="shared" si="39"/>
        <v>249.26837007937388</v>
      </c>
    </row>
    <row r="278" spans="3:10" ht="20" thickBot="1" x14ac:dyDescent="0.3">
      <c r="C278" s="159">
        <f t="shared" si="41"/>
        <v>1800</v>
      </c>
      <c r="D278" s="219">
        <f t="shared" si="37"/>
        <v>0.1477021465581051</v>
      </c>
      <c r="E278" s="232">
        <f t="shared" si="38"/>
        <v>1.0964510487692086E+33</v>
      </c>
      <c r="F278" s="237">
        <f t="shared" si="35"/>
        <v>182.16791650827543</v>
      </c>
      <c r="G278" s="275" cm="1">
        <f t="array" ref="G278">$B$7*SUM((($D$42:$D$44)/$C278)/(EXP($D$42:$D$44/$C278)-1)-LN(1-EXP(-$D$42:$D$44/$C278)))</f>
        <v>10.015521809786376</v>
      </c>
      <c r="H278" s="276">
        <f t="shared" si="36"/>
        <v>59.594652098426941</v>
      </c>
      <c r="I278" s="224">
        <v>0</v>
      </c>
      <c r="J278" s="207">
        <f t="shared" si="39"/>
        <v>251.77809041648874</v>
      </c>
    </row>
    <row r="279" spans="3:10" ht="20" thickBot="1" x14ac:dyDescent="0.3">
      <c r="C279" s="159">
        <f t="shared" si="41"/>
        <v>1900</v>
      </c>
      <c r="D279" s="219">
        <f t="shared" si="37"/>
        <v>0.15590782136688872</v>
      </c>
      <c r="E279" s="232">
        <f t="shared" si="38"/>
        <v>1.1890794979023541E+33</v>
      </c>
      <c r="F279" s="237">
        <f t="shared" si="35"/>
        <v>183.29175776959931</v>
      </c>
      <c r="G279" s="275" cm="1">
        <f t="array" ref="G279">$B$7*SUM((($D$42:$D$44)/$C279)/(EXP($D$42:$D$44/$C279)-1)-LN(1-EXP(-$D$42:$D$44/$C279)))</f>
        <v>10.85497557570368</v>
      </c>
      <c r="H279" s="276">
        <f t="shared" si="36"/>
        <v>60.044188602956517</v>
      </c>
      <c r="I279" s="224">
        <v>0</v>
      </c>
      <c r="J279" s="207">
        <f t="shared" si="39"/>
        <v>254.19092194825953</v>
      </c>
    </row>
    <row r="280" spans="3:10" ht="20" thickBot="1" x14ac:dyDescent="0.3">
      <c r="C280" s="160">
        <f t="shared" si="41"/>
        <v>2000</v>
      </c>
      <c r="D280" s="220">
        <f t="shared" si="37"/>
        <v>0.16411349617567234</v>
      </c>
      <c r="E280" s="233">
        <f t="shared" si="38"/>
        <v>1.2841787618485493E+33</v>
      </c>
      <c r="F280" s="238">
        <f t="shared" si="35"/>
        <v>184.35794018673906</v>
      </c>
      <c r="G280" s="229" cm="1">
        <f t="array" ref="G280">$B$7*SUM((($D$42:$D$44)/$C280)/(EXP($D$42:$D$44/$C280)-1)-LN(1-EXP(-$D$42:$D$44/$C280)))</f>
        <v>11.685113102002392</v>
      </c>
      <c r="H280" s="239">
        <f t="shared" si="36"/>
        <v>60.470661569812371</v>
      </c>
      <c r="I280" s="226">
        <v>0</v>
      </c>
      <c r="J280" s="199">
        <f t="shared" si="39"/>
        <v>256.51371485855384</v>
      </c>
    </row>
  </sheetData>
  <mergeCells count="9">
    <mergeCell ref="A53:V53"/>
    <mergeCell ref="A18:V18"/>
    <mergeCell ref="H198:K198"/>
    <mergeCell ref="D212:H212"/>
    <mergeCell ref="F260:J260"/>
    <mergeCell ref="D203:E203"/>
    <mergeCell ref="D245:E245"/>
    <mergeCell ref="H239:K239"/>
    <mergeCell ref="D244:E2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2024-08-14T21:56:07Z</dcterms:created>
  <dcterms:modified xsi:type="dcterms:W3CDTF">2024-08-15T23:45:51Z</dcterms:modified>
</cp:coreProperties>
</file>