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.users\Sanya\odesk\_Fouad\Kernel\"/>
    </mc:Choice>
  </mc:AlternateContent>
  <bookViews>
    <workbookView xWindow="240" yWindow="120" windowWidth="15312" windowHeight="7272" activeTab="6"/>
  </bookViews>
  <sheets>
    <sheet name="Balance sheet" sheetId="5" r:id="rId1"/>
    <sheet name="P&amp;L" sheetId="4" r:id="rId2"/>
    <sheet name="Farming" sheetId="9" r:id="rId3"/>
    <sheet name="UA farming" sheetId="6" r:id="rId4"/>
    <sheet name="key" sheetId="1" r:id="rId5"/>
    <sheet name="cor" sheetId="8" r:id="rId6"/>
    <sheet name="EBITDA quarterly" sheetId="10" r:id="rId7"/>
  </sheets>
  <externalReferences>
    <externalReference r:id="rId8"/>
  </externalReferences>
  <definedNames>
    <definedName name="_xlnm._FilterDatabase" localSheetId="6" hidden="1">'EBITDA quarterly'!$A$1:$Y$52</definedName>
    <definedName name="_Hlk288821911" localSheetId="3">'UA farming'!$Q$140</definedName>
  </definedNames>
  <calcPr calcId="152511"/>
</workbook>
</file>

<file path=xl/calcChain.xml><?xml version="1.0" encoding="utf-8"?>
<calcChain xmlns="http://schemas.openxmlformats.org/spreadsheetml/2006/main">
  <c r="B59" i="10" l="1"/>
  <c r="C59" i="10"/>
  <c r="J59" i="10" l="1"/>
  <c r="O59" i="10"/>
  <c r="M59" i="10"/>
  <c r="L59" i="10"/>
  <c r="K59" i="10"/>
  <c r="F59" i="10"/>
  <c r="G59" i="10"/>
  <c r="P59" i="10"/>
  <c r="Y59" i="10"/>
  <c r="U59" i="10"/>
  <c r="X59" i="10"/>
  <c r="W59" i="10"/>
  <c r="V59" i="10"/>
  <c r="D59" i="10"/>
  <c r="H59" i="10"/>
  <c r="T59" i="10"/>
  <c r="E59" i="10"/>
  <c r="I59" i="10"/>
  <c r="Q59" i="10"/>
  <c r="U58" i="10" l="1"/>
  <c r="Q58" i="10"/>
  <c r="H58" i="10"/>
  <c r="S59" i="10"/>
  <c r="N59" i="10"/>
  <c r="N58" i="10"/>
  <c r="Y58" i="10"/>
  <c r="X58" i="10"/>
  <c r="W58" i="10"/>
  <c r="V58" i="10"/>
  <c r="T58" i="10"/>
  <c r="S58" i="10"/>
  <c r="P58" i="10"/>
  <c r="O58" i="10"/>
  <c r="M58" i="10"/>
  <c r="L58" i="10"/>
  <c r="K58" i="10"/>
  <c r="J58" i="10"/>
  <c r="I58" i="10"/>
  <c r="G58" i="10"/>
  <c r="F58" i="10"/>
  <c r="E58" i="10"/>
  <c r="D58" i="10"/>
  <c r="C58" i="10"/>
  <c r="B58" i="10"/>
  <c r="Q45" i="10"/>
  <c r="Q8" i="10"/>
  <c r="Q52" i="10"/>
  <c r="Q50" i="10"/>
  <c r="Q49" i="10"/>
  <c r="O54" i="10"/>
  <c r="T54" i="10"/>
  <c r="S54" i="10"/>
  <c r="R54" i="10"/>
  <c r="P54" i="10"/>
  <c r="M54" i="10"/>
  <c r="L54" i="10"/>
  <c r="K54" i="10"/>
  <c r="J54" i="10"/>
  <c r="I54" i="10"/>
  <c r="H54" i="10"/>
  <c r="G54" i="10"/>
  <c r="F54" i="10"/>
  <c r="E54" i="10"/>
  <c r="D54" i="10"/>
  <c r="C54" i="10"/>
  <c r="B54" i="10"/>
  <c r="N54" i="10"/>
  <c r="M52" i="10"/>
  <c r="M50" i="10"/>
  <c r="M49" i="10"/>
  <c r="E44" i="10"/>
  <c r="Y44" i="10"/>
  <c r="Q44" i="10"/>
  <c r="M44" i="10"/>
  <c r="I44" i="10"/>
  <c r="U41" i="10"/>
  <c r="U44" i="10" s="1"/>
  <c r="L30" i="9"/>
  <c r="I30" i="9"/>
  <c r="M28" i="9"/>
  <c r="L28" i="9"/>
  <c r="K28" i="9"/>
  <c r="K30" i="9" s="1"/>
  <c r="J28" i="9"/>
  <c r="J30" i="9" s="1"/>
  <c r="I28" i="9"/>
  <c r="H28" i="9"/>
  <c r="Q37" i="10"/>
  <c r="Q35" i="10"/>
  <c r="Q33" i="10" s="1"/>
  <c r="P33" i="10"/>
  <c r="Q30" i="10"/>
  <c r="Q28" i="10"/>
  <c r="Q26" i="10"/>
  <c r="Q23" i="10"/>
  <c r="Q21" i="10"/>
  <c r="Q20" i="10"/>
  <c r="R58" i="10" l="1"/>
  <c r="R59" i="10"/>
  <c r="Y52" i="10"/>
  <c r="Y50" i="10"/>
  <c r="Y49" i="10"/>
  <c r="U52" i="10" l="1"/>
  <c r="U54" i="10" s="1"/>
  <c r="U50" i="10"/>
  <c r="U49" i="10"/>
  <c r="Q54" i="10"/>
  <c r="E52" i="10"/>
  <c r="I52" i="10"/>
  <c r="E50" i="10"/>
  <c r="I50" i="10"/>
  <c r="E49" i="10"/>
  <c r="I49" i="10"/>
  <c r="E45" i="10"/>
  <c r="E43" i="10"/>
  <c r="E37" i="10"/>
  <c r="I37" i="10"/>
  <c r="E35" i="10"/>
  <c r="D33" i="10" s="1"/>
  <c r="I35" i="10"/>
  <c r="H33" i="10" s="1"/>
  <c r="E30" i="10"/>
  <c r="I30" i="10"/>
  <c r="E28" i="10"/>
  <c r="I28" i="10"/>
  <c r="E26" i="10"/>
  <c r="I26" i="10"/>
  <c r="E23" i="10"/>
  <c r="I23" i="10"/>
  <c r="E21" i="10"/>
  <c r="E20" i="10"/>
  <c r="E11" i="10"/>
  <c r="E9" i="10"/>
  <c r="E8" i="10"/>
  <c r="E5" i="10"/>
  <c r="E3" i="10"/>
  <c r="E2" i="10"/>
  <c r="D26" i="10"/>
  <c r="H26" i="10"/>
  <c r="B33" i="10"/>
  <c r="C33" i="10"/>
  <c r="G33" i="10"/>
  <c r="C26" i="10"/>
  <c r="G26" i="10"/>
  <c r="I2" i="10"/>
  <c r="M2" i="10"/>
  <c r="Q2" i="10"/>
  <c r="I3" i="10"/>
  <c r="M3" i="10"/>
  <c r="Q3" i="10"/>
  <c r="B4" i="10"/>
  <c r="C4" i="10"/>
  <c r="D4" i="10"/>
  <c r="F4" i="10"/>
  <c r="G4" i="10"/>
  <c r="H4" i="10"/>
  <c r="J4" i="10"/>
  <c r="K4" i="10"/>
  <c r="L4" i="10"/>
  <c r="N4" i="10"/>
  <c r="O4" i="10"/>
  <c r="P4" i="10"/>
  <c r="R4" i="10"/>
  <c r="S4" i="10"/>
  <c r="I5" i="10"/>
  <c r="M5" i="10"/>
  <c r="Q5" i="10"/>
  <c r="B6" i="10"/>
  <c r="C6" i="10"/>
  <c r="D6" i="10"/>
  <c r="F6" i="10"/>
  <c r="G6" i="10"/>
  <c r="H6" i="10"/>
  <c r="J6" i="10"/>
  <c r="K6" i="10"/>
  <c r="L6" i="10"/>
  <c r="N6" i="10"/>
  <c r="O6" i="10"/>
  <c r="P6" i="10"/>
  <c r="R6" i="10"/>
  <c r="S6" i="10"/>
  <c r="B7" i="10"/>
  <c r="C7" i="10"/>
  <c r="D7" i="10"/>
  <c r="F7" i="10"/>
  <c r="G7" i="10"/>
  <c r="H7" i="10"/>
  <c r="J7" i="10"/>
  <c r="K7" i="10"/>
  <c r="L7" i="10"/>
  <c r="N7" i="10"/>
  <c r="O7" i="10"/>
  <c r="P7" i="10"/>
  <c r="R7" i="10"/>
  <c r="S7" i="10"/>
  <c r="I8" i="10"/>
  <c r="M8" i="10"/>
  <c r="I9" i="10"/>
  <c r="M9" i="10"/>
  <c r="Q9" i="10"/>
  <c r="B10" i="10"/>
  <c r="C10" i="10"/>
  <c r="D10" i="10"/>
  <c r="F10" i="10"/>
  <c r="G10" i="10"/>
  <c r="H10" i="10"/>
  <c r="J10" i="10"/>
  <c r="K10" i="10"/>
  <c r="L10" i="10"/>
  <c r="N10" i="10"/>
  <c r="O10" i="10"/>
  <c r="P10" i="10"/>
  <c r="R10" i="10"/>
  <c r="S10" i="10"/>
  <c r="I11" i="10"/>
  <c r="M11" i="10"/>
  <c r="Q11" i="10"/>
  <c r="B12" i="10"/>
  <c r="C12" i="10"/>
  <c r="D12" i="10"/>
  <c r="F12" i="10"/>
  <c r="G12" i="10"/>
  <c r="H12" i="10"/>
  <c r="J12" i="10"/>
  <c r="K12" i="10"/>
  <c r="L12" i="10"/>
  <c r="N12" i="10"/>
  <c r="O12" i="10"/>
  <c r="P12" i="10"/>
  <c r="R12" i="10"/>
  <c r="S12" i="10"/>
  <c r="B13" i="10"/>
  <c r="C13" i="10"/>
  <c r="D13" i="10"/>
  <c r="F13" i="10"/>
  <c r="G13" i="10"/>
  <c r="H13" i="10"/>
  <c r="J13" i="10"/>
  <c r="K13" i="10"/>
  <c r="L13" i="10"/>
  <c r="N13" i="10"/>
  <c r="O13" i="10"/>
  <c r="P13" i="10"/>
  <c r="R13" i="10"/>
  <c r="S13" i="10"/>
  <c r="B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B18" i="10"/>
  <c r="C18" i="10"/>
  <c r="D18" i="10"/>
  <c r="F18" i="10"/>
  <c r="G18" i="10"/>
  <c r="H18" i="10"/>
  <c r="J18" i="10"/>
  <c r="K18" i="10"/>
  <c r="L18" i="10"/>
  <c r="N18" i="10"/>
  <c r="O18" i="10"/>
  <c r="P18" i="10"/>
  <c r="R18" i="10"/>
  <c r="S18" i="10"/>
  <c r="I43" i="10"/>
  <c r="M43" i="10"/>
  <c r="Q43" i="10"/>
  <c r="I45" i="10"/>
  <c r="M45" i="10"/>
  <c r="Q47" i="10"/>
  <c r="B46" i="10"/>
  <c r="C46" i="10"/>
  <c r="D46" i="10"/>
  <c r="F46" i="10"/>
  <c r="G46" i="10"/>
  <c r="H46" i="10"/>
  <c r="J46" i="10"/>
  <c r="K46" i="10"/>
  <c r="L46" i="10"/>
  <c r="N46" i="10"/>
  <c r="O46" i="10"/>
  <c r="P46" i="10"/>
  <c r="R46" i="10"/>
  <c r="S46" i="10"/>
  <c r="B47" i="10"/>
  <c r="C47" i="10"/>
  <c r="D47" i="10"/>
  <c r="F47" i="10"/>
  <c r="G47" i="10"/>
  <c r="H47" i="10"/>
  <c r="J47" i="10"/>
  <c r="K47" i="10"/>
  <c r="L47" i="10"/>
  <c r="N47" i="10"/>
  <c r="O47" i="10"/>
  <c r="P47" i="10"/>
  <c r="R47" i="10"/>
  <c r="S47" i="10"/>
  <c r="G20" i="10"/>
  <c r="I20" i="10" s="1"/>
  <c r="F20" i="10"/>
  <c r="Q4" i="10" l="1"/>
  <c r="M10" i="10"/>
  <c r="Q12" i="10"/>
  <c r="I46" i="10"/>
  <c r="I33" i="10"/>
  <c r="Q18" i="10"/>
  <c r="Q10" i="10"/>
  <c r="I6" i="10"/>
  <c r="E10" i="10"/>
  <c r="I4" i="10"/>
  <c r="E4" i="10"/>
  <c r="M4" i="10"/>
  <c r="Q7" i="10"/>
  <c r="E13" i="10"/>
  <c r="E33" i="10"/>
  <c r="I12" i="10"/>
  <c r="M46" i="10"/>
  <c r="M6" i="10"/>
  <c r="U55" i="10"/>
  <c r="Q13" i="10"/>
  <c r="Q6" i="10"/>
  <c r="Q46" i="10"/>
  <c r="M13" i="10"/>
  <c r="M18" i="10"/>
  <c r="I47" i="10"/>
  <c r="E46" i="10"/>
  <c r="I7" i="10"/>
  <c r="E6" i="10"/>
  <c r="I13" i="10"/>
  <c r="E18" i="10"/>
  <c r="I10" i="10"/>
  <c r="M47" i="10"/>
  <c r="E47" i="10"/>
  <c r="M12" i="10"/>
  <c r="E12" i="10"/>
  <c r="M7" i="10"/>
  <c r="E7" i="10"/>
  <c r="I18" i="10"/>
  <c r="B20" i="10"/>
  <c r="I21" i="10"/>
  <c r="M37" i="10"/>
  <c r="M35" i="10"/>
  <c r="L33" i="10" s="1"/>
  <c r="M30" i="10"/>
  <c r="M28" i="10"/>
  <c r="M23" i="10"/>
  <c r="M21" i="10"/>
  <c r="M33" i="10" l="1"/>
  <c r="M55" i="10"/>
  <c r="K26" i="10"/>
  <c r="F33" i="10"/>
  <c r="J33" i="10"/>
  <c r="K33" i="10"/>
  <c r="F26" i="10"/>
  <c r="J26" i="10"/>
  <c r="I55" i="10"/>
  <c r="L26" i="10"/>
  <c r="L20" i="10"/>
  <c r="M20" i="10" s="1"/>
  <c r="P26" i="10"/>
  <c r="O33" i="10"/>
  <c r="N33" i="10"/>
  <c r="Q55" i="10" l="1"/>
  <c r="E55" i="10"/>
  <c r="Q39" i="10"/>
  <c r="H34" i="10"/>
  <c r="I34" i="10"/>
  <c r="D36" i="10"/>
  <c r="M26" i="10"/>
  <c r="M34" i="10" s="1"/>
  <c r="R33" i="10"/>
  <c r="R36" i="10" s="1"/>
  <c r="S33" i="10"/>
  <c r="S39" i="10" s="1"/>
  <c r="N26" i="10"/>
  <c r="R26" i="10"/>
  <c r="R27" i="10" s="1"/>
  <c r="P34" i="10"/>
  <c r="L34" i="10"/>
  <c r="K34" i="10"/>
  <c r="J34" i="10"/>
  <c r="G34" i="10"/>
  <c r="F34" i="10"/>
  <c r="E34" i="10"/>
  <c r="D34" i="10"/>
  <c r="C34" i="10"/>
  <c r="B34" i="10"/>
  <c r="L26" i="9"/>
  <c r="M26" i="9"/>
  <c r="M25" i="9"/>
  <c r="M24" i="9"/>
  <c r="M23" i="9"/>
  <c r="M22" i="9"/>
  <c r="M14" i="9"/>
  <c r="P39" i="10"/>
  <c r="N39" i="10"/>
  <c r="M39" i="10"/>
  <c r="L39" i="10"/>
  <c r="K39" i="10"/>
  <c r="J39" i="10"/>
  <c r="I39" i="10"/>
  <c r="H39" i="10"/>
  <c r="G39" i="10"/>
  <c r="F39" i="10"/>
  <c r="E39" i="10"/>
  <c r="C39" i="10"/>
  <c r="B39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B38" i="10"/>
  <c r="P36" i="10"/>
  <c r="N36" i="10"/>
  <c r="M36" i="10"/>
  <c r="L36" i="10"/>
  <c r="K36" i="10"/>
  <c r="J36" i="10"/>
  <c r="I36" i="10"/>
  <c r="H36" i="10"/>
  <c r="G36" i="10"/>
  <c r="F36" i="10"/>
  <c r="E36" i="10"/>
  <c r="C36" i="10"/>
  <c r="B36" i="10"/>
  <c r="O39" i="10"/>
  <c r="O26" i="10"/>
  <c r="O27" i="10" s="1"/>
  <c r="P27" i="10"/>
  <c r="N27" i="10"/>
  <c r="M27" i="10"/>
  <c r="L27" i="10"/>
  <c r="K27" i="10"/>
  <c r="J27" i="10"/>
  <c r="H27" i="10"/>
  <c r="G27" i="10"/>
  <c r="F27" i="10"/>
  <c r="E27" i="10"/>
  <c r="D27" i="10"/>
  <c r="C27" i="10"/>
  <c r="B27" i="10"/>
  <c r="S26" i="10"/>
  <c r="S27" i="10" s="1"/>
  <c r="P32" i="10"/>
  <c r="L32" i="10"/>
  <c r="K32" i="10"/>
  <c r="J32" i="10"/>
  <c r="H32" i="10"/>
  <c r="G32" i="10"/>
  <c r="F32" i="10"/>
  <c r="E32" i="10"/>
  <c r="D32" i="10"/>
  <c r="C32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P29" i="10"/>
  <c r="L29" i="10"/>
  <c r="K29" i="10"/>
  <c r="J29" i="10"/>
  <c r="H29" i="10"/>
  <c r="G29" i="10"/>
  <c r="F29" i="10"/>
  <c r="E29" i="10"/>
  <c r="D29" i="10"/>
  <c r="C29" i="10"/>
  <c r="B32" i="10"/>
  <c r="B29" i="10"/>
  <c r="B31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B25" i="10"/>
  <c r="S25" i="10"/>
  <c r="S24" i="10"/>
  <c r="R24" i="10"/>
  <c r="Q24" i="10"/>
  <c r="P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O24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S22" i="10"/>
  <c r="L13" i="4"/>
  <c r="K13" i="4"/>
  <c r="J13" i="4"/>
  <c r="I13" i="4"/>
  <c r="Z20" i="6"/>
  <c r="Y20" i="6"/>
  <c r="H25" i="9"/>
  <c r="H24" i="9"/>
  <c r="H23" i="9"/>
  <c r="H22" i="9"/>
  <c r="H14" i="9"/>
  <c r="Z28" i="6"/>
  <c r="Z27" i="6"/>
  <c r="Z26" i="6"/>
  <c r="Z25" i="6"/>
  <c r="Z24" i="6"/>
  <c r="Z23" i="6"/>
  <c r="Z22" i="6"/>
  <c r="Z21" i="6"/>
  <c r="Y28" i="6"/>
  <c r="Y27" i="6"/>
  <c r="Y26" i="6"/>
  <c r="Y25" i="6"/>
  <c r="Y24" i="6"/>
  <c r="Y23" i="6"/>
  <c r="Y22" i="6"/>
  <c r="Y21" i="6"/>
  <c r="L25" i="9"/>
  <c r="K25" i="9"/>
  <c r="J25" i="9"/>
  <c r="I25" i="9"/>
  <c r="L24" i="9"/>
  <c r="K24" i="9"/>
  <c r="J24" i="9"/>
  <c r="I24" i="9"/>
  <c r="L23" i="9"/>
  <c r="K23" i="9"/>
  <c r="K27" i="9" s="1"/>
  <c r="J23" i="9"/>
  <c r="I23" i="9"/>
  <c r="L22" i="9"/>
  <c r="L27" i="9" s="1"/>
  <c r="K22" i="9"/>
  <c r="J22" i="9"/>
  <c r="J27" i="9" s="1"/>
  <c r="I22" i="9"/>
  <c r="L14" i="9"/>
  <c r="K14" i="9"/>
  <c r="J14" i="9"/>
  <c r="I14" i="9"/>
  <c r="E5" i="8"/>
  <c r="D5" i="8"/>
  <c r="C5" i="8"/>
  <c r="B5" i="8"/>
  <c r="E4" i="8"/>
  <c r="D4" i="8"/>
  <c r="C4" i="8"/>
  <c r="B4" i="8"/>
  <c r="E3" i="8"/>
  <c r="D3" i="8"/>
  <c r="C3" i="8"/>
  <c r="B3" i="8"/>
  <c r="E2" i="8"/>
  <c r="D2" i="8"/>
  <c r="C2" i="8"/>
  <c r="B2" i="8"/>
  <c r="O4" i="1"/>
  <c r="P4" i="1" s="1"/>
  <c r="N4" i="1"/>
  <c r="O8" i="1"/>
  <c r="P8" i="1" s="1"/>
  <c r="N8" i="1"/>
  <c r="O7" i="1"/>
  <c r="P7" i="1" s="1"/>
  <c r="N7" i="1"/>
  <c r="O6" i="1"/>
  <c r="N6" i="1"/>
  <c r="O5" i="1"/>
  <c r="P5" i="1" s="1"/>
  <c r="N5" i="1"/>
  <c r="O12" i="4"/>
  <c r="P12" i="4" s="1"/>
  <c r="N12" i="4"/>
  <c r="L31" i="4"/>
  <c r="K31" i="4"/>
  <c r="J31" i="4"/>
  <c r="I31" i="4"/>
  <c r="H31" i="4"/>
  <c r="G31" i="4"/>
  <c r="F31" i="4"/>
  <c r="E31" i="4"/>
  <c r="D31" i="4"/>
  <c r="C31" i="4"/>
  <c r="L30" i="4"/>
  <c r="K30" i="4"/>
  <c r="J30" i="4"/>
  <c r="I30" i="4"/>
  <c r="H30" i="4"/>
  <c r="G30" i="4"/>
  <c r="F30" i="4"/>
  <c r="E30" i="4"/>
  <c r="D30" i="4"/>
  <c r="C30" i="4"/>
  <c r="L29" i="4"/>
  <c r="L33" i="4" s="1"/>
  <c r="K29" i="4"/>
  <c r="K33" i="4" s="1"/>
  <c r="J29" i="4"/>
  <c r="I29" i="4"/>
  <c r="H29" i="4"/>
  <c r="H33" i="4" s="1"/>
  <c r="G29" i="4"/>
  <c r="G33" i="4" s="1"/>
  <c r="F29" i="4"/>
  <c r="E29" i="4"/>
  <c r="D29" i="4"/>
  <c r="D33" i="4" s="1"/>
  <c r="C29" i="4"/>
  <c r="C33" i="4" s="1"/>
  <c r="B29" i="4"/>
  <c r="Q36" i="10" l="1"/>
  <c r="R29" i="10"/>
  <c r="M32" i="10"/>
  <c r="I29" i="10"/>
  <c r="I32" i="10"/>
  <c r="I27" i="10"/>
  <c r="O32" i="10"/>
  <c r="N32" i="10"/>
  <c r="M29" i="10"/>
  <c r="R32" i="10"/>
  <c r="D39" i="10"/>
  <c r="F33" i="4"/>
  <c r="E33" i="4"/>
  <c r="I33" i="4"/>
  <c r="N33" i="4" s="1" a="1"/>
  <c r="N33" i="4" s="1"/>
  <c r="O13" i="4"/>
  <c r="O34" i="10"/>
  <c r="P6" i="1"/>
  <c r="J33" i="4"/>
  <c r="N13" i="4"/>
  <c r="N35" i="4" s="1"/>
  <c r="Q34" i="10"/>
  <c r="R39" i="10"/>
  <c r="N29" i="10"/>
  <c r="N34" i="10"/>
  <c r="N34" i="4" a="1"/>
  <c r="N34" i="4" s="1"/>
  <c r="N36" i="4" s="1"/>
  <c r="S32" i="10"/>
  <c r="R34" i="10"/>
  <c r="O29" i="10"/>
  <c r="S29" i="10"/>
  <c r="S34" i="10"/>
  <c r="O36" i="10"/>
  <c r="S36" i="10"/>
  <c r="L27" i="4"/>
  <c r="K27" i="4"/>
  <c r="J27" i="4"/>
  <c r="I27" i="4"/>
  <c r="H27" i="4"/>
  <c r="G27" i="4"/>
  <c r="F27" i="4"/>
  <c r="E27" i="4"/>
  <c r="D27" i="4"/>
  <c r="C27" i="4"/>
  <c r="P13" i="4" l="1"/>
  <c r="Q27" i="10"/>
  <c r="Q32" i="10"/>
  <c r="Q29" i="10"/>
</calcChain>
</file>

<file path=xl/comments1.xml><?xml version="1.0" encoding="utf-8"?>
<comments xmlns="http://schemas.openxmlformats.org/spreadsheetml/2006/main">
  <authors>
    <author>Kuzya</author>
  </authors>
  <commentList>
    <comment ref="C26" authorId="0" shapeId="0">
      <text>
        <r>
          <rPr>
            <b/>
            <sz val="9"/>
            <color indexed="81"/>
            <rFont val="Tahoma"/>
            <family val="2"/>
            <charset val="204"/>
          </rPr>
          <t>Taman throughput is estimated as a half of 2014 result (based on a comments)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  <charset val="204"/>
          </rPr>
          <t>Taman throughput is estimated as that is needed to achieve $8,5/t of marginal profit (based on a comments)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  <charset val="204"/>
          </rPr>
          <t>semi-annual data spread proportionally to revenue</t>
        </r>
      </text>
    </comment>
    <comment ref="A41" authorId="0" shapeId="0">
      <text>
        <r>
          <rPr>
            <b/>
            <sz val="9"/>
            <color indexed="81"/>
            <rFont val="Tahoma"/>
            <family val="2"/>
            <charset val="204"/>
          </rPr>
          <t>annual data spread proportionally to revenue</t>
        </r>
      </text>
    </comment>
    <comment ref="G45" authorId="0" shapeId="0">
      <text>
        <r>
          <rPr>
            <b/>
            <sz val="9"/>
            <color indexed="81"/>
            <rFont val="Tahoma"/>
            <family val="2"/>
            <charset val="204"/>
          </rPr>
          <t>figure updated in 2015-II from -41,7</t>
        </r>
      </text>
    </comment>
    <comment ref="N45" authorId="0" shapeId="0">
      <text>
        <r>
          <rPr>
            <b/>
            <sz val="9"/>
            <color indexed="81"/>
            <rFont val="Tahoma"/>
            <family val="2"/>
            <charset val="204"/>
          </rPr>
          <t>figure updated in 2017-I from 16,0
but reconciliation of -6,7 appeared (put on the hedge)</t>
        </r>
      </text>
    </comment>
    <comment ref="O45" authorId="0" shapeId="0">
      <text>
        <r>
          <rPr>
            <b/>
            <sz val="9"/>
            <color indexed="81"/>
            <rFont val="Tahoma"/>
            <family val="2"/>
            <charset val="204"/>
          </rPr>
          <t>figure updated in 2017-II from 74,3
but reconciliation of -38,8 appeared (put on the hedge)</t>
        </r>
      </text>
    </comment>
  </commentList>
</comments>
</file>

<file path=xl/sharedStrings.xml><?xml version="1.0" encoding="utf-8"?>
<sst xmlns="http://schemas.openxmlformats.org/spreadsheetml/2006/main" count="404" uniqueCount="216">
  <si>
    <t>Income statement highlights</t>
  </si>
  <si>
    <t>Cash flow highlights</t>
  </si>
  <si>
    <t>Liquidity position and credit metrics</t>
  </si>
  <si>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</si>
  <si>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</si>
  <si>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</si>
  <si>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</si>
  <si>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</si>
  <si>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</si>
  <si>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</si>
  <si>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</si>
  <si>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</si>
  <si>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</si>
  <si>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FY2016</t>
  </si>
  <si>
    <t>Revenue</t>
  </si>
  <si>
    <t>-</t>
  </si>
  <si>
    <t>Farming</t>
  </si>
  <si>
    <t>EBITDA</t>
  </si>
  <si>
    <t>Cash</t>
  </si>
  <si>
    <t>EBITDA/Interest</t>
  </si>
  <si>
    <t>USD million, except multiples</t>
  </si>
  <si>
    <t>EBITDA, incl,</t>
  </si>
  <si>
    <t>Sunflower oil</t>
  </si>
  <si>
    <t>Grain and infrastructure</t>
  </si>
  <si>
    <t>Unallocated corporate expenses</t>
  </si>
  <si>
    <t>Net profit</t>
  </si>
  <si>
    <t>EBITDA margin</t>
  </si>
  <si>
    <t>Net margin</t>
  </si>
  <si>
    <t>Maintenance CAPEX(1)</t>
  </si>
  <si>
    <t>Finance cost paid</t>
  </si>
  <si>
    <t>Income tax paid</t>
  </si>
  <si>
    <t>Other non-cash items(2)</t>
  </si>
  <si>
    <t>Funds from Operations</t>
  </si>
  <si>
    <t>Dividends paid</t>
  </si>
  <si>
    <t>Change in working capital</t>
  </si>
  <si>
    <t>Expansion CAPEX(3)</t>
  </si>
  <si>
    <t>Free cash flow</t>
  </si>
  <si>
    <t>Gross interest-bearing debt</t>
  </si>
  <si>
    <t>Net interest-bearing debt</t>
  </si>
  <si>
    <t>Readily marketable inventories(4)</t>
  </si>
  <si>
    <t>Adjusted net financial debt</t>
  </si>
  <si>
    <t>Net debt/EBITDA</t>
  </si>
  <si>
    <t>Adjusted net debt/EBITDA</t>
  </si>
  <si>
    <t>Source: Kernel financial reports</t>
  </si>
  <si>
    <t>(1) Committed CAPEX</t>
  </si>
  <si>
    <t>(2) Changes in fair value of bioassets, movements in allowance for doubtful debt, losses on disposal of PPE, impairment, etc.</t>
  </si>
  <si>
    <t>(3) Acquisitions and other related investments of existing capacities</t>
  </si>
  <si>
    <t>(4) Including financial lease</t>
  </si>
  <si>
    <t>(5) Profitably pre-sold stock of sunflower oil/meal, etc. no price risk</t>
  </si>
  <si>
    <t>Balance sheet highlights</t>
  </si>
  <si>
    <t>Invested Capital</t>
  </si>
  <si>
    <t>Financed by</t>
  </si>
  <si>
    <t>Credit metrics highlights</t>
  </si>
  <si>
    <t>Shareholders’ equity</t>
  </si>
  <si>
    <t>P&amp;L highlights</t>
  </si>
  <si>
    <t>EBITDA(1)</t>
  </si>
  <si>
    <t>EBIT</t>
  </si>
  <si>
    <t>EPS</t>
  </si>
  <si>
    <t>USD million except ratios and EPS</t>
  </si>
  <si>
    <t>Net IAS 41 gain</t>
  </si>
  <si>
    <t>Gross profit</t>
  </si>
  <si>
    <t>Net profit(2)</t>
  </si>
  <si>
    <t>Gross margin</t>
  </si>
  <si>
    <t>USD million</t>
  </si>
  <si>
    <t>Operating profit before working capital changes</t>
  </si>
  <si>
    <t>Changes in working capital</t>
  </si>
  <si>
    <t>Cash obtained from/(used in) operations</t>
  </si>
  <si>
    <t>Finance costs paid</t>
  </si>
  <si>
    <t>Net cash obtained from/(used in) operating activities</t>
  </si>
  <si>
    <t>Net PPE disposals/(purchases)</t>
  </si>
  <si>
    <t>Sales/(Purchase) of intangible and other non-current assets</t>
  </si>
  <si>
    <t>Acquisition of subsidiaries and purchase of investment in joint ventures</t>
  </si>
  <si>
    <t>Net cash obtained from/(used in) investing activities</t>
  </si>
  <si>
    <t>Net cash obtained from/(used in) investing &amp; operating activities</t>
  </si>
  <si>
    <t>Inventory</t>
  </si>
  <si>
    <t>Cash &amp; cash equivalents</t>
  </si>
  <si>
    <t>Net trade accounts receivable</t>
  </si>
  <si>
    <t>of which: readily marketable inventories</t>
  </si>
  <si>
    <t>Biological assets</t>
  </si>
  <si>
    <t>Other currents assets</t>
  </si>
  <si>
    <t>Other non-current assets</t>
  </si>
  <si>
    <t>Total assets</t>
  </si>
  <si>
    <t>Short-term liabilities</t>
  </si>
  <si>
    <t>of which: interest-bearing debt</t>
  </si>
  <si>
    <t>Long-term liabilities</t>
  </si>
  <si>
    <t>of which: long-term interest bearing debt</t>
  </si>
  <si>
    <t>Total liabilities</t>
  </si>
  <si>
    <t>Total equity</t>
  </si>
  <si>
    <t>Readily marketable inventories</t>
  </si>
  <si>
    <t>Net debt / EBITDA</t>
  </si>
  <si>
    <t>Adjusted net debt / EBITDA</t>
  </si>
  <si>
    <t>EBITDA / Interest</t>
  </si>
  <si>
    <t>5,2x</t>
  </si>
  <si>
    <t>2,9x</t>
  </si>
  <si>
    <t>1,4x</t>
  </si>
  <si>
    <t>0,9x</t>
  </si>
  <si>
    <t>1,5x</t>
  </si>
  <si>
    <t>1,0x</t>
  </si>
  <si>
    <t>1,9x</t>
  </si>
  <si>
    <t>2,3x</t>
  </si>
  <si>
    <t>3,1x</t>
  </si>
  <si>
    <t>0,8x</t>
  </si>
  <si>
    <t>3,4x</t>
  </si>
  <si>
    <t>2,0x</t>
  </si>
  <si>
    <t>0,3x</t>
  </si>
  <si>
    <t>0,4x</t>
  </si>
  <si>
    <t>0,7x</t>
  </si>
  <si>
    <t>1,7x</t>
  </si>
  <si>
    <t>0,5x</t>
  </si>
  <si>
    <t>1,8x</t>
  </si>
  <si>
    <t>2,5x</t>
  </si>
  <si>
    <t>4,4x</t>
  </si>
  <si>
    <t>5,9x</t>
  </si>
  <si>
    <t>8,3x</t>
  </si>
  <si>
    <t>7,3x</t>
  </si>
  <si>
    <t>5,1x</t>
  </si>
  <si>
    <t>3,8x</t>
  </si>
  <si>
    <t>5,8x</t>
  </si>
  <si>
    <t>6,1x</t>
  </si>
  <si>
    <t>Посівні площі основних сільськогосподарських культур, тис. га</t>
  </si>
  <si>
    <t>зернові та зернобобові культури</t>
  </si>
  <si>
    <t>цукрові буряки (фабричні)</t>
  </si>
  <si>
    <t>соняшник</t>
  </si>
  <si>
    <t>картопля</t>
  </si>
  <si>
    <t>овочі відкритого ґрунту</t>
  </si>
  <si>
    <t>кормові культури</t>
  </si>
  <si>
    <t> 477</t>
  </si>
  <si>
    <t>Виробництво основних сільськогосподарських культур, тис. т</t>
  </si>
  <si>
    <r>
      <t>зернові та зернобобові культури</t>
    </r>
    <r>
      <rPr>
        <vertAlign val="superscript"/>
        <sz val="10"/>
        <rFont val="Verdana"/>
        <family val="2"/>
        <charset val="204"/>
      </rPr>
      <t>1</t>
    </r>
  </si>
  <si>
    <r>
      <t>насіння соняшнику</t>
    </r>
    <r>
      <rPr>
        <vertAlign val="superscript"/>
        <sz val="10"/>
        <rFont val="Verdana"/>
        <family val="2"/>
        <charset val="204"/>
      </rPr>
      <t>1</t>
    </r>
  </si>
  <si>
    <t>овочі</t>
  </si>
  <si>
    <t>плоди та ягоди</t>
  </si>
  <si>
    <t>Урожайність основних сільськогосподарських культур, ц з 1 га площі збирання</t>
  </si>
  <si>
    <r>
      <t>плоди та ягоди</t>
    </r>
    <r>
      <rPr>
        <vertAlign val="superscript"/>
        <sz val="10"/>
        <rFont val="Verdana"/>
        <family val="2"/>
        <charset val="204"/>
      </rPr>
      <t>3</t>
    </r>
  </si>
  <si>
    <t>Net property plant &amp; equipment</t>
  </si>
  <si>
    <t>USD million except ratios</t>
  </si>
  <si>
    <t>average cost of debt</t>
  </si>
  <si>
    <t>Operational leverage</t>
  </si>
  <si>
    <t>Financial leverage</t>
  </si>
  <si>
    <t>EPE</t>
  </si>
  <si>
    <t>mean</t>
  </si>
  <si>
    <t>sd</t>
  </si>
  <si>
    <t>sd/mean</t>
  </si>
  <si>
    <t>Acrage</t>
  </si>
  <si>
    <t>Corn</t>
  </si>
  <si>
    <t>Wheat</t>
  </si>
  <si>
    <t>Sunflower</t>
  </si>
  <si>
    <t>Soybean</t>
  </si>
  <si>
    <t>FY2017</t>
  </si>
  <si>
    <t>Price, NB w/o VAT</t>
  </si>
  <si>
    <t>other</t>
  </si>
  <si>
    <t>Production</t>
  </si>
  <si>
    <t>EBITDA, $/t</t>
  </si>
  <si>
    <t>Crop yields, t/ha</t>
  </si>
  <si>
    <t>sales, mm t</t>
  </si>
  <si>
    <t>growth</t>
  </si>
  <si>
    <t>earnings</t>
  </si>
  <si>
    <t>retain</t>
  </si>
  <si>
    <t>2013-I</t>
  </si>
  <si>
    <t>2013-II</t>
  </si>
  <si>
    <t>2013-III</t>
  </si>
  <si>
    <t>2013-IV</t>
  </si>
  <si>
    <t>2014-I</t>
  </si>
  <si>
    <t>2014-II</t>
  </si>
  <si>
    <t>2014-III</t>
  </si>
  <si>
    <t>2014-IV</t>
  </si>
  <si>
    <t>2015-I</t>
  </si>
  <si>
    <t>2015-II</t>
  </si>
  <si>
    <t>2015-III</t>
  </si>
  <si>
    <t>2015-IV</t>
  </si>
  <si>
    <t>2016-I</t>
  </si>
  <si>
    <t>2016-II</t>
  </si>
  <si>
    <t>2016-III</t>
  </si>
  <si>
    <t>2016-IV</t>
  </si>
  <si>
    <t>2017-I</t>
  </si>
  <si>
    <t>2017-II</t>
  </si>
  <si>
    <t>2017-III</t>
  </si>
  <si>
    <t>2017-IV</t>
  </si>
  <si>
    <t>Value of grain export, mio</t>
  </si>
  <si>
    <t>ave price, $/t</t>
  </si>
  <si>
    <t>EBITDA margin, %</t>
  </si>
  <si>
    <t>EBITDA, mio</t>
  </si>
  <si>
    <t>marginal profit, $/t</t>
  </si>
  <si>
    <t>as a percentage of grain export</t>
  </si>
  <si>
    <t>Value of services, mio</t>
  </si>
  <si>
    <t>Rapeseed</t>
  </si>
  <si>
    <t>as a percentage of terminals throughput + oilseeds crushing</t>
  </si>
  <si>
    <t>Value of bulk oil sales, mio</t>
  </si>
  <si>
    <t>Value of bottled oil sales, mio</t>
  </si>
  <si>
    <t>SFSeeds crushing needed, mmt</t>
  </si>
  <si>
    <r>
      <rPr>
        <b/>
        <sz val="10"/>
        <rFont val="Arial Cyr"/>
        <charset val="204"/>
      </rPr>
      <t>Silo</t>
    </r>
    <r>
      <rPr>
        <sz val="10"/>
        <rFont val="Arial Cyr"/>
        <charset val="204"/>
      </rPr>
      <t xml:space="preserve"> services throughput, mmt</t>
    </r>
  </si>
  <si>
    <r>
      <rPr>
        <b/>
        <sz val="10"/>
        <rFont val="Arial Cyr"/>
        <charset val="204"/>
      </rPr>
      <t>Export terminal</t>
    </r>
    <r>
      <rPr>
        <sz val="10"/>
        <rFont val="Arial Cyr"/>
        <charset val="204"/>
      </rPr>
      <t xml:space="preserve"> throughput, mmt (excl Taman)</t>
    </r>
  </si>
  <si>
    <r>
      <rPr>
        <b/>
        <sz val="10"/>
        <rFont val="Arial Cyr"/>
        <charset val="204"/>
      </rPr>
      <t>Grain export</t>
    </r>
    <r>
      <rPr>
        <sz val="10"/>
        <rFont val="Arial Cyr"/>
        <charset val="204"/>
      </rPr>
      <t>, mmt</t>
    </r>
  </si>
  <si>
    <r>
      <rPr>
        <b/>
        <sz val="10"/>
        <rFont val="Arial Cyr"/>
        <charset val="204"/>
      </rPr>
      <t>Bottled oil</t>
    </r>
    <r>
      <rPr>
        <sz val="10"/>
        <rFont val="Arial Cyr"/>
        <charset val="204"/>
      </rPr>
      <t xml:space="preserve"> sales, mil liters</t>
    </r>
  </si>
  <si>
    <r>
      <rPr>
        <b/>
        <sz val="10"/>
        <rFont val="Arial Cyr"/>
        <charset val="204"/>
      </rPr>
      <t>Bulk oil</t>
    </r>
    <r>
      <rPr>
        <sz val="10"/>
        <rFont val="Arial Cyr"/>
        <charset val="204"/>
      </rPr>
      <t xml:space="preserve"> sales, mmt</t>
    </r>
  </si>
  <si>
    <t xml:space="preserve">as a percentage of </t>
  </si>
  <si>
    <t>SFO produced</t>
  </si>
  <si>
    <t>SFS crush, mmt</t>
  </si>
  <si>
    <t>Bottled oil produced, mmt</t>
  </si>
  <si>
    <t>Bulk oil produced, mmt</t>
  </si>
  <si>
    <r>
      <rPr>
        <b/>
        <sz val="10"/>
        <rFont val="Arial Cyr"/>
      </rPr>
      <t>Farming,</t>
    </r>
    <r>
      <rPr>
        <sz val="10"/>
        <rFont val="Arial Cyr"/>
        <charset val="204"/>
      </rPr>
      <t xml:space="preserve"> mmt</t>
    </r>
  </si>
  <si>
    <t>Reconciliation</t>
  </si>
  <si>
    <t>Other</t>
  </si>
  <si>
    <t>Discontinued</t>
  </si>
  <si>
    <t>Average commodity prices</t>
  </si>
  <si>
    <t>Wheat Chicago</t>
  </si>
  <si>
    <t>2018-I</t>
  </si>
  <si>
    <t>2018-II</t>
  </si>
  <si>
    <t>2018-III</t>
  </si>
  <si>
    <t>2018-IV</t>
  </si>
  <si>
    <t>name</t>
  </si>
  <si>
    <t>harvest of main crops</t>
  </si>
  <si>
    <t>total harvest</t>
  </si>
  <si>
    <t>TOTAL EBITDA</t>
  </si>
  <si>
    <t>hedge?</t>
  </si>
  <si>
    <t>Corn 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</si>
</sst>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0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i/>
      <sz val="8"/>
      <color indexed="54"/>
      <name val="Arial Cyr"/>
      <charset val="204"/>
    </font>
    <font>
      <sz val="10"/>
      <name val="Arial"/>
      <family val="2"/>
      <charset val="204"/>
    </font>
    <font>
      <b/>
      <sz val="11"/>
      <color indexed="54"/>
      <name val="Arial"/>
      <family val="2"/>
      <charset val="204"/>
    </font>
    <font>
      <sz val="8"/>
      <color indexed="54"/>
      <name val="Arial"/>
      <family val="2"/>
      <charset val="204"/>
    </font>
    <font>
      <i/>
      <sz val="8"/>
      <color indexed="54"/>
      <name val="Arial"/>
      <family val="2"/>
      <charset val="204"/>
    </font>
    <font>
      <b/>
      <sz val="8"/>
      <color indexed="54"/>
      <name val="Arial"/>
      <family val="2"/>
      <charset val="204"/>
    </font>
    <font>
      <sz val="10"/>
      <name val="Times New Roman"/>
      <family val="1"/>
      <charset val="204"/>
    </font>
    <font>
      <sz val="10"/>
      <name val="Verdana"/>
      <family val="2"/>
      <charset val="204"/>
    </font>
    <font>
      <vertAlign val="superscript"/>
      <sz val="10"/>
      <name val="Verdana"/>
      <family val="2"/>
      <charset val="204"/>
    </font>
    <font>
      <sz val="10"/>
      <color rgb="FFC00000"/>
      <name val="Arial Cyr"/>
      <charset val="204"/>
    </font>
    <font>
      <b/>
      <sz val="10"/>
      <name val="Arial Cyr"/>
    </font>
    <font>
      <i/>
      <sz val="8"/>
      <color theme="4" tint="-0.499984740745262"/>
      <name val="Arial Cyr"/>
    </font>
    <font>
      <b/>
      <sz val="16"/>
      <color theme="4" tint="-0.499984740745262"/>
      <name val="Arial Cyr"/>
    </font>
    <font>
      <b/>
      <sz val="16"/>
      <color theme="7" tint="-0.249977111117893"/>
      <name val="Arial Cyr"/>
    </font>
    <font>
      <b/>
      <sz val="16"/>
      <color rgb="FF7030A0"/>
      <name val="Arial Cyr"/>
    </font>
    <font>
      <b/>
      <sz val="16"/>
      <color theme="5" tint="-0.249977111117893"/>
      <name val="Arial Cyr"/>
    </font>
    <font>
      <b/>
      <sz val="10"/>
      <color theme="5" tint="-0.249977111117893"/>
      <name val="Arial Cyr"/>
    </font>
    <font>
      <b/>
      <sz val="10"/>
      <color rgb="FF7030A0"/>
      <name val="Arial Cyr"/>
    </font>
    <font>
      <b/>
      <sz val="16"/>
      <color theme="9" tint="-0.499984740745262"/>
      <name val="Arial Cyr"/>
    </font>
    <font>
      <sz val="10"/>
      <name val="Arial Cyr"/>
    </font>
    <font>
      <b/>
      <sz val="9"/>
      <color indexed="81"/>
      <name val="Tahoma"/>
      <family val="2"/>
      <charset val="204"/>
    </font>
    <font>
      <sz val="10"/>
      <color theme="2" tint="-0.499984740745262"/>
      <name val="Arial Cyr"/>
      <charset val="204"/>
    </font>
    <font>
      <b/>
      <i/>
      <sz val="10"/>
      <name val="Arial Cyr"/>
    </font>
    <font>
      <i/>
      <sz val="10"/>
      <name val="Arial Cyr"/>
    </font>
    <font>
      <b/>
      <i/>
      <sz val="10"/>
      <color theme="2" tint="-0.499984740745262"/>
      <name val="Arial Cyr"/>
    </font>
    <font>
      <b/>
      <i/>
      <sz val="10"/>
      <color rgb="FFC00000"/>
      <name val="Arial Cyr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0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2" xfId="0" applyBorder="1"/>
    <xf numFmtId="10" fontId="0" fillId="0" borderId="2" xfId="0" applyNumberFormat="1" applyBorder="1"/>
    <xf numFmtId="0" fontId="2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0" fillId="0" borderId="0" xfId="1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NumberFormat="1"/>
    <xf numFmtId="0" fontId="1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right" vertical="center" wrapText="1"/>
    </xf>
    <xf numFmtId="0" fontId="10" fillId="0" borderId="6" xfId="0" applyFont="1" applyBorder="1" applyAlignment="1">
      <alignment horizontal="right" vertical="center" wrapText="1"/>
    </xf>
    <xf numFmtId="0" fontId="8" fillId="0" borderId="0" xfId="0" applyFont="1" applyAlignment="1">
      <alignment horizontal="right"/>
    </xf>
    <xf numFmtId="0" fontId="13" fillId="0" borderId="0" xfId="0" applyFont="1"/>
    <xf numFmtId="9" fontId="13" fillId="0" borderId="0" xfId="1" applyFont="1"/>
    <xf numFmtId="9" fontId="0" fillId="0" borderId="0" xfId="1" applyFont="1"/>
    <xf numFmtId="2" fontId="0" fillId="0" borderId="0" xfId="0" applyNumberFormat="1"/>
    <xf numFmtId="0" fontId="14" fillId="0" borderId="0" xfId="0" applyFont="1"/>
    <xf numFmtId="0" fontId="14" fillId="0" borderId="0" xfId="0" applyFont="1" applyAlignment="1">
      <alignment horizontal="center"/>
    </xf>
    <xf numFmtId="49" fontId="14" fillId="0" borderId="0" xfId="0" applyNumberFormat="1" applyFont="1" applyAlignment="1">
      <alignment horizontal="center"/>
    </xf>
    <xf numFmtId="1" fontId="0" fillId="0" borderId="0" xfId="0" applyNumberFormat="1"/>
    <xf numFmtId="1" fontId="15" fillId="0" borderId="0" xfId="0" applyNumberFormat="1" applyFont="1"/>
    <xf numFmtId="9" fontId="15" fillId="0" borderId="0" xfId="1" applyFont="1"/>
    <xf numFmtId="165" fontId="0" fillId="0" borderId="1" xfId="0" applyNumberFormat="1" applyBorder="1"/>
    <xf numFmtId="0" fontId="4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65" fontId="21" fillId="0" borderId="0" xfId="0" applyNumberFormat="1" applyFont="1"/>
    <xf numFmtId="0" fontId="22" fillId="0" borderId="0" xfId="0" applyFont="1"/>
    <xf numFmtId="0" fontId="20" fillId="0" borderId="0" xfId="0" applyFont="1"/>
    <xf numFmtId="3" fontId="14" fillId="0" borderId="0" xfId="0" applyNumberFormat="1" applyFont="1" applyAlignment="1">
      <alignment horizontal="center"/>
    </xf>
    <xf numFmtId="164" fontId="14" fillId="0" borderId="0" xfId="1" applyNumberFormat="1" applyFont="1"/>
    <xf numFmtId="0" fontId="0" fillId="0" borderId="19" xfId="0" applyBorder="1"/>
    <xf numFmtId="2" fontId="0" fillId="0" borderId="19" xfId="0" applyNumberFormat="1" applyFill="1" applyBorder="1"/>
    <xf numFmtId="2" fontId="0" fillId="0" borderId="18" xfId="0" applyNumberFormat="1" applyFill="1" applyBorder="1"/>
    <xf numFmtId="2" fontId="0" fillId="3" borderId="18" xfId="0" applyNumberFormat="1" applyFill="1" applyBorder="1"/>
    <xf numFmtId="0" fontId="0" fillId="0" borderId="3" xfId="0" applyBorder="1"/>
    <xf numFmtId="0" fontId="0" fillId="5" borderId="3" xfId="0" applyFill="1" applyBorder="1"/>
    <xf numFmtId="0" fontId="0" fillId="3" borderId="3" xfId="0" applyFill="1" applyBorder="1"/>
    <xf numFmtId="0" fontId="0" fillId="3" borderId="21" xfId="0" applyFill="1" applyBorder="1"/>
    <xf numFmtId="0" fontId="0" fillId="6" borderId="22" xfId="0" applyFill="1" applyBorder="1"/>
    <xf numFmtId="0" fontId="0" fillId="6" borderId="3" xfId="0" applyFill="1" applyBorder="1"/>
    <xf numFmtId="0" fontId="0" fillId="7" borderId="22" xfId="0" applyFill="1" applyBorder="1"/>
    <xf numFmtId="0" fontId="0" fillId="7" borderId="3" xfId="0" applyFill="1" applyBorder="1"/>
    <xf numFmtId="0" fontId="0" fillId="10" borderId="3" xfId="0" applyFill="1" applyBorder="1"/>
    <xf numFmtId="0" fontId="0" fillId="8" borderId="3" xfId="0" applyFill="1" applyBorder="1"/>
    <xf numFmtId="0" fontId="0" fillId="0" borderId="23" xfId="0" applyBorder="1"/>
    <xf numFmtId="0" fontId="0" fillId="0" borderId="24" xfId="0" applyBorder="1"/>
    <xf numFmtId="0" fontId="0" fillId="3" borderId="23" xfId="0" applyFill="1" applyBorder="1"/>
    <xf numFmtId="0" fontId="0" fillId="3" borderId="25" xfId="0" applyFill="1" applyBorder="1"/>
    <xf numFmtId="0" fontId="23" fillId="11" borderId="24" xfId="0" applyFont="1" applyFill="1" applyBorder="1"/>
    <xf numFmtId="0" fontId="0" fillId="11" borderId="3" xfId="0" applyFill="1" applyBorder="1"/>
    <xf numFmtId="0" fontId="0" fillId="9" borderId="24" xfId="0" applyFill="1" applyBorder="1"/>
    <xf numFmtId="0" fontId="0" fillId="4" borderId="21" xfId="0" applyFill="1" applyBorder="1"/>
    <xf numFmtId="0" fontId="0" fillId="0" borderId="5" xfId="0" applyBorder="1"/>
    <xf numFmtId="2" fontId="0" fillId="0" borderId="30" xfId="0" applyNumberFormat="1" applyFill="1" applyBorder="1"/>
    <xf numFmtId="2" fontId="0" fillId="0" borderId="29" xfId="0" applyNumberFormat="1" applyFill="1" applyBorder="1"/>
    <xf numFmtId="2" fontId="0" fillId="3" borderId="29" xfId="0" applyNumberFormat="1" applyFill="1" applyBorder="1"/>
    <xf numFmtId="0" fontId="0" fillId="0" borderId="33" xfId="0" applyBorder="1"/>
    <xf numFmtId="0" fontId="0" fillId="0" borderId="34" xfId="0" applyBorder="1"/>
    <xf numFmtId="2" fontId="0" fillId="0" borderId="33" xfId="0" applyNumberFormat="1" applyFill="1" applyBorder="1"/>
    <xf numFmtId="2" fontId="0" fillId="0" borderId="34" xfId="0" applyNumberFormat="1" applyFill="1" applyBorder="1"/>
    <xf numFmtId="2" fontId="0" fillId="0" borderId="41" xfId="0" applyNumberFormat="1" applyFill="1" applyBorder="1"/>
    <xf numFmtId="2" fontId="0" fillId="0" borderId="42" xfId="0" applyNumberFormat="1" applyFill="1" applyBorder="1"/>
    <xf numFmtId="2" fontId="0" fillId="3" borderId="41" xfId="0" applyNumberFormat="1" applyFill="1" applyBorder="1"/>
    <xf numFmtId="2" fontId="0" fillId="3" borderId="42" xfId="0" applyNumberFormat="1" applyFill="1" applyBorder="1"/>
    <xf numFmtId="2" fontId="0" fillId="0" borderId="24" xfId="0" applyNumberFormat="1" applyFill="1" applyBorder="1"/>
    <xf numFmtId="2" fontId="0" fillId="0" borderId="23" xfId="0" applyNumberFormat="1" applyFill="1" applyBorder="1"/>
    <xf numFmtId="2" fontId="0" fillId="3" borderId="23" xfId="0" applyNumberFormat="1" applyFill="1" applyBorder="1"/>
    <xf numFmtId="1" fontId="14" fillId="0" borderId="0" xfId="0" applyNumberFormat="1" applyFont="1"/>
    <xf numFmtId="1" fontId="14" fillId="12" borderId="0" xfId="0" applyNumberFormat="1" applyFont="1" applyFill="1"/>
    <xf numFmtId="0" fontId="0" fillId="5" borderId="22" xfId="0" applyFill="1" applyBorder="1"/>
    <xf numFmtId="0" fontId="0" fillId="0" borderId="47" xfId="0" applyFill="1" applyBorder="1"/>
    <xf numFmtId="0" fontId="26" fillId="0" borderId="19" xfId="0" applyFont="1" applyBorder="1"/>
    <xf numFmtId="0" fontId="26" fillId="0" borderId="34" xfId="0" applyFont="1" applyBorder="1"/>
    <xf numFmtId="0" fontId="26" fillId="0" borderId="33" xfId="0" applyFont="1" applyBorder="1"/>
    <xf numFmtId="2" fontId="26" fillId="0" borderId="19" xfId="0" applyNumberFormat="1" applyFont="1" applyBorder="1"/>
    <xf numFmtId="2" fontId="26" fillId="0" borderId="34" xfId="0" applyNumberFormat="1" applyFont="1" applyBorder="1"/>
    <xf numFmtId="2" fontId="26" fillId="0" borderId="18" xfId="0" applyNumberFormat="1" applyFont="1" applyBorder="1"/>
    <xf numFmtId="2" fontId="26" fillId="0" borderId="42" xfId="0" applyNumberFormat="1" applyFont="1" applyBorder="1"/>
    <xf numFmtId="2" fontId="0" fillId="10" borderId="35" xfId="0" applyNumberFormat="1" applyFill="1" applyBorder="1"/>
    <xf numFmtId="2" fontId="0" fillId="10" borderId="1" xfId="0" applyNumberFormat="1" applyFill="1" applyBorder="1"/>
    <xf numFmtId="2" fontId="0" fillId="10" borderId="36" xfId="0" applyNumberFormat="1" applyFill="1" applyBorder="1"/>
    <xf numFmtId="2" fontId="0" fillId="10" borderId="5" xfId="0" applyNumberFormat="1" applyFill="1" applyBorder="1"/>
    <xf numFmtId="2" fontId="0" fillId="10" borderId="3" xfId="0" applyNumberFormat="1" applyFill="1" applyBorder="1"/>
    <xf numFmtId="2" fontId="0" fillId="8" borderId="39" xfId="0" applyNumberFormat="1" applyFill="1" applyBorder="1"/>
    <xf numFmtId="2" fontId="0" fillId="8" borderId="16" xfId="0" applyNumberFormat="1" applyFill="1" applyBorder="1"/>
    <xf numFmtId="2" fontId="0" fillId="8" borderId="36" xfId="0" applyNumberFormat="1" applyFill="1" applyBorder="1"/>
    <xf numFmtId="2" fontId="0" fillId="8" borderId="28" xfId="0" applyNumberFormat="1" applyFill="1" applyBorder="1"/>
    <xf numFmtId="2" fontId="0" fillId="8" borderId="3" xfId="0" applyNumberFormat="1" applyFill="1" applyBorder="1"/>
    <xf numFmtId="2" fontId="0" fillId="3" borderId="43" xfId="0" applyNumberFormat="1" applyFill="1" applyBorder="1"/>
    <xf numFmtId="2" fontId="0" fillId="3" borderId="17" xfId="0" applyNumberFormat="1" applyFill="1" applyBorder="1"/>
    <xf numFmtId="2" fontId="0" fillId="3" borderId="44" xfId="0" applyNumberFormat="1" applyFill="1" applyBorder="1"/>
    <xf numFmtId="2" fontId="0" fillId="3" borderId="31" xfId="0" applyNumberFormat="1" applyFill="1" applyBorder="1"/>
    <xf numFmtId="2" fontId="0" fillId="3" borderId="25" xfId="0" applyNumberFormat="1" applyFill="1" applyBorder="1"/>
    <xf numFmtId="2" fontId="0" fillId="0" borderId="43" xfId="0" applyNumberFormat="1" applyFill="1" applyBorder="1"/>
    <xf numFmtId="2" fontId="0" fillId="0" borderId="17" xfId="0" applyNumberFormat="1" applyFill="1" applyBorder="1"/>
    <xf numFmtId="2" fontId="0" fillId="0" borderId="44" xfId="0" applyNumberFormat="1" applyFill="1" applyBorder="1"/>
    <xf numFmtId="2" fontId="0" fillId="0" borderId="31" xfId="0" applyNumberFormat="1" applyFill="1" applyBorder="1"/>
    <xf numFmtId="2" fontId="0" fillId="0" borderId="25" xfId="0" applyNumberFormat="1" applyFill="1" applyBorder="1"/>
    <xf numFmtId="2" fontId="26" fillId="0" borderId="17" xfId="0" applyNumberFormat="1" applyFont="1" applyFill="1" applyBorder="1"/>
    <xf numFmtId="2" fontId="26" fillId="0" borderId="44" xfId="0" applyNumberFormat="1" applyFont="1" applyFill="1" applyBorder="1"/>
    <xf numFmtId="2" fontId="0" fillId="5" borderId="39" xfId="0" applyNumberFormat="1" applyFill="1" applyBorder="1"/>
    <xf numFmtId="2" fontId="0" fillId="5" borderId="16" xfId="0" applyNumberFormat="1" applyFill="1" applyBorder="1"/>
    <xf numFmtId="2" fontId="0" fillId="5" borderId="40" xfId="0" applyNumberFormat="1" applyFill="1" applyBorder="1"/>
    <xf numFmtId="2" fontId="0" fillId="5" borderId="28" xfId="0" applyNumberFormat="1" applyFill="1" applyBorder="1"/>
    <xf numFmtId="2" fontId="0" fillId="5" borderId="22" xfId="0" applyNumberFormat="1" applyFill="1" applyBorder="1"/>
    <xf numFmtId="2" fontId="0" fillId="6" borderId="39" xfId="0" applyNumberFormat="1" applyFill="1" applyBorder="1"/>
    <xf numFmtId="2" fontId="0" fillId="6" borderId="16" xfId="0" applyNumberFormat="1" applyFill="1" applyBorder="1"/>
    <xf numFmtId="2" fontId="0" fillId="6" borderId="36" xfId="0" applyNumberFormat="1" applyFill="1" applyBorder="1"/>
    <xf numFmtId="2" fontId="0" fillId="6" borderId="28" xfId="0" applyNumberFormat="1" applyFill="1" applyBorder="1"/>
    <xf numFmtId="2" fontId="0" fillId="6" borderId="3" xfId="0" applyNumberFormat="1" applyFill="1" applyBorder="1"/>
    <xf numFmtId="2" fontId="0" fillId="7" borderId="39" xfId="0" applyNumberFormat="1" applyFill="1" applyBorder="1"/>
    <xf numFmtId="2" fontId="0" fillId="7" borderId="16" xfId="0" applyNumberFormat="1" applyFill="1" applyBorder="1"/>
    <xf numFmtId="2" fontId="0" fillId="7" borderId="40" xfId="0" applyNumberFormat="1" applyFill="1" applyBorder="1"/>
    <xf numFmtId="2" fontId="0" fillId="7" borderId="28" xfId="0" applyNumberFormat="1" applyFill="1" applyBorder="1"/>
    <xf numFmtId="2" fontId="0" fillId="7" borderId="22" xfId="0" applyNumberFormat="1" applyFill="1" applyBorder="1"/>
    <xf numFmtId="2" fontId="0" fillId="11" borderId="33" xfId="0" applyNumberFormat="1" applyFill="1" applyBorder="1"/>
    <xf numFmtId="2" fontId="0" fillId="11" borderId="19" xfId="0" applyNumberFormat="1" applyFill="1" applyBorder="1"/>
    <xf numFmtId="2" fontId="0" fillId="11" borderId="34" xfId="0" applyNumberFormat="1" applyFill="1" applyBorder="1"/>
    <xf numFmtId="2" fontId="0" fillId="11" borderId="30" xfId="0" applyNumberFormat="1" applyFill="1" applyBorder="1"/>
    <xf numFmtId="2" fontId="0" fillId="11" borderId="24" xfId="0" applyNumberFormat="1" applyFill="1" applyBorder="1"/>
    <xf numFmtId="2" fontId="0" fillId="9" borderId="33" xfId="0" applyNumberFormat="1" applyFill="1" applyBorder="1"/>
    <xf numFmtId="2" fontId="0" fillId="9" borderId="19" xfId="0" applyNumberFormat="1" applyFill="1" applyBorder="1"/>
    <xf numFmtId="2" fontId="0" fillId="9" borderId="34" xfId="0" applyNumberFormat="1" applyFill="1" applyBorder="1"/>
    <xf numFmtId="2" fontId="0" fillId="9" borderId="30" xfId="0" applyNumberFormat="1" applyFill="1" applyBorder="1"/>
    <xf numFmtId="2" fontId="0" fillId="9" borderId="24" xfId="0" applyNumberFormat="1" applyFill="1" applyBorder="1"/>
    <xf numFmtId="2" fontId="26" fillId="9" borderId="19" xfId="0" applyNumberFormat="1" applyFont="1" applyFill="1" applyBorder="1"/>
    <xf numFmtId="2" fontId="26" fillId="9" borderId="34" xfId="0" applyNumberFormat="1" applyFont="1" applyFill="1" applyBorder="1"/>
    <xf numFmtId="2" fontId="0" fillId="4" borderId="37" xfId="0" applyNumberFormat="1" applyFill="1" applyBorder="1"/>
    <xf numFmtId="2" fontId="0" fillId="4" borderId="15" xfId="0" applyNumberFormat="1" applyFill="1" applyBorder="1"/>
    <xf numFmtId="2" fontId="0" fillId="4" borderId="38" xfId="0" applyNumberFormat="1" applyFill="1" applyBorder="1"/>
    <xf numFmtId="2" fontId="0" fillId="4" borderId="27" xfId="0" applyNumberFormat="1" applyFill="1" applyBorder="1"/>
    <xf numFmtId="2" fontId="0" fillId="4" borderId="21" xfId="0" applyNumberFormat="1" applyFill="1" applyBorder="1"/>
    <xf numFmtId="2" fontId="26" fillId="4" borderId="15" xfId="0" applyNumberFormat="1" applyFont="1" applyFill="1" applyBorder="1"/>
    <xf numFmtId="2" fontId="26" fillId="4" borderId="38" xfId="0" applyNumberFormat="1" applyFont="1" applyFill="1" applyBorder="1"/>
    <xf numFmtId="1" fontId="0" fillId="3" borderId="35" xfId="0" applyNumberFormat="1" applyFill="1" applyBorder="1"/>
    <xf numFmtId="1" fontId="0" fillId="3" borderId="1" xfId="0" applyNumberFormat="1" applyFill="1" applyBorder="1"/>
    <xf numFmtId="1" fontId="0" fillId="3" borderId="36" xfId="0" applyNumberFormat="1" applyFill="1" applyBorder="1"/>
    <xf numFmtId="1" fontId="0" fillId="3" borderId="5" xfId="0" applyNumberFormat="1" applyFill="1" applyBorder="1"/>
    <xf numFmtId="1" fontId="0" fillId="3" borderId="3" xfId="0" applyNumberFormat="1" applyFill="1" applyBorder="1"/>
    <xf numFmtId="1" fontId="0" fillId="3" borderId="37" xfId="0" applyNumberFormat="1" applyFill="1" applyBorder="1"/>
    <xf numFmtId="1" fontId="0" fillId="3" borderId="15" xfId="0" applyNumberFormat="1" applyFill="1" applyBorder="1"/>
    <xf numFmtId="1" fontId="0" fillId="3" borderId="38" xfId="0" applyNumberFormat="1" applyFill="1" applyBorder="1"/>
    <xf numFmtId="1" fontId="0" fillId="3" borderId="27" xfId="0" applyNumberFormat="1" applyFill="1" applyBorder="1"/>
    <xf numFmtId="1" fontId="0" fillId="3" borderId="21" xfId="0" applyNumberFormat="1" applyFill="1" applyBorder="1"/>
    <xf numFmtId="9" fontId="0" fillId="3" borderId="1" xfId="1" applyFont="1" applyFill="1" applyBorder="1"/>
    <xf numFmtId="9" fontId="0" fillId="3" borderId="36" xfId="1" applyFont="1" applyFill="1" applyBorder="1"/>
    <xf numFmtId="9" fontId="0" fillId="3" borderId="5" xfId="1" applyFont="1" applyFill="1" applyBorder="1"/>
    <xf numFmtId="9" fontId="0" fillId="3" borderId="3" xfId="1" applyFont="1" applyFill="1" applyBorder="1"/>
    <xf numFmtId="9" fontId="0" fillId="3" borderId="35" xfId="1" applyFont="1" applyFill="1" applyBorder="1"/>
    <xf numFmtId="1" fontId="0" fillId="10" borderId="1" xfId="0" applyNumberFormat="1" applyFill="1" applyBorder="1"/>
    <xf numFmtId="1" fontId="0" fillId="10" borderId="36" xfId="0" applyNumberFormat="1" applyFill="1" applyBorder="1"/>
    <xf numFmtId="1" fontId="0" fillId="10" borderId="5" xfId="0" applyNumberFormat="1" applyFill="1" applyBorder="1"/>
    <xf numFmtId="1" fontId="0" fillId="10" borderId="3" xfId="0" applyNumberFormat="1" applyFill="1" applyBorder="1"/>
    <xf numFmtId="1" fontId="0" fillId="10" borderId="35" xfId="0" applyNumberFormat="1" applyFill="1" applyBorder="1"/>
    <xf numFmtId="1" fontId="0" fillId="8" borderId="1" xfId="0" applyNumberFormat="1" applyFill="1" applyBorder="1"/>
    <xf numFmtId="1" fontId="0" fillId="8" borderId="36" xfId="0" applyNumberFormat="1" applyFill="1" applyBorder="1"/>
    <xf numFmtId="1" fontId="0" fillId="8" borderId="5" xfId="0" applyNumberFormat="1" applyFill="1" applyBorder="1"/>
    <xf numFmtId="1" fontId="0" fillId="8" borderId="3" xfId="0" applyNumberFormat="1" applyFill="1" applyBorder="1"/>
    <xf numFmtId="1" fontId="0" fillId="8" borderId="35" xfId="0" applyNumberFormat="1" applyFill="1" applyBorder="1"/>
    <xf numFmtId="1" fontId="0" fillId="5" borderId="1" xfId="0" applyNumberFormat="1" applyFill="1" applyBorder="1"/>
    <xf numFmtId="1" fontId="0" fillId="5" borderId="36" xfId="0" applyNumberFormat="1" applyFill="1" applyBorder="1"/>
    <xf numFmtId="1" fontId="0" fillId="5" borderId="5" xfId="0" applyNumberFormat="1" applyFill="1" applyBorder="1"/>
    <xf numFmtId="1" fontId="0" fillId="5" borderId="3" xfId="0" applyNumberFormat="1" applyFill="1" applyBorder="1"/>
    <xf numFmtId="1" fontId="0" fillId="5" borderId="35" xfId="0" applyNumberFormat="1" applyFill="1" applyBorder="1"/>
    <xf numFmtId="1" fontId="0" fillId="6" borderId="1" xfId="0" applyNumberFormat="1" applyFill="1" applyBorder="1"/>
    <xf numFmtId="1" fontId="0" fillId="6" borderId="36" xfId="0" applyNumberFormat="1" applyFill="1" applyBorder="1"/>
    <xf numFmtId="1" fontId="0" fillId="6" borderId="5" xfId="0" applyNumberFormat="1" applyFill="1" applyBorder="1"/>
    <xf numFmtId="1" fontId="0" fillId="6" borderId="3" xfId="0" applyNumberFormat="1" applyFill="1" applyBorder="1"/>
    <xf numFmtId="1" fontId="0" fillId="6" borderId="35" xfId="0" applyNumberFormat="1" applyFill="1" applyBorder="1"/>
    <xf numFmtId="1" fontId="0" fillId="7" borderId="1" xfId="0" applyNumberFormat="1" applyFill="1" applyBorder="1"/>
    <xf numFmtId="1" fontId="0" fillId="7" borderId="36" xfId="0" applyNumberFormat="1" applyFill="1" applyBorder="1"/>
    <xf numFmtId="1" fontId="0" fillId="7" borderId="5" xfId="0" applyNumberFormat="1" applyFill="1" applyBorder="1"/>
    <xf numFmtId="1" fontId="0" fillId="7" borderId="3" xfId="0" applyNumberFormat="1" applyFill="1" applyBorder="1"/>
    <xf numFmtId="1" fontId="0" fillId="7" borderId="35" xfId="0" applyNumberFormat="1" applyFill="1" applyBorder="1"/>
    <xf numFmtId="1" fontId="0" fillId="11" borderId="1" xfId="0" applyNumberFormat="1" applyFill="1" applyBorder="1"/>
    <xf numFmtId="1" fontId="0" fillId="11" borderId="36" xfId="0" applyNumberFormat="1" applyFill="1" applyBorder="1"/>
    <xf numFmtId="1" fontId="0" fillId="11" borderId="5" xfId="0" applyNumberFormat="1" applyFill="1" applyBorder="1"/>
    <xf numFmtId="1" fontId="0" fillId="11" borderId="3" xfId="0" applyNumberFormat="1" applyFill="1" applyBorder="1"/>
    <xf numFmtId="1" fontId="0" fillId="11" borderId="35" xfId="0" applyNumberFormat="1" applyFill="1" applyBorder="1"/>
    <xf numFmtId="2" fontId="26" fillId="13" borderId="1" xfId="0" applyNumberFormat="1" applyFont="1" applyFill="1" applyBorder="1"/>
    <xf numFmtId="2" fontId="26" fillId="13" borderId="36" xfId="0" applyNumberFormat="1" applyFont="1" applyFill="1" applyBorder="1"/>
    <xf numFmtId="2" fontId="0" fillId="13" borderId="35" xfId="0" applyNumberFormat="1" applyFill="1" applyBorder="1"/>
    <xf numFmtId="2" fontId="0" fillId="13" borderId="1" xfId="0" applyNumberFormat="1" applyFill="1" applyBorder="1"/>
    <xf numFmtId="1" fontId="26" fillId="13" borderId="1" xfId="0" applyNumberFormat="1" applyFont="1" applyFill="1" applyBorder="1"/>
    <xf numFmtId="1" fontId="26" fillId="13" borderId="36" xfId="0" applyNumberFormat="1" applyFont="1" applyFill="1" applyBorder="1"/>
    <xf numFmtId="1" fontId="0" fillId="13" borderId="35" xfId="0" applyNumberFormat="1" applyFill="1" applyBorder="1"/>
    <xf numFmtId="1" fontId="0" fillId="13" borderId="1" xfId="0" applyNumberFormat="1" applyFill="1" applyBorder="1"/>
    <xf numFmtId="2" fontId="26" fillId="14" borderId="16" xfId="0" applyNumberFormat="1" applyFont="1" applyFill="1" applyBorder="1"/>
    <xf numFmtId="2" fontId="26" fillId="14" borderId="40" xfId="0" applyNumberFormat="1" applyFont="1" applyFill="1" applyBorder="1"/>
    <xf numFmtId="2" fontId="0" fillId="14" borderId="39" xfId="0" applyNumberFormat="1" applyFill="1" applyBorder="1"/>
    <xf numFmtId="2" fontId="0" fillId="14" borderId="16" xfId="0" applyNumberFormat="1" applyFill="1" applyBorder="1"/>
    <xf numFmtId="1" fontId="26" fillId="14" borderId="1" xfId="0" applyNumberFormat="1" applyFont="1" applyFill="1" applyBorder="1"/>
    <xf numFmtId="1" fontId="26" fillId="14" borderId="36" xfId="0" applyNumberFormat="1" applyFont="1" applyFill="1" applyBorder="1"/>
    <xf numFmtId="1" fontId="0" fillId="14" borderId="35" xfId="0" applyNumberFormat="1" applyFill="1" applyBorder="1"/>
    <xf numFmtId="1" fontId="0" fillId="14" borderId="1" xfId="0" applyNumberFormat="1" applyFill="1" applyBorder="1"/>
    <xf numFmtId="2" fontId="26" fillId="15" borderId="16" xfId="0" applyNumberFormat="1" applyFont="1" applyFill="1" applyBorder="1"/>
    <xf numFmtId="2" fontId="26" fillId="15" borderId="40" xfId="0" applyNumberFormat="1" applyFont="1" applyFill="1" applyBorder="1"/>
    <xf numFmtId="2" fontId="0" fillId="15" borderId="39" xfId="0" applyNumberFormat="1" applyFill="1" applyBorder="1"/>
    <xf numFmtId="2" fontId="0" fillId="15" borderId="16" xfId="0" applyNumberFormat="1" applyFill="1" applyBorder="1"/>
    <xf numFmtId="1" fontId="26" fillId="15" borderId="1" xfId="0" applyNumberFormat="1" applyFont="1" applyFill="1" applyBorder="1"/>
    <xf numFmtId="1" fontId="26" fillId="15" borderId="36" xfId="0" applyNumberFormat="1" applyFont="1" applyFill="1" applyBorder="1"/>
    <xf numFmtId="1" fontId="0" fillId="15" borderId="35" xfId="0" applyNumberFormat="1" applyFill="1" applyBorder="1"/>
    <xf numFmtId="1" fontId="0" fillId="15" borderId="1" xfId="0" applyNumberFormat="1" applyFill="1" applyBorder="1"/>
    <xf numFmtId="2" fontId="26" fillId="12" borderId="16" xfId="0" applyNumberFormat="1" applyFont="1" applyFill="1" applyBorder="1"/>
    <xf numFmtId="2" fontId="26" fillId="12" borderId="40" xfId="0" applyNumberFormat="1" applyFont="1" applyFill="1" applyBorder="1"/>
    <xf numFmtId="2" fontId="0" fillId="12" borderId="39" xfId="0" applyNumberFormat="1" applyFill="1" applyBorder="1"/>
    <xf numFmtId="2" fontId="0" fillId="12" borderId="16" xfId="0" applyNumberFormat="1" applyFill="1" applyBorder="1"/>
    <xf numFmtId="1" fontId="26" fillId="12" borderId="1" xfId="0" applyNumberFormat="1" applyFont="1" applyFill="1" applyBorder="1"/>
    <xf numFmtId="1" fontId="26" fillId="12" borderId="36" xfId="0" applyNumberFormat="1" applyFont="1" applyFill="1" applyBorder="1"/>
    <xf numFmtId="1" fontId="0" fillId="12" borderId="35" xfId="0" applyNumberFormat="1" applyFill="1" applyBorder="1"/>
    <xf numFmtId="1" fontId="0" fillId="12" borderId="1" xfId="0" applyNumberFormat="1" applyFill="1" applyBorder="1"/>
    <xf numFmtId="2" fontId="26" fillId="16" borderId="16" xfId="0" applyNumberFormat="1" applyFont="1" applyFill="1" applyBorder="1"/>
    <xf numFmtId="2" fontId="26" fillId="16" borderId="40" xfId="0" applyNumberFormat="1" applyFont="1" applyFill="1" applyBorder="1"/>
    <xf numFmtId="2" fontId="0" fillId="16" borderId="39" xfId="0" applyNumberFormat="1" applyFill="1" applyBorder="1"/>
    <xf numFmtId="2" fontId="0" fillId="16" borderId="16" xfId="0" applyNumberFormat="1" applyFill="1" applyBorder="1"/>
    <xf numFmtId="1" fontId="26" fillId="16" borderId="1" xfId="0" applyNumberFormat="1" applyFont="1" applyFill="1" applyBorder="1"/>
    <xf numFmtId="1" fontId="26" fillId="16" borderId="36" xfId="0" applyNumberFormat="1" applyFont="1" applyFill="1" applyBorder="1"/>
    <xf numFmtId="1" fontId="0" fillId="16" borderId="35" xfId="0" applyNumberFormat="1" applyFill="1" applyBorder="1"/>
    <xf numFmtId="1" fontId="0" fillId="16" borderId="1" xfId="0" applyNumberFormat="1" applyFill="1" applyBorder="1"/>
    <xf numFmtId="2" fontId="26" fillId="17" borderId="19" xfId="0" applyNumberFormat="1" applyFont="1" applyFill="1" applyBorder="1"/>
    <xf numFmtId="2" fontId="26" fillId="17" borderId="34" xfId="0" applyNumberFormat="1" applyFont="1" applyFill="1" applyBorder="1"/>
    <xf numFmtId="2" fontId="0" fillId="17" borderId="33" xfId="0" applyNumberFormat="1" applyFill="1" applyBorder="1"/>
    <xf numFmtId="2" fontId="0" fillId="17" borderId="19" xfId="0" applyNumberFormat="1" applyFill="1" applyBorder="1"/>
    <xf numFmtId="1" fontId="26" fillId="17" borderId="1" xfId="0" applyNumberFormat="1" applyFont="1" applyFill="1" applyBorder="1"/>
    <xf numFmtId="1" fontId="26" fillId="17" borderId="36" xfId="0" applyNumberFormat="1" applyFont="1" applyFill="1" applyBorder="1"/>
    <xf numFmtId="1" fontId="0" fillId="17" borderId="35" xfId="0" applyNumberFormat="1" applyFill="1" applyBorder="1"/>
    <xf numFmtId="1" fontId="0" fillId="17" borderId="1" xfId="0" applyNumberFormat="1" applyFill="1" applyBorder="1"/>
    <xf numFmtId="1" fontId="27" fillId="3" borderId="1" xfId="0" applyNumberFormat="1" applyFont="1" applyFill="1" applyBorder="1"/>
    <xf numFmtId="1" fontId="27" fillId="3" borderId="36" xfId="0" applyNumberFormat="1" applyFont="1" applyFill="1" applyBorder="1"/>
    <xf numFmtId="1" fontId="23" fillId="3" borderId="35" xfId="0" applyNumberFormat="1" applyFont="1" applyFill="1" applyBorder="1"/>
    <xf numFmtId="1" fontId="23" fillId="3" borderId="1" xfId="0" applyNumberFormat="1" applyFont="1" applyFill="1" applyBorder="1"/>
    <xf numFmtId="9" fontId="27" fillId="3" borderId="1" xfId="1" applyFont="1" applyFill="1" applyBorder="1"/>
    <xf numFmtId="9" fontId="27" fillId="3" borderId="36" xfId="1" applyFont="1" applyFill="1" applyBorder="1"/>
    <xf numFmtId="9" fontId="23" fillId="3" borderId="35" xfId="1" applyFont="1" applyFill="1" applyBorder="1"/>
    <xf numFmtId="9" fontId="23" fillId="3" borderId="1" xfId="1" applyFont="1" applyFill="1" applyBorder="1"/>
    <xf numFmtId="1" fontId="27" fillId="3" borderId="15" xfId="0" applyNumberFormat="1" applyFont="1" applyFill="1" applyBorder="1"/>
    <xf numFmtId="1" fontId="27" fillId="3" borderId="38" xfId="0" applyNumberFormat="1" applyFont="1" applyFill="1" applyBorder="1"/>
    <xf numFmtId="1" fontId="23" fillId="3" borderId="37" xfId="0" applyNumberFormat="1" applyFont="1" applyFill="1" applyBorder="1"/>
    <xf numFmtId="1" fontId="23" fillId="3" borderId="15" xfId="0" applyNumberFormat="1" applyFont="1" applyFill="1" applyBorder="1"/>
    <xf numFmtId="2" fontId="27" fillId="3" borderId="18" xfId="0" applyNumberFormat="1" applyFont="1" applyFill="1" applyBorder="1"/>
    <xf numFmtId="2" fontId="27" fillId="3" borderId="42" xfId="0" applyNumberFormat="1" applyFont="1" applyFill="1" applyBorder="1"/>
    <xf numFmtId="2" fontId="23" fillId="3" borderId="41" xfId="0" applyNumberFormat="1" applyFont="1" applyFill="1" applyBorder="1"/>
    <xf numFmtId="2" fontId="23" fillId="3" borderId="18" xfId="0" applyNumberFormat="1" applyFont="1" applyFill="1" applyBorder="1"/>
    <xf numFmtId="2" fontId="27" fillId="3" borderId="17" xfId="0" applyNumberFormat="1" applyFont="1" applyFill="1" applyBorder="1"/>
    <xf numFmtId="2" fontId="27" fillId="3" borderId="44" xfId="0" applyNumberFormat="1" applyFont="1" applyFill="1" applyBorder="1"/>
    <xf numFmtId="2" fontId="23" fillId="3" borderId="43" xfId="0" applyNumberFormat="1" applyFont="1" applyFill="1" applyBorder="1"/>
    <xf numFmtId="2" fontId="23" fillId="3" borderId="17" xfId="0" applyNumberFormat="1" applyFont="1" applyFill="1" applyBorder="1"/>
    <xf numFmtId="1" fontId="26" fillId="0" borderId="0" xfId="0" applyNumberFormat="1" applyFont="1"/>
    <xf numFmtId="0" fontId="25" fillId="4" borderId="3" xfId="0" applyFont="1" applyFill="1" applyBorder="1"/>
    <xf numFmtId="2" fontId="25" fillId="4" borderId="35" xfId="0" applyNumberFormat="1" applyFont="1" applyFill="1" applyBorder="1"/>
    <xf numFmtId="2" fontId="25" fillId="4" borderId="1" xfId="0" applyNumberFormat="1" applyFont="1" applyFill="1" applyBorder="1"/>
    <xf numFmtId="2" fontId="25" fillId="4" borderId="36" xfId="0" applyNumberFormat="1" applyFont="1" applyFill="1" applyBorder="1"/>
    <xf numFmtId="2" fontId="25" fillId="4" borderId="5" xfId="0" applyNumberFormat="1" applyFont="1" applyFill="1" applyBorder="1"/>
    <xf numFmtId="2" fontId="25" fillId="4" borderId="3" xfId="0" applyNumberFormat="1" applyFont="1" applyFill="1" applyBorder="1"/>
    <xf numFmtId="2" fontId="28" fillId="4" borderId="1" xfId="0" applyNumberFormat="1" applyFont="1" applyFill="1" applyBorder="1"/>
    <xf numFmtId="2" fontId="28" fillId="4" borderId="36" xfId="0" applyNumberFormat="1" applyFont="1" applyFill="1" applyBorder="1"/>
    <xf numFmtId="0" fontId="13" fillId="4" borderId="26" xfId="0" applyFont="1" applyFill="1" applyBorder="1"/>
    <xf numFmtId="2" fontId="13" fillId="4" borderId="45" xfId="0" applyNumberFormat="1" applyFont="1" applyFill="1" applyBorder="1"/>
    <xf numFmtId="2" fontId="13" fillId="4" borderId="20" xfId="0" applyNumberFormat="1" applyFont="1" applyFill="1" applyBorder="1"/>
    <xf numFmtId="2" fontId="13" fillId="4" borderId="46" xfId="0" applyNumberFormat="1" applyFont="1" applyFill="1" applyBorder="1"/>
    <xf numFmtId="2" fontId="13" fillId="4" borderId="32" xfId="0" applyNumberFormat="1" applyFont="1" applyFill="1" applyBorder="1"/>
    <xf numFmtId="2" fontId="13" fillId="4" borderId="26" xfId="0" applyNumberFormat="1" applyFont="1" applyFill="1" applyBorder="1"/>
    <xf numFmtId="2" fontId="29" fillId="4" borderId="20" xfId="0" applyNumberFormat="1" applyFont="1" applyFill="1" applyBorder="1"/>
    <xf numFmtId="2" fontId="29" fillId="4" borderId="46" xfId="0" applyNumberFormat="1" applyFont="1" applyFill="1" applyBorder="1"/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000" b="1" i="0">
                <a:solidFill>
                  <a:srgbClr val="002060"/>
                </a:solidFill>
              </a:rPr>
              <a:t>Segment's</a:t>
            </a:r>
            <a:r>
              <a:rPr lang="en-US" sz="2000" b="1" i="0" baseline="0">
                <a:solidFill>
                  <a:srgbClr val="002060"/>
                </a:solidFill>
              </a:rPr>
              <a:t> contribution to EBITDA amid Ukraine's average crop yields</a:t>
            </a:r>
            <a:endParaRPr lang="en-US" sz="2000" b="1" i="0">
              <a:solidFill>
                <a:srgbClr val="002060"/>
              </a:solidFill>
            </a:endParaRPr>
          </a:p>
        </c:rich>
      </c:tx>
      <c:layout>
        <c:manualLayout>
          <c:xMode val="edge"/>
          <c:yMode val="edge"/>
          <c:x val="0.11512867186579542"/>
          <c:y val="3.35060466706911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3655074365704352E-2"/>
          <c:y val="4.7302785068533124E-2"/>
          <c:w val="0.89900662251655661"/>
          <c:h val="0.92391304347826086"/>
        </c:manualLayout>
      </c:layout>
      <c:lineChart>
        <c:grouping val="standard"/>
        <c:varyColors val="0"/>
        <c:ser>
          <c:idx val="0"/>
          <c:order val="0"/>
          <c:tx>
            <c:v>Sunflower oil EBITDA, lhs</c:v>
          </c:tx>
          <c:spPr>
            <a:ln w="38100">
              <a:solidFill>
                <a:srgbClr val="92D050"/>
              </a:solidFill>
              <a:prstDash val="solid"/>
            </a:ln>
          </c:spPr>
          <c:marker>
            <c:symbol val="none"/>
          </c:marker>
          <c:cat>
            <c:strRef>
              <c:f>key!$D$2:$L$2</c:f>
              <c:strCache>
                <c:ptCount val="9"/>
                <c:pt idx="0">
                  <c:v>FY2008</c:v>
                </c:pt>
                <c:pt idx="1">
                  <c:v>FY2009</c:v>
                </c:pt>
                <c:pt idx="2">
                  <c:v>FY2010</c:v>
                </c:pt>
                <c:pt idx="3">
                  <c:v>FY2011</c:v>
                </c:pt>
                <c:pt idx="4">
                  <c:v>FY2012</c:v>
                </c:pt>
                <c:pt idx="5">
                  <c:v>FY2013</c:v>
                </c:pt>
                <c:pt idx="6">
                  <c:v>FY2014</c:v>
                </c:pt>
                <c:pt idx="7">
                  <c:v>FY2015</c:v>
                </c:pt>
                <c:pt idx="8">
                  <c:v>FY2016</c:v>
                </c:pt>
              </c:strCache>
            </c:strRef>
          </c:cat>
          <c:val>
            <c:numRef>
              <c:f>key!$D$5:$L$5</c:f>
              <c:numCache>
                <c:formatCode>General</c:formatCode>
                <c:ptCount val="9"/>
                <c:pt idx="0">
                  <c:v>81.099999999999994</c:v>
                </c:pt>
                <c:pt idx="1">
                  <c:v>89.4</c:v>
                </c:pt>
                <c:pt idx="2">
                  <c:v>101.2</c:v>
                </c:pt>
                <c:pt idx="3">
                  <c:v>202.3</c:v>
                </c:pt>
                <c:pt idx="4">
                  <c:v>198.5</c:v>
                </c:pt>
                <c:pt idx="5">
                  <c:v>199.3</c:v>
                </c:pt>
                <c:pt idx="6">
                  <c:v>177.8</c:v>
                </c:pt>
                <c:pt idx="7">
                  <c:v>213.1</c:v>
                </c:pt>
                <c:pt idx="8">
                  <c:v>128.80000000000001</c:v>
                </c:pt>
              </c:numCache>
            </c:numRef>
          </c:val>
          <c:smooth val="0"/>
        </c:ser>
        <c:ser>
          <c:idx val="1"/>
          <c:order val="1"/>
          <c:tx>
            <c:v>Grain and infrastructure EBITDA, lhs</c:v>
          </c:tx>
          <c:spPr>
            <a:ln w="381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strRef>
              <c:f>key!$D$2:$L$2</c:f>
              <c:strCache>
                <c:ptCount val="9"/>
                <c:pt idx="0">
                  <c:v>FY2008</c:v>
                </c:pt>
                <c:pt idx="1">
                  <c:v>FY2009</c:v>
                </c:pt>
                <c:pt idx="2">
                  <c:v>FY2010</c:v>
                </c:pt>
                <c:pt idx="3">
                  <c:v>FY2011</c:v>
                </c:pt>
                <c:pt idx="4">
                  <c:v>FY2012</c:v>
                </c:pt>
                <c:pt idx="5">
                  <c:v>FY2013</c:v>
                </c:pt>
                <c:pt idx="6">
                  <c:v>FY2014</c:v>
                </c:pt>
                <c:pt idx="7">
                  <c:v>FY2015</c:v>
                </c:pt>
                <c:pt idx="8">
                  <c:v>FY2016</c:v>
                </c:pt>
              </c:strCache>
            </c:strRef>
          </c:cat>
          <c:val>
            <c:numRef>
              <c:f>key!$D$6:$L$6</c:f>
              <c:numCache>
                <c:formatCode>General</c:formatCode>
                <c:ptCount val="9"/>
                <c:pt idx="0">
                  <c:v>39.9</c:v>
                </c:pt>
                <c:pt idx="1">
                  <c:v>111.6</c:v>
                </c:pt>
                <c:pt idx="2">
                  <c:v>79.8</c:v>
                </c:pt>
                <c:pt idx="3">
                  <c:v>93.6</c:v>
                </c:pt>
                <c:pt idx="4">
                  <c:v>59</c:v>
                </c:pt>
                <c:pt idx="5">
                  <c:v>59</c:v>
                </c:pt>
                <c:pt idx="6">
                  <c:v>125.8</c:v>
                </c:pt>
                <c:pt idx="7">
                  <c:v>114.5</c:v>
                </c:pt>
                <c:pt idx="8">
                  <c:v>107.1</c:v>
                </c:pt>
              </c:numCache>
            </c:numRef>
          </c:val>
          <c:smooth val="0"/>
        </c:ser>
        <c:ser>
          <c:idx val="2"/>
          <c:order val="2"/>
          <c:tx>
            <c:v>Farming EBITDA, lhs</c:v>
          </c:tx>
          <c:spPr>
            <a:ln w="38100">
              <a:solidFill>
                <a:srgbClr val="003300"/>
              </a:solidFill>
              <a:prstDash val="solid"/>
            </a:ln>
          </c:spPr>
          <c:marker>
            <c:symbol val="none"/>
          </c:marker>
          <c:cat>
            <c:strRef>
              <c:f>key!$D$2:$L$2</c:f>
              <c:strCache>
                <c:ptCount val="9"/>
                <c:pt idx="0">
                  <c:v>FY2008</c:v>
                </c:pt>
                <c:pt idx="1">
                  <c:v>FY2009</c:v>
                </c:pt>
                <c:pt idx="2">
                  <c:v>FY2010</c:v>
                </c:pt>
                <c:pt idx="3">
                  <c:v>FY2011</c:v>
                </c:pt>
                <c:pt idx="4">
                  <c:v>FY2012</c:v>
                </c:pt>
                <c:pt idx="5">
                  <c:v>FY2013</c:v>
                </c:pt>
                <c:pt idx="6">
                  <c:v>FY2014</c:v>
                </c:pt>
                <c:pt idx="7">
                  <c:v>FY2015</c:v>
                </c:pt>
                <c:pt idx="8">
                  <c:v>FY2016</c:v>
                </c:pt>
              </c:strCache>
            </c:strRef>
          </c:cat>
          <c:val>
            <c:numRef>
              <c:f>key!$D$7:$L$7</c:f>
              <c:numCache>
                <c:formatCode>General</c:formatCode>
                <c:ptCount val="9"/>
                <c:pt idx="0">
                  <c:v>19.899999999999999</c:v>
                </c:pt>
                <c:pt idx="1">
                  <c:v>6.9</c:v>
                </c:pt>
                <c:pt idx="2">
                  <c:v>23.1</c:v>
                </c:pt>
                <c:pt idx="3">
                  <c:v>31.5</c:v>
                </c:pt>
                <c:pt idx="4">
                  <c:v>73.8</c:v>
                </c:pt>
                <c:pt idx="5">
                  <c:v>67.3</c:v>
                </c:pt>
                <c:pt idx="6">
                  <c:v>-44.3</c:v>
                </c:pt>
                <c:pt idx="7">
                  <c:v>97.9</c:v>
                </c:pt>
                <c:pt idx="8">
                  <c:v>145.9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004408"/>
        <c:axId val="217004800"/>
      </c:lineChart>
      <c:lineChart>
        <c:grouping val="standard"/>
        <c:varyColors val="0"/>
        <c:ser>
          <c:idx val="4"/>
          <c:order val="3"/>
          <c:tx>
            <c:v>UA average grain yields, rhs</c:v>
          </c:tx>
          <c:spPr>
            <a:ln w="63500">
              <a:solidFill>
                <a:srgbClr val="7030A0">
                  <a:alpha val="50000"/>
                </a:srgbClr>
              </a:solidFill>
              <a:prstDash val="sysDash"/>
            </a:ln>
          </c:spPr>
          <c:marker>
            <c:symbol val="none"/>
          </c:marker>
          <c:val>
            <c:numRef>
              <c:f>'UA farming'!$Y$20:$Y$28</c:f>
              <c:numCache>
                <c:formatCode>General</c:formatCode>
                <c:ptCount val="9"/>
                <c:pt idx="0">
                  <c:v>2.1800000000000002</c:v>
                </c:pt>
                <c:pt idx="1">
                  <c:v>3.46</c:v>
                </c:pt>
                <c:pt idx="2">
                  <c:v>2.98</c:v>
                </c:pt>
                <c:pt idx="3">
                  <c:v>2.69</c:v>
                </c:pt>
                <c:pt idx="4">
                  <c:v>3.7</c:v>
                </c:pt>
                <c:pt idx="5">
                  <c:v>3.12</c:v>
                </c:pt>
                <c:pt idx="6">
                  <c:v>3.9899999999999998</c:v>
                </c:pt>
                <c:pt idx="7">
                  <c:v>4.37</c:v>
                </c:pt>
                <c:pt idx="8">
                  <c:v>4.1100000000000003</c:v>
                </c:pt>
              </c:numCache>
            </c:numRef>
          </c:val>
          <c:smooth val="0"/>
        </c:ser>
        <c:ser>
          <c:idx val="5"/>
          <c:order val="4"/>
          <c:tx>
            <c:v>UA average sunflower yields, rhs</c:v>
          </c:tx>
          <c:spPr>
            <a:ln w="63500">
              <a:solidFill>
                <a:schemeClr val="accent6">
                  <a:shade val="76000"/>
                  <a:alpha val="50000"/>
                </a:schemeClr>
              </a:solidFill>
              <a:prstDash val="sysDash"/>
            </a:ln>
          </c:spPr>
          <c:marker>
            <c:symbol val="none"/>
          </c:marker>
          <c:val>
            <c:numRef>
              <c:f>'UA farming'!$Z$20:$Z$28</c:f>
              <c:numCache>
                <c:formatCode>General</c:formatCode>
                <c:ptCount val="9"/>
                <c:pt idx="0">
                  <c:v>1.22</c:v>
                </c:pt>
                <c:pt idx="1">
                  <c:v>1.53</c:v>
                </c:pt>
                <c:pt idx="2">
                  <c:v>1.52</c:v>
                </c:pt>
                <c:pt idx="3">
                  <c:v>1.5</c:v>
                </c:pt>
                <c:pt idx="4">
                  <c:v>1.8399999999999999</c:v>
                </c:pt>
                <c:pt idx="5">
                  <c:v>1.65</c:v>
                </c:pt>
                <c:pt idx="6">
                  <c:v>2.17</c:v>
                </c:pt>
                <c:pt idx="7">
                  <c:v>1.94</c:v>
                </c:pt>
                <c:pt idx="8">
                  <c:v>2.16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005584"/>
        <c:axId val="217005192"/>
      </c:lineChart>
      <c:catAx>
        <c:axId val="21700440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en-US"/>
          </a:p>
        </c:txPr>
        <c:crossAx val="217004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7004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Segment's contribution to EBITDA, mio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en-US"/>
          </a:p>
        </c:txPr>
        <c:crossAx val="217004408"/>
        <c:crosses val="autoZero"/>
        <c:crossBetween val="between"/>
      </c:valAx>
      <c:valAx>
        <c:axId val="217005192"/>
        <c:scaling>
          <c:orientation val="minMax"/>
          <c:min val="-2"/>
        </c:scaling>
        <c:delete val="0"/>
        <c:axPos val="r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Ukraine's average</a:t>
                </a:r>
                <a:r>
                  <a:rPr lang="en-US" sz="1200" baseline="0"/>
                  <a:t> crop yields, t/ha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92504104830356371"/>
              <c:y val="0.2730175575312177"/>
            </c:manualLayout>
          </c:layout>
          <c:overlay val="0"/>
          <c:spPr>
            <a:ln>
              <a:solidFill>
                <a:schemeClr val="accent6">
                  <a:shade val="76000"/>
                </a:schemeClr>
              </a:solidFill>
              <a:prstDash val="dash"/>
            </a:ln>
          </c:spPr>
        </c:title>
        <c:numFmt formatCode="General" sourceLinked="1"/>
        <c:majorTickMark val="out"/>
        <c:minorTickMark val="none"/>
        <c:tickLblPos val="nextTo"/>
        <c:crossAx val="217005584"/>
        <c:crosses val="max"/>
        <c:crossBetween val="between"/>
      </c:valAx>
      <c:catAx>
        <c:axId val="217005584"/>
        <c:scaling>
          <c:orientation val="minMax"/>
        </c:scaling>
        <c:delete val="1"/>
        <c:axPos val="b"/>
        <c:majorTickMark val="out"/>
        <c:minorTickMark val="none"/>
        <c:tickLblPos val="none"/>
        <c:crossAx val="21700519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408402565661679E-2"/>
          <c:y val="0.76394594379789471"/>
          <c:w val="0.28834712810495472"/>
          <c:h val="0.19780373800184251"/>
        </c:manualLayout>
      </c:layout>
      <c:overlay val="0"/>
      <c:spPr>
        <a:solidFill>
          <a:srgbClr val="FFFFFF"/>
        </a:solidFill>
        <a:ln w="3175">
          <a:noFill/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Grains yields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Kernel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Farming!$H$8:$M$8</c:f>
              <c:strCache>
                <c:ptCount val="6"/>
                <c:pt idx="0">
                  <c:v>FY2012</c:v>
                </c:pt>
                <c:pt idx="1">
                  <c:v>FY2013</c:v>
                </c:pt>
                <c:pt idx="2">
                  <c:v>FY2014</c:v>
                </c:pt>
                <c:pt idx="3">
                  <c:v>FY2015</c:v>
                </c:pt>
                <c:pt idx="4">
                  <c:v>FY2016</c:v>
                </c:pt>
                <c:pt idx="5">
                  <c:v>FY2017</c:v>
                </c:pt>
              </c:strCache>
            </c:strRef>
          </c:cat>
          <c:val>
            <c:numRef>
              <c:f>Farming!$H$10:$M$10</c:f>
              <c:numCache>
                <c:formatCode>General</c:formatCode>
                <c:ptCount val="6"/>
                <c:pt idx="0">
                  <c:v>3.7</c:v>
                </c:pt>
                <c:pt idx="1">
                  <c:v>3.4</c:v>
                </c:pt>
                <c:pt idx="2">
                  <c:v>4.3</c:v>
                </c:pt>
                <c:pt idx="3">
                  <c:v>5.4</c:v>
                </c:pt>
                <c:pt idx="4">
                  <c:v>5.0999999999999996</c:v>
                </c:pt>
                <c:pt idx="5">
                  <c:v>5.8</c:v>
                </c:pt>
              </c:numCache>
            </c:numRef>
          </c:val>
          <c:smooth val="0"/>
        </c:ser>
        <c:ser>
          <c:idx val="1"/>
          <c:order val="1"/>
          <c:tx>
            <c:v>Ukraine's average grains yields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'UA farming'!$Y$24:$Y$28</c:f>
              <c:numCache>
                <c:formatCode>General</c:formatCode>
                <c:ptCount val="5"/>
                <c:pt idx="0">
                  <c:v>3.7</c:v>
                </c:pt>
                <c:pt idx="1">
                  <c:v>3.12</c:v>
                </c:pt>
                <c:pt idx="2">
                  <c:v>3.9899999999999998</c:v>
                </c:pt>
                <c:pt idx="3">
                  <c:v>4.37</c:v>
                </c:pt>
                <c:pt idx="4">
                  <c:v>4.1100000000000003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007936"/>
        <c:axId val="217008328"/>
      </c:lineChart>
      <c:catAx>
        <c:axId val="21700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008328"/>
        <c:crosses val="autoZero"/>
        <c:auto val="1"/>
        <c:lblAlgn val="ctr"/>
        <c:lblOffset val="100"/>
        <c:noMultiLvlLbl val="0"/>
      </c:catAx>
      <c:valAx>
        <c:axId val="21700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00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Sunflowerseeds yields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Kernel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Farming!$H$8:$M$8</c:f>
              <c:strCache>
                <c:ptCount val="6"/>
                <c:pt idx="0">
                  <c:v>FY2012</c:v>
                </c:pt>
                <c:pt idx="1">
                  <c:v>FY2013</c:v>
                </c:pt>
                <c:pt idx="2">
                  <c:v>FY2014</c:v>
                </c:pt>
                <c:pt idx="3">
                  <c:v>FY2015</c:v>
                </c:pt>
                <c:pt idx="4">
                  <c:v>FY2016</c:v>
                </c:pt>
                <c:pt idx="5">
                  <c:v>FY2017</c:v>
                </c:pt>
              </c:strCache>
            </c:strRef>
          </c:cat>
          <c:val>
            <c:numRef>
              <c:f>Farming!$H$11:$M$11</c:f>
              <c:numCache>
                <c:formatCode>General</c:formatCode>
                <c:ptCount val="6"/>
                <c:pt idx="0">
                  <c:v>2.1</c:v>
                </c:pt>
                <c:pt idx="1">
                  <c:v>1.7</c:v>
                </c:pt>
                <c:pt idx="2">
                  <c:v>2.1</c:v>
                </c:pt>
                <c:pt idx="3">
                  <c:v>2.5</c:v>
                </c:pt>
                <c:pt idx="4">
                  <c:v>2.8</c:v>
                </c:pt>
                <c:pt idx="5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v>Ukraine's 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'UA farming'!$Z$24:$Z$28</c:f>
              <c:numCache>
                <c:formatCode>General</c:formatCode>
                <c:ptCount val="5"/>
                <c:pt idx="0">
                  <c:v>1.8399999999999999</c:v>
                </c:pt>
                <c:pt idx="1">
                  <c:v>1.65</c:v>
                </c:pt>
                <c:pt idx="2">
                  <c:v>2.17</c:v>
                </c:pt>
                <c:pt idx="3">
                  <c:v>1.94</c:v>
                </c:pt>
                <c:pt idx="4">
                  <c:v>2.16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009112"/>
        <c:axId val="218444736"/>
      </c:lineChart>
      <c:catAx>
        <c:axId val="217009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444736"/>
        <c:crosses val="autoZero"/>
        <c:auto val="1"/>
        <c:lblAlgn val="ctr"/>
        <c:lblOffset val="100"/>
        <c:noMultiLvlLbl val="0"/>
      </c:catAx>
      <c:valAx>
        <c:axId val="21844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009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key!$A$5</c:f>
              <c:strCache>
                <c:ptCount val="1"/>
                <c:pt idx="0">
                  <c:v>Sunflower oil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1"/>
            <c:backward val="0.1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'UA farming'!$Z$20:$Z$28</c:f>
              <c:numCache>
                <c:formatCode>General</c:formatCode>
                <c:ptCount val="9"/>
                <c:pt idx="0">
                  <c:v>1.22</c:v>
                </c:pt>
                <c:pt idx="1">
                  <c:v>1.53</c:v>
                </c:pt>
                <c:pt idx="2">
                  <c:v>1.52</c:v>
                </c:pt>
                <c:pt idx="3">
                  <c:v>1.5</c:v>
                </c:pt>
                <c:pt idx="4">
                  <c:v>1.8399999999999999</c:v>
                </c:pt>
                <c:pt idx="5">
                  <c:v>1.65</c:v>
                </c:pt>
                <c:pt idx="6">
                  <c:v>2.17</c:v>
                </c:pt>
                <c:pt idx="7">
                  <c:v>1.94</c:v>
                </c:pt>
                <c:pt idx="8">
                  <c:v>2.16</c:v>
                </c:pt>
              </c:numCache>
            </c:numRef>
          </c:xVal>
          <c:yVal>
            <c:numRef>
              <c:f>key!$D$5:$L$5</c:f>
              <c:numCache>
                <c:formatCode>General</c:formatCode>
                <c:ptCount val="9"/>
                <c:pt idx="0">
                  <c:v>81.099999999999994</c:v>
                </c:pt>
                <c:pt idx="1">
                  <c:v>89.4</c:v>
                </c:pt>
                <c:pt idx="2">
                  <c:v>101.2</c:v>
                </c:pt>
                <c:pt idx="3">
                  <c:v>202.3</c:v>
                </c:pt>
                <c:pt idx="4">
                  <c:v>198.5</c:v>
                </c:pt>
                <c:pt idx="5">
                  <c:v>199.3</c:v>
                </c:pt>
                <c:pt idx="6">
                  <c:v>177.8</c:v>
                </c:pt>
                <c:pt idx="7">
                  <c:v>213.1</c:v>
                </c:pt>
                <c:pt idx="8">
                  <c:v>128.80000000000001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445520"/>
        <c:axId val="218445912"/>
      </c:scatterChart>
      <c:valAx>
        <c:axId val="21844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445912"/>
        <c:crosses val="autoZero"/>
        <c:crossBetween val="midCat"/>
      </c:valAx>
      <c:valAx>
        <c:axId val="21844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44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UA grain yields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key!$A$6</c:f>
              <c:strCache>
                <c:ptCount val="1"/>
                <c:pt idx="0">
                  <c:v>Grain and infrastructure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layout>
                <c:manualLayout>
                  <c:x val="0.11664173228346462"/>
                  <c:y val="0.147731481481481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'UA farming'!$Y$20:$Y$28</c:f>
              <c:numCache>
                <c:formatCode>General</c:formatCode>
                <c:ptCount val="9"/>
                <c:pt idx="0">
                  <c:v>2.1800000000000002</c:v>
                </c:pt>
                <c:pt idx="1">
                  <c:v>3.46</c:v>
                </c:pt>
                <c:pt idx="2">
                  <c:v>2.98</c:v>
                </c:pt>
                <c:pt idx="3">
                  <c:v>2.69</c:v>
                </c:pt>
                <c:pt idx="4">
                  <c:v>3.7</c:v>
                </c:pt>
                <c:pt idx="5">
                  <c:v>3.12</c:v>
                </c:pt>
                <c:pt idx="6">
                  <c:v>3.9899999999999998</c:v>
                </c:pt>
                <c:pt idx="7">
                  <c:v>4.37</c:v>
                </c:pt>
                <c:pt idx="8">
                  <c:v>4.1100000000000003</c:v>
                </c:pt>
              </c:numCache>
            </c:numRef>
          </c:xVal>
          <c:yVal>
            <c:numRef>
              <c:f>key!$D$6:$L$6</c:f>
              <c:numCache>
                <c:formatCode>General</c:formatCode>
                <c:ptCount val="9"/>
                <c:pt idx="0">
                  <c:v>39.9</c:v>
                </c:pt>
                <c:pt idx="1">
                  <c:v>111.6</c:v>
                </c:pt>
                <c:pt idx="2">
                  <c:v>79.8</c:v>
                </c:pt>
                <c:pt idx="3">
                  <c:v>93.6</c:v>
                </c:pt>
                <c:pt idx="4">
                  <c:v>59</c:v>
                </c:pt>
                <c:pt idx="5">
                  <c:v>59</c:v>
                </c:pt>
                <c:pt idx="6">
                  <c:v>125.8</c:v>
                </c:pt>
                <c:pt idx="7">
                  <c:v>114.5</c:v>
                </c:pt>
                <c:pt idx="8">
                  <c:v>107.1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key!$A$7</c:f>
              <c:strCache>
                <c:ptCount val="1"/>
                <c:pt idx="0">
                  <c:v>Farming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'UA farming'!$Z$20:$Z$28</c:f>
              <c:numCache>
                <c:formatCode>General</c:formatCode>
                <c:ptCount val="9"/>
                <c:pt idx="0">
                  <c:v>1.22</c:v>
                </c:pt>
                <c:pt idx="1">
                  <c:v>1.53</c:v>
                </c:pt>
                <c:pt idx="2">
                  <c:v>1.52</c:v>
                </c:pt>
                <c:pt idx="3">
                  <c:v>1.5</c:v>
                </c:pt>
                <c:pt idx="4">
                  <c:v>1.8399999999999999</c:v>
                </c:pt>
                <c:pt idx="5">
                  <c:v>1.65</c:v>
                </c:pt>
                <c:pt idx="6">
                  <c:v>2.17</c:v>
                </c:pt>
                <c:pt idx="7">
                  <c:v>1.94</c:v>
                </c:pt>
                <c:pt idx="8">
                  <c:v>2.16</c:v>
                </c:pt>
              </c:numCache>
            </c:numRef>
          </c:xVal>
          <c:yVal>
            <c:numRef>
              <c:f>key!$D$7:$L$7</c:f>
              <c:numCache>
                <c:formatCode>General</c:formatCode>
                <c:ptCount val="9"/>
                <c:pt idx="0">
                  <c:v>19.899999999999999</c:v>
                </c:pt>
                <c:pt idx="1">
                  <c:v>6.9</c:v>
                </c:pt>
                <c:pt idx="2">
                  <c:v>23.1</c:v>
                </c:pt>
                <c:pt idx="3">
                  <c:v>31.5</c:v>
                </c:pt>
                <c:pt idx="4">
                  <c:v>73.8</c:v>
                </c:pt>
                <c:pt idx="5">
                  <c:v>67.3</c:v>
                </c:pt>
                <c:pt idx="6">
                  <c:v>-44.3</c:v>
                </c:pt>
                <c:pt idx="7">
                  <c:v>97.9</c:v>
                </c:pt>
                <c:pt idx="8">
                  <c:v>145.9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446696"/>
        <c:axId val="218447088"/>
      </c:scatterChart>
      <c:valAx>
        <c:axId val="21844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447088"/>
        <c:crosses val="autoZero"/>
        <c:crossBetween val="midCat"/>
      </c:valAx>
      <c:valAx>
        <c:axId val="21844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446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37</xdr:row>
      <xdr:rowOff>9525</xdr:rowOff>
    </xdr:from>
    <xdr:to>
      <xdr:col>9</xdr:col>
      <xdr:colOff>85725</xdr:colOff>
      <xdr:row>54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297180</xdr:colOff>
      <xdr:row>3</xdr:row>
      <xdr:rowOff>163830</xdr:rowOff>
    </xdr:from>
    <xdr:to>
      <xdr:col>20</xdr:col>
      <xdr:colOff>601980</xdr:colOff>
      <xdr:row>20</xdr:row>
      <xdr:rowOff>194310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22</xdr:row>
      <xdr:rowOff>0</xdr:rowOff>
    </xdr:from>
    <xdr:to>
      <xdr:col>20</xdr:col>
      <xdr:colOff>304800</xdr:colOff>
      <xdr:row>38</xdr:row>
      <xdr:rowOff>129540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29</xdr:row>
      <xdr:rowOff>7620</xdr:rowOff>
    </xdr:from>
    <xdr:to>
      <xdr:col>13</xdr:col>
      <xdr:colOff>350520</xdr:colOff>
      <xdr:row>45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29</xdr:row>
      <xdr:rowOff>0</xdr:rowOff>
    </xdr:from>
    <xdr:to>
      <xdr:col>22</xdr:col>
      <xdr:colOff>304800</xdr:colOff>
      <xdr:row>45</xdr:row>
      <xdr:rowOff>60960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ices/commodities%20pri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2"/>
      <sheetName val="prices"/>
      <sheetName val="wheat"/>
      <sheetName val="corn"/>
    </sheetNames>
    <sheetDataSet>
      <sheetData sheetId="0" refreshError="1"/>
      <sheetData sheetId="1">
        <row r="5">
          <cell r="B5">
            <v>320.34313725490199</v>
          </cell>
          <cell r="C5">
            <v>311.17446001838243</v>
          </cell>
          <cell r="D5">
            <v>271.50735294117641</v>
          </cell>
          <cell r="E5">
            <v>255.64682904411768</v>
          </cell>
          <cell r="F5">
            <v>238.99500229779414</v>
          </cell>
          <cell r="G5">
            <v>240.91366038602936</v>
          </cell>
          <cell r="H5">
            <v>226.86083654773381</v>
          </cell>
          <cell r="I5">
            <v>239.90283613445374</v>
          </cell>
          <cell r="J5">
            <v>194.24689797794116</v>
          </cell>
          <cell r="K5">
            <v>204.25235523897058</v>
          </cell>
          <cell r="L5">
            <v>192.13476374156221</v>
          </cell>
          <cell r="M5">
            <v>185.36852240896366</v>
          </cell>
          <cell r="N5">
            <v>187.94376148897064</v>
          </cell>
          <cell r="O5">
            <v>180.98575367647064</v>
          </cell>
          <cell r="P5">
            <v>171.18641513982641</v>
          </cell>
          <cell r="Q5">
            <v>172.98512178308818</v>
          </cell>
          <cell r="R5">
            <v>149.07657398897058</v>
          </cell>
          <cell r="S5">
            <v>148.2157446311858</v>
          </cell>
          <cell r="T5">
            <v>157.8614207779886</v>
          </cell>
          <cell r="U5">
            <v>160.43563258636789</v>
          </cell>
          <cell r="V5">
            <v>168.0220004668534</v>
          </cell>
          <cell r="W5">
            <v>176.36700513538747</v>
          </cell>
          <cell r="X5">
            <v>182.27999533146593</v>
          </cell>
          <cell r="Y5">
            <v>187.15277777777777</v>
          </cell>
        </row>
        <row r="16">
          <cell r="B16">
            <v>305.76021747281584</v>
          </cell>
          <cell r="C16">
            <v>290.44199064960623</v>
          </cell>
          <cell r="D16">
            <v>280.39698162729661</v>
          </cell>
          <cell r="E16">
            <v>256.39456200787401</v>
          </cell>
          <cell r="F16">
            <v>193.30093503937005</v>
          </cell>
          <cell r="G16">
            <v>169.84344242125988</v>
          </cell>
          <cell r="H16">
            <v>178.59493997676518</v>
          </cell>
          <cell r="I16">
            <v>189.0685539307587</v>
          </cell>
          <cell r="J16">
            <v>141.77915260592425</v>
          </cell>
          <cell r="K16">
            <v>147.35658042744654</v>
          </cell>
          <cell r="L16">
            <v>152.0959726345682</v>
          </cell>
          <cell r="M16">
            <v>144.44756905386825</v>
          </cell>
          <cell r="N16">
            <v>152.07615649606296</v>
          </cell>
          <cell r="O16">
            <v>147.20872293307085</v>
          </cell>
          <cell r="P16">
            <v>143.04569510778373</v>
          </cell>
          <cell r="Q16">
            <v>154.26304133858267</v>
          </cell>
          <cell r="R16">
            <v>131.39917568897636</v>
          </cell>
          <cell r="S16">
            <v>137.69060117485319</v>
          </cell>
          <cell r="T16">
            <v>143.99923799847599</v>
          </cell>
          <cell r="U16">
            <v>147.19566304211975</v>
          </cell>
          <cell r="V16">
            <v>151.59667541557306</v>
          </cell>
          <cell r="W16">
            <v>155.93363329583804</v>
          </cell>
          <cell r="X16">
            <v>159.25353080864892</v>
          </cell>
          <cell r="Y16">
            <v>162.02193475815523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4" sqref="H4"/>
    </sheetView>
  </sheetViews>
  <sheetFormatPr defaultRowHeight="13.2" x14ac:dyDescent="0.25"/>
  <cols>
    <col min="1" max="1" width="29.33203125" bestFit="1" customWidth="1"/>
  </cols>
  <sheetData>
    <row r="1" spans="1:12" ht="13.8" x14ac:dyDescent="0.25">
      <c r="A1" s="14" t="s">
        <v>49</v>
      </c>
    </row>
    <row r="2" spans="1:12" x14ac:dyDescent="0.25">
      <c r="A2" s="15" t="s">
        <v>63</v>
      </c>
      <c r="B2" s="32" t="s">
        <v>3</v>
      </c>
      <c r="C2" s="32" t="s">
        <v>4</v>
      </c>
      <c r="D2" s="32" t="s">
        <v>5</v>
      </c>
      <c r="E2" s="32" t="s">
        <v>6</v>
      </c>
      <c r="F2" s="32" t="s">
        <v>7</v>
      </c>
      <c r="G2" s="32" t="s">
        <v>8</v>
      </c>
      <c r="H2" s="32" t="s">
        <v>9</v>
      </c>
      <c r="I2" s="32" t="s">
        <v>10</v>
      </c>
      <c r="J2" s="32" t="s">
        <v>11</v>
      </c>
      <c r="K2" s="32" t="s">
        <v>12</v>
      </c>
      <c r="L2" s="32" t="s">
        <v>13</v>
      </c>
    </row>
    <row r="3" spans="1:12" x14ac:dyDescent="0.25">
      <c r="A3" s="16" t="s">
        <v>50</v>
      </c>
    </row>
    <row r="4" spans="1:12" x14ac:dyDescent="0.25">
      <c r="A4" s="15" t="s">
        <v>75</v>
      </c>
      <c r="B4" s="21">
        <v>6.4</v>
      </c>
      <c r="C4" s="21">
        <v>25.3</v>
      </c>
      <c r="D4" s="21">
        <v>88.5</v>
      </c>
      <c r="E4" s="21">
        <v>129.30000000000001</v>
      </c>
      <c r="F4" s="21">
        <v>59.5</v>
      </c>
      <c r="G4" s="21">
        <v>115.9</v>
      </c>
      <c r="H4" s="21">
        <v>82.5</v>
      </c>
      <c r="I4" s="21">
        <v>78.8</v>
      </c>
      <c r="J4" s="21">
        <v>65.400000000000006</v>
      </c>
      <c r="K4" s="21">
        <v>129.1</v>
      </c>
      <c r="L4" s="21">
        <v>60.4</v>
      </c>
    </row>
    <row r="5" spans="1:12" x14ac:dyDescent="0.25">
      <c r="A5" s="15" t="s">
        <v>76</v>
      </c>
      <c r="B5" s="21">
        <v>9.1</v>
      </c>
      <c r="C5" s="21">
        <v>9.8000000000000007</v>
      </c>
      <c r="D5" s="21">
        <v>48.7</v>
      </c>
      <c r="E5" s="21">
        <v>32.4</v>
      </c>
      <c r="F5" s="21">
        <v>65.5</v>
      </c>
      <c r="G5" s="21">
        <v>111.6</v>
      </c>
      <c r="H5" s="21">
        <v>146.4</v>
      </c>
      <c r="I5" s="21">
        <v>150.80000000000001</v>
      </c>
      <c r="J5" s="21">
        <v>99.8</v>
      </c>
      <c r="K5" s="21">
        <v>56.1</v>
      </c>
      <c r="L5" s="21">
        <v>75.2</v>
      </c>
    </row>
    <row r="6" spans="1:12" x14ac:dyDescent="0.25">
      <c r="A6" s="15" t="s">
        <v>74</v>
      </c>
      <c r="B6" s="21">
        <v>32.299999999999997</v>
      </c>
      <c r="C6" s="21">
        <v>40.200000000000003</v>
      </c>
      <c r="D6" s="21">
        <v>144.69999999999999</v>
      </c>
      <c r="E6" s="21">
        <v>99.1</v>
      </c>
      <c r="F6" s="21">
        <v>147.80000000000001</v>
      </c>
      <c r="G6" s="21">
        <v>183.7</v>
      </c>
      <c r="H6" s="21">
        <v>410.2</v>
      </c>
      <c r="I6" s="21">
        <v>270.2</v>
      </c>
      <c r="J6" s="21">
        <v>299.5</v>
      </c>
      <c r="K6" s="21">
        <v>158.80000000000001</v>
      </c>
      <c r="L6" s="21">
        <v>200.2</v>
      </c>
    </row>
    <row r="7" spans="1:12" x14ac:dyDescent="0.25">
      <c r="A7" s="16" t="s">
        <v>77</v>
      </c>
      <c r="B7" s="21">
        <v>29.3</v>
      </c>
      <c r="C7" s="21">
        <v>38.1</v>
      </c>
      <c r="D7" s="21">
        <v>138.6</v>
      </c>
      <c r="E7" s="21">
        <v>94.9</v>
      </c>
      <c r="F7" s="21">
        <v>142.9</v>
      </c>
      <c r="G7" s="21">
        <v>172.7</v>
      </c>
      <c r="H7" s="21">
        <v>385.1</v>
      </c>
      <c r="I7" s="21">
        <v>175.1</v>
      </c>
      <c r="J7" s="21">
        <v>243.4</v>
      </c>
      <c r="K7" s="21">
        <v>140.1</v>
      </c>
      <c r="L7" s="21">
        <v>183.7</v>
      </c>
    </row>
    <row r="8" spans="1:12" x14ac:dyDescent="0.25">
      <c r="A8" s="15" t="s">
        <v>78</v>
      </c>
      <c r="B8" s="21">
        <v>3.4</v>
      </c>
      <c r="C8" s="21">
        <v>9.6999999999999993</v>
      </c>
      <c r="D8" s="21">
        <v>42.4</v>
      </c>
      <c r="E8" s="21">
        <v>18.899999999999999</v>
      </c>
      <c r="F8" s="21">
        <v>26.1</v>
      </c>
      <c r="G8" s="21">
        <v>96</v>
      </c>
      <c r="H8" s="21">
        <v>153.30000000000001</v>
      </c>
      <c r="I8" s="21">
        <v>247</v>
      </c>
      <c r="J8" s="21">
        <v>182.8</v>
      </c>
      <c r="K8" s="21">
        <v>146.6</v>
      </c>
      <c r="L8" s="21">
        <v>190.3</v>
      </c>
    </row>
    <row r="9" spans="1:12" x14ac:dyDescent="0.25">
      <c r="A9" s="15" t="s">
        <v>79</v>
      </c>
      <c r="B9" s="21">
        <v>16.8</v>
      </c>
      <c r="C9" s="21">
        <v>31.1</v>
      </c>
      <c r="D9" s="21">
        <v>53</v>
      </c>
      <c r="E9" s="21">
        <v>98.7</v>
      </c>
      <c r="F9" s="21">
        <v>299.8</v>
      </c>
      <c r="G9" s="21">
        <v>302.60000000000002</v>
      </c>
      <c r="H9" s="21">
        <v>326</v>
      </c>
      <c r="I9" s="21">
        <v>343.3</v>
      </c>
      <c r="J9" s="21">
        <v>225</v>
      </c>
      <c r="K9" s="21">
        <v>168</v>
      </c>
      <c r="L9" s="21">
        <v>194.4</v>
      </c>
    </row>
    <row r="10" spans="1:12" x14ac:dyDescent="0.25">
      <c r="A10" s="15" t="s">
        <v>134</v>
      </c>
      <c r="B10" s="21">
        <v>72.5</v>
      </c>
      <c r="C10" s="21">
        <v>127.9</v>
      </c>
      <c r="D10" s="21">
        <v>231.6</v>
      </c>
      <c r="E10" s="21">
        <v>221.8</v>
      </c>
      <c r="F10" s="21">
        <v>379</v>
      </c>
      <c r="G10" s="21">
        <v>502.8</v>
      </c>
      <c r="H10" s="21">
        <v>728.4</v>
      </c>
      <c r="I10" s="21">
        <v>763.3</v>
      </c>
      <c r="J10" s="21">
        <v>643.5</v>
      </c>
      <c r="K10" s="21">
        <v>535.20000000000005</v>
      </c>
      <c r="L10" s="21">
        <v>538.70000000000005</v>
      </c>
    </row>
    <row r="11" spans="1:12" x14ac:dyDescent="0.25">
      <c r="A11" s="15" t="s">
        <v>80</v>
      </c>
      <c r="B11" s="21">
        <v>15.4</v>
      </c>
      <c r="C11" s="21">
        <v>31.2</v>
      </c>
      <c r="D11" s="21">
        <v>146.69999999999999</v>
      </c>
      <c r="E11" s="21">
        <v>99.6</v>
      </c>
      <c r="F11" s="21">
        <v>147</v>
      </c>
      <c r="G11" s="21">
        <v>260.10000000000002</v>
      </c>
      <c r="H11" s="21">
        <v>269.60000000000002</v>
      </c>
      <c r="I11" s="21">
        <v>508.2</v>
      </c>
      <c r="J11" s="21">
        <v>403</v>
      </c>
      <c r="K11" s="21">
        <v>271.89999999999998</v>
      </c>
      <c r="L11" s="21">
        <v>250.2</v>
      </c>
    </row>
    <row r="12" spans="1:12" x14ac:dyDescent="0.25">
      <c r="A12" s="17" t="s">
        <v>81</v>
      </c>
      <c r="B12" s="21">
        <v>155.80000000000001</v>
      </c>
      <c r="C12" s="21">
        <v>275.10000000000002</v>
      </c>
      <c r="D12" s="21">
        <v>755.6</v>
      </c>
      <c r="E12" s="21">
        <v>699.7</v>
      </c>
      <c r="F12" s="21">
        <v>1124.8</v>
      </c>
      <c r="G12" s="21">
        <v>1572.6</v>
      </c>
      <c r="H12" s="21">
        <v>2116.4</v>
      </c>
      <c r="I12" s="21">
        <v>2361.6</v>
      </c>
      <c r="J12" s="21">
        <v>1919</v>
      </c>
      <c r="K12" s="21">
        <v>1465.6</v>
      </c>
      <c r="L12" s="21">
        <v>1509.4</v>
      </c>
    </row>
    <row r="13" spans="1:12" x14ac:dyDescent="0.25">
      <c r="A13" s="16" t="s">
        <v>51</v>
      </c>
    </row>
    <row r="14" spans="1:12" x14ac:dyDescent="0.25">
      <c r="A14" s="15" t="s">
        <v>82</v>
      </c>
      <c r="B14" s="21">
        <v>34.5</v>
      </c>
      <c r="C14" s="21">
        <v>59.2</v>
      </c>
      <c r="D14" s="21">
        <v>185.1</v>
      </c>
      <c r="E14" s="21">
        <v>195.1</v>
      </c>
      <c r="F14" s="21">
        <v>352.2</v>
      </c>
      <c r="G14" s="21">
        <v>395</v>
      </c>
      <c r="H14" s="21">
        <v>446.2</v>
      </c>
      <c r="I14" s="21">
        <v>700.1</v>
      </c>
      <c r="J14" s="21">
        <v>597.4</v>
      </c>
      <c r="K14" s="21">
        <v>458.1</v>
      </c>
      <c r="L14" s="21">
        <v>373.3</v>
      </c>
    </row>
    <row r="15" spans="1:12" x14ac:dyDescent="0.25">
      <c r="A15" s="25" t="s">
        <v>83</v>
      </c>
      <c r="B15" s="21">
        <v>29.8</v>
      </c>
      <c r="C15" s="21">
        <v>45.8</v>
      </c>
      <c r="D15" s="21">
        <v>160.80000000000001</v>
      </c>
      <c r="E15" s="21">
        <v>166.7</v>
      </c>
      <c r="F15" s="21">
        <v>215.1</v>
      </c>
      <c r="G15" s="21">
        <v>271.39999999999998</v>
      </c>
      <c r="H15" s="21">
        <v>271.39999999999998</v>
      </c>
      <c r="I15" s="21">
        <v>458.2</v>
      </c>
      <c r="J15" s="21">
        <v>489.4</v>
      </c>
      <c r="K15" s="21">
        <v>373.3</v>
      </c>
      <c r="L15" s="21">
        <v>259</v>
      </c>
    </row>
    <row r="16" spans="1:12" x14ac:dyDescent="0.25">
      <c r="A16" s="15" t="s">
        <v>84</v>
      </c>
      <c r="B16" s="21">
        <v>73.8</v>
      </c>
      <c r="C16" s="21">
        <v>130.6</v>
      </c>
      <c r="D16" s="21">
        <v>130.1</v>
      </c>
      <c r="E16" s="21">
        <v>147.19999999999999</v>
      </c>
      <c r="F16" s="21">
        <v>167.7</v>
      </c>
      <c r="G16" s="21">
        <v>180.3</v>
      </c>
      <c r="H16" s="21">
        <v>459.5</v>
      </c>
      <c r="I16" s="21">
        <v>309.3</v>
      </c>
      <c r="J16" s="21">
        <v>291</v>
      </c>
      <c r="K16" s="21">
        <v>116.7</v>
      </c>
      <c r="L16" s="21">
        <v>139</v>
      </c>
    </row>
    <row r="17" spans="1:12" x14ac:dyDescent="0.25">
      <c r="A17" s="25" t="s">
        <v>85</v>
      </c>
      <c r="B17" s="21">
        <v>64.400000000000006</v>
      </c>
      <c r="C17" s="21">
        <v>112.4</v>
      </c>
      <c r="D17" s="21">
        <v>98.1</v>
      </c>
      <c r="E17" s="21">
        <v>132.9</v>
      </c>
      <c r="F17" s="21">
        <v>135.30000000000001</v>
      </c>
      <c r="G17" s="21">
        <v>156.1</v>
      </c>
      <c r="H17" s="21">
        <v>426.9</v>
      </c>
      <c r="I17" s="21">
        <v>275.7</v>
      </c>
      <c r="J17" s="21">
        <v>260</v>
      </c>
      <c r="K17" s="21">
        <v>95.2</v>
      </c>
      <c r="L17" s="21">
        <v>84.1</v>
      </c>
    </row>
    <row r="18" spans="1:12" x14ac:dyDescent="0.25">
      <c r="A18" s="17" t="s">
        <v>86</v>
      </c>
      <c r="B18" s="21">
        <v>108.3</v>
      </c>
      <c r="C18" s="21">
        <v>189.8</v>
      </c>
      <c r="D18" s="21">
        <v>315.2</v>
      </c>
      <c r="E18" s="21">
        <v>342.2</v>
      </c>
      <c r="F18" s="21">
        <v>519.9</v>
      </c>
      <c r="G18" s="21">
        <v>575.29999999999995</v>
      </c>
      <c r="H18" s="21">
        <v>905.7</v>
      </c>
      <c r="I18" s="21">
        <v>1009.4</v>
      </c>
      <c r="J18" s="21">
        <v>888.3</v>
      </c>
      <c r="K18" s="21">
        <v>574.79999999999995</v>
      </c>
      <c r="L18" s="21">
        <v>512.29999999999995</v>
      </c>
    </row>
    <row r="19" spans="1:12" x14ac:dyDescent="0.25">
      <c r="A19" s="17" t="s">
        <v>87</v>
      </c>
      <c r="B19" s="21">
        <v>47.6</v>
      </c>
      <c r="C19" s="21">
        <v>85.3</v>
      </c>
      <c r="D19" s="21">
        <v>440.4</v>
      </c>
      <c r="E19" s="21">
        <v>357.5</v>
      </c>
      <c r="F19" s="21">
        <v>604.9</v>
      </c>
      <c r="G19" s="21">
        <v>997.3</v>
      </c>
      <c r="H19" s="21">
        <v>1210.7</v>
      </c>
      <c r="I19" s="21">
        <v>1352.3</v>
      </c>
      <c r="J19" s="21">
        <v>1030.7</v>
      </c>
      <c r="K19" s="21">
        <v>890.8</v>
      </c>
      <c r="L19" s="21">
        <v>997.1</v>
      </c>
    </row>
    <row r="20" spans="1:12" ht="13.8" x14ac:dyDescent="0.25">
      <c r="A20" s="14" t="s">
        <v>52</v>
      </c>
    </row>
    <row r="21" spans="1:12" x14ac:dyDescent="0.25">
      <c r="A21" s="15" t="s">
        <v>135</v>
      </c>
      <c r="B21" s="32" t="s">
        <v>3</v>
      </c>
      <c r="C21" s="32" t="s">
        <v>4</v>
      </c>
      <c r="D21" s="32" t="s">
        <v>5</v>
      </c>
      <c r="E21" s="32" t="s">
        <v>6</v>
      </c>
      <c r="F21" s="32" t="s">
        <v>7</v>
      </c>
      <c r="G21" s="32" t="s">
        <v>8</v>
      </c>
      <c r="H21" s="32" t="s">
        <v>9</v>
      </c>
      <c r="I21" s="32" t="s">
        <v>10</v>
      </c>
      <c r="J21" s="32" t="s">
        <v>11</v>
      </c>
      <c r="K21" s="32" t="s">
        <v>12</v>
      </c>
      <c r="L21" s="32" t="s">
        <v>13</v>
      </c>
    </row>
    <row r="22" spans="1:12" x14ac:dyDescent="0.25">
      <c r="A22" s="15" t="s">
        <v>37</v>
      </c>
      <c r="B22" s="21">
        <v>94.2</v>
      </c>
      <c r="C22" s="21">
        <v>158.19999999999999</v>
      </c>
      <c r="D22" s="21">
        <v>258.8</v>
      </c>
      <c r="E22" s="21">
        <v>299.5</v>
      </c>
      <c r="F22" s="21">
        <v>350.4</v>
      </c>
      <c r="G22" s="21">
        <v>427.5</v>
      </c>
      <c r="H22" s="21">
        <v>698.3</v>
      </c>
      <c r="I22" s="21">
        <v>733.9</v>
      </c>
      <c r="J22" s="21">
        <v>749.4</v>
      </c>
      <c r="K22" s="21">
        <v>468.5</v>
      </c>
      <c r="L22" s="21">
        <v>343.1</v>
      </c>
    </row>
    <row r="23" spans="1:12" x14ac:dyDescent="0.25">
      <c r="A23" s="15" t="s">
        <v>18</v>
      </c>
      <c r="B23" s="21">
        <v>6.4</v>
      </c>
      <c r="C23" s="21">
        <v>25.3</v>
      </c>
      <c r="D23" s="21">
        <v>88.5</v>
      </c>
      <c r="E23" s="21">
        <v>129.30000000000001</v>
      </c>
      <c r="F23" s="21">
        <v>59.5</v>
      </c>
      <c r="G23" s="21">
        <v>115.9</v>
      </c>
      <c r="H23" s="21">
        <v>82.5</v>
      </c>
      <c r="I23" s="21">
        <v>78.8</v>
      </c>
      <c r="J23" s="21">
        <v>65.400000000000006</v>
      </c>
      <c r="K23" s="21">
        <v>129.1</v>
      </c>
      <c r="L23" s="21">
        <v>60.4</v>
      </c>
    </row>
    <row r="24" spans="1:12" x14ac:dyDescent="0.25">
      <c r="A24" s="17" t="s">
        <v>38</v>
      </c>
      <c r="B24" s="21">
        <v>87.8</v>
      </c>
      <c r="C24" s="21">
        <v>132.9</v>
      </c>
      <c r="D24" s="21">
        <v>170.3</v>
      </c>
      <c r="E24" s="21">
        <v>170.3</v>
      </c>
      <c r="F24" s="21">
        <v>290.89999999999998</v>
      </c>
      <c r="G24" s="21">
        <v>311.60000000000002</v>
      </c>
      <c r="H24" s="21">
        <v>615.79999999999995</v>
      </c>
      <c r="I24" s="21">
        <v>655.1</v>
      </c>
      <c r="J24" s="21">
        <v>684</v>
      </c>
      <c r="K24" s="21">
        <v>339.4</v>
      </c>
      <c r="L24" s="21">
        <v>282.8</v>
      </c>
    </row>
    <row r="25" spans="1:12" x14ac:dyDescent="0.25">
      <c r="A25" s="15" t="s">
        <v>88</v>
      </c>
      <c r="B25" s="21">
        <v>29.3</v>
      </c>
      <c r="C25" s="21">
        <v>38.1</v>
      </c>
      <c r="D25" s="21">
        <v>138.6</v>
      </c>
      <c r="E25" s="21">
        <v>94.9</v>
      </c>
      <c r="F25" s="21">
        <v>142.9</v>
      </c>
      <c r="G25" s="21">
        <v>172.7</v>
      </c>
      <c r="H25" s="21">
        <v>385.1</v>
      </c>
      <c r="I25" s="21">
        <v>175.1</v>
      </c>
      <c r="J25" s="21">
        <v>243.4</v>
      </c>
      <c r="K25" s="21">
        <v>140.1</v>
      </c>
      <c r="L25" s="21">
        <v>183.7</v>
      </c>
    </row>
    <row r="26" spans="1:12" x14ac:dyDescent="0.25">
      <c r="A26" s="17" t="s">
        <v>40</v>
      </c>
      <c r="B26" s="21">
        <v>58.5</v>
      </c>
      <c r="C26" s="21">
        <v>94.8</v>
      </c>
      <c r="D26" s="21">
        <v>31.7</v>
      </c>
      <c r="E26" s="21">
        <v>75.400000000000006</v>
      </c>
      <c r="F26" s="21">
        <v>148</v>
      </c>
      <c r="G26" s="21">
        <v>138.9</v>
      </c>
      <c r="H26" s="21">
        <v>230.7</v>
      </c>
      <c r="I26" s="21">
        <v>480</v>
      </c>
      <c r="J26" s="21">
        <v>440.6</v>
      </c>
      <c r="K26" s="21">
        <v>199.3</v>
      </c>
      <c r="L26" s="21">
        <v>99.1</v>
      </c>
    </row>
    <row r="27" spans="1:12" x14ac:dyDescent="0.25">
      <c r="A27" s="15" t="s">
        <v>53</v>
      </c>
    </row>
    <row r="28" spans="1:12" x14ac:dyDescent="0.25">
      <c r="A28" s="15" t="s">
        <v>89</v>
      </c>
      <c r="B28" s="20" t="s">
        <v>92</v>
      </c>
      <c r="C28" s="20" t="s">
        <v>93</v>
      </c>
      <c r="D28" s="20" t="s">
        <v>94</v>
      </c>
      <c r="E28" s="20" t="s">
        <v>95</v>
      </c>
      <c r="F28" s="20" t="s">
        <v>96</v>
      </c>
      <c r="G28" s="20" t="s">
        <v>97</v>
      </c>
      <c r="H28" s="20" t="s">
        <v>98</v>
      </c>
      <c r="I28" s="20" t="s">
        <v>99</v>
      </c>
      <c r="J28" s="20" t="s">
        <v>100</v>
      </c>
      <c r="K28" s="20" t="s">
        <v>95</v>
      </c>
      <c r="L28" s="20" t="s">
        <v>101</v>
      </c>
    </row>
    <row r="29" spans="1:12" x14ac:dyDescent="0.25">
      <c r="A29" s="15" t="s">
        <v>90</v>
      </c>
      <c r="B29" s="20" t="s">
        <v>102</v>
      </c>
      <c r="C29" s="20" t="s">
        <v>103</v>
      </c>
      <c r="D29" s="20" t="s">
        <v>104</v>
      </c>
      <c r="E29" s="20" t="s">
        <v>105</v>
      </c>
      <c r="F29" s="20" t="s">
        <v>101</v>
      </c>
      <c r="G29" s="20" t="s">
        <v>105</v>
      </c>
      <c r="H29" s="20" t="s">
        <v>106</v>
      </c>
      <c r="I29" s="20" t="s">
        <v>107</v>
      </c>
      <c r="J29" s="20" t="s">
        <v>103</v>
      </c>
      <c r="K29" s="20" t="s">
        <v>108</v>
      </c>
      <c r="L29" s="20" t="s">
        <v>104</v>
      </c>
    </row>
    <row r="30" spans="1:12" x14ac:dyDescent="0.25">
      <c r="A30" s="15" t="s">
        <v>91</v>
      </c>
      <c r="B30" s="20" t="s">
        <v>109</v>
      </c>
      <c r="C30" s="20" t="s">
        <v>110</v>
      </c>
      <c r="D30" s="20" t="s">
        <v>111</v>
      </c>
      <c r="E30" s="20" t="s">
        <v>112</v>
      </c>
      <c r="F30" s="20" t="s">
        <v>113</v>
      </c>
      <c r="G30" s="20" t="s">
        <v>114</v>
      </c>
      <c r="H30" s="20" t="s">
        <v>115</v>
      </c>
      <c r="I30" s="20" t="s">
        <v>116</v>
      </c>
      <c r="J30" s="20" t="s">
        <v>100</v>
      </c>
      <c r="K30" s="20" t="s">
        <v>117</v>
      </c>
      <c r="L30" s="20" t="s">
        <v>118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L44" sqref="L44"/>
    </sheetView>
  </sheetViews>
  <sheetFormatPr defaultRowHeight="13.2" x14ac:dyDescent="0.25"/>
  <cols>
    <col min="1" max="1" width="47" bestFit="1" customWidth="1"/>
    <col min="13" max="13" width="1.33203125" customWidth="1"/>
  </cols>
  <sheetData>
    <row r="1" spans="1:16" ht="13.8" x14ac:dyDescent="0.25">
      <c r="A1" s="14" t="s">
        <v>54</v>
      </c>
    </row>
    <row r="2" spans="1:16" x14ac:dyDescent="0.25">
      <c r="A2" s="15" t="s">
        <v>58</v>
      </c>
      <c r="B2" s="31" t="s">
        <v>3</v>
      </c>
      <c r="C2" s="31" t="s">
        <v>4</v>
      </c>
      <c r="D2" s="31" t="s">
        <v>5</v>
      </c>
      <c r="E2" s="31" t="s">
        <v>6</v>
      </c>
      <c r="F2" s="31" t="s">
        <v>7</v>
      </c>
      <c r="G2" s="31" t="s">
        <v>8</v>
      </c>
      <c r="H2" s="31" t="s">
        <v>9</v>
      </c>
      <c r="I2" s="31" t="s">
        <v>10</v>
      </c>
      <c r="J2" s="31" t="s">
        <v>11</v>
      </c>
      <c r="K2" s="31" t="s">
        <v>12</v>
      </c>
      <c r="L2" s="31" t="s">
        <v>13</v>
      </c>
      <c r="N2" s="31" t="s">
        <v>140</v>
      </c>
      <c r="O2" s="31" t="s">
        <v>141</v>
      </c>
      <c r="P2" s="31" t="s">
        <v>142</v>
      </c>
    </row>
    <row r="3" spans="1:16" x14ac:dyDescent="0.25">
      <c r="A3" s="17" t="s">
        <v>14</v>
      </c>
      <c r="B3" s="19">
        <v>215.2</v>
      </c>
      <c r="C3" s="19">
        <v>350.4</v>
      </c>
      <c r="D3" s="19">
        <v>663.1</v>
      </c>
      <c r="E3" s="19">
        <v>1047.0999999999999</v>
      </c>
      <c r="F3" s="19">
        <v>1020.5</v>
      </c>
      <c r="G3" s="19">
        <v>1899.1</v>
      </c>
      <c r="H3" s="19">
        <v>2071.8000000000002</v>
      </c>
      <c r="I3" s="19">
        <v>2796.8</v>
      </c>
      <c r="J3" s="19">
        <v>2393.3000000000002</v>
      </c>
      <c r="K3" s="19">
        <v>2329.5</v>
      </c>
      <c r="L3" s="19">
        <v>1988.5</v>
      </c>
    </row>
    <row r="4" spans="1:16" x14ac:dyDescent="0.25">
      <c r="A4" s="15" t="s">
        <v>59</v>
      </c>
      <c r="B4" s="19" t="s">
        <v>15</v>
      </c>
      <c r="C4" s="19" t="s">
        <v>15</v>
      </c>
      <c r="D4" s="19" t="s">
        <v>15</v>
      </c>
      <c r="E4" s="19" t="s">
        <v>15</v>
      </c>
      <c r="F4" s="19" t="s">
        <v>15</v>
      </c>
      <c r="G4" s="19" t="s">
        <v>15</v>
      </c>
      <c r="H4" s="19" t="s">
        <v>15</v>
      </c>
      <c r="I4" s="19">
        <v>14.9</v>
      </c>
      <c r="J4" s="19">
        <v>-17.100000000000001</v>
      </c>
      <c r="K4" s="19">
        <v>-6.8</v>
      </c>
      <c r="L4" s="19">
        <v>20.100000000000001</v>
      </c>
    </row>
    <row r="5" spans="1:16" x14ac:dyDescent="0.25">
      <c r="A5" s="15" t="s">
        <v>60</v>
      </c>
      <c r="B5" s="19">
        <v>41.8</v>
      </c>
      <c r="C5" s="19">
        <v>83</v>
      </c>
      <c r="D5" s="19">
        <v>158.6</v>
      </c>
      <c r="E5" s="19">
        <v>316.8</v>
      </c>
      <c r="F5" s="19">
        <v>311.10000000000002</v>
      </c>
      <c r="G5" s="19">
        <v>459.5</v>
      </c>
      <c r="H5" s="19">
        <v>457.4</v>
      </c>
      <c r="I5" s="19">
        <v>450.6</v>
      </c>
      <c r="J5" s="19">
        <v>408.2</v>
      </c>
      <c r="K5" s="19">
        <v>512.20000000000005</v>
      </c>
      <c r="L5" s="19">
        <v>460.2</v>
      </c>
    </row>
    <row r="6" spans="1:16" x14ac:dyDescent="0.25">
      <c r="A6" s="17" t="s">
        <v>55</v>
      </c>
      <c r="B6" s="19">
        <v>17</v>
      </c>
      <c r="C6" s="19">
        <v>46.4</v>
      </c>
      <c r="D6" s="19">
        <v>123.2</v>
      </c>
      <c r="E6" s="19">
        <v>190.1</v>
      </c>
      <c r="F6" s="19">
        <v>190</v>
      </c>
      <c r="G6" s="19">
        <v>309.60000000000002</v>
      </c>
      <c r="H6" s="19">
        <v>318.8</v>
      </c>
      <c r="I6" s="19">
        <v>287.5</v>
      </c>
      <c r="J6" s="19">
        <v>223</v>
      </c>
      <c r="K6" s="19">
        <v>396.6</v>
      </c>
      <c r="L6" s="19">
        <v>346.4</v>
      </c>
    </row>
    <row r="7" spans="1:16" x14ac:dyDescent="0.25">
      <c r="A7" s="15" t="s">
        <v>56</v>
      </c>
      <c r="B7" s="19">
        <v>12</v>
      </c>
      <c r="C7" s="19">
        <v>38.6</v>
      </c>
      <c r="D7" s="19">
        <v>111.6</v>
      </c>
      <c r="E7" s="19">
        <v>166.6</v>
      </c>
      <c r="F7" s="19">
        <v>167.5</v>
      </c>
      <c r="G7" s="19">
        <v>277.3</v>
      </c>
      <c r="H7" s="19">
        <v>257.3</v>
      </c>
      <c r="I7" s="19">
        <v>200.9</v>
      </c>
      <c r="J7" s="19">
        <v>128.69999999999999</v>
      </c>
      <c r="K7" s="19">
        <v>328.3</v>
      </c>
      <c r="L7" s="19">
        <v>287.2</v>
      </c>
    </row>
    <row r="8" spans="1:16" x14ac:dyDescent="0.25">
      <c r="A8" s="17" t="s">
        <v>61</v>
      </c>
      <c r="B8" s="19">
        <v>1.3</v>
      </c>
      <c r="C8" s="19">
        <v>19.5</v>
      </c>
      <c r="D8" s="19">
        <v>83.2</v>
      </c>
      <c r="E8" s="19">
        <v>135.5</v>
      </c>
      <c r="F8" s="19">
        <v>152</v>
      </c>
      <c r="G8" s="19">
        <v>226.3</v>
      </c>
      <c r="H8" s="19">
        <v>206.7</v>
      </c>
      <c r="I8" s="19">
        <v>111.6</v>
      </c>
      <c r="J8" s="19">
        <v>-98.3</v>
      </c>
      <c r="K8" s="19">
        <v>106.9</v>
      </c>
      <c r="L8" s="19">
        <v>225.2</v>
      </c>
    </row>
    <row r="9" spans="1:16" x14ac:dyDescent="0.25">
      <c r="A9" s="15" t="s">
        <v>62</v>
      </c>
      <c r="B9" s="18">
        <v>0.19400000000000001</v>
      </c>
      <c r="C9" s="18">
        <v>0.23699999999999999</v>
      </c>
      <c r="D9" s="18">
        <v>0.23899999999999999</v>
      </c>
      <c r="E9" s="18">
        <v>0.30299999999999999</v>
      </c>
      <c r="F9" s="18">
        <v>0.30499999999999999</v>
      </c>
      <c r="G9" s="18">
        <v>0.24199999999999999</v>
      </c>
      <c r="H9" s="18">
        <v>0.221</v>
      </c>
      <c r="I9" s="18">
        <v>0.161</v>
      </c>
      <c r="J9" s="18">
        <v>0.17100000000000001</v>
      </c>
      <c r="K9" s="18">
        <v>0.22</v>
      </c>
      <c r="L9" s="18">
        <v>0.23100000000000001</v>
      </c>
    </row>
    <row r="10" spans="1:16" x14ac:dyDescent="0.25">
      <c r="A10" s="15" t="s">
        <v>26</v>
      </c>
      <c r="B10" s="18">
        <v>7.9000000000000001E-2</v>
      </c>
      <c r="C10" s="18">
        <v>0.13200000000000001</v>
      </c>
      <c r="D10" s="18">
        <v>0.186</v>
      </c>
      <c r="E10" s="18">
        <v>0.182</v>
      </c>
      <c r="F10" s="18">
        <v>0.186</v>
      </c>
      <c r="G10" s="18">
        <v>0.16300000000000001</v>
      </c>
      <c r="H10" s="18">
        <v>0.154</v>
      </c>
      <c r="I10" s="18">
        <v>0.10299999999999999</v>
      </c>
      <c r="J10" s="18">
        <v>9.2999999999999999E-2</v>
      </c>
      <c r="K10" s="18">
        <v>0.17</v>
      </c>
      <c r="L10" s="18">
        <v>0.17399999999999999</v>
      </c>
    </row>
    <row r="11" spans="1:16" x14ac:dyDescent="0.25">
      <c r="A11" s="15" t="s">
        <v>27</v>
      </c>
      <c r="B11" s="18">
        <v>6.0000000000000001E-3</v>
      </c>
      <c r="C11" s="18">
        <v>5.6000000000000001E-2</v>
      </c>
      <c r="D11" s="18">
        <v>0.126</v>
      </c>
      <c r="E11" s="18">
        <v>0.129</v>
      </c>
      <c r="F11" s="18">
        <v>0.14899999999999999</v>
      </c>
      <c r="G11" s="18">
        <v>0.11899999999999999</v>
      </c>
      <c r="H11" s="18">
        <v>0.1</v>
      </c>
      <c r="I11" s="18">
        <v>0.04</v>
      </c>
      <c r="J11" s="18">
        <v>-4.1000000000000002E-2</v>
      </c>
      <c r="K11" s="18">
        <v>4.5999999999999999E-2</v>
      </c>
      <c r="L11" s="18">
        <v>0.113</v>
      </c>
    </row>
    <row r="12" spans="1:16" x14ac:dyDescent="0.25">
      <c r="A12" s="15" t="s">
        <v>57</v>
      </c>
      <c r="B12" s="19" t="s">
        <v>15</v>
      </c>
      <c r="C12" s="19" t="s">
        <v>15</v>
      </c>
      <c r="D12">
        <v>2.08</v>
      </c>
      <c r="E12">
        <v>1.97</v>
      </c>
      <c r="F12">
        <v>2.2000000000000002</v>
      </c>
      <c r="G12">
        <v>3.03</v>
      </c>
      <c r="H12">
        <v>2.61</v>
      </c>
      <c r="I12">
        <v>1.4</v>
      </c>
      <c r="J12">
        <v>-1.23</v>
      </c>
      <c r="K12">
        <v>1.34</v>
      </c>
      <c r="L12">
        <v>2.83</v>
      </c>
      <c r="N12" s="29">
        <f>AVERAGE(F12:L12)</f>
        <v>1.74</v>
      </c>
      <c r="O12" s="29">
        <f>STDEV(F12:L12)</f>
        <v>1.4672650294567327</v>
      </c>
      <c r="P12" s="28">
        <f>O12/N12</f>
        <v>0.84325576405559344</v>
      </c>
    </row>
    <row r="13" spans="1:16" ht="13.8" x14ac:dyDescent="0.25">
      <c r="A13" s="14" t="s">
        <v>1</v>
      </c>
      <c r="I13">
        <f>MAX(0,0.25/I12)</f>
        <v>0.17857142857142858</v>
      </c>
      <c r="J13">
        <f t="shared" ref="J13:L13" si="0">MAX(0,0.25/J12)</f>
        <v>0</v>
      </c>
      <c r="K13">
        <f t="shared" si="0"/>
        <v>0.18656716417910446</v>
      </c>
      <c r="L13">
        <f t="shared" si="0"/>
        <v>8.8339222614840993E-2</v>
      </c>
      <c r="N13" s="29">
        <f>AVERAGE(F13:L13)</f>
        <v>0.11336945384134352</v>
      </c>
      <c r="O13" s="29">
        <f>STDEV(F13:L13)</f>
        <v>8.7727509647639604E-2</v>
      </c>
      <c r="P13" s="28">
        <f>O13/N13</f>
        <v>0.77381963725794345</v>
      </c>
    </row>
    <row r="14" spans="1:16" x14ac:dyDescent="0.25">
      <c r="A14" s="15" t="s">
        <v>63</v>
      </c>
      <c r="B14" s="31" t="s">
        <v>3</v>
      </c>
      <c r="C14" s="31" t="s">
        <v>4</v>
      </c>
      <c r="D14" s="31" t="s">
        <v>5</v>
      </c>
      <c r="E14" s="31" t="s">
        <v>6</v>
      </c>
      <c r="F14" s="31" t="s">
        <v>7</v>
      </c>
      <c r="G14" s="31" t="s">
        <v>8</v>
      </c>
      <c r="H14" s="31" t="s">
        <v>9</v>
      </c>
      <c r="I14" s="31" t="s">
        <v>10</v>
      </c>
      <c r="J14" s="31" t="s">
        <v>11</v>
      </c>
      <c r="K14" s="31" t="s">
        <v>12</v>
      </c>
      <c r="L14" s="31" t="s">
        <v>13</v>
      </c>
    </row>
    <row r="15" spans="1:16" x14ac:dyDescent="0.25">
      <c r="A15" s="17" t="s">
        <v>64</v>
      </c>
      <c r="B15" s="19">
        <v>16.600000000000001</v>
      </c>
      <c r="C15" s="19">
        <v>45.4</v>
      </c>
      <c r="D15" s="19">
        <v>116.1</v>
      </c>
      <c r="E15" s="19">
        <v>188.2</v>
      </c>
      <c r="F15" s="19">
        <v>205.7</v>
      </c>
      <c r="G15" s="19">
        <v>275.2</v>
      </c>
      <c r="H15" s="19">
        <v>291.39999999999998</v>
      </c>
      <c r="I15" s="19">
        <v>288</v>
      </c>
      <c r="J15" s="19">
        <v>195.5</v>
      </c>
      <c r="K15" s="19">
        <v>338.7</v>
      </c>
      <c r="L15" s="19">
        <v>330.5</v>
      </c>
    </row>
    <row r="16" spans="1:16" x14ac:dyDescent="0.25">
      <c r="A16" s="15" t="s">
        <v>65</v>
      </c>
      <c r="B16" s="19">
        <v>-35.799999999999997</v>
      </c>
      <c r="C16" s="19">
        <v>-14.7</v>
      </c>
      <c r="D16" s="19">
        <v>-210.3</v>
      </c>
      <c r="E16" s="19">
        <v>-25</v>
      </c>
      <c r="F16" s="19">
        <v>-97.4</v>
      </c>
      <c r="G16" s="19">
        <v>-180.1</v>
      </c>
      <c r="H16" s="19">
        <v>-242.1</v>
      </c>
      <c r="I16" s="19">
        <v>135.4</v>
      </c>
      <c r="J16" s="19">
        <v>-0.9</v>
      </c>
      <c r="K16" s="19">
        <v>147.4</v>
      </c>
      <c r="L16" s="19">
        <v>-136.30000000000001</v>
      </c>
    </row>
    <row r="17" spans="1:12" x14ac:dyDescent="0.25">
      <c r="A17" s="17" t="s">
        <v>66</v>
      </c>
      <c r="B17" s="19">
        <v>-19.3</v>
      </c>
      <c r="C17" s="19">
        <v>30.7</v>
      </c>
      <c r="D17" s="19">
        <v>-94.1</v>
      </c>
      <c r="E17" s="19">
        <v>163.19999999999999</v>
      </c>
      <c r="F17" s="19">
        <v>108.4</v>
      </c>
      <c r="G17" s="19">
        <v>95.1</v>
      </c>
      <c r="H17" s="19">
        <v>49.3</v>
      </c>
      <c r="I17" s="19">
        <v>423.5</v>
      </c>
      <c r="J17" s="19">
        <v>194.7</v>
      </c>
      <c r="K17" s="19">
        <v>486.1</v>
      </c>
      <c r="L17" s="19">
        <v>194.1</v>
      </c>
    </row>
    <row r="18" spans="1:12" x14ac:dyDescent="0.25">
      <c r="A18" s="15" t="s">
        <v>67</v>
      </c>
      <c r="B18" s="19">
        <v>-9.4</v>
      </c>
      <c r="C18" s="19">
        <v>-18.399999999999999</v>
      </c>
      <c r="D18" s="19">
        <v>-28.1</v>
      </c>
      <c r="E18" s="19">
        <v>-32.200000000000003</v>
      </c>
      <c r="F18" s="19">
        <v>-22.8</v>
      </c>
      <c r="G18" s="19">
        <v>-36</v>
      </c>
      <c r="H18" s="19">
        <v>-66.8</v>
      </c>
      <c r="I18" s="19">
        <v>-76.2</v>
      </c>
      <c r="J18" s="19">
        <v>-72</v>
      </c>
      <c r="K18" s="19">
        <v>-68.400000000000006</v>
      </c>
      <c r="L18" s="19">
        <v>-57.6</v>
      </c>
    </row>
    <row r="19" spans="1:12" x14ac:dyDescent="0.25">
      <c r="A19" s="15" t="s">
        <v>30</v>
      </c>
      <c r="B19" s="19">
        <v>-0.4</v>
      </c>
      <c r="C19" s="19">
        <v>-0.7</v>
      </c>
      <c r="D19" s="19">
        <v>-3.4</v>
      </c>
      <c r="E19" s="19">
        <v>-1.7</v>
      </c>
      <c r="F19" s="19">
        <v>-0.8</v>
      </c>
      <c r="G19" s="19">
        <v>-3</v>
      </c>
      <c r="H19" s="19">
        <v>-6.5</v>
      </c>
      <c r="I19" s="19">
        <v>-43.4</v>
      </c>
      <c r="J19" s="19">
        <v>-40.200000000000003</v>
      </c>
      <c r="K19" s="19">
        <v>-13</v>
      </c>
      <c r="L19" s="19">
        <v>-2.8</v>
      </c>
    </row>
    <row r="20" spans="1:12" x14ac:dyDescent="0.25">
      <c r="A20" s="17" t="s">
        <v>68</v>
      </c>
      <c r="B20" s="19">
        <v>-29</v>
      </c>
      <c r="C20" s="19">
        <v>11.6</v>
      </c>
      <c r="D20" s="19">
        <v>-125.6</v>
      </c>
      <c r="E20" s="19">
        <v>129.30000000000001</v>
      </c>
      <c r="F20" s="19">
        <v>84.8</v>
      </c>
      <c r="G20" s="19">
        <v>56.1</v>
      </c>
      <c r="H20" s="19">
        <v>-24</v>
      </c>
      <c r="I20" s="19">
        <v>303.89999999999998</v>
      </c>
      <c r="J20" s="19">
        <v>82.5</v>
      </c>
      <c r="K20" s="19">
        <v>404.7</v>
      </c>
      <c r="L20" s="19">
        <v>133.69999999999999</v>
      </c>
    </row>
    <row r="21" spans="1:12" x14ac:dyDescent="0.25">
      <c r="A21" s="15" t="s">
        <v>69</v>
      </c>
      <c r="B21" s="19">
        <v>-6</v>
      </c>
      <c r="C21" s="19">
        <v>2.2000000000000002</v>
      </c>
      <c r="D21" s="19">
        <v>-24.4</v>
      </c>
      <c r="E21" s="19">
        <v>-88.6</v>
      </c>
      <c r="F21" s="19">
        <v>-56.2</v>
      </c>
      <c r="G21" s="19">
        <v>-48.1</v>
      </c>
      <c r="H21" s="19">
        <v>-93.1</v>
      </c>
      <c r="I21" s="19">
        <v>-90.9</v>
      </c>
      <c r="J21" s="19">
        <v>-41.7</v>
      </c>
      <c r="K21" s="19">
        <v>-22.7</v>
      </c>
      <c r="L21" s="19">
        <v>-30.4</v>
      </c>
    </row>
    <row r="22" spans="1:12" x14ac:dyDescent="0.25">
      <c r="A22" s="15" t="s">
        <v>70</v>
      </c>
      <c r="B22" s="19">
        <v>0.6</v>
      </c>
      <c r="C22" s="19">
        <v>0.3</v>
      </c>
      <c r="D22" s="19">
        <v>-48.5</v>
      </c>
      <c r="E22" s="19">
        <v>-1.2</v>
      </c>
      <c r="F22" s="19">
        <v>0.8</v>
      </c>
      <c r="G22" s="19">
        <v>-66.5</v>
      </c>
      <c r="H22" s="19">
        <v>-1.6</v>
      </c>
      <c r="I22" s="19">
        <v>-23.1</v>
      </c>
      <c r="J22" s="19">
        <v>-0.5</v>
      </c>
      <c r="K22" s="19">
        <v>-4.0999999999999996</v>
      </c>
      <c r="L22" s="19">
        <v>-0.5</v>
      </c>
    </row>
    <row r="23" spans="1:12" x14ac:dyDescent="0.25">
      <c r="A23" s="15" t="s">
        <v>71</v>
      </c>
      <c r="B23" s="19" t="s">
        <v>15</v>
      </c>
      <c r="C23" s="19">
        <v>-59.7</v>
      </c>
      <c r="D23" s="19">
        <v>-97.2</v>
      </c>
      <c r="E23" s="19">
        <v>-5.5</v>
      </c>
      <c r="F23" s="19">
        <v>-70.2</v>
      </c>
      <c r="G23" s="19">
        <v>-11.5</v>
      </c>
      <c r="H23" s="19">
        <v>-134.5</v>
      </c>
      <c r="I23" s="19">
        <v>-152.1</v>
      </c>
      <c r="J23" s="19">
        <v>-41</v>
      </c>
      <c r="K23" s="19">
        <v>2.5</v>
      </c>
      <c r="L23" s="19">
        <v>-29.9</v>
      </c>
    </row>
    <row r="24" spans="1:12" x14ac:dyDescent="0.25">
      <c r="A24" s="17" t="s">
        <v>72</v>
      </c>
      <c r="B24" s="19">
        <v>-5.4</v>
      </c>
      <c r="C24" s="19">
        <v>-57.2</v>
      </c>
      <c r="D24" s="19">
        <v>-170.1</v>
      </c>
      <c r="E24" s="19">
        <v>-95.3</v>
      </c>
      <c r="F24" s="19">
        <v>-125.6</v>
      </c>
      <c r="G24" s="19">
        <v>-126.1</v>
      </c>
      <c r="H24" s="19">
        <v>-229.2</v>
      </c>
      <c r="I24" s="19">
        <v>-266.10000000000002</v>
      </c>
      <c r="J24" s="19">
        <v>-83.2</v>
      </c>
      <c r="K24" s="19">
        <v>-24.3</v>
      </c>
      <c r="L24" s="19">
        <v>-60.7</v>
      </c>
    </row>
    <row r="25" spans="1:12" x14ac:dyDescent="0.25">
      <c r="A25" s="17" t="s">
        <v>73</v>
      </c>
      <c r="B25" s="19">
        <v>-34.4</v>
      </c>
      <c r="C25" s="19">
        <v>-45.7</v>
      </c>
      <c r="D25" s="19">
        <v>-295.7</v>
      </c>
      <c r="E25" s="19">
        <v>34</v>
      </c>
      <c r="F25" s="19">
        <v>-40.9</v>
      </c>
      <c r="G25" s="19">
        <v>-69.900000000000006</v>
      </c>
      <c r="H25" s="19">
        <v>-253.2</v>
      </c>
      <c r="I25" s="19">
        <v>37.799999999999997</v>
      </c>
      <c r="J25" s="19">
        <v>-0.7</v>
      </c>
      <c r="K25" s="19">
        <v>380.4</v>
      </c>
      <c r="L25" s="19">
        <v>73</v>
      </c>
    </row>
    <row r="27" spans="1:12" x14ac:dyDescent="0.25">
      <c r="A27" s="26" t="s">
        <v>136</v>
      </c>
      <c r="B27" s="26"/>
      <c r="C27" s="27">
        <f>-2*C18/('Balance sheet'!C22+'Balance sheet'!B22)</f>
        <v>0.14580031695721077</v>
      </c>
      <c r="D27" s="27">
        <f>-2*D18/('Balance sheet'!D22+'Balance sheet'!C22)</f>
        <v>0.13477218225419665</v>
      </c>
      <c r="E27" s="27">
        <f>-2*E18/('Balance sheet'!E22+'Balance sheet'!D22)</f>
        <v>0.11535017015941253</v>
      </c>
      <c r="F27" s="27">
        <f>-2*F18/('Balance sheet'!F22+'Balance sheet'!E22)</f>
        <v>7.0164640713955992E-2</v>
      </c>
      <c r="G27" s="27">
        <f>-2*G18/('Balance sheet'!G22+'Balance sheet'!F22)</f>
        <v>9.255688391824142E-2</v>
      </c>
      <c r="H27" s="27">
        <f>-2*H18/('Balance sheet'!H22+'Balance sheet'!G22)</f>
        <v>0.11867116717001243</v>
      </c>
      <c r="I27" s="27">
        <f>-2*I18/('Balance sheet'!I22+'Balance sheet'!H22)</f>
        <v>0.10640971931294514</v>
      </c>
      <c r="J27" s="27">
        <f>-2*J18/('Balance sheet'!J22+'Balance sheet'!I22)</f>
        <v>9.7080833277152292E-2</v>
      </c>
      <c r="K27" s="27">
        <f>-2*K18/('Balance sheet'!K22+'Balance sheet'!J22)</f>
        <v>0.11232449297971919</v>
      </c>
      <c r="L27" s="27">
        <f>-2*L18/('Balance sheet'!L22+'Balance sheet'!K22)</f>
        <v>0.14194184327254805</v>
      </c>
    </row>
    <row r="29" spans="1:12" x14ac:dyDescent="0.25">
      <c r="A29" t="s">
        <v>27</v>
      </c>
      <c r="B29" s="28">
        <f>B8/B3</f>
        <v>6.0408921933085506E-3</v>
      </c>
      <c r="C29" s="28">
        <f t="shared" ref="C29:L29" si="1">C8/C3</f>
        <v>5.565068493150685E-2</v>
      </c>
      <c r="D29" s="28">
        <f t="shared" si="1"/>
        <v>0.12547127130146282</v>
      </c>
      <c r="E29" s="28">
        <f t="shared" si="1"/>
        <v>0.12940502339795626</v>
      </c>
      <c r="F29" s="28">
        <f t="shared" si="1"/>
        <v>0.14894659480646741</v>
      </c>
      <c r="G29" s="28">
        <f t="shared" si="1"/>
        <v>0.11916170817755781</v>
      </c>
      <c r="H29" s="28">
        <f t="shared" si="1"/>
        <v>9.9768317405154919E-2</v>
      </c>
      <c r="I29" s="28">
        <f t="shared" si="1"/>
        <v>3.9902745995423337E-2</v>
      </c>
      <c r="J29" s="28">
        <f t="shared" si="1"/>
        <v>-4.1072995445619015E-2</v>
      </c>
      <c r="K29" s="28">
        <f t="shared" si="1"/>
        <v>4.5889675896115048E-2</v>
      </c>
      <c r="L29" s="28">
        <f t="shared" si="1"/>
        <v>0.11325119436761377</v>
      </c>
    </row>
    <row r="30" spans="1:12" x14ac:dyDescent="0.25">
      <c r="A30" t="s">
        <v>137</v>
      </c>
      <c r="C30" s="19">
        <f>2*C3/('Balance sheet'!C12+'Balance sheet'!B12)</f>
        <v>1.6263634253887211</v>
      </c>
      <c r="D30" s="19">
        <f>2*D3/('Balance sheet'!D12+'Balance sheet'!C12)</f>
        <v>1.2866983603376345</v>
      </c>
      <c r="E30" s="19">
        <f>2*E3/('Balance sheet'!E12+'Balance sheet'!D12)</f>
        <v>1.4390160104445815</v>
      </c>
      <c r="F30" s="19">
        <f>2*F3/('Balance sheet'!F12+'Balance sheet'!E12)</f>
        <v>1.1186626473006303</v>
      </c>
      <c r="G30" s="19">
        <f>2*G3/('Balance sheet'!G12+'Balance sheet'!F12)</f>
        <v>1.4080966856973383</v>
      </c>
      <c r="H30" s="19">
        <f>2*H3/('Balance sheet'!H12+'Balance sheet'!G12)</f>
        <v>1.1232312279750611</v>
      </c>
      <c r="I30" s="19">
        <f>2*I3/('Balance sheet'!I12+'Balance sheet'!H12)</f>
        <v>1.2491290754801252</v>
      </c>
      <c r="J30" s="19">
        <f>2*J3/('Balance sheet'!J12+'Balance sheet'!I12)</f>
        <v>1.1182077278886138</v>
      </c>
      <c r="K30" s="19">
        <f>2*K3/('Balance sheet'!K12+'Balance sheet'!J12)</f>
        <v>1.3765289842226556</v>
      </c>
      <c r="L30" s="19">
        <f>2*L3/('Balance sheet'!L12+'Balance sheet'!K12)</f>
        <v>1.3368067226890756</v>
      </c>
    </row>
    <row r="31" spans="1:12" x14ac:dyDescent="0.25">
      <c r="A31" t="s">
        <v>138</v>
      </c>
      <c r="C31" s="29">
        <f>('Balance sheet'!C12+'Balance sheet'!B12)/('Balance sheet'!C19+'Balance sheet'!B19)</f>
        <v>3.2422874341610233</v>
      </c>
      <c r="D31" s="29">
        <f>('Balance sheet'!D12+'Balance sheet'!C12)/('Balance sheet'!D19+'Balance sheet'!C19)</f>
        <v>1.9606239299980981</v>
      </c>
      <c r="E31" s="29">
        <f>('Balance sheet'!E12+'Balance sheet'!D12)/('Balance sheet'!E19+'Balance sheet'!D19)</f>
        <v>1.823912771023938</v>
      </c>
      <c r="F31" s="29">
        <f>('Balance sheet'!F12+'Balance sheet'!E12)/('Balance sheet'!F19+'Balance sheet'!E19)</f>
        <v>1.8957813798836243</v>
      </c>
      <c r="G31" s="29">
        <f>('Balance sheet'!G12+'Balance sheet'!F12)/('Balance sheet'!G19+'Balance sheet'!F19)</f>
        <v>1.6835601048558233</v>
      </c>
      <c r="H31" s="29">
        <f>('Balance sheet'!H12+'Balance sheet'!G12)/('Balance sheet'!H19+'Balance sheet'!G19)</f>
        <v>1.6707427536231885</v>
      </c>
      <c r="I31" s="29">
        <f>('Balance sheet'!I12+'Balance sheet'!H12)/('Balance sheet'!I19+'Balance sheet'!H19)</f>
        <v>1.7471712836519704</v>
      </c>
      <c r="J31" s="29">
        <f>('Balance sheet'!J12+'Balance sheet'!I12)/('Balance sheet'!J19+'Balance sheet'!I19)</f>
        <v>1.7963071758287874</v>
      </c>
      <c r="K31" s="29">
        <f>('Balance sheet'!K12+'Balance sheet'!J12)/('Balance sheet'!K19+'Balance sheet'!J19)</f>
        <v>1.7614363778298203</v>
      </c>
      <c r="L31" s="29">
        <f>('Balance sheet'!L12+'Balance sheet'!K12)/('Balance sheet'!L19+'Balance sheet'!K19)</f>
        <v>1.5758249907304411</v>
      </c>
    </row>
    <row r="32" spans="1:12" ht="3.6" customHeight="1" x14ac:dyDescent="0.25"/>
    <row r="33" spans="1:14" x14ac:dyDescent="0.25">
      <c r="A33" t="s">
        <v>139</v>
      </c>
      <c r="C33" s="28">
        <f>C29*C30*C31</f>
        <v>0.2934537246049661</v>
      </c>
      <c r="D33" s="28">
        <f t="shared" ref="D33:L33" si="2">D29*D30*D31</f>
        <v>0.31653034049838313</v>
      </c>
      <c r="E33" s="28">
        <f t="shared" si="2"/>
        <v>0.33964155909261806</v>
      </c>
      <c r="F33" s="28">
        <f t="shared" si="2"/>
        <v>0.3158769742310889</v>
      </c>
      <c r="G33" s="28">
        <f t="shared" si="2"/>
        <v>0.28248658095119217</v>
      </c>
      <c r="H33" s="28">
        <f t="shared" si="2"/>
        <v>0.18722826086956523</v>
      </c>
      <c r="I33" s="28">
        <f t="shared" si="2"/>
        <v>8.7085446742099115E-2</v>
      </c>
      <c r="J33" s="28">
        <f t="shared" si="2"/>
        <v>-8.2501049097775919E-2</v>
      </c>
      <c r="K33" s="28">
        <f t="shared" si="2"/>
        <v>0.11126723913609159</v>
      </c>
      <c r="L33" s="28">
        <f t="shared" si="2"/>
        <v>0.23857195826050107</v>
      </c>
      <c r="N33" s="28">
        <f t="array" ref="N33">PRODUCT(1+H33:L33)^(1/COUNT(H33:L33))-1</f>
        <v>0.10262706315333392</v>
      </c>
    </row>
    <row r="34" spans="1:14" x14ac:dyDescent="0.25">
      <c r="L34" s="30" t="s">
        <v>156</v>
      </c>
      <c r="M34" s="30"/>
      <c r="N34" s="47">
        <f t="array" ref="N34">PRODUCT(1+I33:L33)^(1/COUNT(I33:L33))-1</f>
        <v>8.2436063282198102E-2</v>
      </c>
    </row>
    <row r="35" spans="1:14" x14ac:dyDescent="0.25">
      <c r="A35" t="s">
        <v>154</v>
      </c>
      <c r="D35">
        <v>0.8</v>
      </c>
      <c r="E35">
        <v>2.2999999999999998</v>
      </c>
      <c r="F35">
        <v>2.2000000000000002</v>
      </c>
      <c r="G35">
        <v>1.8</v>
      </c>
      <c r="H35">
        <v>2.1</v>
      </c>
      <c r="L35" s="30" t="s">
        <v>157</v>
      </c>
      <c r="M35" s="30"/>
      <c r="N35" s="47">
        <f>N13</f>
        <v>0.11336945384134352</v>
      </c>
    </row>
    <row r="36" spans="1:14" x14ac:dyDescent="0.25">
      <c r="L36" s="30" t="s">
        <v>155</v>
      </c>
      <c r="M36" s="30"/>
      <c r="N36" s="47">
        <f>N34*(1-N35)</f>
        <v>7.3090331811064863E-2</v>
      </c>
    </row>
  </sheetData>
  <phoneticPr fontId="3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K9" sqref="K9"/>
    </sheetView>
  </sheetViews>
  <sheetFormatPr defaultRowHeight="13.2" x14ac:dyDescent="0.25"/>
  <cols>
    <col min="1" max="1" width="28.33203125" bestFit="1" customWidth="1"/>
  </cols>
  <sheetData>
    <row r="1" spans="1:13" ht="21" x14ac:dyDescent="0.4">
      <c r="A1" s="39" t="s">
        <v>143</v>
      </c>
      <c r="B1" s="32" t="s">
        <v>3</v>
      </c>
      <c r="C1" s="32" t="s">
        <v>4</v>
      </c>
      <c r="D1" s="32" t="s">
        <v>5</v>
      </c>
      <c r="E1" s="32" t="s">
        <v>6</v>
      </c>
      <c r="F1" s="32" t="s">
        <v>7</v>
      </c>
      <c r="G1" s="32" t="s">
        <v>8</v>
      </c>
      <c r="H1" s="32" t="s">
        <v>9</v>
      </c>
      <c r="I1" s="32" t="s">
        <v>10</v>
      </c>
      <c r="J1" s="32" t="s">
        <v>11</v>
      </c>
      <c r="K1" s="32" t="s">
        <v>12</v>
      </c>
      <c r="L1" s="32" t="s">
        <v>13</v>
      </c>
      <c r="M1" s="32" t="s">
        <v>148</v>
      </c>
    </row>
    <row r="2" spans="1:13" x14ac:dyDescent="0.25">
      <c r="A2" t="s">
        <v>144</v>
      </c>
      <c r="G2">
        <v>9</v>
      </c>
      <c r="H2">
        <v>28</v>
      </c>
      <c r="I2">
        <v>57</v>
      </c>
      <c r="J2">
        <v>161.6</v>
      </c>
      <c r="K2">
        <v>184.2</v>
      </c>
      <c r="L2">
        <v>160.69999999999999</v>
      </c>
      <c r="M2">
        <v>138.19999999999999</v>
      </c>
    </row>
    <row r="3" spans="1:13" x14ac:dyDescent="0.25">
      <c r="A3" t="s">
        <v>145</v>
      </c>
      <c r="G3">
        <v>22</v>
      </c>
      <c r="H3">
        <v>53</v>
      </c>
      <c r="I3">
        <v>60</v>
      </c>
      <c r="J3">
        <v>33.6</v>
      </c>
      <c r="K3">
        <v>30.7</v>
      </c>
      <c r="L3">
        <v>72.5</v>
      </c>
      <c r="M3">
        <v>82.4</v>
      </c>
    </row>
    <row r="4" spans="1:13" x14ac:dyDescent="0.25">
      <c r="A4" t="s">
        <v>146</v>
      </c>
      <c r="G4">
        <v>17</v>
      </c>
      <c r="H4">
        <v>28</v>
      </c>
      <c r="I4">
        <v>38</v>
      </c>
      <c r="J4">
        <v>102.8</v>
      </c>
      <c r="K4">
        <v>69.5</v>
      </c>
      <c r="L4">
        <v>62</v>
      </c>
      <c r="M4">
        <v>81.400000000000006</v>
      </c>
    </row>
    <row r="5" spans="1:13" x14ac:dyDescent="0.25">
      <c r="A5" t="s">
        <v>147</v>
      </c>
      <c r="G5">
        <v>18</v>
      </c>
      <c r="H5">
        <v>29</v>
      </c>
      <c r="I5">
        <v>54</v>
      </c>
      <c r="J5">
        <v>61.2</v>
      </c>
      <c r="K5">
        <v>66.5</v>
      </c>
      <c r="L5">
        <v>66.900000000000006</v>
      </c>
      <c r="M5">
        <v>58.2</v>
      </c>
    </row>
    <row r="6" spans="1:13" x14ac:dyDescent="0.25">
      <c r="A6" t="s">
        <v>185</v>
      </c>
      <c r="J6">
        <v>5.2</v>
      </c>
      <c r="K6">
        <v>0</v>
      </c>
      <c r="L6">
        <v>9.6</v>
      </c>
      <c r="M6">
        <v>2.6</v>
      </c>
    </row>
    <row r="7" spans="1:13" x14ac:dyDescent="0.25">
      <c r="A7" t="s">
        <v>150</v>
      </c>
      <c r="G7">
        <v>19</v>
      </c>
      <c r="H7">
        <v>45</v>
      </c>
      <c r="I7">
        <v>38</v>
      </c>
      <c r="J7">
        <v>22.7</v>
      </c>
      <c r="K7">
        <v>21.7</v>
      </c>
      <c r="L7">
        <v>14.5</v>
      </c>
      <c r="M7">
        <v>18.5</v>
      </c>
    </row>
    <row r="8" spans="1:13" ht="21" x14ac:dyDescent="0.4">
      <c r="A8" s="41" t="s">
        <v>153</v>
      </c>
      <c r="B8" s="32" t="s">
        <v>3</v>
      </c>
      <c r="C8" s="32" t="s">
        <v>4</v>
      </c>
      <c r="D8" s="32" t="s">
        <v>5</v>
      </c>
      <c r="E8" s="32" t="s">
        <v>6</v>
      </c>
      <c r="F8" s="32" t="s">
        <v>7</v>
      </c>
      <c r="G8" s="32" t="s">
        <v>8</v>
      </c>
      <c r="H8" s="32" t="s">
        <v>9</v>
      </c>
      <c r="I8" s="32" t="s">
        <v>10</v>
      </c>
      <c r="J8" s="32" t="s">
        <v>11</v>
      </c>
      <c r="K8" s="32" t="s">
        <v>12</v>
      </c>
      <c r="L8" s="32" t="s">
        <v>13</v>
      </c>
      <c r="M8" s="32" t="s">
        <v>148</v>
      </c>
    </row>
    <row r="9" spans="1:13" x14ac:dyDescent="0.25">
      <c r="A9" t="s">
        <v>144</v>
      </c>
      <c r="H9">
        <v>7.1</v>
      </c>
      <c r="I9">
        <v>4.5999999999999996</v>
      </c>
      <c r="J9">
        <v>5.5</v>
      </c>
      <c r="K9">
        <v>7.2</v>
      </c>
      <c r="L9">
        <v>7.3</v>
      </c>
      <c r="M9">
        <v>8.9</v>
      </c>
    </row>
    <row r="10" spans="1:13" x14ac:dyDescent="0.25">
      <c r="A10" t="s">
        <v>145</v>
      </c>
      <c r="H10">
        <v>3.7</v>
      </c>
      <c r="I10">
        <v>3.4</v>
      </c>
      <c r="J10">
        <v>4.3</v>
      </c>
      <c r="K10">
        <v>5.4</v>
      </c>
      <c r="L10">
        <v>5.0999999999999996</v>
      </c>
      <c r="M10">
        <v>5.8</v>
      </c>
    </row>
    <row r="11" spans="1:13" x14ac:dyDescent="0.25">
      <c r="A11" t="s">
        <v>146</v>
      </c>
      <c r="H11">
        <v>2.1</v>
      </c>
      <c r="I11">
        <v>1.7</v>
      </c>
      <c r="J11">
        <v>2.1</v>
      </c>
      <c r="K11">
        <v>2.5</v>
      </c>
      <c r="L11">
        <v>2.8</v>
      </c>
      <c r="M11">
        <v>3</v>
      </c>
    </row>
    <row r="12" spans="1:13" x14ac:dyDescent="0.25">
      <c r="A12" t="s">
        <v>147</v>
      </c>
      <c r="H12">
        <v>1.9</v>
      </c>
      <c r="I12">
        <v>1.3</v>
      </c>
      <c r="J12">
        <v>1.4</v>
      </c>
      <c r="K12">
        <v>1.8</v>
      </c>
      <c r="L12">
        <v>1.8</v>
      </c>
      <c r="M12">
        <v>2.9</v>
      </c>
    </row>
    <row r="13" spans="1:13" x14ac:dyDescent="0.25">
      <c r="A13" t="s">
        <v>185</v>
      </c>
      <c r="L13">
        <v>4.4000000000000004</v>
      </c>
      <c r="M13">
        <v>3</v>
      </c>
    </row>
    <row r="14" spans="1:13" x14ac:dyDescent="0.25">
      <c r="H14" s="43">
        <f>SUMPRODUCT(H2:H5,H9:H12)/SUM(H2:H5)</f>
        <v>3.68695652173913</v>
      </c>
      <c r="I14" s="43">
        <f>SUMPRODUCT(I2:I5,I9:I12)/SUM(I2:I5)</f>
        <v>2.8755980861244019</v>
      </c>
      <c r="J14" s="43">
        <f t="shared" ref="J14:M14" si="0">SUMPRODUCT(J2:J5,J9:J12)/SUM(J2:J5)</f>
        <v>3.7161469933184854</v>
      </c>
      <c r="K14" s="43">
        <f t="shared" si="0"/>
        <v>5.0882587631803933</v>
      </c>
      <c r="L14" s="43">
        <f t="shared" si="0"/>
        <v>5.0728528030930677</v>
      </c>
      <c r="M14" s="43">
        <f t="shared" si="0"/>
        <v>5.8880621876735155</v>
      </c>
    </row>
    <row r="15" spans="1:13" ht="21" x14ac:dyDescent="0.4">
      <c r="A15" s="42" t="s">
        <v>149</v>
      </c>
      <c r="B15" s="32" t="s">
        <v>3</v>
      </c>
      <c r="C15" s="32" t="s">
        <v>4</v>
      </c>
      <c r="D15" s="32" t="s">
        <v>5</v>
      </c>
      <c r="E15" s="32" t="s">
        <v>6</v>
      </c>
      <c r="F15" s="32" t="s">
        <v>7</v>
      </c>
      <c r="G15" s="32" t="s">
        <v>8</v>
      </c>
      <c r="H15" s="32" t="s">
        <v>9</v>
      </c>
      <c r="I15" s="32" t="s">
        <v>10</v>
      </c>
      <c r="J15" s="32" t="s">
        <v>11</v>
      </c>
      <c r="K15" s="32" t="s">
        <v>12</v>
      </c>
      <c r="L15" s="32" t="s">
        <v>13</v>
      </c>
      <c r="M15" s="32" t="s">
        <v>148</v>
      </c>
    </row>
    <row r="16" spans="1:13" x14ac:dyDescent="0.25">
      <c r="A16" t="s">
        <v>144</v>
      </c>
      <c r="J16">
        <v>133</v>
      </c>
      <c r="K16">
        <v>150</v>
      </c>
      <c r="L16">
        <v>146</v>
      </c>
    </row>
    <row r="17" spans="1:13" x14ac:dyDescent="0.25">
      <c r="A17" t="s">
        <v>145</v>
      </c>
      <c r="J17">
        <v>167</v>
      </c>
      <c r="K17">
        <v>173</v>
      </c>
      <c r="L17">
        <v>148</v>
      </c>
    </row>
    <row r="18" spans="1:13" x14ac:dyDescent="0.25">
      <c r="A18" t="s">
        <v>146</v>
      </c>
      <c r="J18">
        <v>325</v>
      </c>
      <c r="K18">
        <v>314</v>
      </c>
      <c r="L18">
        <v>347</v>
      </c>
    </row>
    <row r="19" spans="1:13" x14ac:dyDescent="0.25">
      <c r="A19" t="s">
        <v>147</v>
      </c>
      <c r="J19">
        <v>418</v>
      </c>
      <c r="K19">
        <v>397</v>
      </c>
      <c r="L19">
        <v>376</v>
      </c>
    </row>
    <row r="20" spans="1:13" x14ac:dyDescent="0.25">
      <c r="A20" s="30" t="s">
        <v>152</v>
      </c>
      <c r="H20" s="45">
        <v>350.2</v>
      </c>
      <c r="I20" s="45">
        <v>211.8</v>
      </c>
      <c r="J20" s="45">
        <v>-116.3</v>
      </c>
      <c r="K20" s="45">
        <v>254.6</v>
      </c>
      <c r="L20" s="45">
        <v>378</v>
      </c>
    </row>
    <row r="21" spans="1:13" ht="21" x14ac:dyDescent="0.4">
      <c r="A21" s="40" t="s">
        <v>151</v>
      </c>
      <c r="B21" s="32" t="s">
        <v>3</v>
      </c>
      <c r="C21" s="32" t="s">
        <v>4</v>
      </c>
      <c r="D21" s="32" t="s">
        <v>5</v>
      </c>
      <c r="E21" s="32" t="s">
        <v>6</v>
      </c>
      <c r="F21" s="32" t="s">
        <v>7</v>
      </c>
      <c r="G21" s="32" t="s">
        <v>8</v>
      </c>
      <c r="H21" s="32" t="s">
        <v>9</v>
      </c>
      <c r="I21" s="32" t="s">
        <v>10</v>
      </c>
      <c r="J21" s="32" t="s">
        <v>11</v>
      </c>
      <c r="K21" s="32" t="s">
        <v>12</v>
      </c>
      <c r="L21" s="32" t="s">
        <v>13</v>
      </c>
      <c r="M21" s="32" t="s">
        <v>148</v>
      </c>
    </row>
    <row r="22" spans="1:13" x14ac:dyDescent="0.25">
      <c r="A22" t="s">
        <v>144</v>
      </c>
      <c r="H22">
        <f>H2*H9</f>
        <v>198.79999999999998</v>
      </c>
      <c r="I22">
        <f>I2*I9</f>
        <v>262.2</v>
      </c>
      <c r="J22">
        <f t="shared" ref="J22:L22" si="1">J2*J9</f>
        <v>888.8</v>
      </c>
      <c r="K22">
        <f t="shared" si="1"/>
        <v>1326.24</v>
      </c>
      <c r="L22">
        <f t="shared" si="1"/>
        <v>1173.1099999999999</v>
      </c>
      <c r="M22">
        <f t="shared" ref="M22" si="2">M2*M9</f>
        <v>1229.98</v>
      </c>
    </row>
    <row r="23" spans="1:13" x14ac:dyDescent="0.25">
      <c r="A23" t="s">
        <v>145</v>
      </c>
      <c r="H23">
        <f t="shared" ref="H23" si="3">H3*H10</f>
        <v>196.10000000000002</v>
      </c>
      <c r="I23">
        <f t="shared" ref="I23:L23" si="4">I3*I10</f>
        <v>204</v>
      </c>
      <c r="J23">
        <f t="shared" si="4"/>
        <v>144.47999999999999</v>
      </c>
      <c r="K23">
        <f t="shared" si="4"/>
        <v>165.78</v>
      </c>
      <c r="L23">
        <f t="shared" si="4"/>
        <v>369.75</v>
      </c>
      <c r="M23">
        <f t="shared" ref="M23" si="5">M3*M10</f>
        <v>477.92</v>
      </c>
    </row>
    <row r="24" spans="1:13" x14ac:dyDescent="0.25">
      <c r="A24" t="s">
        <v>146</v>
      </c>
      <c r="H24">
        <f t="shared" ref="H24" si="6">H4*H11</f>
        <v>58.800000000000004</v>
      </c>
      <c r="I24">
        <f t="shared" ref="I24:L24" si="7">I4*I11</f>
        <v>64.599999999999994</v>
      </c>
      <c r="J24">
        <f t="shared" si="7"/>
        <v>215.88</v>
      </c>
      <c r="K24">
        <f t="shared" si="7"/>
        <v>173.75</v>
      </c>
      <c r="L24">
        <f t="shared" si="7"/>
        <v>173.6</v>
      </c>
      <c r="M24">
        <f t="shared" ref="M24" si="8">M4*M11</f>
        <v>244.20000000000002</v>
      </c>
    </row>
    <row r="25" spans="1:13" x14ac:dyDescent="0.25">
      <c r="A25" t="s">
        <v>147</v>
      </c>
      <c r="H25">
        <f t="shared" ref="H25" si="9">H5*H12</f>
        <v>55.099999999999994</v>
      </c>
      <c r="I25">
        <f t="shared" ref="I25:L25" si="10">I5*I12</f>
        <v>70.2</v>
      </c>
      <c r="J25">
        <f t="shared" si="10"/>
        <v>85.679999999999993</v>
      </c>
      <c r="K25">
        <f t="shared" si="10"/>
        <v>119.7</v>
      </c>
      <c r="L25">
        <f t="shared" si="10"/>
        <v>120.42000000000002</v>
      </c>
      <c r="M25">
        <f t="shared" ref="L25:M26" si="11">M5*M12</f>
        <v>168.78</v>
      </c>
    </row>
    <row r="26" spans="1:13" x14ac:dyDescent="0.25">
      <c r="A26" t="s">
        <v>185</v>
      </c>
      <c r="L26">
        <f t="shared" si="11"/>
        <v>42.24</v>
      </c>
      <c r="M26">
        <f t="shared" si="11"/>
        <v>7.8000000000000007</v>
      </c>
    </row>
    <row r="27" spans="1:13" ht="21" x14ac:dyDescent="0.4">
      <c r="A27" s="44"/>
      <c r="B27" s="32"/>
      <c r="C27" s="32"/>
      <c r="D27" s="32"/>
      <c r="E27" s="32"/>
      <c r="F27" s="32"/>
      <c r="G27" s="32"/>
      <c r="H27" s="32"/>
      <c r="I27" s="32"/>
      <c r="J27" s="46">
        <f>SUMPRODUCT(J16:J19,J22:J25)/1000</f>
        <v>248.31379999999999</v>
      </c>
      <c r="K27" s="46">
        <f t="shared" ref="K27:L27" si="12">SUMPRODUCT(K16:K19,K22:K25)/1000</f>
        <v>329.69434000000001</v>
      </c>
      <c r="L27" s="46">
        <f t="shared" si="12"/>
        <v>331.51418000000001</v>
      </c>
      <c r="M27" s="32"/>
    </row>
    <row r="28" spans="1:13" x14ac:dyDescent="0.25">
      <c r="A28" t="s">
        <v>211</v>
      </c>
      <c r="H28">
        <f>SUMPRODUCT(H2:H5,H9:H12)/1000</f>
        <v>0.50879999999999992</v>
      </c>
      <c r="I28">
        <f t="shared" ref="I28:M28" si="13">SUMPRODUCT(I2:I5,I9:I12)/1000</f>
        <v>0.60099999999999998</v>
      </c>
      <c r="J28">
        <f t="shared" si="13"/>
        <v>1.33484</v>
      </c>
      <c r="K28">
        <f t="shared" si="13"/>
        <v>1.7854700000000001</v>
      </c>
      <c r="L28">
        <f t="shared" si="13"/>
        <v>1.8368799999999998</v>
      </c>
      <c r="M28">
        <f t="shared" si="13"/>
        <v>2.1208800000000001</v>
      </c>
    </row>
    <row r="29" spans="1:13" x14ac:dyDescent="0.25">
      <c r="A29" t="s">
        <v>212</v>
      </c>
      <c r="I29">
        <v>0.61360000000000003</v>
      </c>
      <c r="J29">
        <v>1.3753</v>
      </c>
      <c r="K29">
        <v>1.7985</v>
      </c>
      <c r="L29">
        <v>1.8183</v>
      </c>
    </row>
    <row r="30" spans="1:13" x14ac:dyDescent="0.25">
      <c r="I30">
        <f>I29-I28</f>
        <v>1.2600000000000056E-2</v>
      </c>
      <c r="J30">
        <f t="shared" ref="J30:L30" si="14">J29-J28</f>
        <v>4.045999999999994E-2</v>
      </c>
      <c r="K30">
        <f t="shared" si="14"/>
        <v>1.3029999999999875E-2</v>
      </c>
      <c r="L30">
        <f t="shared" si="14"/>
        <v>-1.8579999999999819E-2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opLeftCell="J25" workbookViewId="0">
      <selection activeCell="Y25" sqref="Y25:Z25"/>
    </sheetView>
  </sheetViews>
  <sheetFormatPr defaultRowHeight="13.2" x14ac:dyDescent="0.25"/>
  <sheetData>
    <row r="1" spans="1:23" ht="25.2" customHeight="1" x14ac:dyDescent="0.25">
      <c r="A1" s="282"/>
      <c r="B1" s="284" t="s">
        <v>119</v>
      </c>
      <c r="C1" s="285"/>
      <c r="D1" s="285"/>
      <c r="E1" s="285"/>
      <c r="F1" s="285"/>
      <c r="G1" s="286"/>
      <c r="I1" s="282"/>
      <c r="J1" s="284" t="s">
        <v>127</v>
      </c>
      <c r="K1" s="285"/>
      <c r="L1" s="285"/>
      <c r="M1" s="285"/>
      <c r="N1" s="285"/>
      <c r="O1" s="286"/>
      <c r="Q1" s="282"/>
      <c r="R1" s="287" t="s">
        <v>132</v>
      </c>
      <c r="S1" s="288"/>
      <c r="T1" s="288"/>
      <c r="U1" s="288"/>
      <c r="V1" s="288"/>
      <c r="W1" s="289"/>
    </row>
    <row r="2" spans="1:23" ht="76.8" x14ac:dyDescent="0.25">
      <c r="A2" s="283"/>
      <c r="B2" s="22" t="s">
        <v>120</v>
      </c>
      <c r="C2" s="22" t="s">
        <v>121</v>
      </c>
      <c r="D2" s="22" t="s">
        <v>122</v>
      </c>
      <c r="E2" s="22" t="s">
        <v>123</v>
      </c>
      <c r="F2" s="22" t="s">
        <v>124</v>
      </c>
      <c r="G2" s="22" t="s">
        <v>125</v>
      </c>
      <c r="I2" s="283"/>
      <c r="J2" s="22" t="s">
        <v>128</v>
      </c>
      <c r="K2" s="22" t="s">
        <v>121</v>
      </c>
      <c r="L2" s="22" t="s">
        <v>129</v>
      </c>
      <c r="M2" s="22" t="s">
        <v>123</v>
      </c>
      <c r="N2" s="22" t="s">
        <v>130</v>
      </c>
      <c r="O2" s="22" t="s">
        <v>131</v>
      </c>
      <c r="Q2" s="283"/>
      <c r="R2" s="22" t="s">
        <v>128</v>
      </c>
      <c r="S2" s="22" t="s">
        <v>121</v>
      </c>
      <c r="T2" s="22" t="s">
        <v>129</v>
      </c>
      <c r="U2" s="22" t="s">
        <v>123</v>
      </c>
      <c r="V2" s="22" t="s">
        <v>130</v>
      </c>
      <c r="W2" s="22" t="s">
        <v>133</v>
      </c>
    </row>
    <row r="3" spans="1:23" x14ac:dyDescent="0.25">
      <c r="A3" s="22">
        <v>1990</v>
      </c>
      <c r="B3" s="23">
        <v>14583</v>
      </c>
      <c r="C3" s="23">
        <v>1607</v>
      </c>
      <c r="D3" s="23">
        <v>1636</v>
      </c>
      <c r="E3" s="23">
        <v>1429</v>
      </c>
      <c r="F3" s="23">
        <v>456</v>
      </c>
      <c r="G3" s="23">
        <v>11999</v>
      </c>
      <c r="I3" s="22">
        <v>1990</v>
      </c>
      <c r="J3" s="23">
        <v>51009</v>
      </c>
      <c r="K3" s="23">
        <v>44264</v>
      </c>
      <c r="L3" s="23">
        <v>2571</v>
      </c>
      <c r="M3" s="23">
        <v>16732</v>
      </c>
      <c r="N3" s="23">
        <v>6666</v>
      </c>
      <c r="O3" s="23">
        <v>2902</v>
      </c>
      <c r="Q3" s="22">
        <v>1990</v>
      </c>
      <c r="R3" s="23">
        <v>35.1</v>
      </c>
      <c r="S3" s="23">
        <v>276</v>
      </c>
      <c r="T3" s="23">
        <v>15.8</v>
      </c>
      <c r="U3" s="23">
        <v>117</v>
      </c>
      <c r="V3" s="23">
        <v>149</v>
      </c>
      <c r="W3" s="23">
        <v>42.7</v>
      </c>
    </row>
    <row r="4" spans="1:23" x14ac:dyDescent="0.25">
      <c r="A4" s="22">
        <v>1991</v>
      </c>
      <c r="B4" s="23">
        <v>14671</v>
      </c>
      <c r="C4" s="23">
        <v>1558</v>
      </c>
      <c r="D4" s="23">
        <v>1601</v>
      </c>
      <c r="E4" s="23">
        <v>1533</v>
      </c>
      <c r="F4" s="23" t="s">
        <v>126</v>
      </c>
      <c r="G4" s="23">
        <v>11555</v>
      </c>
      <c r="I4" s="22">
        <v>1991</v>
      </c>
      <c r="J4" s="23">
        <v>38674</v>
      </c>
      <c r="K4" s="23">
        <v>36168</v>
      </c>
      <c r="L4" s="23">
        <v>2311</v>
      </c>
      <c r="M4" s="23">
        <v>14550</v>
      </c>
      <c r="N4" s="23">
        <v>5932</v>
      </c>
      <c r="O4" s="23">
        <v>1537</v>
      </c>
      <c r="Q4" s="22">
        <v>1991</v>
      </c>
      <c r="R4" s="23">
        <v>26.5</v>
      </c>
      <c r="S4" s="23">
        <v>234</v>
      </c>
      <c r="T4" s="23">
        <v>14.6</v>
      </c>
      <c r="U4" s="23">
        <v>95</v>
      </c>
      <c r="V4" s="23">
        <v>128</v>
      </c>
      <c r="W4" s="23">
        <v>23</v>
      </c>
    </row>
    <row r="5" spans="1:23" x14ac:dyDescent="0.25">
      <c r="A5" s="22">
        <v>1992</v>
      </c>
      <c r="B5" s="23">
        <v>13903</v>
      </c>
      <c r="C5" s="23">
        <v>1498</v>
      </c>
      <c r="D5" s="23">
        <v>1641</v>
      </c>
      <c r="E5" s="23">
        <v>1702</v>
      </c>
      <c r="F5" s="23">
        <v>500</v>
      </c>
      <c r="G5" s="23">
        <v>11707</v>
      </c>
      <c r="I5" s="22">
        <v>1992</v>
      </c>
      <c r="J5" s="23">
        <v>38537</v>
      </c>
      <c r="K5" s="23">
        <v>28783</v>
      </c>
      <c r="L5" s="23">
        <v>2127</v>
      </c>
      <c r="M5" s="23">
        <v>20277</v>
      </c>
      <c r="N5" s="23">
        <v>5310</v>
      </c>
      <c r="O5" s="23">
        <v>2122</v>
      </c>
      <c r="Q5" s="22">
        <v>1992</v>
      </c>
      <c r="R5" s="23">
        <v>27.9</v>
      </c>
      <c r="S5" s="23">
        <v>194</v>
      </c>
      <c r="T5" s="23">
        <v>13</v>
      </c>
      <c r="U5" s="23">
        <v>119</v>
      </c>
      <c r="V5" s="23">
        <v>110</v>
      </c>
      <c r="W5" s="23">
        <v>32.200000000000003</v>
      </c>
    </row>
    <row r="6" spans="1:23" x14ac:dyDescent="0.25">
      <c r="A6" s="22">
        <v>1993</v>
      </c>
      <c r="B6" s="23">
        <v>14305</v>
      </c>
      <c r="C6" s="23">
        <v>1530</v>
      </c>
      <c r="D6" s="23">
        <v>1637</v>
      </c>
      <c r="E6" s="23">
        <v>1552</v>
      </c>
      <c r="F6" s="23">
        <v>474</v>
      </c>
      <c r="G6" s="23">
        <v>11287</v>
      </c>
      <c r="I6" s="22">
        <v>1993</v>
      </c>
      <c r="J6" s="23">
        <v>45623</v>
      </c>
      <c r="K6" s="23">
        <v>33717</v>
      </c>
      <c r="L6" s="23">
        <v>2075</v>
      </c>
      <c r="M6" s="23">
        <v>21009</v>
      </c>
      <c r="N6" s="23">
        <v>6055</v>
      </c>
      <c r="O6" s="23">
        <v>2798</v>
      </c>
      <c r="Q6" s="22">
        <v>1993</v>
      </c>
      <c r="R6" s="23">
        <v>32.1</v>
      </c>
      <c r="S6" s="23">
        <v>222</v>
      </c>
      <c r="T6" s="23">
        <v>12.7</v>
      </c>
      <c r="U6" s="23">
        <v>137</v>
      </c>
      <c r="V6" s="23">
        <v>130</v>
      </c>
      <c r="W6" s="23">
        <v>43.2</v>
      </c>
    </row>
    <row r="7" spans="1:23" x14ac:dyDescent="0.25">
      <c r="A7" s="22">
        <v>1994</v>
      </c>
      <c r="B7" s="23">
        <v>13527</v>
      </c>
      <c r="C7" s="23">
        <v>1485</v>
      </c>
      <c r="D7" s="23">
        <v>1784</v>
      </c>
      <c r="E7" s="23">
        <v>1532</v>
      </c>
      <c r="F7" s="23">
        <v>457</v>
      </c>
      <c r="G7" s="23">
        <v>11881</v>
      </c>
      <c r="I7" s="22">
        <v>1994</v>
      </c>
      <c r="J7" s="23">
        <v>35497</v>
      </c>
      <c r="K7" s="23">
        <v>28138</v>
      </c>
      <c r="L7" s="23">
        <v>1569</v>
      </c>
      <c r="M7" s="23">
        <v>16102</v>
      </c>
      <c r="N7" s="23">
        <v>5142</v>
      </c>
      <c r="O7" s="23">
        <v>1153</v>
      </c>
      <c r="Q7" s="22">
        <v>1994</v>
      </c>
      <c r="R7" s="23">
        <v>26.8</v>
      </c>
      <c r="S7" s="23">
        <v>192</v>
      </c>
      <c r="T7" s="23">
        <v>9.1</v>
      </c>
      <c r="U7" s="23">
        <v>105</v>
      </c>
      <c r="V7" s="23">
        <v>115</v>
      </c>
      <c r="W7" s="23">
        <v>18</v>
      </c>
    </row>
    <row r="8" spans="1:23" x14ac:dyDescent="0.25">
      <c r="A8" s="22">
        <v>1995</v>
      </c>
      <c r="B8" s="23">
        <v>14152</v>
      </c>
      <c r="C8" s="23">
        <v>1475</v>
      </c>
      <c r="D8" s="23">
        <v>2020</v>
      </c>
      <c r="E8" s="23">
        <v>1532</v>
      </c>
      <c r="F8" s="23">
        <v>503</v>
      </c>
      <c r="G8" s="23">
        <v>10898</v>
      </c>
      <c r="I8" s="22">
        <v>1995</v>
      </c>
      <c r="J8" s="23">
        <v>33930</v>
      </c>
      <c r="K8" s="23">
        <v>29650</v>
      </c>
      <c r="L8" s="23">
        <v>2860</v>
      </c>
      <c r="M8" s="23">
        <v>14729</v>
      </c>
      <c r="N8" s="23">
        <v>5880</v>
      </c>
      <c r="O8" s="23">
        <v>1897</v>
      </c>
      <c r="Q8" s="22">
        <v>1995</v>
      </c>
      <c r="R8" s="23">
        <v>24.3</v>
      </c>
      <c r="S8" s="23">
        <v>205</v>
      </c>
      <c r="T8" s="23">
        <v>14.2</v>
      </c>
      <c r="U8" s="23">
        <v>96</v>
      </c>
      <c r="V8" s="23">
        <v>120</v>
      </c>
      <c r="W8" s="23">
        <v>29.8</v>
      </c>
    </row>
    <row r="9" spans="1:23" x14ac:dyDescent="0.25">
      <c r="A9" s="22">
        <v>1996</v>
      </c>
      <c r="B9" s="23">
        <v>13248</v>
      </c>
      <c r="C9" s="23">
        <v>1359</v>
      </c>
      <c r="D9" s="23">
        <v>2107</v>
      </c>
      <c r="E9" s="23">
        <v>1547</v>
      </c>
      <c r="F9" s="23">
        <v>476</v>
      </c>
      <c r="G9" s="23">
        <v>11026</v>
      </c>
      <c r="I9" s="22">
        <v>1996</v>
      </c>
      <c r="J9" s="23">
        <v>24571</v>
      </c>
      <c r="K9" s="23">
        <v>23009</v>
      </c>
      <c r="L9" s="23">
        <v>2123</v>
      </c>
      <c r="M9" s="23">
        <v>18410</v>
      </c>
      <c r="N9" s="23">
        <v>5070</v>
      </c>
      <c r="O9" s="23">
        <v>1924</v>
      </c>
      <c r="Q9" s="22">
        <v>1996</v>
      </c>
      <c r="R9" s="23">
        <v>19.600000000000001</v>
      </c>
      <c r="S9" s="23">
        <v>183</v>
      </c>
      <c r="T9" s="23">
        <v>10.5</v>
      </c>
      <c r="U9" s="23">
        <v>119</v>
      </c>
      <c r="V9" s="23">
        <v>112</v>
      </c>
      <c r="W9" s="23">
        <v>30.6</v>
      </c>
    </row>
    <row r="10" spans="1:23" x14ac:dyDescent="0.25">
      <c r="A10" s="22">
        <v>1997</v>
      </c>
      <c r="B10" s="23">
        <v>15051</v>
      </c>
      <c r="C10" s="23">
        <v>1104</v>
      </c>
      <c r="D10" s="23">
        <v>2065</v>
      </c>
      <c r="E10" s="23">
        <v>1579</v>
      </c>
      <c r="F10" s="23">
        <v>480</v>
      </c>
      <c r="G10" s="23">
        <v>9720</v>
      </c>
      <c r="I10" s="22">
        <v>1997</v>
      </c>
      <c r="J10" s="23">
        <v>35472</v>
      </c>
      <c r="K10" s="23">
        <v>17663</v>
      </c>
      <c r="L10" s="23">
        <v>2308</v>
      </c>
      <c r="M10" s="23">
        <v>16701</v>
      </c>
      <c r="N10" s="23">
        <v>5168</v>
      </c>
      <c r="O10" s="23">
        <v>2793</v>
      </c>
      <c r="Q10" s="22">
        <v>1997</v>
      </c>
      <c r="R10" s="23">
        <v>24.5</v>
      </c>
      <c r="S10" s="23">
        <v>176</v>
      </c>
      <c r="T10" s="23">
        <v>11.5</v>
      </c>
      <c r="U10" s="23">
        <v>106</v>
      </c>
      <c r="V10" s="23">
        <v>114</v>
      </c>
      <c r="W10" s="23">
        <v>44.5</v>
      </c>
    </row>
    <row r="11" spans="1:23" x14ac:dyDescent="0.25">
      <c r="A11" s="22">
        <v>1998</v>
      </c>
      <c r="B11" s="23">
        <v>13718</v>
      </c>
      <c r="C11" s="23">
        <v>1017</v>
      </c>
      <c r="D11" s="23">
        <v>2531</v>
      </c>
      <c r="E11" s="23">
        <v>1513</v>
      </c>
      <c r="F11" s="23">
        <v>459</v>
      </c>
      <c r="G11" s="23">
        <v>9236</v>
      </c>
      <c r="I11" s="22">
        <v>1998</v>
      </c>
      <c r="J11" s="23">
        <v>26471</v>
      </c>
      <c r="K11" s="23">
        <v>15523</v>
      </c>
      <c r="L11" s="23">
        <v>2266</v>
      </c>
      <c r="M11" s="23">
        <v>15405</v>
      </c>
      <c r="N11" s="23">
        <v>5492</v>
      </c>
      <c r="O11" s="23">
        <v>1178</v>
      </c>
      <c r="Q11" s="22">
        <v>1998</v>
      </c>
      <c r="R11" s="23">
        <v>20.8</v>
      </c>
      <c r="S11" s="23">
        <v>174</v>
      </c>
      <c r="T11" s="23">
        <v>9.3000000000000007</v>
      </c>
      <c r="U11" s="23">
        <v>102</v>
      </c>
      <c r="V11" s="23">
        <v>123</v>
      </c>
      <c r="W11" s="23">
        <v>28.6</v>
      </c>
    </row>
    <row r="12" spans="1:23" x14ac:dyDescent="0.25">
      <c r="A12" s="22">
        <v>1999</v>
      </c>
      <c r="B12" s="23">
        <v>13154</v>
      </c>
      <c r="C12" s="23">
        <v>1022</v>
      </c>
      <c r="D12" s="23">
        <v>2889</v>
      </c>
      <c r="E12" s="23">
        <v>1552</v>
      </c>
      <c r="F12" s="23">
        <v>497</v>
      </c>
      <c r="G12" s="23">
        <v>8653</v>
      </c>
      <c r="I12" s="22">
        <v>1999</v>
      </c>
      <c r="J12" s="23">
        <v>24581</v>
      </c>
      <c r="K12" s="23">
        <v>14064</v>
      </c>
      <c r="L12" s="23">
        <v>2794</v>
      </c>
      <c r="M12" s="23">
        <v>12723</v>
      </c>
      <c r="N12" s="23">
        <v>5324</v>
      </c>
      <c r="O12" s="23">
        <v>766</v>
      </c>
      <c r="Q12" s="22">
        <v>1999</v>
      </c>
      <c r="R12" s="23">
        <v>19.7</v>
      </c>
      <c r="S12" s="23">
        <v>156</v>
      </c>
      <c r="T12" s="23">
        <v>10</v>
      </c>
      <c r="U12" s="23">
        <v>82</v>
      </c>
      <c r="V12" s="23">
        <v>111</v>
      </c>
      <c r="W12" s="23">
        <v>19.2</v>
      </c>
    </row>
    <row r="13" spans="1:23" x14ac:dyDescent="0.25">
      <c r="A13" s="22">
        <v>2000</v>
      </c>
      <c r="B13" s="23">
        <v>13646</v>
      </c>
      <c r="C13" s="23">
        <v>856</v>
      </c>
      <c r="D13" s="23">
        <v>2943</v>
      </c>
      <c r="E13" s="23">
        <v>1629</v>
      </c>
      <c r="F13" s="23">
        <v>538</v>
      </c>
      <c r="G13" s="23">
        <v>7063</v>
      </c>
      <c r="I13" s="22">
        <v>2000</v>
      </c>
      <c r="J13" s="23">
        <v>24459</v>
      </c>
      <c r="K13" s="23">
        <v>13199</v>
      </c>
      <c r="L13" s="23">
        <v>3457</v>
      </c>
      <c r="M13" s="23">
        <v>19838</v>
      </c>
      <c r="N13" s="23">
        <v>5821</v>
      </c>
      <c r="O13" s="23">
        <v>1453</v>
      </c>
      <c r="Q13" s="22">
        <v>2000</v>
      </c>
      <c r="R13" s="23">
        <v>19.399999999999999</v>
      </c>
      <c r="S13" s="23">
        <v>177</v>
      </c>
      <c r="T13" s="23">
        <v>12.2</v>
      </c>
      <c r="U13" s="23">
        <v>122</v>
      </c>
      <c r="V13" s="23">
        <v>112</v>
      </c>
      <c r="W13" s="23">
        <v>38.4</v>
      </c>
    </row>
    <row r="14" spans="1:23" x14ac:dyDescent="0.25">
      <c r="A14" s="22">
        <v>2001</v>
      </c>
      <c r="B14" s="23">
        <v>15586</v>
      </c>
      <c r="C14" s="23">
        <v>970</v>
      </c>
      <c r="D14" s="23">
        <v>2502</v>
      </c>
      <c r="E14" s="23">
        <v>1604</v>
      </c>
      <c r="F14" s="23">
        <v>490</v>
      </c>
      <c r="G14" s="23">
        <v>6375</v>
      </c>
      <c r="I14" s="22">
        <v>2001</v>
      </c>
      <c r="J14" s="23">
        <v>39706</v>
      </c>
      <c r="K14" s="23">
        <v>15575</v>
      </c>
      <c r="L14" s="23">
        <v>2251</v>
      </c>
      <c r="M14" s="23">
        <v>17344</v>
      </c>
      <c r="N14" s="23">
        <v>5907</v>
      </c>
      <c r="O14" s="23">
        <v>1106</v>
      </c>
      <c r="Q14" s="22">
        <v>2001</v>
      </c>
      <c r="R14" s="23">
        <v>27.1</v>
      </c>
      <c r="S14" s="23">
        <v>183</v>
      </c>
      <c r="T14" s="23">
        <v>9.4</v>
      </c>
      <c r="U14" s="23">
        <v>108</v>
      </c>
      <c r="V14" s="23">
        <v>123</v>
      </c>
      <c r="W14" s="23">
        <v>30.5</v>
      </c>
    </row>
    <row r="15" spans="1:23" x14ac:dyDescent="0.25">
      <c r="A15" s="22">
        <v>2002</v>
      </c>
      <c r="B15" s="23">
        <v>15448</v>
      </c>
      <c r="C15" s="23">
        <v>897</v>
      </c>
      <c r="D15" s="23">
        <v>2834</v>
      </c>
      <c r="E15" s="23">
        <v>1590</v>
      </c>
      <c r="F15" s="23">
        <v>479</v>
      </c>
      <c r="G15" s="23">
        <v>5858</v>
      </c>
      <c r="I15" s="22">
        <v>2002</v>
      </c>
      <c r="J15" s="23">
        <v>38804</v>
      </c>
      <c r="K15" s="23">
        <v>14452</v>
      </c>
      <c r="L15" s="23">
        <v>3271</v>
      </c>
      <c r="M15" s="23">
        <v>16619</v>
      </c>
      <c r="N15" s="23">
        <v>5827</v>
      </c>
      <c r="O15" s="23">
        <v>1211</v>
      </c>
      <c r="Q15" s="22">
        <v>2002</v>
      </c>
      <c r="R15" s="23">
        <v>27.3</v>
      </c>
      <c r="S15" s="23">
        <v>189</v>
      </c>
      <c r="T15" s="23">
        <v>12</v>
      </c>
      <c r="U15" s="23">
        <v>104</v>
      </c>
      <c r="V15" s="23">
        <v>124</v>
      </c>
      <c r="W15" s="23">
        <v>36.5</v>
      </c>
    </row>
    <row r="16" spans="1:23" x14ac:dyDescent="0.25">
      <c r="A16" s="22">
        <v>2003</v>
      </c>
      <c r="B16" s="23">
        <v>12495</v>
      </c>
      <c r="C16" s="23">
        <v>773</v>
      </c>
      <c r="D16" s="23">
        <v>4001</v>
      </c>
      <c r="E16" s="23">
        <v>1585</v>
      </c>
      <c r="F16" s="23">
        <v>480</v>
      </c>
      <c r="G16" s="23">
        <v>5074</v>
      </c>
      <c r="I16" s="22">
        <v>2003</v>
      </c>
      <c r="J16" s="23">
        <v>20234</v>
      </c>
      <c r="K16" s="23">
        <v>13392</v>
      </c>
      <c r="L16" s="23">
        <v>4254</v>
      </c>
      <c r="M16" s="23">
        <v>18453</v>
      </c>
      <c r="N16" s="23">
        <v>6538</v>
      </c>
      <c r="O16" s="23">
        <v>1697</v>
      </c>
      <c r="Q16" s="22">
        <v>2003</v>
      </c>
      <c r="R16" s="23">
        <v>18.2</v>
      </c>
      <c r="S16" s="23">
        <v>201</v>
      </c>
      <c r="T16" s="23">
        <v>11.2</v>
      </c>
      <c r="U16" s="23">
        <v>116</v>
      </c>
      <c r="V16" s="23">
        <v>139</v>
      </c>
      <c r="W16" s="23">
        <v>56</v>
      </c>
    </row>
    <row r="17" spans="1:26" x14ac:dyDescent="0.25">
      <c r="A17" s="22">
        <v>2004</v>
      </c>
      <c r="B17" s="23">
        <v>15434</v>
      </c>
      <c r="C17" s="23">
        <v>732</v>
      </c>
      <c r="D17" s="23">
        <v>3521</v>
      </c>
      <c r="E17" s="23">
        <v>1556</v>
      </c>
      <c r="F17" s="23">
        <v>476</v>
      </c>
      <c r="G17" s="23">
        <v>4243</v>
      </c>
      <c r="I17" s="22">
        <v>2004</v>
      </c>
      <c r="J17" s="23">
        <v>41809</v>
      </c>
      <c r="K17" s="23">
        <v>16600</v>
      </c>
      <c r="L17" s="23">
        <v>3050</v>
      </c>
      <c r="M17" s="23">
        <v>20755</v>
      </c>
      <c r="N17" s="23">
        <v>6964</v>
      </c>
      <c r="O17" s="23">
        <v>1635</v>
      </c>
      <c r="Q17" s="22">
        <v>2004</v>
      </c>
      <c r="R17" s="23">
        <v>28.3</v>
      </c>
      <c r="S17" s="23">
        <v>238</v>
      </c>
      <c r="T17" s="23">
        <v>8.9</v>
      </c>
      <c r="U17" s="23">
        <v>133</v>
      </c>
      <c r="V17" s="23">
        <v>149</v>
      </c>
      <c r="W17" s="23">
        <v>58.1</v>
      </c>
    </row>
    <row r="18" spans="1:26" x14ac:dyDescent="0.25">
      <c r="A18" s="22">
        <v>2005</v>
      </c>
      <c r="B18" s="23">
        <v>15005</v>
      </c>
      <c r="C18" s="23">
        <v>652</v>
      </c>
      <c r="D18" s="23">
        <v>3743</v>
      </c>
      <c r="E18" s="23">
        <v>1514</v>
      </c>
      <c r="F18" s="23">
        <v>465</v>
      </c>
      <c r="G18" s="23">
        <v>3738</v>
      </c>
      <c r="I18" s="22">
        <v>2005</v>
      </c>
      <c r="J18" s="23">
        <v>38016</v>
      </c>
      <c r="K18" s="23">
        <v>15468</v>
      </c>
      <c r="L18" s="23">
        <v>4706</v>
      </c>
      <c r="M18" s="23">
        <v>19462</v>
      </c>
      <c r="N18" s="23">
        <v>7295</v>
      </c>
      <c r="O18" s="23">
        <v>1690</v>
      </c>
      <c r="Q18" s="22">
        <v>2005</v>
      </c>
      <c r="R18" s="23">
        <v>26</v>
      </c>
      <c r="S18" s="23">
        <v>248</v>
      </c>
      <c r="T18" s="23">
        <v>12.8</v>
      </c>
      <c r="U18" s="23">
        <v>128</v>
      </c>
      <c r="V18" s="23">
        <v>157</v>
      </c>
      <c r="W18" s="23">
        <v>63.7</v>
      </c>
    </row>
    <row r="19" spans="1:26" x14ac:dyDescent="0.25">
      <c r="A19" s="22">
        <v>2006</v>
      </c>
      <c r="B19" s="23">
        <v>14515</v>
      </c>
      <c r="C19" s="23">
        <v>815</v>
      </c>
      <c r="D19" s="23">
        <v>3964</v>
      </c>
      <c r="E19" s="23">
        <v>1464</v>
      </c>
      <c r="F19" s="23">
        <v>469</v>
      </c>
      <c r="G19" s="23">
        <v>3277</v>
      </c>
      <c r="I19" s="22">
        <v>2006</v>
      </c>
      <c r="J19" s="23">
        <v>34258</v>
      </c>
      <c r="K19" s="23">
        <v>22421</v>
      </c>
      <c r="L19" s="23">
        <v>5324</v>
      </c>
      <c r="M19" s="23">
        <v>19467</v>
      </c>
      <c r="N19" s="23">
        <v>8058</v>
      </c>
      <c r="O19" s="23">
        <v>1114</v>
      </c>
      <c r="Q19" s="22">
        <v>2006</v>
      </c>
      <c r="R19" s="23">
        <v>24.1</v>
      </c>
      <c r="S19" s="23">
        <v>285</v>
      </c>
      <c r="T19" s="23">
        <v>13.6</v>
      </c>
      <c r="U19" s="23">
        <v>133</v>
      </c>
      <c r="V19" s="23">
        <v>171</v>
      </c>
      <c r="W19" s="23">
        <v>45</v>
      </c>
    </row>
    <row r="20" spans="1:26" x14ac:dyDescent="0.25">
      <c r="A20" s="22">
        <v>2007</v>
      </c>
      <c r="B20" s="23">
        <v>15115</v>
      </c>
      <c r="C20" s="23">
        <v>610</v>
      </c>
      <c r="D20" s="23">
        <v>3604</v>
      </c>
      <c r="E20" s="23">
        <v>1453</v>
      </c>
      <c r="F20" s="23">
        <v>451</v>
      </c>
      <c r="G20" s="23">
        <v>3028</v>
      </c>
      <c r="I20" s="22">
        <v>2007</v>
      </c>
      <c r="J20" s="23">
        <v>29295</v>
      </c>
      <c r="K20" s="23">
        <v>16978</v>
      </c>
      <c r="L20" s="23">
        <v>4174</v>
      </c>
      <c r="M20" s="23">
        <v>19102</v>
      </c>
      <c r="N20" s="23">
        <v>6835</v>
      </c>
      <c r="O20" s="23">
        <v>1470</v>
      </c>
      <c r="Q20" s="22">
        <v>2007</v>
      </c>
      <c r="R20" s="23">
        <v>21.8</v>
      </c>
      <c r="S20" s="23">
        <v>294</v>
      </c>
      <c r="T20" s="23">
        <v>12.2</v>
      </c>
      <c r="U20" s="23">
        <v>131</v>
      </c>
      <c r="V20" s="23">
        <v>152</v>
      </c>
      <c r="W20" s="23">
        <v>61.7</v>
      </c>
      <c r="Y20">
        <f>R20/10</f>
        <v>2.1800000000000002</v>
      </c>
      <c r="Z20">
        <f t="shared" ref="Z20:Z28" si="0">T20/10</f>
        <v>1.22</v>
      </c>
    </row>
    <row r="21" spans="1:26" x14ac:dyDescent="0.25">
      <c r="A21" s="22">
        <v>2008</v>
      </c>
      <c r="B21" s="23">
        <v>15636</v>
      </c>
      <c r="C21" s="23">
        <v>380</v>
      </c>
      <c r="D21" s="23">
        <v>4306</v>
      </c>
      <c r="E21" s="23">
        <v>1413</v>
      </c>
      <c r="F21" s="23">
        <v>458</v>
      </c>
      <c r="G21" s="23">
        <v>2752</v>
      </c>
      <c r="I21" s="22">
        <v>2008</v>
      </c>
      <c r="J21" s="23">
        <v>53290</v>
      </c>
      <c r="K21" s="23">
        <v>13438</v>
      </c>
      <c r="L21" s="23">
        <v>6526</v>
      </c>
      <c r="M21" s="23">
        <v>19545</v>
      </c>
      <c r="N21" s="23">
        <v>7965</v>
      </c>
      <c r="O21" s="23">
        <v>1504</v>
      </c>
      <c r="Q21" s="22">
        <v>2008</v>
      </c>
      <c r="R21" s="23">
        <v>34.6</v>
      </c>
      <c r="S21" s="23">
        <v>356</v>
      </c>
      <c r="T21" s="23">
        <v>15.3</v>
      </c>
      <c r="U21" s="23">
        <v>139</v>
      </c>
      <c r="V21" s="23">
        <v>174</v>
      </c>
      <c r="W21" s="23">
        <v>64.400000000000006</v>
      </c>
      <c r="Y21">
        <f>R21/10</f>
        <v>3.46</v>
      </c>
      <c r="Z21">
        <f t="shared" si="0"/>
        <v>1.53</v>
      </c>
    </row>
    <row r="22" spans="1:26" x14ac:dyDescent="0.25">
      <c r="A22" s="22">
        <v>2009</v>
      </c>
      <c r="B22" s="23">
        <v>15837</v>
      </c>
      <c r="C22" s="23">
        <v>322</v>
      </c>
      <c r="D22" s="23">
        <v>4232</v>
      </c>
      <c r="E22" s="23">
        <v>1409</v>
      </c>
      <c r="F22" s="23">
        <v>451</v>
      </c>
      <c r="G22" s="23">
        <v>2658</v>
      </c>
      <c r="I22" s="22">
        <v>2009</v>
      </c>
      <c r="J22" s="23">
        <v>46028</v>
      </c>
      <c r="K22" s="23">
        <v>10068</v>
      </c>
      <c r="L22" s="23">
        <v>6364</v>
      </c>
      <c r="M22" s="23">
        <v>19666</v>
      </c>
      <c r="N22" s="23">
        <v>8341</v>
      </c>
      <c r="O22" s="23">
        <v>1618</v>
      </c>
      <c r="Q22" s="22">
        <v>2009</v>
      </c>
      <c r="R22" s="23">
        <v>29.8</v>
      </c>
      <c r="S22" s="23">
        <v>315</v>
      </c>
      <c r="T22" s="23">
        <v>15.2</v>
      </c>
      <c r="U22" s="23">
        <v>139</v>
      </c>
      <c r="V22" s="23">
        <v>183</v>
      </c>
      <c r="W22" s="23">
        <v>70.7</v>
      </c>
      <c r="Y22">
        <f t="shared" ref="Y22:Y28" si="1">R22/10</f>
        <v>2.98</v>
      </c>
      <c r="Z22">
        <f t="shared" si="0"/>
        <v>1.52</v>
      </c>
    </row>
    <row r="23" spans="1:26" x14ac:dyDescent="0.25">
      <c r="A23" s="22">
        <v>2010</v>
      </c>
      <c r="B23" s="23">
        <v>15090</v>
      </c>
      <c r="C23" s="23">
        <v>501</v>
      </c>
      <c r="D23" s="23">
        <v>4572</v>
      </c>
      <c r="E23" s="23">
        <v>1408</v>
      </c>
      <c r="F23" s="23">
        <v>462</v>
      </c>
      <c r="G23" s="23">
        <v>2599</v>
      </c>
      <c r="I23" s="22">
        <v>2010</v>
      </c>
      <c r="J23" s="23">
        <v>39271</v>
      </c>
      <c r="K23" s="23">
        <v>13749</v>
      </c>
      <c r="L23" s="23">
        <v>6772</v>
      </c>
      <c r="M23" s="23">
        <v>18705</v>
      </c>
      <c r="N23" s="23">
        <v>8122</v>
      </c>
      <c r="O23" s="23">
        <v>1747</v>
      </c>
      <c r="Q23" s="22">
        <v>2010</v>
      </c>
      <c r="R23" s="23">
        <v>26.9</v>
      </c>
      <c r="S23" s="23">
        <v>279</v>
      </c>
      <c r="T23" s="23">
        <v>15</v>
      </c>
      <c r="U23" s="23">
        <v>132</v>
      </c>
      <c r="V23" s="23">
        <v>174</v>
      </c>
      <c r="W23" s="23">
        <v>78.2</v>
      </c>
      <c r="Y23">
        <f t="shared" si="1"/>
        <v>2.69</v>
      </c>
      <c r="Z23">
        <f t="shared" si="0"/>
        <v>1.5</v>
      </c>
    </row>
    <row r="24" spans="1:26" x14ac:dyDescent="0.25">
      <c r="A24" s="22">
        <v>2011</v>
      </c>
      <c r="B24" s="23">
        <v>15724</v>
      </c>
      <c r="C24" s="23">
        <v>532</v>
      </c>
      <c r="D24" s="23">
        <v>4739</v>
      </c>
      <c r="E24" s="23">
        <v>1439</v>
      </c>
      <c r="F24" s="23">
        <v>498</v>
      </c>
      <c r="G24" s="23">
        <v>2477</v>
      </c>
      <c r="I24" s="22">
        <v>2011</v>
      </c>
      <c r="J24" s="23">
        <v>56747</v>
      </c>
      <c r="K24" s="23">
        <v>18740</v>
      </c>
      <c r="L24" s="23">
        <v>8671</v>
      </c>
      <c r="M24" s="23">
        <v>24248</v>
      </c>
      <c r="N24" s="23">
        <v>9833</v>
      </c>
      <c r="O24" s="23">
        <v>1896</v>
      </c>
      <c r="Q24" s="22">
        <v>2011</v>
      </c>
      <c r="R24" s="24">
        <v>37</v>
      </c>
      <c r="S24" s="23">
        <v>363</v>
      </c>
      <c r="T24" s="24">
        <v>18.399999999999999</v>
      </c>
      <c r="U24" s="23">
        <v>168</v>
      </c>
      <c r="V24" s="23">
        <v>195</v>
      </c>
      <c r="W24" s="24">
        <v>84.9</v>
      </c>
      <c r="Y24">
        <f t="shared" si="1"/>
        <v>3.7</v>
      </c>
      <c r="Z24">
        <f t="shared" si="0"/>
        <v>1.8399999999999999</v>
      </c>
    </row>
    <row r="25" spans="1:26" x14ac:dyDescent="0.25">
      <c r="A25" s="22">
        <v>2012</v>
      </c>
      <c r="B25" s="23">
        <v>15449</v>
      </c>
      <c r="C25" s="23">
        <v>458</v>
      </c>
      <c r="D25" s="23">
        <v>5194</v>
      </c>
      <c r="E25" s="23">
        <v>1440</v>
      </c>
      <c r="F25" s="23">
        <v>494</v>
      </c>
      <c r="G25" s="23">
        <v>2475</v>
      </c>
      <c r="I25" s="22">
        <v>2012</v>
      </c>
      <c r="J25" s="23">
        <v>46216</v>
      </c>
      <c r="K25" s="23">
        <v>18439</v>
      </c>
      <c r="L25" s="23">
        <v>8387</v>
      </c>
      <c r="M25" s="23">
        <v>23250</v>
      </c>
      <c r="N25" s="23">
        <v>10017</v>
      </c>
      <c r="O25" s="23">
        <v>2009</v>
      </c>
      <c r="Q25" s="22">
        <v>2012</v>
      </c>
      <c r="R25" s="23">
        <v>31.2</v>
      </c>
      <c r="S25" s="23">
        <v>411</v>
      </c>
      <c r="T25" s="23">
        <v>16.5</v>
      </c>
      <c r="U25" s="23">
        <v>161</v>
      </c>
      <c r="V25" s="23">
        <v>199</v>
      </c>
      <c r="W25" s="23">
        <v>89.9</v>
      </c>
      <c r="Y25">
        <f t="shared" si="1"/>
        <v>3.12</v>
      </c>
      <c r="Z25">
        <f t="shared" si="0"/>
        <v>1.65</v>
      </c>
    </row>
    <row r="26" spans="1:26" x14ac:dyDescent="0.25">
      <c r="A26" s="22">
        <v>2013</v>
      </c>
      <c r="B26" s="23">
        <v>16210</v>
      </c>
      <c r="C26" s="23">
        <v>280</v>
      </c>
      <c r="D26" s="23">
        <v>5051</v>
      </c>
      <c r="E26" s="23">
        <v>1388</v>
      </c>
      <c r="F26" s="23">
        <v>483</v>
      </c>
      <c r="G26" s="23">
        <v>2289</v>
      </c>
      <c r="I26" s="22">
        <v>2013</v>
      </c>
      <c r="J26" s="23">
        <v>63051</v>
      </c>
      <c r="K26" s="23">
        <v>10789</v>
      </c>
      <c r="L26" s="23">
        <v>11051</v>
      </c>
      <c r="M26" s="23">
        <v>22259</v>
      </c>
      <c r="N26" s="23">
        <v>9873</v>
      </c>
      <c r="O26" s="23">
        <v>2295</v>
      </c>
      <c r="Q26" s="22">
        <v>2013</v>
      </c>
      <c r="R26" s="23">
        <v>39.9</v>
      </c>
      <c r="S26" s="23">
        <v>399</v>
      </c>
      <c r="T26" s="23">
        <v>21.7</v>
      </c>
      <c r="U26" s="23">
        <v>160</v>
      </c>
      <c r="V26" s="23">
        <v>200</v>
      </c>
      <c r="W26" s="23">
        <v>103.5</v>
      </c>
      <c r="Y26">
        <f t="shared" si="1"/>
        <v>3.9899999999999998</v>
      </c>
      <c r="Z26">
        <f t="shared" si="0"/>
        <v>2.17</v>
      </c>
    </row>
    <row r="27" spans="1:26" x14ac:dyDescent="0.25">
      <c r="A27" s="22">
        <v>2014</v>
      </c>
      <c r="B27" s="23">
        <v>14801</v>
      </c>
      <c r="C27" s="23">
        <v>331</v>
      </c>
      <c r="D27" s="23">
        <v>5257</v>
      </c>
      <c r="E27" s="23">
        <v>1348</v>
      </c>
      <c r="F27" s="23">
        <v>463</v>
      </c>
      <c r="G27" s="23">
        <v>2101</v>
      </c>
      <c r="I27" s="22">
        <v>2014</v>
      </c>
      <c r="J27" s="23">
        <v>63859</v>
      </c>
      <c r="K27" s="23">
        <v>15734</v>
      </c>
      <c r="L27" s="23">
        <v>10134</v>
      </c>
      <c r="M27" s="23">
        <v>23693</v>
      </c>
      <c r="N27" s="23">
        <v>9638</v>
      </c>
      <c r="O27" s="23">
        <v>1999</v>
      </c>
      <c r="Q27" s="22">
        <v>2014</v>
      </c>
      <c r="R27" s="23">
        <v>43.7</v>
      </c>
      <c r="S27" s="23">
        <v>477</v>
      </c>
      <c r="T27" s="23">
        <v>19.399999999999999</v>
      </c>
      <c r="U27" s="23">
        <v>176</v>
      </c>
      <c r="V27" s="23">
        <v>208</v>
      </c>
      <c r="W27" s="23">
        <v>95.2</v>
      </c>
      <c r="Y27">
        <f t="shared" si="1"/>
        <v>4.37</v>
      </c>
      <c r="Z27">
        <f t="shared" si="0"/>
        <v>1.94</v>
      </c>
    </row>
    <row r="28" spans="1:26" x14ac:dyDescent="0.25">
      <c r="A28" s="22">
        <v>2015</v>
      </c>
      <c r="B28" s="23">
        <v>14739</v>
      </c>
      <c r="C28" s="23">
        <v>237</v>
      </c>
      <c r="D28" s="23">
        <v>5105</v>
      </c>
      <c r="E28" s="23">
        <v>1291</v>
      </c>
      <c r="F28" s="23">
        <v>440</v>
      </c>
      <c r="G28" s="23">
        <v>1990</v>
      </c>
      <c r="I28" s="22">
        <v>2015</v>
      </c>
      <c r="J28" s="23">
        <v>60126</v>
      </c>
      <c r="K28" s="23">
        <v>10331</v>
      </c>
      <c r="L28" s="23">
        <v>11181</v>
      </c>
      <c r="M28" s="23">
        <v>20839</v>
      </c>
      <c r="N28" s="23">
        <v>9214</v>
      </c>
      <c r="O28" s="23">
        <v>2153</v>
      </c>
      <c r="Q28" s="22">
        <v>2015</v>
      </c>
      <c r="R28" s="23">
        <v>41.1</v>
      </c>
      <c r="S28" s="23">
        <v>436</v>
      </c>
      <c r="T28" s="23">
        <v>21.6</v>
      </c>
      <c r="U28" s="23">
        <v>161</v>
      </c>
      <c r="V28" s="23">
        <v>206</v>
      </c>
      <c r="W28" s="23">
        <v>104.5</v>
      </c>
      <c r="Y28">
        <f t="shared" si="1"/>
        <v>4.1100000000000003</v>
      </c>
      <c r="Z28">
        <f t="shared" si="0"/>
        <v>2.16</v>
      </c>
    </row>
  </sheetData>
  <mergeCells count="6">
    <mergeCell ref="A1:A2"/>
    <mergeCell ref="B1:G1"/>
    <mergeCell ref="I1:I2"/>
    <mergeCell ref="J1:O1"/>
    <mergeCell ref="R1:W1"/>
    <mergeCell ref="Q1:Q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5" sqref="K5"/>
    </sheetView>
  </sheetViews>
  <sheetFormatPr defaultRowHeight="13.2" x14ac:dyDescent="0.25"/>
  <cols>
    <col min="1" max="1" width="34.33203125" bestFit="1" customWidth="1"/>
    <col min="13" max="13" width="1.109375" customWidth="1"/>
    <col min="14" max="14" width="6.5546875" bestFit="1" customWidth="1"/>
    <col min="15" max="15" width="5.5546875" bestFit="1" customWidth="1"/>
    <col min="16" max="16" width="8.33203125" bestFit="1" customWidth="1"/>
  </cols>
  <sheetData>
    <row r="1" spans="1:16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6" x14ac:dyDescent="0.25">
      <c r="A2" s="12" t="s">
        <v>20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12</v>
      </c>
      <c r="L2" s="12" t="s">
        <v>13</v>
      </c>
      <c r="N2" s="31" t="s">
        <v>140</v>
      </c>
      <c r="O2" s="31" t="s">
        <v>141</v>
      </c>
      <c r="P2" s="31" t="s">
        <v>142</v>
      </c>
    </row>
    <row r="3" spans="1:16" x14ac:dyDescent="0.25">
      <c r="A3" s="1" t="s">
        <v>14</v>
      </c>
      <c r="B3" s="1">
        <v>215.2</v>
      </c>
      <c r="C3" s="1">
        <v>350.4</v>
      </c>
      <c r="D3" s="1">
        <v>663.1</v>
      </c>
      <c r="E3" s="1">
        <v>1047.0999999999999</v>
      </c>
      <c r="F3" s="1">
        <v>1020.5</v>
      </c>
      <c r="G3" s="1">
        <v>1899.1</v>
      </c>
      <c r="H3" s="1">
        <v>2071.8000000000002</v>
      </c>
      <c r="I3" s="1">
        <v>2796.8</v>
      </c>
      <c r="J3" s="1">
        <v>2393.3000000000002</v>
      </c>
      <c r="K3" s="1">
        <v>2329.5</v>
      </c>
      <c r="L3" s="1">
        <v>1988.5</v>
      </c>
    </row>
    <row r="4" spans="1:16" x14ac:dyDescent="0.25">
      <c r="A4" s="1" t="s">
        <v>21</v>
      </c>
      <c r="B4" s="1">
        <v>17</v>
      </c>
      <c r="C4" s="1">
        <v>46.4</v>
      </c>
      <c r="D4" s="1">
        <v>123.2</v>
      </c>
      <c r="E4" s="1">
        <v>190.1</v>
      </c>
      <c r="F4" s="1">
        <v>190</v>
      </c>
      <c r="G4" s="1">
        <v>309.60000000000002</v>
      </c>
      <c r="H4" s="1">
        <v>318.8</v>
      </c>
      <c r="I4" s="1">
        <v>287.5</v>
      </c>
      <c r="J4" s="1">
        <v>223</v>
      </c>
      <c r="K4" s="1">
        <v>396.6</v>
      </c>
      <c r="L4" s="1">
        <v>346.4</v>
      </c>
      <c r="N4" s="33">
        <f>AVERAGE(F4:L4)</f>
        <v>295.98571428571432</v>
      </c>
      <c r="O4" s="33">
        <f>STDEV(F4:L4)</f>
        <v>70.71370514432185</v>
      </c>
      <c r="P4" s="28">
        <f t="shared" ref="P4" si="0">ABS(O4/N4)</f>
        <v>0.23890918288056995</v>
      </c>
    </row>
    <row r="5" spans="1:16" x14ac:dyDescent="0.25">
      <c r="A5" s="8" t="s">
        <v>22</v>
      </c>
      <c r="B5" s="9" t="s">
        <v>15</v>
      </c>
      <c r="C5" s="9" t="s">
        <v>15</v>
      </c>
      <c r="D5" s="9">
        <v>81.099999999999994</v>
      </c>
      <c r="E5" s="9">
        <v>89.4</v>
      </c>
      <c r="F5" s="9">
        <v>101.2</v>
      </c>
      <c r="G5" s="9">
        <v>202.3</v>
      </c>
      <c r="H5" s="9">
        <v>198.5</v>
      </c>
      <c r="I5" s="9">
        <v>199.3</v>
      </c>
      <c r="J5" s="9">
        <v>177.8</v>
      </c>
      <c r="K5" s="9">
        <v>213.1</v>
      </c>
      <c r="L5" s="9">
        <v>128.80000000000001</v>
      </c>
      <c r="N5" s="34">
        <f>AVERAGE(F5:L5)</f>
        <v>174.42857142857139</v>
      </c>
      <c r="O5" s="34">
        <f>STDEV(F5:L5)</f>
        <v>42.673321653609278</v>
      </c>
      <c r="P5" s="35">
        <f t="shared" ref="P5:P7" si="1">ABS(O5/N5)</f>
        <v>0.24464639768653973</v>
      </c>
    </row>
    <row r="6" spans="1:16" x14ac:dyDescent="0.25">
      <c r="A6" s="8" t="s">
        <v>23</v>
      </c>
      <c r="B6" s="9" t="s">
        <v>15</v>
      </c>
      <c r="C6" s="9" t="s">
        <v>15</v>
      </c>
      <c r="D6" s="9">
        <v>39.9</v>
      </c>
      <c r="E6" s="9">
        <v>111.6</v>
      </c>
      <c r="F6" s="9">
        <v>79.8</v>
      </c>
      <c r="G6" s="9">
        <v>93.6</v>
      </c>
      <c r="H6" s="9">
        <v>59</v>
      </c>
      <c r="I6" s="9">
        <v>59</v>
      </c>
      <c r="J6" s="9">
        <v>125.8</v>
      </c>
      <c r="K6" s="9">
        <v>114.5</v>
      </c>
      <c r="L6" s="9">
        <v>107.1</v>
      </c>
      <c r="N6" s="34">
        <f t="shared" ref="N6:N7" si="2">AVERAGE(F6:L6)</f>
        <v>91.257142857142867</v>
      </c>
      <c r="O6" s="34">
        <f t="shared" ref="O6:O7" si="3">STDEV(F6:L6)</f>
        <v>26.464558510257724</v>
      </c>
      <c r="P6" s="35">
        <f t="shared" si="1"/>
        <v>0.28999985844051979</v>
      </c>
    </row>
    <row r="7" spans="1:16" x14ac:dyDescent="0.25">
      <c r="A7" s="8" t="s">
        <v>16</v>
      </c>
      <c r="B7" s="9" t="s">
        <v>15</v>
      </c>
      <c r="C7" s="9" t="s">
        <v>15</v>
      </c>
      <c r="D7" s="9">
        <v>19.899999999999999</v>
      </c>
      <c r="E7" s="9">
        <v>6.9</v>
      </c>
      <c r="F7" s="9">
        <v>23.1</v>
      </c>
      <c r="G7" s="9">
        <v>31.5</v>
      </c>
      <c r="H7" s="9">
        <v>73.8</v>
      </c>
      <c r="I7" s="9">
        <v>67.3</v>
      </c>
      <c r="J7" s="9">
        <v>-44.3</v>
      </c>
      <c r="K7" s="9">
        <v>97.9</v>
      </c>
      <c r="L7" s="9">
        <v>145.9</v>
      </c>
      <c r="N7" s="34">
        <f t="shared" si="2"/>
        <v>56.457142857142856</v>
      </c>
      <c r="O7" s="34">
        <f t="shared" si="3"/>
        <v>60.5852528025002</v>
      </c>
      <c r="P7" s="35">
        <f t="shared" si="1"/>
        <v>1.0731193563195887</v>
      </c>
    </row>
    <row r="8" spans="1:16" x14ac:dyDescent="0.25">
      <c r="A8" s="8" t="s">
        <v>24</v>
      </c>
      <c r="B8" s="9" t="s">
        <v>15</v>
      </c>
      <c r="C8" s="9" t="s">
        <v>15</v>
      </c>
      <c r="D8" s="9">
        <v>-17.7</v>
      </c>
      <c r="E8" s="9">
        <v>-17.8</v>
      </c>
      <c r="F8" s="9">
        <v>-14</v>
      </c>
      <c r="G8" s="9">
        <v>-17.8</v>
      </c>
      <c r="H8" s="9">
        <v>-12.4</v>
      </c>
      <c r="I8" s="9">
        <v>-38.1</v>
      </c>
      <c r="J8" s="9">
        <v>-36.299999999999997</v>
      </c>
      <c r="K8" s="9">
        <v>-29</v>
      </c>
      <c r="L8" s="9">
        <v>-35.5</v>
      </c>
      <c r="N8" s="34">
        <f>AVERAGE(F8:L8)</f>
        <v>-26.157142857142862</v>
      </c>
      <c r="O8" s="34">
        <f>STDEV(F8:L8)</f>
        <v>11.163759394107505</v>
      </c>
      <c r="P8" s="35">
        <f>ABS(O8/N8)</f>
        <v>0.42679582609913991</v>
      </c>
    </row>
    <row r="9" spans="1:16" x14ac:dyDescent="0.25">
      <c r="A9" s="1" t="s">
        <v>25</v>
      </c>
      <c r="B9" s="1">
        <v>1.3</v>
      </c>
      <c r="C9" s="1">
        <v>19.5</v>
      </c>
      <c r="D9" s="1">
        <v>83.2</v>
      </c>
      <c r="E9" s="1">
        <v>135.5</v>
      </c>
      <c r="F9" s="1">
        <v>152</v>
      </c>
      <c r="G9" s="1">
        <v>226.3</v>
      </c>
      <c r="H9" s="1">
        <v>206.7</v>
      </c>
      <c r="I9" s="1">
        <v>111.6</v>
      </c>
      <c r="J9" s="1">
        <v>-98.3</v>
      </c>
      <c r="K9" s="1">
        <v>106.9</v>
      </c>
      <c r="L9" s="1">
        <v>225.2</v>
      </c>
    </row>
    <row r="10" spans="1:16" x14ac:dyDescent="0.25">
      <c r="A10" s="1" t="s">
        <v>26</v>
      </c>
      <c r="B10" s="2">
        <v>7.9000000000000001E-2</v>
      </c>
      <c r="C10" s="2">
        <v>0.13200000000000001</v>
      </c>
      <c r="D10" s="2">
        <v>0.186</v>
      </c>
      <c r="E10" s="2">
        <v>0.182</v>
      </c>
      <c r="F10" s="2">
        <v>0.186</v>
      </c>
      <c r="G10" s="2">
        <v>0.16300000000000001</v>
      </c>
      <c r="H10" s="2">
        <v>0.154</v>
      </c>
      <c r="I10" s="2">
        <v>0.10299999999999999</v>
      </c>
      <c r="J10" s="2">
        <v>9.2999999999999999E-2</v>
      </c>
      <c r="K10" s="2">
        <v>0.17</v>
      </c>
      <c r="L10" s="2">
        <v>0.17399999999999999</v>
      </c>
    </row>
    <row r="11" spans="1:16" x14ac:dyDescent="0.25">
      <c r="A11" s="3" t="s">
        <v>27</v>
      </c>
      <c r="B11" s="4">
        <v>6.0000000000000001E-3</v>
      </c>
      <c r="C11" s="4">
        <v>5.6000000000000001E-2</v>
      </c>
      <c r="D11" s="4">
        <v>0.126</v>
      </c>
      <c r="E11" s="4">
        <v>0.129</v>
      </c>
      <c r="F11" s="4">
        <v>0.14899999999999999</v>
      </c>
      <c r="G11" s="4">
        <v>0.11899999999999999</v>
      </c>
      <c r="H11" s="4">
        <v>0.1</v>
      </c>
      <c r="I11" s="4">
        <v>0.04</v>
      </c>
      <c r="J11" s="4">
        <v>-4.1000000000000002E-2</v>
      </c>
      <c r="K11" s="4">
        <v>4.5999999999999999E-2</v>
      </c>
      <c r="L11" s="4">
        <v>0.113</v>
      </c>
    </row>
    <row r="12" spans="1:16" x14ac:dyDescent="0.25">
      <c r="A12" s="5" t="s">
        <v>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1:16" x14ac:dyDescent="0.25">
      <c r="A13" s="1" t="s">
        <v>17</v>
      </c>
      <c r="B13" s="1">
        <v>17</v>
      </c>
      <c r="C13" s="1">
        <v>46.4</v>
      </c>
      <c r="D13" s="1">
        <v>123.2</v>
      </c>
      <c r="E13" s="1">
        <v>190.1</v>
      </c>
      <c r="F13" s="1">
        <v>190</v>
      </c>
      <c r="G13" s="1">
        <v>309.60000000000002</v>
      </c>
      <c r="H13" s="1">
        <v>318.8</v>
      </c>
      <c r="I13" s="1">
        <v>287.5</v>
      </c>
      <c r="J13" s="1">
        <v>223</v>
      </c>
      <c r="K13" s="1">
        <v>396.6</v>
      </c>
      <c r="L13" s="1">
        <v>346.4</v>
      </c>
    </row>
    <row r="14" spans="1:16" x14ac:dyDescent="0.25">
      <c r="A14" s="1" t="s">
        <v>28</v>
      </c>
      <c r="B14" s="1">
        <v>-6</v>
      </c>
      <c r="C14" s="1">
        <v>2.2000000000000002</v>
      </c>
      <c r="D14" s="1">
        <v>-24.4</v>
      </c>
      <c r="E14" s="1">
        <v>-88.6</v>
      </c>
      <c r="F14" s="1">
        <v>-56.2</v>
      </c>
      <c r="G14" s="1">
        <v>-48.1</v>
      </c>
      <c r="H14" s="1">
        <v>-93.1</v>
      </c>
      <c r="I14" s="1">
        <v>-90.9</v>
      </c>
      <c r="J14" s="1">
        <v>-41.7</v>
      </c>
      <c r="K14" s="1">
        <v>-22.7</v>
      </c>
      <c r="L14" s="1">
        <v>-30.4</v>
      </c>
    </row>
    <row r="15" spans="1:16" x14ac:dyDescent="0.25">
      <c r="A15" s="1" t="s">
        <v>29</v>
      </c>
      <c r="B15" s="1">
        <v>-9.4</v>
      </c>
      <c r="C15" s="1">
        <v>-18.399999999999999</v>
      </c>
      <c r="D15" s="1">
        <v>-28.1</v>
      </c>
      <c r="E15" s="1">
        <v>-32.200000000000003</v>
      </c>
      <c r="F15" s="1">
        <v>-22.8</v>
      </c>
      <c r="G15" s="1">
        <v>-36</v>
      </c>
      <c r="H15" s="1">
        <v>-66.8</v>
      </c>
      <c r="I15" s="1">
        <v>-76.2</v>
      </c>
      <c r="J15" s="1">
        <v>-72</v>
      </c>
      <c r="K15" s="1">
        <v>-68.400000000000006</v>
      </c>
      <c r="L15" s="1">
        <v>-57.6</v>
      </c>
    </row>
    <row r="16" spans="1:16" x14ac:dyDescent="0.25">
      <c r="A16" s="1" t="s">
        <v>30</v>
      </c>
      <c r="B16" s="1">
        <v>-0.4</v>
      </c>
      <c r="C16" s="1">
        <v>-0.7</v>
      </c>
      <c r="D16" s="1">
        <v>-3.4</v>
      </c>
      <c r="E16" s="1">
        <v>-1.7</v>
      </c>
      <c r="F16" s="1">
        <v>-0.8</v>
      </c>
      <c r="G16" s="1">
        <v>-3</v>
      </c>
      <c r="H16" s="1">
        <v>-6.5</v>
      </c>
      <c r="I16" s="1">
        <v>-43.4</v>
      </c>
      <c r="J16" s="1">
        <v>-40.200000000000003</v>
      </c>
      <c r="K16" s="1">
        <v>-13</v>
      </c>
      <c r="L16" s="1">
        <v>-2.8</v>
      </c>
    </row>
    <row r="17" spans="1:12" x14ac:dyDescent="0.25">
      <c r="A17" s="1" t="s">
        <v>31</v>
      </c>
      <c r="B17" s="1">
        <v>-0.4</v>
      </c>
      <c r="C17" s="1">
        <v>-1</v>
      </c>
      <c r="D17" s="1">
        <v>-7.1</v>
      </c>
      <c r="E17" s="1">
        <v>-1.9</v>
      </c>
      <c r="F17" s="1">
        <v>15.7</v>
      </c>
      <c r="G17" s="1">
        <v>-34.4</v>
      </c>
      <c r="H17" s="1">
        <v>-27.4</v>
      </c>
      <c r="I17" s="1">
        <v>0.5</v>
      </c>
      <c r="J17" s="1">
        <v>-27.5</v>
      </c>
      <c r="K17" s="1">
        <v>-57.8</v>
      </c>
      <c r="L17" s="1">
        <v>-15.9</v>
      </c>
    </row>
    <row r="18" spans="1:12" x14ac:dyDescent="0.25">
      <c r="A18" s="11" t="s">
        <v>32</v>
      </c>
      <c r="B18" s="11">
        <v>0.8</v>
      </c>
      <c r="C18" s="11">
        <v>28.5</v>
      </c>
      <c r="D18" s="11">
        <v>60.2</v>
      </c>
      <c r="E18" s="11">
        <v>65.599999999999994</v>
      </c>
      <c r="F18" s="11">
        <v>126</v>
      </c>
      <c r="G18" s="11">
        <v>188.2</v>
      </c>
      <c r="H18" s="11">
        <v>125</v>
      </c>
      <c r="I18" s="11">
        <v>77.599999999999994</v>
      </c>
      <c r="J18" s="11">
        <v>41.6</v>
      </c>
      <c r="K18" s="11">
        <v>234.6</v>
      </c>
      <c r="L18" s="11">
        <v>239.7</v>
      </c>
    </row>
    <row r="19" spans="1:12" x14ac:dyDescent="0.25">
      <c r="A19" s="1" t="s">
        <v>33</v>
      </c>
      <c r="B19" s="1" t="s">
        <v>15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>
        <v>-19.899999999999999</v>
      </c>
      <c r="L19" s="1">
        <v>-19.899999999999999</v>
      </c>
    </row>
    <row r="20" spans="1:12" x14ac:dyDescent="0.25">
      <c r="A20" s="1" t="s">
        <v>34</v>
      </c>
      <c r="B20" s="1">
        <v>-35.799999999999997</v>
      </c>
      <c r="C20" s="1">
        <v>-14.7</v>
      </c>
      <c r="D20" s="1">
        <v>-210.3</v>
      </c>
      <c r="E20" s="1">
        <v>-25</v>
      </c>
      <c r="F20" s="1">
        <v>-97.4</v>
      </c>
      <c r="G20" s="1">
        <v>-180.1</v>
      </c>
      <c r="H20" s="1">
        <v>-242.1</v>
      </c>
      <c r="I20" s="1">
        <v>135.4</v>
      </c>
      <c r="J20" s="1">
        <v>-0.9</v>
      </c>
      <c r="K20" s="1">
        <v>147.4</v>
      </c>
      <c r="L20" s="1">
        <v>-136.30000000000001</v>
      </c>
    </row>
    <row r="21" spans="1:12" x14ac:dyDescent="0.25">
      <c r="A21" s="1" t="s">
        <v>35</v>
      </c>
      <c r="B21" s="1">
        <v>0.6</v>
      </c>
      <c r="C21" s="1">
        <v>-59.4</v>
      </c>
      <c r="D21" s="1">
        <v>-145.69999999999999</v>
      </c>
      <c r="E21" s="1">
        <v>-6.7</v>
      </c>
      <c r="F21" s="1">
        <v>-69.400000000000006</v>
      </c>
      <c r="G21" s="1">
        <v>-78</v>
      </c>
      <c r="H21" s="1">
        <v>-136.1</v>
      </c>
      <c r="I21" s="1">
        <v>-175.2</v>
      </c>
      <c r="J21" s="1">
        <v>-41.5</v>
      </c>
      <c r="K21" s="1">
        <v>-1.6</v>
      </c>
      <c r="L21" s="1">
        <v>-30.4</v>
      </c>
    </row>
    <row r="22" spans="1:12" x14ac:dyDescent="0.25">
      <c r="A22" s="3" t="s">
        <v>36</v>
      </c>
      <c r="B22" s="3">
        <v>-34.4</v>
      </c>
      <c r="C22" s="3">
        <v>-45.7</v>
      </c>
      <c r="D22" s="3">
        <v>-295.7</v>
      </c>
      <c r="E22" s="3">
        <v>34</v>
      </c>
      <c r="F22" s="3">
        <v>-40.9</v>
      </c>
      <c r="G22" s="3">
        <v>-69.900000000000006</v>
      </c>
      <c r="H22" s="3">
        <v>-253.2</v>
      </c>
      <c r="I22" s="3">
        <v>37.799999999999997</v>
      </c>
      <c r="J22" s="3">
        <v>-0.7</v>
      </c>
      <c r="K22" s="3">
        <v>360.5</v>
      </c>
      <c r="L22" s="3">
        <v>53.1</v>
      </c>
    </row>
    <row r="23" spans="1:12" x14ac:dyDescent="0.25">
      <c r="A23" s="5" t="s">
        <v>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</row>
    <row r="24" spans="1:12" x14ac:dyDescent="0.25">
      <c r="A24" s="1" t="s">
        <v>37</v>
      </c>
      <c r="B24" s="1">
        <v>94.2</v>
      </c>
      <c r="C24" s="1">
        <v>158.19999999999999</v>
      </c>
      <c r="D24" s="1">
        <v>258.8</v>
      </c>
      <c r="E24" s="1">
        <v>299.5</v>
      </c>
      <c r="F24" s="1">
        <v>350.4</v>
      </c>
      <c r="G24" s="1">
        <v>427.5</v>
      </c>
      <c r="H24" s="1">
        <v>698.3</v>
      </c>
      <c r="I24" s="1">
        <v>733.9</v>
      </c>
      <c r="J24" s="1">
        <v>749.4</v>
      </c>
      <c r="K24" s="1">
        <v>468.5</v>
      </c>
      <c r="L24" s="1">
        <v>343.1</v>
      </c>
    </row>
    <row r="25" spans="1:12" x14ac:dyDescent="0.25">
      <c r="A25" s="1" t="s">
        <v>18</v>
      </c>
      <c r="B25" s="1">
        <v>6.4</v>
      </c>
      <c r="C25" s="1">
        <v>25.3</v>
      </c>
      <c r="D25" s="1">
        <v>88.5</v>
      </c>
      <c r="E25" s="1">
        <v>129.30000000000001</v>
      </c>
      <c r="F25" s="1">
        <v>59.5</v>
      </c>
      <c r="G25" s="1">
        <v>115.9</v>
      </c>
      <c r="H25" s="1">
        <v>82.5</v>
      </c>
      <c r="I25" s="1">
        <v>78.8</v>
      </c>
      <c r="J25" s="1">
        <v>65.400000000000006</v>
      </c>
      <c r="K25" s="1">
        <v>129.1</v>
      </c>
      <c r="L25" s="1">
        <v>60.4</v>
      </c>
    </row>
    <row r="26" spans="1:12" x14ac:dyDescent="0.25">
      <c r="A26" s="1" t="s">
        <v>38</v>
      </c>
      <c r="B26" s="1">
        <v>87.8</v>
      </c>
      <c r="C26" s="1">
        <v>132.9</v>
      </c>
      <c r="D26" s="1">
        <v>170.3</v>
      </c>
      <c r="E26" s="1">
        <v>170.3</v>
      </c>
      <c r="F26" s="1">
        <v>290.89999999999998</v>
      </c>
      <c r="G26" s="1">
        <v>311.60000000000002</v>
      </c>
      <c r="H26" s="1">
        <v>615.79999999999995</v>
      </c>
      <c r="I26" s="1">
        <v>655.1</v>
      </c>
      <c r="J26" s="1">
        <v>684</v>
      </c>
      <c r="K26" s="1">
        <v>339.4</v>
      </c>
      <c r="L26" s="1">
        <v>282.8</v>
      </c>
    </row>
    <row r="27" spans="1:12" x14ac:dyDescent="0.25">
      <c r="A27" s="1" t="s">
        <v>39</v>
      </c>
      <c r="B27" s="1">
        <v>29.3</v>
      </c>
      <c r="C27" s="1">
        <v>38.1</v>
      </c>
      <c r="D27" s="1">
        <v>138.6</v>
      </c>
      <c r="E27" s="1">
        <v>94.9</v>
      </c>
      <c r="F27" s="1">
        <v>142.9</v>
      </c>
      <c r="G27" s="1">
        <v>172.7</v>
      </c>
      <c r="H27" s="1">
        <v>385.1</v>
      </c>
      <c r="I27" s="1">
        <v>175.1</v>
      </c>
      <c r="J27" s="1">
        <v>243.4</v>
      </c>
      <c r="K27" s="1">
        <v>140.1</v>
      </c>
      <c r="L27" s="1">
        <v>183.7</v>
      </c>
    </row>
    <row r="28" spans="1:12" x14ac:dyDescent="0.25">
      <c r="A28" s="1" t="s">
        <v>40</v>
      </c>
      <c r="B28" s="1">
        <v>58.5</v>
      </c>
      <c r="C28" s="1">
        <v>94.8</v>
      </c>
      <c r="D28" s="1">
        <v>31.7</v>
      </c>
      <c r="E28" s="1">
        <v>75.400000000000006</v>
      </c>
      <c r="F28" s="1">
        <v>148</v>
      </c>
      <c r="G28" s="1">
        <v>138.9</v>
      </c>
      <c r="H28" s="1">
        <v>230.7</v>
      </c>
      <c r="I28" s="1">
        <v>480</v>
      </c>
      <c r="J28" s="1">
        <v>440.6</v>
      </c>
      <c r="K28" s="1">
        <v>199.3</v>
      </c>
      <c r="L28" s="1">
        <v>99.1</v>
      </c>
    </row>
    <row r="29" spans="1:12" x14ac:dyDescent="0.25">
      <c r="A29" s="1" t="s">
        <v>41</v>
      </c>
      <c r="B29" s="1">
        <v>5.2</v>
      </c>
      <c r="C29" s="1">
        <v>2.9</v>
      </c>
      <c r="D29" s="1">
        <v>1.4</v>
      </c>
      <c r="E29" s="1">
        <v>0.9</v>
      </c>
      <c r="F29" s="1">
        <v>1.5</v>
      </c>
      <c r="G29" s="1">
        <v>1</v>
      </c>
      <c r="H29" s="1">
        <v>1.9</v>
      </c>
      <c r="I29" s="1">
        <v>2.2999999999999998</v>
      </c>
      <c r="J29" s="1">
        <v>3.1</v>
      </c>
      <c r="K29" s="1">
        <v>0.9</v>
      </c>
      <c r="L29" s="1">
        <v>0.8</v>
      </c>
    </row>
    <row r="30" spans="1:12" x14ac:dyDescent="0.25">
      <c r="A30" s="1" t="s">
        <v>42</v>
      </c>
      <c r="B30" s="1">
        <v>3.4</v>
      </c>
      <c r="C30" s="1">
        <v>2</v>
      </c>
      <c r="D30" s="1">
        <v>0.3</v>
      </c>
      <c r="E30" s="1">
        <v>0.4</v>
      </c>
      <c r="F30" s="1">
        <v>0.8</v>
      </c>
      <c r="G30" s="1">
        <v>0.4</v>
      </c>
      <c r="H30" s="1">
        <v>0.7</v>
      </c>
      <c r="I30" s="1">
        <v>1.7</v>
      </c>
      <c r="J30" s="1">
        <v>2</v>
      </c>
      <c r="K30" s="1">
        <v>0.5</v>
      </c>
      <c r="L30" s="1">
        <v>0.3</v>
      </c>
    </row>
    <row r="31" spans="1:12" x14ac:dyDescent="0.25">
      <c r="A31" s="1" t="s">
        <v>19</v>
      </c>
      <c r="B31" s="1">
        <v>1.8</v>
      </c>
      <c r="C31" s="1">
        <v>2.5</v>
      </c>
      <c r="D31" s="1">
        <v>4.4000000000000004</v>
      </c>
      <c r="E31" s="1">
        <v>5.9</v>
      </c>
      <c r="F31" s="1">
        <v>8.3000000000000007</v>
      </c>
      <c r="G31" s="1">
        <v>7.3</v>
      </c>
      <c r="H31" s="1">
        <v>5.0999999999999996</v>
      </c>
      <c r="I31" s="1">
        <v>3.8</v>
      </c>
      <c r="J31" s="1">
        <v>3.1</v>
      </c>
      <c r="K31" s="1">
        <v>5.8</v>
      </c>
      <c r="L31" s="1">
        <v>6.1</v>
      </c>
    </row>
    <row r="33" spans="1:12" x14ac:dyDescent="0.25">
      <c r="A33" s="10" t="s">
        <v>43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5">
      <c r="A34" s="10" t="s">
        <v>44</v>
      </c>
    </row>
    <row r="35" spans="1:12" x14ac:dyDescent="0.25">
      <c r="A35" s="10" t="s">
        <v>45</v>
      </c>
    </row>
    <row r="36" spans="1:12" x14ac:dyDescent="0.25">
      <c r="A36" s="10" t="s">
        <v>46</v>
      </c>
    </row>
    <row r="37" spans="1:12" x14ac:dyDescent="0.25">
      <c r="A37" s="10" t="s">
        <v>47</v>
      </c>
    </row>
    <row r="38" spans="1:12" x14ac:dyDescent="0.25">
      <c r="A38" s="10" t="s">
        <v>48</v>
      </c>
    </row>
  </sheetData>
  <dataConsolidate/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D4"/>
    </sheetView>
  </sheetViews>
  <sheetFormatPr defaultRowHeight="13.2" x14ac:dyDescent="0.25"/>
  <cols>
    <col min="1" max="1" width="22.109375" bestFit="1" customWidth="1"/>
    <col min="2" max="5" width="4.33203125" bestFit="1" customWidth="1"/>
  </cols>
  <sheetData>
    <row r="1" spans="1:5" ht="75.599999999999994" customHeight="1" x14ac:dyDescent="0.25">
      <c r="B1" s="37" t="s">
        <v>22</v>
      </c>
      <c r="C1" s="37" t="s">
        <v>23</v>
      </c>
      <c r="D1" s="37" t="s">
        <v>16</v>
      </c>
      <c r="E1" s="37" t="s">
        <v>24</v>
      </c>
    </row>
    <row r="2" spans="1:5" x14ac:dyDescent="0.25">
      <c r="A2" s="38" t="s">
        <v>22</v>
      </c>
      <c r="B2" s="36">
        <f ca="1">CORREL(OFFSET(key!$D$4:$L$4,MATCH($A2,key!$A$5:$A$8,0),0),OFFSET(key!$D$4:$L$4,MATCH(B$1,key!$A$5:$A$8,0),0))</f>
        <v>0.99999999999999978</v>
      </c>
      <c r="C2" s="36">
        <f ca="1">CORREL(OFFSET(key!$D$4:$L$4,MATCH($A2,key!$A$5:$A$8,0),0),OFFSET(key!$D$4:$L$4,MATCH(C$1,key!$A$5:$A$8,0),0))</f>
        <v>0.16004671708027676</v>
      </c>
      <c r="D2" s="36">
        <f ca="1">CORREL(OFFSET(key!$D$4:$L$4,MATCH($A2,key!$A$5:$A$8,0),0),OFFSET(key!$D$4:$L$4,MATCH(D$1,key!$A$5:$A$8,0),0))</f>
        <v>0.22922076461927204</v>
      </c>
      <c r="E2" s="36">
        <f ca="1">CORREL(OFFSET(key!$D$4:$L$4,MATCH($A2,key!$A$5:$A$8,0),0),OFFSET(key!$D$4:$L$4,MATCH(E$1,key!$A$5:$A$8,0),0))</f>
        <v>-0.33703200577493736</v>
      </c>
    </row>
    <row r="3" spans="1:5" x14ac:dyDescent="0.25">
      <c r="A3" s="38" t="s">
        <v>23</v>
      </c>
      <c r="B3" s="36">
        <f ca="1">CORREL(OFFSET(key!$D$4:$L$4,MATCH($A3,key!$A$5:$A$8,0),0),OFFSET(key!$D$4:$L$4,MATCH(B$1,key!$A$5:$A$8,0),0))</f>
        <v>0.16004671708027676</v>
      </c>
      <c r="C3" s="36">
        <f ca="1">CORREL(OFFSET(key!$D$4:$L$4,MATCH($A3,key!$A$5:$A$8,0),0),OFFSET(key!$D$4:$L$4,MATCH(C$1,key!$A$5:$A$8,0),0))</f>
        <v>1</v>
      </c>
      <c r="D3" s="36">
        <f ca="1">CORREL(OFFSET(key!$D$4:$L$4,MATCH($A3,key!$A$5:$A$8,0),0),OFFSET(key!$D$4:$L$4,MATCH(D$1,key!$A$5:$A$8,0),0))</f>
        <v>-8.328466348011547E-2</v>
      </c>
      <c r="E3" s="36">
        <f ca="1">CORREL(OFFSET(key!$D$4:$L$4,MATCH($A3,key!$A$5:$A$8,0),0),OFFSET(key!$D$4:$L$4,MATCH(E$1,key!$A$5:$A$8,0),0))</f>
        <v>-0.38332705608696449</v>
      </c>
    </row>
    <row r="4" spans="1:5" x14ac:dyDescent="0.25">
      <c r="A4" s="38" t="s">
        <v>16</v>
      </c>
      <c r="B4" s="36">
        <f ca="1">CORREL(OFFSET(key!$D$4:$L$4,MATCH($A4,key!$A$5:$A$8,0),0),OFFSET(key!$D$4:$L$4,MATCH(B$1,key!$A$5:$A$8,0),0))</f>
        <v>0.22922076461927204</v>
      </c>
      <c r="C4" s="36">
        <f ca="1">CORREL(OFFSET(key!$D$4:$L$4,MATCH($A4,key!$A$5:$A$8,0),0),OFFSET(key!$D$4:$L$4,MATCH(C$1,key!$A$5:$A$8,0),0))</f>
        <v>-8.328466348011547E-2</v>
      </c>
      <c r="D4" s="36">
        <f ca="1">CORREL(OFFSET(key!$D$4:$L$4,MATCH($A4,key!$A$5:$A$8,0),0),OFFSET(key!$D$4:$L$4,MATCH(D$1,key!$A$5:$A$8,0),0))</f>
        <v>1</v>
      </c>
      <c r="E4" s="36">
        <f ca="1">CORREL(OFFSET(key!$D$4:$L$4,MATCH($A4,key!$A$5:$A$8,0),0),OFFSET(key!$D$4:$L$4,MATCH(E$1,key!$A$5:$A$8,0),0))</f>
        <v>-0.21575924003804484</v>
      </c>
    </row>
    <row r="5" spans="1:5" x14ac:dyDescent="0.25">
      <c r="A5" s="38" t="s">
        <v>24</v>
      </c>
      <c r="B5" s="36">
        <f ca="1">CORREL(OFFSET(key!$D$4:$L$4,MATCH($A5,key!$A$5:$A$8,0),0),OFFSET(key!$D$4:$L$4,MATCH(B$1,key!$A$5:$A$8,0),0))</f>
        <v>-0.33703200577493736</v>
      </c>
      <c r="C5" s="36">
        <f ca="1">CORREL(OFFSET(key!$D$4:$L$4,MATCH($A5,key!$A$5:$A$8,0),0),OFFSET(key!$D$4:$L$4,MATCH(C$1,key!$A$5:$A$8,0),0))</f>
        <v>-0.38332705608696449</v>
      </c>
      <c r="D5" s="36">
        <f ca="1">CORREL(OFFSET(key!$D$4:$L$4,MATCH($A5,key!$A$5:$A$8,0),0),OFFSET(key!$D$4:$L$4,MATCH(D$1,key!$A$5:$A$8,0),0))</f>
        <v>-0.21575924003804484</v>
      </c>
      <c r="E5" s="36">
        <f ca="1">CORREL(OFFSET(key!$D$4:$L$4,MATCH($A5,key!$A$5:$A$8,0),0),OFFSET(key!$D$4:$L$4,MATCH(E$1,key!$A$5:$A$8,0),0))</f>
        <v>1</v>
      </c>
    </row>
  </sheetData>
  <conditionalFormatting sqref="B2:D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9"/>
  <sheetViews>
    <sheetView tabSelected="1" zoomScaleNormal="100" workbookViewId="0">
      <pane xSplit="1" ySplit="1" topLeftCell="H33" activePane="bottomRight" state="frozen"/>
      <selection pane="topRight" activeCell="B1" sqref="B1"/>
      <selection pane="bottomLeft" activeCell="A2" sqref="A2"/>
      <selection pane="bottomRight" activeCell="A58" sqref="A58"/>
    </sheetView>
  </sheetViews>
  <sheetFormatPr defaultRowHeight="13.2" outlineLevelRow="1" x14ac:dyDescent="0.25"/>
  <cols>
    <col min="1" max="1" width="40" bestFit="1" customWidth="1"/>
    <col min="2" max="2" width="8" customWidth="1"/>
    <col min="3" max="15" width="7.5546875" bestFit="1" customWidth="1"/>
    <col min="16" max="17" width="8.109375" bestFit="1" customWidth="1"/>
    <col min="18" max="19" width="7.5546875" bestFit="1" customWidth="1"/>
    <col min="20" max="20" width="7" bestFit="1" customWidth="1"/>
    <col min="21" max="21" width="7.5546875" bestFit="1" customWidth="1"/>
    <col min="25" max="25" width="9" bestFit="1" customWidth="1"/>
  </cols>
  <sheetData>
    <row r="1" spans="1:25" x14ac:dyDescent="0.25">
      <c r="A1" s="52" t="s">
        <v>210</v>
      </c>
      <c r="B1" s="74" t="s">
        <v>158</v>
      </c>
      <c r="C1" s="48" t="s">
        <v>159</v>
      </c>
      <c r="D1" s="48" t="s">
        <v>160</v>
      </c>
      <c r="E1" s="75" t="s">
        <v>161</v>
      </c>
      <c r="F1" s="70" t="s">
        <v>162</v>
      </c>
      <c r="G1" s="1" t="s">
        <v>163</v>
      </c>
      <c r="H1" s="1" t="s">
        <v>164</v>
      </c>
      <c r="I1" s="52" t="s">
        <v>165</v>
      </c>
      <c r="J1" s="74" t="s">
        <v>166</v>
      </c>
      <c r="K1" s="48" t="s">
        <v>167</v>
      </c>
      <c r="L1" s="48" t="s">
        <v>168</v>
      </c>
      <c r="M1" s="75" t="s">
        <v>169</v>
      </c>
      <c r="N1" s="70" t="s">
        <v>170</v>
      </c>
      <c r="O1" s="1" t="s">
        <v>171</v>
      </c>
      <c r="P1" s="1" t="s">
        <v>172</v>
      </c>
      <c r="Q1" s="52" t="s">
        <v>173</v>
      </c>
      <c r="R1" s="74" t="s">
        <v>174</v>
      </c>
      <c r="S1" s="48" t="s">
        <v>175</v>
      </c>
      <c r="T1" s="89" t="s">
        <v>176</v>
      </c>
      <c r="U1" s="90" t="s">
        <v>177</v>
      </c>
      <c r="V1" s="91" t="s">
        <v>206</v>
      </c>
      <c r="W1" s="89" t="s">
        <v>207</v>
      </c>
      <c r="X1" s="89" t="s">
        <v>208</v>
      </c>
      <c r="Y1" s="90" t="s">
        <v>209</v>
      </c>
    </row>
    <row r="2" spans="1:25" x14ac:dyDescent="0.25">
      <c r="A2" s="60" t="s">
        <v>194</v>
      </c>
      <c r="B2" s="96">
        <v>0.198994</v>
      </c>
      <c r="C2" s="97">
        <v>0.38268000000000002</v>
      </c>
      <c r="D2" s="97">
        <v>0.17397599999999999</v>
      </c>
      <c r="E2" s="98">
        <f>1.0403-SUM(B2:D2)</f>
        <v>0.28464999999999996</v>
      </c>
      <c r="F2" s="99">
        <v>9.5699999999999993E-2</v>
      </c>
      <c r="G2" s="97">
        <v>0.26174700000000001</v>
      </c>
      <c r="H2" s="97">
        <v>0.26449699999999998</v>
      </c>
      <c r="I2" s="100">
        <f>0.9203-SUM(F2:H2)</f>
        <v>0.29835599999999995</v>
      </c>
      <c r="J2" s="96">
        <v>0.2026</v>
      </c>
      <c r="K2" s="97">
        <v>0.27810000000000001</v>
      </c>
      <c r="L2" s="97">
        <v>0.2492</v>
      </c>
      <c r="M2" s="98">
        <f>1.0302-SUM(J2:L2)</f>
        <v>0.30030000000000001</v>
      </c>
      <c r="N2" s="99">
        <v>0.15820000000000001</v>
      </c>
      <c r="O2" s="97">
        <v>0.29699999999999999</v>
      </c>
      <c r="P2" s="97">
        <v>0.31990000000000002</v>
      </c>
      <c r="Q2" s="100">
        <f>0.9839-SUM(N2:P2)</f>
        <v>0.20879999999999999</v>
      </c>
      <c r="R2" s="96">
        <v>0.1673</v>
      </c>
      <c r="S2" s="97">
        <v>0.34110000000000001</v>
      </c>
      <c r="T2" s="197"/>
      <c r="U2" s="198"/>
      <c r="V2" s="199"/>
      <c r="W2" s="200"/>
      <c r="X2" s="197"/>
      <c r="Y2" s="198"/>
    </row>
    <row r="3" spans="1:25" x14ac:dyDescent="0.25">
      <c r="A3" s="60" t="s">
        <v>187</v>
      </c>
      <c r="B3" s="171">
        <v>291.7</v>
      </c>
      <c r="C3" s="167">
        <v>526.5</v>
      </c>
      <c r="D3" s="167">
        <v>303</v>
      </c>
      <c r="E3" s="168">
        <f>1527.7-SUM(B3:D3)</f>
        <v>406.5</v>
      </c>
      <c r="F3" s="169">
        <v>116.5</v>
      </c>
      <c r="G3" s="167">
        <v>300.7</v>
      </c>
      <c r="H3" s="167">
        <v>310</v>
      </c>
      <c r="I3" s="170">
        <f>1079-SUM(F3:H3)</f>
        <v>351.79999999999995</v>
      </c>
      <c r="J3" s="171">
        <v>232.5</v>
      </c>
      <c r="K3" s="167">
        <v>284.8</v>
      </c>
      <c r="L3" s="167">
        <v>275.10000000000002</v>
      </c>
      <c r="M3" s="168">
        <f>1099.7-SUM(J3:L3)</f>
        <v>307.30000000000007</v>
      </c>
      <c r="N3" s="169">
        <v>169.9</v>
      </c>
      <c r="O3" s="167">
        <v>316.89999999999998</v>
      </c>
      <c r="P3" s="167">
        <v>317</v>
      </c>
      <c r="Q3" s="170">
        <f>1032.1-SUM(N3:P3)</f>
        <v>228.29999999999995</v>
      </c>
      <c r="R3" s="171">
        <v>152.19999999999999</v>
      </c>
      <c r="S3" s="167">
        <v>331.4</v>
      </c>
      <c r="T3" s="201"/>
      <c r="U3" s="202"/>
      <c r="V3" s="203"/>
      <c r="W3" s="204"/>
      <c r="X3" s="201"/>
      <c r="Y3" s="202"/>
    </row>
    <row r="4" spans="1:25" x14ac:dyDescent="0.25">
      <c r="A4" s="54" t="s">
        <v>179</v>
      </c>
      <c r="B4" s="152">
        <f t="shared" ref="B4:S4" si="0">B3/B2</f>
        <v>1465.8733429148617</v>
      </c>
      <c r="C4" s="153">
        <f t="shared" si="0"/>
        <v>1375.8231420507996</v>
      </c>
      <c r="D4" s="153">
        <f t="shared" si="0"/>
        <v>1741.6195337287902</v>
      </c>
      <c r="E4" s="154">
        <f t="shared" si="0"/>
        <v>1428.0695591076762</v>
      </c>
      <c r="F4" s="155">
        <f t="shared" si="0"/>
        <v>1217.3458725182863</v>
      </c>
      <c r="G4" s="153">
        <f t="shared" si="0"/>
        <v>1148.819279686109</v>
      </c>
      <c r="H4" s="153">
        <f t="shared" si="0"/>
        <v>1172.035977723755</v>
      </c>
      <c r="I4" s="156">
        <f t="shared" si="0"/>
        <v>1179.1282896941909</v>
      </c>
      <c r="J4" s="152">
        <f t="shared" si="0"/>
        <v>1147.5814412635734</v>
      </c>
      <c r="K4" s="153">
        <f t="shared" si="0"/>
        <v>1024.0920532182668</v>
      </c>
      <c r="L4" s="153">
        <f t="shared" si="0"/>
        <v>1103.932584269663</v>
      </c>
      <c r="M4" s="154">
        <f t="shared" si="0"/>
        <v>1023.3100233100236</v>
      </c>
      <c r="N4" s="155">
        <f t="shared" si="0"/>
        <v>1073.9570164348925</v>
      </c>
      <c r="O4" s="153">
        <f t="shared" si="0"/>
        <v>1067.003367003367</v>
      </c>
      <c r="P4" s="153">
        <f t="shared" si="0"/>
        <v>990.93466708346352</v>
      </c>
      <c r="Q4" s="156">
        <f t="shared" si="0"/>
        <v>1093.3908045977009</v>
      </c>
      <c r="R4" s="152">
        <f t="shared" si="0"/>
        <v>909.74297668858333</v>
      </c>
      <c r="S4" s="153">
        <f t="shared" si="0"/>
        <v>971.56259161536195</v>
      </c>
      <c r="T4" s="245"/>
      <c r="U4" s="246"/>
      <c r="V4" s="247"/>
      <c r="W4" s="248"/>
      <c r="X4" s="245"/>
      <c r="Y4" s="246"/>
    </row>
    <row r="5" spans="1:25" x14ac:dyDescent="0.25">
      <c r="A5" s="60" t="s">
        <v>181</v>
      </c>
      <c r="B5" s="171">
        <v>38.1</v>
      </c>
      <c r="C5" s="167">
        <v>63.8</v>
      </c>
      <c r="D5" s="167">
        <v>36.5</v>
      </c>
      <c r="E5" s="168">
        <f>173.2-SUM(B5:D5)</f>
        <v>34.799999999999983</v>
      </c>
      <c r="F5" s="169">
        <v>0.8</v>
      </c>
      <c r="G5" s="167">
        <v>48.7</v>
      </c>
      <c r="H5" s="167">
        <v>50.1</v>
      </c>
      <c r="I5" s="170">
        <f>151.2-SUM(F5:H5)</f>
        <v>51.599999999999994</v>
      </c>
      <c r="J5" s="171">
        <v>40.9</v>
      </c>
      <c r="K5" s="167">
        <v>56.7</v>
      </c>
      <c r="L5" s="167">
        <v>69.400000000000006</v>
      </c>
      <c r="M5" s="168">
        <f>192.6-SUM(J5:L5)</f>
        <v>25.599999999999994</v>
      </c>
      <c r="N5" s="169">
        <v>22.5</v>
      </c>
      <c r="O5" s="167">
        <v>35.4</v>
      </c>
      <c r="P5" s="167">
        <v>33.6</v>
      </c>
      <c r="Q5" s="170">
        <f>113-SUM(N5:P5)</f>
        <v>21.5</v>
      </c>
      <c r="R5" s="171">
        <v>10.6</v>
      </c>
      <c r="S5" s="167">
        <v>29.6</v>
      </c>
      <c r="T5" s="201"/>
      <c r="U5" s="202"/>
      <c r="V5" s="203"/>
      <c r="W5" s="204"/>
      <c r="X5" s="201"/>
      <c r="Y5" s="202"/>
    </row>
    <row r="6" spans="1:25" x14ac:dyDescent="0.25">
      <c r="A6" s="54" t="s">
        <v>180</v>
      </c>
      <c r="B6" s="166">
        <f t="shared" ref="B6:S6" si="1">B5/B3</f>
        <v>0.13061364415495372</v>
      </c>
      <c r="C6" s="162">
        <f t="shared" si="1"/>
        <v>0.1211775878442545</v>
      </c>
      <c r="D6" s="162">
        <f t="shared" si="1"/>
        <v>0.12046204620462046</v>
      </c>
      <c r="E6" s="163">
        <f t="shared" si="1"/>
        <v>8.560885608856085E-2</v>
      </c>
      <c r="F6" s="164">
        <f t="shared" si="1"/>
        <v>6.8669527896995713E-3</v>
      </c>
      <c r="G6" s="162">
        <f t="shared" si="1"/>
        <v>0.16195543731293649</v>
      </c>
      <c r="H6" s="162">
        <f t="shared" si="1"/>
        <v>0.16161290322580646</v>
      </c>
      <c r="I6" s="165">
        <f t="shared" si="1"/>
        <v>0.14667424673109722</v>
      </c>
      <c r="J6" s="166">
        <f t="shared" si="1"/>
        <v>0.17591397849462365</v>
      </c>
      <c r="K6" s="162">
        <f t="shared" si="1"/>
        <v>0.1990870786516854</v>
      </c>
      <c r="L6" s="162">
        <f t="shared" si="1"/>
        <v>0.25227190112686299</v>
      </c>
      <c r="M6" s="163">
        <f t="shared" si="1"/>
        <v>8.3306215424666416E-2</v>
      </c>
      <c r="N6" s="164">
        <f t="shared" si="1"/>
        <v>0.13243084167157151</v>
      </c>
      <c r="O6" s="162">
        <f t="shared" si="1"/>
        <v>0.1117071631429473</v>
      </c>
      <c r="P6" s="162">
        <f t="shared" si="1"/>
        <v>0.10599369085173502</v>
      </c>
      <c r="Q6" s="165">
        <f t="shared" si="1"/>
        <v>9.4174332019272902E-2</v>
      </c>
      <c r="R6" s="166">
        <f t="shared" si="1"/>
        <v>6.9645203679369258E-2</v>
      </c>
      <c r="S6" s="162">
        <f t="shared" si="1"/>
        <v>8.9318044659022336E-2</v>
      </c>
      <c r="T6" s="249"/>
      <c r="U6" s="250"/>
      <c r="V6" s="251"/>
      <c r="W6" s="252"/>
      <c r="X6" s="249"/>
      <c r="Y6" s="250"/>
    </row>
    <row r="7" spans="1:25" ht="13.8" thickBot="1" x14ac:dyDescent="0.3">
      <c r="A7" s="55" t="s">
        <v>182</v>
      </c>
      <c r="B7" s="157">
        <f t="shared" ref="B7:S7" si="2">B5/B2</f>
        <v>191.46305918771421</v>
      </c>
      <c r="C7" s="158">
        <f t="shared" si="2"/>
        <v>166.71892965401901</v>
      </c>
      <c r="D7" s="158">
        <f t="shared" si="2"/>
        <v>209.79905274290707</v>
      </c>
      <c r="E7" s="159">
        <f t="shared" si="2"/>
        <v>122.2554013701036</v>
      </c>
      <c r="F7" s="160">
        <f t="shared" si="2"/>
        <v>8.3594566353187059</v>
      </c>
      <c r="G7" s="158">
        <f t="shared" si="2"/>
        <v>186.05752883509649</v>
      </c>
      <c r="H7" s="158">
        <f t="shared" si="2"/>
        <v>189.41613704503266</v>
      </c>
      <c r="I7" s="161">
        <f t="shared" si="2"/>
        <v>172.94775369022241</v>
      </c>
      <c r="J7" s="157">
        <f t="shared" si="2"/>
        <v>201.87561697926949</v>
      </c>
      <c r="K7" s="158">
        <f t="shared" si="2"/>
        <v>203.88349514563106</v>
      </c>
      <c r="L7" s="158">
        <f t="shared" si="2"/>
        <v>278.49117174959872</v>
      </c>
      <c r="M7" s="159">
        <f t="shared" si="2"/>
        <v>85.248085248085232</v>
      </c>
      <c r="N7" s="160">
        <f t="shared" si="2"/>
        <v>142.22503160556258</v>
      </c>
      <c r="O7" s="158">
        <f t="shared" si="2"/>
        <v>119.1919191919192</v>
      </c>
      <c r="P7" s="158">
        <f t="shared" si="2"/>
        <v>105.0328227571116</v>
      </c>
      <c r="Q7" s="161">
        <f t="shared" si="2"/>
        <v>102.96934865900384</v>
      </c>
      <c r="R7" s="157">
        <f t="shared" si="2"/>
        <v>63.359234907352061</v>
      </c>
      <c r="S7" s="158">
        <f t="shared" si="2"/>
        <v>86.778070946936381</v>
      </c>
      <c r="T7" s="253"/>
      <c r="U7" s="254"/>
      <c r="V7" s="255"/>
      <c r="W7" s="256"/>
      <c r="X7" s="253"/>
      <c r="Y7" s="254"/>
    </row>
    <row r="8" spans="1:25" x14ac:dyDescent="0.25">
      <c r="A8" s="61" t="s">
        <v>193</v>
      </c>
      <c r="B8" s="101">
        <v>26.334</v>
      </c>
      <c r="C8" s="102">
        <v>33.770000000000003</v>
      </c>
      <c r="D8" s="102">
        <v>23.152999999999999</v>
      </c>
      <c r="E8" s="103">
        <f>108.2-SUM(B8:D8)</f>
        <v>24.942999999999998</v>
      </c>
      <c r="F8" s="104">
        <v>22.4</v>
      </c>
      <c r="G8" s="102">
        <v>30.376000000000001</v>
      </c>
      <c r="H8" s="102">
        <v>22.582000000000001</v>
      </c>
      <c r="I8" s="105">
        <f>94.4-SUM(F8:H8)</f>
        <v>19.042000000000002</v>
      </c>
      <c r="J8" s="101">
        <v>22.8</v>
      </c>
      <c r="K8" s="102">
        <v>34.200000000000003</v>
      </c>
      <c r="L8" s="102">
        <v>23.8</v>
      </c>
      <c r="M8" s="103">
        <f>98.91-SUM(J8:L8)</f>
        <v>18.11</v>
      </c>
      <c r="N8" s="104">
        <v>17.7</v>
      </c>
      <c r="O8" s="102">
        <v>31</v>
      </c>
      <c r="P8" s="102">
        <v>28.6</v>
      </c>
      <c r="Q8" s="105">
        <f>93.7-SUM(N8:P8)</f>
        <v>16.399999999999991</v>
      </c>
      <c r="R8" s="101">
        <v>21.3</v>
      </c>
      <c r="S8" s="102">
        <v>36.200000000000003</v>
      </c>
      <c r="T8" s="205"/>
      <c r="U8" s="206"/>
      <c r="V8" s="207"/>
      <c r="W8" s="208"/>
      <c r="X8" s="205"/>
      <c r="Y8" s="206"/>
    </row>
    <row r="9" spans="1:25" x14ac:dyDescent="0.25">
      <c r="A9" s="61" t="s">
        <v>188</v>
      </c>
      <c r="B9" s="176">
        <v>43.6</v>
      </c>
      <c r="C9" s="172">
        <v>53.8</v>
      </c>
      <c r="D9" s="172">
        <v>40.4</v>
      </c>
      <c r="E9" s="173">
        <f>182.6-SUM(B9:D9)</f>
        <v>44.799999999999983</v>
      </c>
      <c r="F9" s="174">
        <v>33.4</v>
      </c>
      <c r="G9" s="172">
        <v>44.6</v>
      </c>
      <c r="H9" s="172">
        <v>32.700000000000003</v>
      </c>
      <c r="I9" s="175">
        <f>132.6-SUM(F9:H9)</f>
        <v>21.899999999999991</v>
      </c>
      <c r="J9" s="176">
        <v>26.3</v>
      </c>
      <c r="K9" s="172">
        <v>38.700000000000003</v>
      </c>
      <c r="L9" s="172">
        <v>26.8</v>
      </c>
      <c r="M9" s="173">
        <f>114.1-SUM(J9:L9)</f>
        <v>22.299999999999997</v>
      </c>
      <c r="N9" s="174">
        <v>20.5</v>
      </c>
      <c r="O9" s="172">
        <v>34</v>
      </c>
      <c r="P9" s="172">
        <v>30.3</v>
      </c>
      <c r="Q9" s="175">
        <f>102.6-SUM(N9:P9)</f>
        <v>17.799999999999997</v>
      </c>
      <c r="R9" s="176">
        <v>23.3</v>
      </c>
      <c r="S9" s="172">
        <v>37.200000000000003</v>
      </c>
      <c r="T9" s="209"/>
      <c r="U9" s="210"/>
      <c r="V9" s="211"/>
      <c r="W9" s="212"/>
      <c r="X9" s="209"/>
      <c r="Y9" s="210"/>
    </row>
    <row r="10" spans="1:25" x14ac:dyDescent="0.25">
      <c r="A10" s="54" t="s">
        <v>179</v>
      </c>
      <c r="B10" s="152">
        <f t="shared" ref="B10:S10" si="3">B9/(B8*0.92/1000)</f>
        <v>1799.624225253516</v>
      </c>
      <c r="C10" s="153">
        <f t="shared" si="3"/>
        <v>1731.6630402595561</v>
      </c>
      <c r="D10" s="153">
        <f t="shared" si="3"/>
        <v>1896.6459412715787</v>
      </c>
      <c r="E10" s="154">
        <f t="shared" si="3"/>
        <v>1952.2772791529899</v>
      </c>
      <c r="F10" s="155">
        <f t="shared" si="3"/>
        <v>1620.7298136645961</v>
      </c>
      <c r="G10" s="153">
        <f t="shared" si="3"/>
        <v>1595.9395861721496</v>
      </c>
      <c r="H10" s="153">
        <f t="shared" si="3"/>
        <v>1573.9738845482934</v>
      </c>
      <c r="I10" s="156">
        <f t="shared" si="3"/>
        <v>1250.097039496216</v>
      </c>
      <c r="J10" s="152">
        <f t="shared" si="3"/>
        <v>1253.8138825324179</v>
      </c>
      <c r="K10" s="153">
        <f t="shared" si="3"/>
        <v>1229.9771167048054</v>
      </c>
      <c r="L10" s="153">
        <f t="shared" si="3"/>
        <v>1223.9678480087687</v>
      </c>
      <c r="M10" s="154">
        <f t="shared" si="3"/>
        <v>1338.439007994622</v>
      </c>
      <c r="N10" s="155">
        <f t="shared" si="3"/>
        <v>1258.9044460820437</v>
      </c>
      <c r="O10" s="153">
        <f t="shared" si="3"/>
        <v>1192.1458625525947</v>
      </c>
      <c r="P10" s="153">
        <f t="shared" si="3"/>
        <v>1151.5658254788689</v>
      </c>
      <c r="Q10" s="156">
        <f t="shared" si="3"/>
        <v>1179.7454931071054</v>
      </c>
      <c r="R10" s="152">
        <f t="shared" si="3"/>
        <v>1189.0181669728518</v>
      </c>
      <c r="S10" s="153">
        <f t="shared" si="3"/>
        <v>1116.9829449915926</v>
      </c>
      <c r="T10" s="245"/>
      <c r="U10" s="246"/>
      <c r="V10" s="247"/>
      <c r="W10" s="248"/>
      <c r="X10" s="245"/>
      <c r="Y10" s="246"/>
    </row>
    <row r="11" spans="1:25" x14ac:dyDescent="0.25">
      <c r="A11" s="61" t="s">
        <v>181</v>
      </c>
      <c r="B11" s="176">
        <v>7.5</v>
      </c>
      <c r="C11" s="172">
        <v>8</v>
      </c>
      <c r="D11" s="172">
        <v>5.8</v>
      </c>
      <c r="E11" s="173">
        <f>25.8-SUM(B11:D11)</f>
        <v>4.5</v>
      </c>
      <c r="F11" s="174">
        <v>3.7</v>
      </c>
      <c r="G11" s="172">
        <v>12.9</v>
      </c>
      <c r="H11" s="172">
        <v>6.6</v>
      </c>
      <c r="I11" s="175">
        <f>26.6-SUM(F11:H11)</f>
        <v>3.3999999999999986</v>
      </c>
      <c r="J11" s="176">
        <v>3.8</v>
      </c>
      <c r="K11" s="172">
        <v>8.9</v>
      </c>
      <c r="L11" s="172">
        <v>4.3</v>
      </c>
      <c r="M11" s="173">
        <f>20.5-SUM(J11:L11)</f>
        <v>3.5</v>
      </c>
      <c r="N11" s="174">
        <v>3.4</v>
      </c>
      <c r="O11" s="172">
        <v>7</v>
      </c>
      <c r="P11" s="172">
        <v>3.7</v>
      </c>
      <c r="Q11" s="175">
        <f>15.8-SUM(N11:P11)</f>
        <v>1.6999999999999993</v>
      </c>
      <c r="R11" s="176">
        <v>2</v>
      </c>
      <c r="S11" s="172">
        <v>5.2</v>
      </c>
      <c r="T11" s="209"/>
      <c r="U11" s="210"/>
      <c r="V11" s="211"/>
      <c r="W11" s="212"/>
      <c r="X11" s="209"/>
      <c r="Y11" s="210"/>
    </row>
    <row r="12" spans="1:25" x14ac:dyDescent="0.25">
      <c r="A12" s="54" t="s">
        <v>180</v>
      </c>
      <c r="B12" s="166">
        <f t="shared" ref="B12:S12" si="4">B11/B9</f>
        <v>0.17201834862385321</v>
      </c>
      <c r="C12" s="162">
        <f t="shared" si="4"/>
        <v>0.14869888475836432</v>
      </c>
      <c r="D12" s="162">
        <f t="shared" si="4"/>
        <v>0.14356435643564355</v>
      </c>
      <c r="E12" s="163">
        <f t="shared" si="4"/>
        <v>0.1004464285714286</v>
      </c>
      <c r="F12" s="164">
        <f t="shared" si="4"/>
        <v>0.11077844311377247</v>
      </c>
      <c r="G12" s="162">
        <f t="shared" si="4"/>
        <v>0.28923766816143498</v>
      </c>
      <c r="H12" s="162">
        <f t="shared" si="4"/>
        <v>0.20183486238532108</v>
      </c>
      <c r="I12" s="165">
        <f t="shared" si="4"/>
        <v>0.15525114155251141</v>
      </c>
      <c r="J12" s="166">
        <f t="shared" si="4"/>
        <v>0.14448669201520911</v>
      </c>
      <c r="K12" s="162">
        <f t="shared" si="4"/>
        <v>0.22997416020671835</v>
      </c>
      <c r="L12" s="162">
        <f t="shared" si="4"/>
        <v>0.16044776119402984</v>
      </c>
      <c r="M12" s="163">
        <f t="shared" si="4"/>
        <v>0.15695067264573992</v>
      </c>
      <c r="N12" s="164">
        <f t="shared" si="4"/>
        <v>0.16585365853658537</v>
      </c>
      <c r="O12" s="162">
        <f t="shared" si="4"/>
        <v>0.20588235294117646</v>
      </c>
      <c r="P12" s="162">
        <f t="shared" si="4"/>
        <v>0.12211221122112212</v>
      </c>
      <c r="Q12" s="165">
        <f t="shared" si="4"/>
        <v>9.5505617977528059E-2</v>
      </c>
      <c r="R12" s="166">
        <f t="shared" si="4"/>
        <v>8.5836909871244635E-2</v>
      </c>
      <c r="S12" s="162">
        <f t="shared" si="4"/>
        <v>0.13978494623655913</v>
      </c>
      <c r="T12" s="249"/>
      <c r="U12" s="250"/>
      <c r="V12" s="251"/>
      <c r="W12" s="252"/>
      <c r="X12" s="249"/>
      <c r="Y12" s="250"/>
    </row>
    <row r="13" spans="1:25" ht="13.8" thickBot="1" x14ac:dyDescent="0.3">
      <c r="A13" s="55" t="s">
        <v>182</v>
      </c>
      <c r="B13" s="157">
        <f t="shared" ref="B13:S13" si="5">B11/(B8*0.92/1000)</f>
        <v>309.56838737159103</v>
      </c>
      <c r="C13" s="158">
        <f t="shared" si="5"/>
        <v>257.49636286387454</v>
      </c>
      <c r="D13" s="158">
        <f t="shared" si="5"/>
        <v>272.29075394492963</v>
      </c>
      <c r="E13" s="159">
        <f t="shared" si="5"/>
        <v>196.09928027206379</v>
      </c>
      <c r="F13" s="160">
        <f t="shared" si="5"/>
        <v>179.54192546583852</v>
      </c>
      <c r="G13" s="158">
        <f t="shared" si="5"/>
        <v>461.60584443095803</v>
      </c>
      <c r="H13" s="158">
        <f t="shared" si="5"/>
        <v>317.68280238589404</v>
      </c>
      <c r="I13" s="161">
        <f t="shared" si="5"/>
        <v>194.07899243320247</v>
      </c>
      <c r="J13" s="157">
        <f t="shared" si="5"/>
        <v>181.15942028985506</v>
      </c>
      <c r="K13" s="158">
        <f t="shared" si="5"/>
        <v>282.86295448766839</v>
      </c>
      <c r="L13" s="158">
        <f t="shared" si="5"/>
        <v>196.38290098648153</v>
      </c>
      <c r="M13" s="159">
        <f t="shared" si="5"/>
        <v>210.06890260005281</v>
      </c>
      <c r="N13" s="160">
        <f t="shared" si="5"/>
        <v>208.79390813068042</v>
      </c>
      <c r="O13" s="158">
        <f t="shared" si="5"/>
        <v>245.44179523141653</v>
      </c>
      <c r="P13" s="158">
        <f t="shared" si="5"/>
        <v>140.62024931590148</v>
      </c>
      <c r="Q13" s="161">
        <f t="shared" si="5"/>
        <v>112.67232237539768</v>
      </c>
      <c r="R13" s="157">
        <f t="shared" si="5"/>
        <v>102.06164523372118</v>
      </c>
      <c r="S13" s="158">
        <f t="shared" si="5"/>
        <v>156.13740091280326</v>
      </c>
      <c r="T13" s="253"/>
      <c r="U13" s="254"/>
      <c r="V13" s="255"/>
      <c r="W13" s="256"/>
      <c r="X13" s="253"/>
      <c r="Y13" s="254"/>
    </row>
    <row r="14" spans="1:25" ht="13.8" hidden="1" outlineLevel="1" thickBot="1" x14ac:dyDescent="0.3">
      <c r="A14" s="62" t="s">
        <v>197</v>
      </c>
      <c r="B14" s="78">
        <v>0.45809499999999997</v>
      </c>
      <c r="C14" s="50">
        <v>0.76021799999999995</v>
      </c>
      <c r="D14" s="50">
        <v>0.679311</v>
      </c>
      <c r="E14" s="79"/>
      <c r="F14" s="72">
        <v>0.23224900000000001</v>
      </c>
      <c r="G14" s="50">
        <v>0.72608700000000004</v>
      </c>
      <c r="H14" s="50">
        <v>0.70887699999999998</v>
      </c>
      <c r="I14" s="83"/>
      <c r="J14" s="78"/>
      <c r="K14" s="50"/>
      <c r="L14" s="50"/>
      <c r="M14" s="79"/>
      <c r="N14" s="72"/>
      <c r="O14" s="50"/>
      <c r="P14" s="50"/>
      <c r="Q14" s="83"/>
      <c r="R14" s="78"/>
      <c r="S14" s="50"/>
      <c r="T14" s="94"/>
      <c r="U14" s="95"/>
      <c r="V14" s="78"/>
      <c r="W14" s="50"/>
      <c r="X14" s="94"/>
      <c r="Y14" s="95"/>
    </row>
    <row r="15" spans="1:25" hidden="1" outlineLevel="1" x14ac:dyDescent="0.25">
      <c r="A15" s="63" t="s">
        <v>199</v>
      </c>
      <c r="B15" s="76">
        <v>2.4282999999999999E-2</v>
      </c>
      <c r="C15" s="49"/>
      <c r="D15" s="49"/>
      <c r="E15" s="77"/>
      <c r="F15" s="71">
        <v>1.5887999999999999E-2</v>
      </c>
      <c r="G15" s="49"/>
      <c r="H15" s="49"/>
      <c r="I15" s="82"/>
      <c r="J15" s="76"/>
      <c r="K15" s="49"/>
      <c r="L15" s="49"/>
      <c r="M15" s="77"/>
      <c r="N15" s="71"/>
      <c r="O15" s="49"/>
      <c r="P15" s="49"/>
      <c r="Q15" s="82"/>
      <c r="R15" s="76"/>
      <c r="S15" s="49"/>
      <c r="T15" s="92"/>
      <c r="U15" s="93"/>
      <c r="V15" s="76"/>
      <c r="W15" s="49"/>
      <c r="X15" s="92"/>
      <c r="Y15" s="93"/>
    </row>
    <row r="16" spans="1:25" ht="13.8" hidden="1" outlineLevel="1" thickBot="1" x14ac:dyDescent="0.3">
      <c r="A16" s="62" t="s">
        <v>198</v>
      </c>
      <c r="B16" s="78">
        <v>2.0313000000000001E-2</v>
      </c>
      <c r="C16" s="50"/>
      <c r="D16" s="50"/>
      <c r="E16" s="79"/>
      <c r="F16" s="72">
        <v>1.5209E-2</v>
      </c>
      <c r="G16" s="50"/>
      <c r="H16" s="50"/>
      <c r="I16" s="83"/>
      <c r="J16" s="78"/>
      <c r="K16" s="50"/>
      <c r="L16" s="50"/>
      <c r="M16" s="79"/>
      <c r="N16" s="72"/>
      <c r="O16" s="50"/>
      <c r="P16" s="50"/>
      <c r="Q16" s="83"/>
      <c r="R16" s="78"/>
      <c r="S16" s="50"/>
      <c r="T16" s="94"/>
      <c r="U16" s="95"/>
      <c r="V16" s="78"/>
      <c r="W16" s="50"/>
      <c r="X16" s="94"/>
      <c r="Y16" s="95"/>
    </row>
    <row r="17" spans="1:25" ht="13.8" hidden="1" outlineLevel="1" thickBot="1" x14ac:dyDescent="0.3">
      <c r="A17" s="64" t="s">
        <v>196</v>
      </c>
      <c r="B17" s="80">
        <f t="shared" ref="B17:S17" si="6">SUM(B15:B16)</f>
        <v>4.4595999999999997E-2</v>
      </c>
      <c r="C17" s="51">
        <f t="shared" si="6"/>
        <v>0</v>
      </c>
      <c r="D17" s="51">
        <f t="shared" si="6"/>
        <v>0</v>
      </c>
      <c r="E17" s="81">
        <f t="shared" si="6"/>
        <v>0</v>
      </c>
      <c r="F17" s="73">
        <f t="shared" si="6"/>
        <v>3.1097E-2</v>
      </c>
      <c r="G17" s="51">
        <f t="shared" si="6"/>
        <v>0</v>
      </c>
      <c r="H17" s="51">
        <f t="shared" si="6"/>
        <v>0</v>
      </c>
      <c r="I17" s="84">
        <f t="shared" si="6"/>
        <v>0</v>
      </c>
      <c r="J17" s="80">
        <f t="shared" si="6"/>
        <v>0</v>
      </c>
      <c r="K17" s="51">
        <f t="shared" si="6"/>
        <v>0</v>
      </c>
      <c r="L17" s="51">
        <f t="shared" si="6"/>
        <v>0</v>
      </c>
      <c r="M17" s="81">
        <f t="shared" si="6"/>
        <v>0</v>
      </c>
      <c r="N17" s="73">
        <f t="shared" si="6"/>
        <v>0</v>
      </c>
      <c r="O17" s="51">
        <f t="shared" si="6"/>
        <v>0</v>
      </c>
      <c r="P17" s="51">
        <f t="shared" si="6"/>
        <v>0</v>
      </c>
      <c r="Q17" s="84">
        <f t="shared" si="6"/>
        <v>0</v>
      </c>
      <c r="R17" s="80">
        <f t="shared" si="6"/>
        <v>0</v>
      </c>
      <c r="S17" s="51">
        <f t="shared" si="6"/>
        <v>0</v>
      </c>
      <c r="T17" s="257"/>
      <c r="U17" s="258"/>
      <c r="V17" s="259"/>
      <c r="W17" s="260"/>
      <c r="X17" s="257"/>
      <c r="Y17" s="258"/>
    </row>
    <row r="18" spans="1:25" ht="13.8" collapsed="1" thickBot="1" x14ac:dyDescent="0.3">
      <c r="A18" s="65" t="s">
        <v>189</v>
      </c>
      <c r="B18" s="106">
        <f t="shared" ref="B18:S18" si="7">(B2+B8*0.92/1000)/0.44</f>
        <v>0.50732109090909094</v>
      </c>
      <c r="C18" s="107">
        <f t="shared" si="7"/>
        <v>0.94033727272727274</v>
      </c>
      <c r="D18" s="107">
        <f t="shared" si="7"/>
        <v>0.44381081818181817</v>
      </c>
      <c r="E18" s="108">
        <f t="shared" si="7"/>
        <v>0.69908536363636353</v>
      </c>
      <c r="F18" s="109">
        <f t="shared" si="7"/>
        <v>0.26433636363636365</v>
      </c>
      <c r="G18" s="107">
        <f t="shared" si="7"/>
        <v>0.65839300000000001</v>
      </c>
      <c r="H18" s="107">
        <f t="shared" si="7"/>
        <v>0.64834645454545448</v>
      </c>
      <c r="I18" s="110">
        <f t="shared" si="7"/>
        <v>0.71789690909090909</v>
      </c>
      <c r="J18" s="106">
        <f t="shared" si="7"/>
        <v>0.50812727272727276</v>
      </c>
      <c r="K18" s="107">
        <f t="shared" si="7"/>
        <v>0.70355454545454543</v>
      </c>
      <c r="L18" s="107">
        <f t="shared" si="7"/>
        <v>0.61612727272727275</v>
      </c>
      <c r="M18" s="108">
        <f t="shared" si="7"/>
        <v>0.72036636363636364</v>
      </c>
      <c r="N18" s="109">
        <f t="shared" si="7"/>
        <v>0.39655454545454544</v>
      </c>
      <c r="O18" s="107">
        <f t="shared" si="7"/>
        <v>0.73981818181818171</v>
      </c>
      <c r="P18" s="107">
        <f t="shared" si="7"/>
        <v>0.78684545454545463</v>
      </c>
      <c r="Q18" s="110">
        <f t="shared" si="7"/>
        <v>0.50883636363636353</v>
      </c>
      <c r="R18" s="106">
        <f t="shared" si="7"/>
        <v>0.4247636363636364</v>
      </c>
      <c r="S18" s="107">
        <f t="shared" si="7"/>
        <v>0.8509181818181818</v>
      </c>
      <c r="T18" s="261"/>
      <c r="U18" s="262"/>
      <c r="V18" s="263"/>
      <c r="W18" s="264"/>
      <c r="X18" s="261"/>
      <c r="Y18" s="262"/>
    </row>
    <row r="19" spans="1:25" ht="3.6" customHeight="1" thickBot="1" x14ac:dyDescent="0.3">
      <c r="A19" s="88">
        <v>0</v>
      </c>
      <c r="B19" s="111"/>
      <c r="C19" s="112"/>
      <c r="D19" s="112"/>
      <c r="E19" s="113"/>
      <c r="F19" s="114"/>
      <c r="G19" s="112"/>
      <c r="H19" s="112"/>
      <c r="I19" s="115"/>
      <c r="J19" s="111"/>
      <c r="K19" s="112"/>
      <c r="L19" s="112"/>
      <c r="M19" s="113"/>
      <c r="N19" s="114"/>
      <c r="O19" s="112"/>
      <c r="P19" s="112"/>
      <c r="Q19" s="115"/>
      <c r="R19" s="111"/>
      <c r="S19" s="112"/>
      <c r="T19" s="116"/>
      <c r="U19" s="117"/>
      <c r="V19" s="111"/>
      <c r="W19" s="112"/>
      <c r="X19" s="116"/>
      <c r="Y19" s="117"/>
    </row>
    <row r="20" spans="1:25" x14ac:dyDescent="0.25">
      <c r="A20" s="87" t="s">
        <v>192</v>
      </c>
      <c r="B20" s="118">
        <f>0.509509</f>
        <v>0.50950899999999999</v>
      </c>
      <c r="C20" s="119">
        <v>1.0895980000000001</v>
      </c>
      <c r="D20" s="119">
        <v>0.65374500000000002</v>
      </c>
      <c r="E20" s="120">
        <f>3.0217-SUM(B20:D20)</f>
        <v>0.7688480000000002</v>
      </c>
      <c r="F20" s="121">
        <f>0.884701</f>
        <v>0.88470099999999996</v>
      </c>
      <c r="G20" s="119">
        <f>1.335265</f>
        <v>1.3352649999999999</v>
      </c>
      <c r="H20" s="119">
        <v>1.310816</v>
      </c>
      <c r="I20" s="122">
        <f>(4.2435)-SUM(F20:H20)</f>
        <v>0.71271800000000018</v>
      </c>
      <c r="J20" s="118">
        <v>1.2209000000000001</v>
      </c>
      <c r="K20" s="119">
        <v>1.403</v>
      </c>
      <c r="L20" s="119">
        <f>1.3317</f>
        <v>1.3317000000000001</v>
      </c>
      <c r="M20" s="120">
        <f>4.7438-SUM(J20:L20)</f>
        <v>0.78820000000000023</v>
      </c>
      <c r="N20" s="121">
        <v>0.9274</v>
      </c>
      <c r="O20" s="119">
        <v>1.3229</v>
      </c>
      <c r="P20" s="119">
        <v>1.4149</v>
      </c>
      <c r="Q20" s="122">
        <f>4.4095-SUM(N20:P20)</f>
        <v>0.74429999999999996</v>
      </c>
      <c r="R20" s="118">
        <v>1.1809000000000001</v>
      </c>
      <c r="S20" s="119">
        <v>1.5319</v>
      </c>
      <c r="T20" s="213"/>
      <c r="U20" s="214"/>
      <c r="V20" s="215"/>
      <c r="W20" s="216"/>
      <c r="X20" s="213"/>
      <c r="Y20" s="214"/>
    </row>
    <row r="21" spans="1:25" x14ac:dyDescent="0.25">
      <c r="A21" s="53" t="s">
        <v>178</v>
      </c>
      <c r="B21" s="181">
        <v>154.4</v>
      </c>
      <c r="C21" s="177">
        <v>340</v>
      </c>
      <c r="D21" s="177">
        <v>239.2</v>
      </c>
      <c r="E21" s="178">
        <f>972.3-SUM(B21:D21)</f>
        <v>238.70000000000005</v>
      </c>
      <c r="F21" s="179">
        <v>229</v>
      </c>
      <c r="G21" s="177">
        <v>328.6</v>
      </c>
      <c r="H21" s="177">
        <v>308.5</v>
      </c>
      <c r="I21" s="180">
        <f>1053.6-SUM(F21:H21)</f>
        <v>187.49999999999989</v>
      </c>
      <c r="J21" s="181">
        <v>287</v>
      </c>
      <c r="K21" s="177">
        <v>312.60000000000002</v>
      </c>
      <c r="L21" s="177">
        <v>299.2</v>
      </c>
      <c r="M21" s="178">
        <f>1053.3-SUM(J21:L21)</f>
        <v>154.5</v>
      </c>
      <c r="N21" s="179">
        <v>176.3</v>
      </c>
      <c r="O21" s="177">
        <v>258.5</v>
      </c>
      <c r="P21" s="177">
        <v>255.3</v>
      </c>
      <c r="Q21" s="180">
        <f>821.7-SUM(N21:P21)</f>
        <v>131.60000000000002</v>
      </c>
      <c r="R21" s="181">
        <v>199.7</v>
      </c>
      <c r="S21" s="177">
        <v>277.10000000000002</v>
      </c>
      <c r="T21" s="217"/>
      <c r="U21" s="218"/>
      <c r="V21" s="219"/>
      <c r="W21" s="220"/>
      <c r="X21" s="217"/>
      <c r="Y21" s="218"/>
    </row>
    <row r="22" spans="1:25" x14ac:dyDescent="0.25">
      <c r="A22" s="54" t="s">
        <v>179</v>
      </c>
      <c r="B22" s="152">
        <f t="shared" ref="B22:R22" si="8">B21/B20</f>
        <v>303.03684527653093</v>
      </c>
      <c r="C22" s="153">
        <f t="shared" si="8"/>
        <v>312.04168876961961</v>
      </c>
      <c r="D22" s="153">
        <f t="shared" si="8"/>
        <v>365.89189974684314</v>
      </c>
      <c r="E22" s="154">
        <f t="shared" si="8"/>
        <v>310.46448712879527</v>
      </c>
      <c r="F22" s="155">
        <f t="shared" si="8"/>
        <v>258.84451357012142</v>
      </c>
      <c r="G22" s="153">
        <f t="shared" si="8"/>
        <v>246.09347208232077</v>
      </c>
      <c r="H22" s="153">
        <f t="shared" si="8"/>
        <v>235.34958377071993</v>
      </c>
      <c r="I22" s="156">
        <f t="shared" si="8"/>
        <v>263.07740228252948</v>
      </c>
      <c r="J22" s="152">
        <f t="shared" si="8"/>
        <v>235.07248750921448</v>
      </c>
      <c r="K22" s="153">
        <f t="shared" si="8"/>
        <v>222.80826799714899</v>
      </c>
      <c r="L22" s="153">
        <f t="shared" si="8"/>
        <v>224.67522715326271</v>
      </c>
      <c r="M22" s="154">
        <f t="shared" si="8"/>
        <v>196.01623953311338</v>
      </c>
      <c r="N22" s="155">
        <f t="shared" si="8"/>
        <v>190.10135863704983</v>
      </c>
      <c r="O22" s="153">
        <f t="shared" si="8"/>
        <v>195.4040365862877</v>
      </c>
      <c r="P22" s="153">
        <f t="shared" si="8"/>
        <v>180.43677998445119</v>
      </c>
      <c r="Q22" s="156">
        <f t="shared" si="8"/>
        <v>176.81042590353357</v>
      </c>
      <c r="R22" s="152">
        <f t="shared" si="8"/>
        <v>169.10830722330425</v>
      </c>
      <c r="S22" s="153">
        <f>S21/S20</f>
        <v>180.88648084078596</v>
      </c>
      <c r="T22" s="245"/>
      <c r="U22" s="246"/>
      <c r="V22" s="247"/>
      <c r="W22" s="248"/>
      <c r="X22" s="245"/>
      <c r="Y22" s="246"/>
    </row>
    <row r="23" spans="1:25" x14ac:dyDescent="0.25">
      <c r="A23" s="53" t="s">
        <v>181</v>
      </c>
      <c r="B23" s="181">
        <v>5.8</v>
      </c>
      <c r="C23" s="177">
        <v>7.5</v>
      </c>
      <c r="D23" s="177">
        <v>4.8</v>
      </c>
      <c r="E23" s="178">
        <f>12.5-SUM(B23:D23)</f>
        <v>-5.6000000000000014</v>
      </c>
      <c r="F23" s="179">
        <v>9.4</v>
      </c>
      <c r="G23" s="177">
        <v>3.8</v>
      </c>
      <c r="H23" s="177">
        <v>32.799999999999997</v>
      </c>
      <c r="I23" s="180">
        <f>59.4-SUM(F23:H23)</f>
        <v>13.399999999999999</v>
      </c>
      <c r="J23" s="181">
        <v>17.7</v>
      </c>
      <c r="K23" s="177">
        <v>15.2</v>
      </c>
      <c r="L23" s="177">
        <v>22.5</v>
      </c>
      <c r="M23" s="178">
        <f>59.4-SUM(J23:L23)</f>
        <v>4</v>
      </c>
      <c r="N23" s="179">
        <v>10.4</v>
      </c>
      <c r="O23" s="177">
        <v>11.2</v>
      </c>
      <c r="P23" s="177">
        <v>21.3</v>
      </c>
      <c r="Q23" s="180">
        <f>46.3-SUM(N23:P23)</f>
        <v>3.3999999999999915</v>
      </c>
      <c r="R23" s="181">
        <v>4.3</v>
      </c>
      <c r="S23" s="177">
        <v>11</v>
      </c>
      <c r="T23" s="217"/>
      <c r="U23" s="218"/>
      <c r="V23" s="219"/>
      <c r="W23" s="220"/>
      <c r="X23" s="217"/>
      <c r="Y23" s="218"/>
    </row>
    <row r="24" spans="1:25" x14ac:dyDescent="0.25">
      <c r="A24" s="54" t="s">
        <v>180</v>
      </c>
      <c r="B24" s="166">
        <f t="shared" ref="B24" si="9">B23/B21</f>
        <v>3.7564766839378233E-2</v>
      </c>
      <c r="C24" s="162">
        <f t="shared" ref="C24" si="10">C23/C21</f>
        <v>2.2058823529411766E-2</v>
      </c>
      <c r="D24" s="162">
        <f t="shared" ref="D24" si="11">D23/D21</f>
        <v>2.0066889632107024E-2</v>
      </c>
      <c r="E24" s="163">
        <f t="shared" ref="E24" si="12">E23/E21</f>
        <v>-2.3460410557184751E-2</v>
      </c>
      <c r="F24" s="164">
        <f t="shared" ref="F24" si="13">F23/F21</f>
        <v>4.1048034934497817E-2</v>
      </c>
      <c r="G24" s="162">
        <f t="shared" ref="G24" si="14">G23/G21</f>
        <v>1.1564211807668897E-2</v>
      </c>
      <c r="H24" s="162">
        <f t="shared" ref="H24" si="15">H23/H21</f>
        <v>0.10632090761750404</v>
      </c>
      <c r="I24" s="165">
        <f t="shared" ref="I24" si="16">I23/I21</f>
        <v>7.1466666666666706E-2</v>
      </c>
      <c r="J24" s="166">
        <f t="shared" ref="J24" si="17">J23/J21</f>
        <v>6.1672473867595813E-2</v>
      </c>
      <c r="K24" s="162">
        <f t="shared" ref="K24" si="18">K23/K21</f>
        <v>4.8624440179142671E-2</v>
      </c>
      <c r="L24" s="162">
        <f t="shared" ref="L24" si="19">L23/L21</f>
        <v>7.5200534759358298E-2</v>
      </c>
      <c r="M24" s="163">
        <f t="shared" ref="M24" si="20">M23/M21</f>
        <v>2.5889967637540454E-2</v>
      </c>
      <c r="N24" s="164">
        <f t="shared" ref="N24" si="21">N23/N21</f>
        <v>5.8990357345433918E-2</v>
      </c>
      <c r="O24" s="162">
        <f t="shared" ref="O24" si="22">O23/O21</f>
        <v>4.3326885880077368E-2</v>
      </c>
      <c r="P24" s="162">
        <f t="shared" ref="P24" si="23">P23/P21</f>
        <v>8.3431257344300819E-2</v>
      </c>
      <c r="Q24" s="165">
        <f t="shared" ref="Q24" si="24">Q23/Q21</f>
        <v>2.5835866261398107E-2</v>
      </c>
      <c r="R24" s="166">
        <f t="shared" ref="R24" si="25">R23/R21</f>
        <v>2.1532298447671509E-2</v>
      </c>
      <c r="S24" s="162">
        <f t="shared" ref="S24" si="26">S23/S21</f>
        <v>3.9696860339227709E-2</v>
      </c>
      <c r="T24" s="249"/>
      <c r="U24" s="250"/>
      <c r="V24" s="251"/>
      <c r="W24" s="252"/>
      <c r="X24" s="249"/>
      <c r="Y24" s="250"/>
    </row>
    <row r="25" spans="1:25" ht="13.8" thickBot="1" x14ac:dyDescent="0.3">
      <c r="A25" s="55" t="s">
        <v>182</v>
      </c>
      <c r="B25" s="157">
        <f t="shared" ref="B25:R25" si="27">B23/B20</f>
        <v>11.383508436553623</v>
      </c>
      <c r="C25" s="158">
        <f t="shared" si="27"/>
        <v>6.8832725463886675</v>
      </c>
      <c r="D25" s="158">
        <f t="shared" si="27"/>
        <v>7.3423123695018697</v>
      </c>
      <c r="E25" s="159">
        <f t="shared" si="27"/>
        <v>-7.2836243314673386</v>
      </c>
      <c r="F25" s="160">
        <f t="shared" si="27"/>
        <v>10.62505863562944</v>
      </c>
      <c r="G25" s="158">
        <f t="shared" si="27"/>
        <v>2.8458770356446097</v>
      </c>
      <c r="H25" s="158">
        <f t="shared" si="27"/>
        <v>25.022581353904741</v>
      </c>
      <c r="I25" s="161">
        <f t="shared" si="27"/>
        <v>18.801265016458114</v>
      </c>
      <c r="J25" s="157">
        <f t="shared" si="27"/>
        <v>14.497501842902775</v>
      </c>
      <c r="K25" s="158">
        <f t="shared" si="27"/>
        <v>10.833927298645758</v>
      </c>
      <c r="L25" s="158">
        <f t="shared" si="27"/>
        <v>16.895697229105654</v>
      </c>
      <c r="M25" s="159">
        <f t="shared" si="27"/>
        <v>5.0748540979446828</v>
      </c>
      <c r="N25" s="160">
        <f t="shared" si="27"/>
        <v>11.21414707785206</v>
      </c>
      <c r="O25" s="158">
        <f t="shared" si="27"/>
        <v>8.4662483936805497</v>
      </c>
      <c r="P25" s="158">
        <f t="shared" si="27"/>
        <v>15.054067425259735</v>
      </c>
      <c r="Q25" s="161">
        <f t="shared" si="27"/>
        <v>4.5680505172645329</v>
      </c>
      <c r="R25" s="157">
        <f t="shared" si="27"/>
        <v>3.6412905411127103</v>
      </c>
      <c r="S25" s="158">
        <f>S23/S20</f>
        <v>7.1806253671910696</v>
      </c>
      <c r="T25" s="253"/>
      <c r="U25" s="254"/>
      <c r="V25" s="255"/>
      <c r="W25" s="256"/>
      <c r="X25" s="253"/>
      <c r="Y25" s="254"/>
    </row>
    <row r="26" spans="1:25" x14ac:dyDescent="0.25">
      <c r="A26" s="56" t="s">
        <v>191</v>
      </c>
      <c r="B26" s="123">
        <v>0.74012599999999995</v>
      </c>
      <c r="C26" s="124">
        <f>1.22361-0.389787/2</f>
        <v>1.0287165</v>
      </c>
      <c r="D26" s="124">
        <f>0.625623-0.221096/5.5</f>
        <v>0.58542372727272729</v>
      </c>
      <c r="E26" s="125">
        <f>(3.2092-0.298802)-SUM(B26:D26)</f>
        <v>0.55613177272727254</v>
      </c>
      <c r="F26" s="126">
        <f>0.7782-0.359209</f>
        <v>0.418991</v>
      </c>
      <c r="G26" s="124">
        <f>1.268517-0.389787</f>
        <v>0.8787299999999999</v>
      </c>
      <c r="H26" s="124">
        <f>1.038469-0.221096</f>
        <v>0.81737300000000013</v>
      </c>
      <c r="I26" s="127">
        <f>(3.9264-1.144717)-SUM(F26:H26)</f>
        <v>0.6665890000000001</v>
      </c>
      <c r="J26" s="123">
        <f>1.2126-0.54305</f>
        <v>0.66954999999999987</v>
      </c>
      <c r="K26" s="124">
        <f>1.4375-0.403603</f>
        <v>1.0338970000000001</v>
      </c>
      <c r="L26" s="124">
        <f>1.222-0.137592</f>
        <v>1.084408</v>
      </c>
      <c r="M26" s="125">
        <f>(4.8217-1.1738)-SUM(J26:L26)</f>
        <v>0.86004499999999995</v>
      </c>
      <c r="N26" s="126">
        <f>1.1677-0.572875</f>
        <v>0.59482499999999994</v>
      </c>
      <c r="O26" s="124">
        <f>1.6957-0.558268</f>
        <v>1.137432</v>
      </c>
      <c r="P26" s="124">
        <f>1.4715-0.271202</f>
        <v>1.2002980000000001</v>
      </c>
      <c r="Q26" s="127">
        <f>(5.3433-1.6197)-SUM(N26:P26)</f>
        <v>0.79104500000000044</v>
      </c>
      <c r="R26" s="123">
        <f>1.3935-0.473779</f>
        <v>0.91972100000000001</v>
      </c>
      <c r="S26" s="124">
        <f>1.6621-0.416883</f>
        <v>1.2452169999999998</v>
      </c>
      <c r="T26" s="221"/>
      <c r="U26" s="222"/>
      <c r="V26" s="223"/>
      <c r="W26" s="224"/>
      <c r="X26" s="221"/>
      <c r="Y26" s="222"/>
    </row>
    <row r="27" spans="1:25" x14ac:dyDescent="0.25">
      <c r="A27" s="54" t="s">
        <v>183</v>
      </c>
      <c r="B27" s="166">
        <f t="shared" ref="B27:R27" si="28">B26/B$20</f>
        <v>1.4526259595021873</v>
      </c>
      <c r="C27" s="162">
        <f t="shared" si="28"/>
        <v>0.94412480566227175</v>
      </c>
      <c r="D27" s="162">
        <f t="shared" si="28"/>
        <v>0.89549247378217389</v>
      </c>
      <c r="E27" s="163">
        <f t="shared" si="28"/>
        <v>0.72333123416757594</v>
      </c>
      <c r="F27" s="164">
        <f t="shared" si="28"/>
        <v>0.4735961641277675</v>
      </c>
      <c r="G27" s="162">
        <f t="shared" si="28"/>
        <v>0.65809408619262844</v>
      </c>
      <c r="H27" s="162">
        <f t="shared" si="28"/>
        <v>0.62356043868857269</v>
      </c>
      <c r="I27" s="165">
        <f t="shared" si="28"/>
        <v>0.93527734672058227</v>
      </c>
      <c r="J27" s="166">
        <f t="shared" si="28"/>
        <v>0.54840691293308197</v>
      </c>
      <c r="K27" s="162">
        <f t="shared" si="28"/>
        <v>0.73691874554526016</v>
      </c>
      <c r="L27" s="162">
        <f t="shared" si="28"/>
        <v>0.81430352181422239</v>
      </c>
      <c r="M27" s="163">
        <f t="shared" si="28"/>
        <v>1.0911507231667086</v>
      </c>
      <c r="N27" s="164">
        <f t="shared" si="28"/>
        <v>0.6413899072676299</v>
      </c>
      <c r="O27" s="162">
        <f t="shared" si="28"/>
        <v>0.85980195026079076</v>
      </c>
      <c r="P27" s="162">
        <f t="shared" si="28"/>
        <v>0.84832709025372821</v>
      </c>
      <c r="Q27" s="165">
        <f t="shared" si="28"/>
        <v>1.0628039768910391</v>
      </c>
      <c r="R27" s="166">
        <f t="shared" si="28"/>
        <v>0.77883055296807513</v>
      </c>
      <c r="S27" s="162">
        <f>S26/S$20</f>
        <v>0.81285788889614186</v>
      </c>
      <c r="T27" s="249"/>
      <c r="U27" s="250"/>
      <c r="V27" s="251"/>
      <c r="W27" s="252"/>
      <c r="X27" s="249"/>
      <c r="Y27" s="250"/>
    </row>
    <row r="28" spans="1:25" x14ac:dyDescent="0.25">
      <c r="A28" s="57" t="s">
        <v>184</v>
      </c>
      <c r="B28" s="186">
        <v>14</v>
      </c>
      <c r="C28" s="182">
        <v>15.9</v>
      </c>
      <c r="D28" s="182">
        <v>9</v>
      </c>
      <c r="E28" s="183">
        <f>49.1-SUM(B28:D28)</f>
        <v>10.200000000000003</v>
      </c>
      <c r="F28" s="184">
        <v>7.2</v>
      </c>
      <c r="G28" s="182">
        <v>14.6</v>
      </c>
      <c r="H28" s="182">
        <v>13.2</v>
      </c>
      <c r="I28" s="185">
        <f>45.5-SUM(F28:H28)</f>
        <v>10.5</v>
      </c>
      <c r="J28" s="186">
        <v>10.7</v>
      </c>
      <c r="K28" s="182">
        <v>15.6</v>
      </c>
      <c r="L28" s="182">
        <v>16.7</v>
      </c>
      <c r="M28" s="183">
        <f>55.3-SUM(J28:L28)</f>
        <v>12.299999999999997</v>
      </c>
      <c r="N28" s="184">
        <v>9.1999999999999993</v>
      </c>
      <c r="O28" s="182">
        <v>17.399999999999999</v>
      </c>
      <c r="P28" s="182">
        <v>18.100000000000001</v>
      </c>
      <c r="Q28" s="185">
        <f>57.3-SUM(N28:P28)</f>
        <v>12.599999999999994</v>
      </c>
      <c r="R28" s="186">
        <v>12.4</v>
      </c>
      <c r="S28" s="182">
        <v>16.399999999999999</v>
      </c>
      <c r="T28" s="225"/>
      <c r="U28" s="226"/>
      <c r="V28" s="227"/>
      <c r="W28" s="228"/>
      <c r="X28" s="225"/>
      <c r="Y28" s="226"/>
    </row>
    <row r="29" spans="1:25" x14ac:dyDescent="0.25">
      <c r="A29" s="54" t="s">
        <v>179</v>
      </c>
      <c r="B29" s="152">
        <f>B28/B26</f>
        <v>18.915698137884633</v>
      </c>
      <c r="C29" s="153">
        <f t="shared" ref="C29:S29" si="29">C28/C26</f>
        <v>15.456153371701532</v>
      </c>
      <c r="D29" s="153">
        <f t="shared" si="29"/>
        <v>15.373480063624466</v>
      </c>
      <c r="E29" s="154">
        <f t="shared" si="29"/>
        <v>18.340976905489789</v>
      </c>
      <c r="F29" s="155">
        <f t="shared" si="29"/>
        <v>17.18413999346048</v>
      </c>
      <c r="G29" s="153">
        <f t="shared" si="29"/>
        <v>16.614887394307697</v>
      </c>
      <c r="H29" s="153">
        <f t="shared" si="29"/>
        <v>16.149297811403112</v>
      </c>
      <c r="I29" s="156">
        <f t="shared" si="29"/>
        <v>15.751835088787841</v>
      </c>
      <c r="J29" s="152">
        <f t="shared" si="29"/>
        <v>15.980882682398628</v>
      </c>
      <c r="K29" s="153">
        <f t="shared" si="29"/>
        <v>15.088543636358359</v>
      </c>
      <c r="L29" s="153">
        <f t="shared" si="29"/>
        <v>15.400107708537744</v>
      </c>
      <c r="M29" s="154">
        <f t="shared" si="29"/>
        <v>14.301577243051232</v>
      </c>
      <c r="N29" s="155">
        <f t="shared" si="29"/>
        <v>15.466733913335856</v>
      </c>
      <c r="O29" s="153">
        <f t="shared" si="29"/>
        <v>15.297617791656995</v>
      </c>
      <c r="P29" s="153">
        <f t="shared" si="29"/>
        <v>15.079588568838739</v>
      </c>
      <c r="Q29" s="156">
        <f t="shared" si="29"/>
        <v>15.928297378783745</v>
      </c>
      <c r="R29" s="152">
        <f t="shared" si="29"/>
        <v>13.482349538610078</v>
      </c>
      <c r="S29" s="153">
        <f t="shared" si="29"/>
        <v>13.170395200194024</v>
      </c>
      <c r="T29" s="245"/>
      <c r="U29" s="246"/>
      <c r="V29" s="247"/>
      <c r="W29" s="248"/>
      <c r="X29" s="245"/>
      <c r="Y29" s="246"/>
    </row>
    <row r="30" spans="1:25" x14ac:dyDescent="0.25">
      <c r="A30" s="57" t="s">
        <v>181</v>
      </c>
      <c r="B30" s="186">
        <v>8</v>
      </c>
      <c r="C30" s="182">
        <v>10.3</v>
      </c>
      <c r="D30" s="182">
        <v>5</v>
      </c>
      <c r="E30" s="183">
        <f>27.1-SUM(B30:D30)</f>
        <v>3.8000000000000007</v>
      </c>
      <c r="F30" s="184">
        <v>3.7</v>
      </c>
      <c r="G30" s="182">
        <v>9.4</v>
      </c>
      <c r="H30" s="182">
        <v>8.1999999999999993</v>
      </c>
      <c r="I30" s="185">
        <f>27.3-SUM(F30:H30)</f>
        <v>6</v>
      </c>
      <c r="J30" s="186">
        <v>6.8</v>
      </c>
      <c r="K30" s="182">
        <v>10.6</v>
      </c>
      <c r="L30" s="182">
        <v>11.2</v>
      </c>
      <c r="M30" s="183">
        <f>36.8-SUM(J30:L30)</f>
        <v>8.1999999999999993</v>
      </c>
      <c r="N30" s="184">
        <v>5.5</v>
      </c>
      <c r="O30" s="182">
        <v>11.6</v>
      </c>
      <c r="P30" s="182">
        <v>12</v>
      </c>
      <c r="Q30" s="185">
        <f>37.5-SUM(N30:P30)</f>
        <v>8.3999999999999986</v>
      </c>
      <c r="R30" s="186">
        <v>10.5</v>
      </c>
      <c r="S30" s="182">
        <v>13.5</v>
      </c>
      <c r="T30" s="225"/>
      <c r="U30" s="226"/>
      <c r="V30" s="227"/>
      <c r="W30" s="228"/>
      <c r="X30" s="225"/>
      <c r="Y30" s="226"/>
    </row>
    <row r="31" spans="1:25" x14ac:dyDescent="0.25">
      <c r="A31" s="54" t="s">
        <v>180</v>
      </c>
      <c r="B31" s="166">
        <f t="shared" ref="B31" si="30">B30/B28</f>
        <v>0.5714285714285714</v>
      </c>
      <c r="C31" s="162">
        <f t="shared" ref="C31" si="31">C30/C28</f>
        <v>0.64779874213836486</v>
      </c>
      <c r="D31" s="162">
        <f t="shared" ref="D31" si="32">D30/D28</f>
        <v>0.55555555555555558</v>
      </c>
      <c r="E31" s="163">
        <f t="shared" ref="E31" si="33">E30/E28</f>
        <v>0.37254901960784309</v>
      </c>
      <c r="F31" s="164">
        <f t="shared" ref="F31" si="34">F30/F28</f>
        <v>0.51388888888888895</v>
      </c>
      <c r="G31" s="162">
        <f t="shared" ref="G31" si="35">G30/G28</f>
        <v>0.64383561643835618</v>
      </c>
      <c r="H31" s="162">
        <f t="shared" ref="H31" si="36">H30/H28</f>
        <v>0.62121212121212122</v>
      </c>
      <c r="I31" s="165">
        <f t="shared" ref="I31" si="37">I30/I28</f>
        <v>0.5714285714285714</v>
      </c>
      <c r="J31" s="166">
        <f t="shared" ref="J31" si="38">J30/J28</f>
        <v>0.63551401869158886</v>
      </c>
      <c r="K31" s="162">
        <f t="shared" ref="K31" si="39">K30/K28</f>
        <v>0.67948717948717952</v>
      </c>
      <c r="L31" s="162">
        <f t="shared" ref="L31" si="40">L30/L28</f>
        <v>0.6706586826347305</v>
      </c>
      <c r="M31" s="163">
        <f t="shared" ref="M31" si="41">M30/M28</f>
        <v>0.66666666666666674</v>
      </c>
      <c r="N31" s="164">
        <f t="shared" ref="N31" si="42">N30/N28</f>
        <v>0.59782608695652184</v>
      </c>
      <c r="O31" s="162">
        <f t="shared" ref="O31" si="43">O30/O28</f>
        <v>0.66666666666666674</v>
      </c>
      <c r="P31" s="162">
        <f t="shared" ref="P31" si="44">P30/P28</f>
        <v>0.66298342541436461</v>
      </c>
      <c r="Q31" s="165">
        <f t="shared" ref="Q31" si="45">Q30/Q28</f>
        <v>0.66666666666666685</v>
      </c>
      <c r="R31" s="166">
        <f t="shared" ref="R31" si="46">R30/R28</f>
        <v>0.84677419354838712</v>
      </c>
      <c r="S31" s="162">
        <f t="shared" ref="S31" si="47">S30/S28</f>
        <v>0.82317073170731714</v>
      </c>
      <c r="T31" s="249"/>
      <c r="U31" s="250"/>
      <c r="V31" s="251"/>
      <c r="W31" s="252"/>
      <c r="X31" s="249"/>
      <c r="Y31" s="250"/>
    </row>
    <row r="32" spans="1:25" ht="13.8" thickBot="1" x14ac:dyDescent="0.3">
      <c r="A32" s="55" t="s">
        <v>182</v>
      </c>
      <c r="B32" s="157">
        <f>B30/B26</f>
        <v>10.808970364505504</v>
      </c>
      <c r="C32" s="158">
        <f t="shared" ref="C32:S32" si="48">C30/C26</f>
        <v>10.012476712485899</v>
      </c>
      <c r="D32" s="158">
        <f t="shared" si="48"/>
        <v>8.5408222575691486</v>
      </c>
      <c r="E32" s="159">
        <f t="shared" si="48"/>
        <v>6.8329129647903137</v>
      </c>
      <c r="F32" s="160">
        <f t="shared" si="48"/>
        <v>8.8307386077505257</v>
      </c>
      <c r="G32" s="158">
        <f t="shared" si="48"/>
        <v>10.697256267567969</v>
      </c>
      <c r="H32" s="158">
        <f t="shared" si="48"/>
        <v>10.032139549507994</v>
      </c>
      <c r="I32" s="161">
        <f t="shared" si="48"/>
        <v>9.0010486221644808</v>
      </c>
      <c r="J32" s="157">
        <f t="shared" si="48"/>
        <v>10.15607497572997</v>
      </c>
      <c r="K32" s="158">
        <f t="shared" si="48"/>
        <v>10.252471958038372</v>
      </c>
      <c r="L32" s="158">
        <f t="shared" si="48"/>
        <v>10.328215948240883</v>
      </c>
      <c r="M32" s="159">
        <f t="shared" si="48"/>
        <v>9.5343848287008228</v>
      </c>
      <c r="N32" s="160">
        <f t="shared" si="48"/>
        <v>9.2464170134073065</v>
      </c>
      <c r="O32" s="158">
        <f t="shared" si="48"/>
        <v>10.198411861104663</v>
      </c>
      <c r="P32" s="158">
        <f t="shared" si="48"/>
        <v>9.997517283208003</v>
      </c>
      <c r="Q32" s="161">
        <f t="shared" si="48"/>
        <v>10.618864919189166</v>
      </c>
      <c r="R32" s="157">
        <f t="shared" si="48"/>
        <v>11.416505657694017</v>
      </c>
      <c r="S32" s="158">
        <f t="shared" si="48"/>
        <v>10.841483853818252</v>
      </c>
      <c r="T32" s="253"/>
      <c r="U32" s="254"/>
      <c r="V32" s="255"/>
      <c r="W32" s="256"/>
      <c r="X32" s="253"/>
      <c r="Y32" s="254"/>
    </row>
    <row r="33" spans="1:25" x14ac:dyDescent="0.25">
      <c r="A33" s="58" t="s">
        <v>190</v>
      </c>
      <c r="B33" s="128">
        <f>1.62376*B35/(B35+C35)</f>
        <v>0.47637123028391176</v>
      </c>
      <c r="C33" s="129">
        <f>1.62376*C35/(B35+C35)</f>
        <v>1.1473887697160885</v>
      </c>
      <c r="D33" s="129">
        <f>(1.7366-1.62376)*D35/(D35+E35)</f>
        <v>8.1367619047618911E-2</v>
      </c>
      <c r="E33" s="130">
        <f>(1.7366-1.62376)*E35/(D35+E35)</f>
        <v>3.1472380952380911E-2</v>
      </c>
      <c r="F33" s="131">
        <f>2.4471*F35/(F35+G35)</f>
        <v>0.39638975206611571</v>
      </c>
      <c r="G33" s="129">
        <f>2.447085*G35/(F35+G35)</f>
        <v>2.0506976776859505</v>
      </c>
      <c r="H33" s="129">
        <f>(2.5843-2.447085)*H35/(H35+I35)</f>
        <v>0.12839403571428554</v>
      </c>
      <c r="I33" s="132">
        <f>(2.5843-2.447085)*I35/(H35+I35)</f>
        <v>8.8209642857143295E-3</v>
      </c>
      <c r="J33" s="128">
        <f>2.478*J35/(J35+K35)</f>
        <v>0.66855131964809389</v>
      </c>
      <c r="K33" s="129">
        <f>2.478*K35/(J35+K35)</f>
        <v>1.8094486803519065</v>
      </c>
      <c r="L33" s="129">
        <f>(2.5231-2.478)*L35/(L35+M35)</f>
        <v>2.6081927710843174E-2</v>
      </c>
      <c r="M33" s="130">
        <f>(2.5231-2.478)*M35/(L35+M35)</f>
        <v>1.9018072289156522E-2</v>
      </c>
      <c r="N33" s="131">
        <f>2.6919*N35/(N35+O35)</f>
        <v>0.73337019230769229</v>
      </c>
      <c r="O33" s="129">
        <f>2.6919*O35/(N35+O35)</f>
        <v>1.9585298076923077</v>
      </c>
      <c r="P33" s="129">
        <f>(2.8198-2.6919)*P35/(P35+Q35)</f>
        <v>9.6838571428571302E-2</v>
      </c>
      <c r="Q33" s="132">
        <f>(2.8198-2.6919)*Q35/(P35+Q35)</f>
        <v>3.1061428571428591E-2</v>
      </c>
      <c r="R33" s="128">
        <f>2.9317*R35/(R35+S35)</f>
        <v>0.72090983606557379</v>
      </c>
      <c r="S33" s="129">
        <f>2.9317*S35/(R35+S35)</f>
        <v>2.2107901639344263</v>
      </c>
      <c r="T33" s="229"/>
      <c r="U33" s="230"/>
      <c r="V33" s="231"/>
      <c r="W33" s="232"/>
      <c r="X33" s="229"/>
      <c r="Y33" s="230"/>
    </row>
    <row r="34" spans="1:25" x14ac:dyDescent="0.25">
      <c r="A34" s="54" t="s">
        <v>186</v>
      </c>
      <c r="B34" s="166">
        <f>B33/(B$26+'EBITDA quarterly'!B$18)</f>
        <v>0.38187690183857892</v>
      </c>
      <c r="C34" s="162">
        <f>C33/(C$26+'EBITDA quarterly'!C$18)</f>
        <v>0.58271073426647835</v>
      </c>
      <c r="D34" s="162">
        <f>D33/(D$26+'EBITDA quarterly'!D$18)</f>
        <v>7.905643996012994E-2</v>
      </c>
      <c r="E34" s="163">
        <f>E33/(E$26+'EBITDA quarterly'!E$18)</f>
        <v>2.5073256284212624E-2</v>
      </c>
      <c r="F34" s="164">
        <f>F33/(F$26+'EBITDA quarterly'!F$18)</f>
        <v>0.5800876317270629</v>
      </c>
      <c r="G34" s="162">
        <f>G33/(G$26+'EBITDA quarterly'!G$18)</f>
        <v>1.3341142365874108</v>
      </c>
      <c r="H34" s="162">
        <f>H33/(H$26+'EBITDA quarterly'!H$18)</f>
        <v>8.759796106691016E-2</v>
      </c>
      <c r="I34" s="165">
        <f>I33/(I$26+'EBITDA quarterly'!I$18)</f>
        <v>6.3712922087494645E-3</v>
      </c>
      <c r="J34" s="166">
        <f>J33/(J$26+'EBITDA quarterly'!J$18)</f>
        <v>0.56768635612697049</v>
      </c>
      <c r="K34" s="162">
        <f>K33/(K$26+'EBITDA quarterly'!K$18)</f>
        <v>1.0414383555534064</v>
      </c>
      <c r="L34" s="162">
        <f>L33/(L$26+'EBITDA quarterly'!L$18)</f>
        <v>1.5337481162042397E-2</v>
      </c>
      <c r="M34" s="163">
        <f>M33/(M$26+'EBITDA quarterly'!M$18)</f>
        <v>1.2033621579003267E-2</v>
      </c>
      <c r="N34" s="164">
        <f>N33/(N$26+'EBITDA quarterly'!N$18)</f>
        <v>0.73974714898060934</v>
      </c>
      <c r="O34" s="162">
        <f>O33/(O$26+'EBITDA quarterly'!O$18)</f>
        <v>1.0432971729934279</v>
      </c>
      <c r="P34" s="162">
        <f>P33/(P$26+'EBITDA quarterly'!P$18)</f>
        <v>4.8732551848262237E-2</v>
      </c>
      <c r="Q34" s="165">
        <f>Q33/(Q$26+'EBITDA quarterly'!Q$18)</f>
        <v>2.3895587274622921E-2</v>
      </c>
      <c r="R34" s="166">
        <f>R33/(R$26+'EBITDA quarterly'!R$18)</f>
        <v>0.5361978981146146</v>
      </c>
      <c r="S34" s="162">
        <f>S33/(S$26+'EBITDA quarterly'!S$18)</f>
        <v>1.0546982766716377</v>
      </c>
      <c r="T34" s="249"/>
      <c r="U34" s="250"/>
      <c r="V34" s="251"/>
      <c r="W34" s="252"/>
      <c r="X34" s="249"/>
      <c r="Y34" s="250"/>
    </row>
    <row r="35" spans="1:25" x14ac:dyDescent="0.25">
      <c r="A35" s="59" t="s">
        <v>184</v>
      </c>
      <c r="B35" s="191">
        <v>9.3000000000000007</v>
      </c>
      <c r="C35" s="187">
        <v>22.4</v>
      </c>
      <c r="D35" s="187">
        <v>10.6</v>
      </c>
      <c r="E35" s="188">
        <f>46.4-SUM(B35:D35)</f>
        <v>4.1000000000000014</v>
      </c>
      <c r="F35" s="189">
        <v>9.8000000000000007</v>
      </c>
      <c r="G35" s="187">
        <v>50.7</v>
      </c>
      <c r="H35" s="187">
        <v>13.1</v>
      </c>
      <c r="I35" s="190">
        <f>74.5-SUM(F35:H35)</f>
        <v>0.90000000000000568</v>
      </c>
      <c r="J35" s="191">
        <v>9.1999999999999993</v>
      </c>
      <c r="K35" s="187">
        <v>24.9</v>
      </c>
      <c r="L35" s="187">
        <v>4.8</v>
      </c>
      <c r="M35" s="188">
        <f>42.4-SUM(J35:L35)</f>
        <v>3.5000000000000071</v>
      </c>
      <c r="N35" s="189">
        <v>8.5</v>
      </c>
      <c r="O35" s="187">
        <v>22.7</v>
      </c>
      <c r="P35" s="187">
        <v>5.3</v>
      </c>
      <c r="Q35" s="190">
        <f>38.2-SUM(N35:P35)</f>
        <v>1.7000000000000028</v>
      </c>
      <c r="R35" s="191">
        <v>10.5</v>
      </c>
      <c r="S35" s="187">
        <v>32.200000000000003</v>
      </c>
      <c r="T35" s="233"/>
      <c r="U35" s="234"/>
      <c r="V35" s="235"/>
      <c r="W35" s="236"/>
      <c r="X35" s="233"/>
      <c r="Y35" s="234"/>
    </row>
    <row r="36" spans="1:25" x14ac:dyDescent="0.25">
      <c r="A36" s="54" t="s">
        <v>179</v>
      </c>
      <c r="B36" s="152">
        <f>B35/B33</f>
        <v>19.522589545252991</v>
      </c>
      <c r="C36" s="153">
        <f t="shared" ref="C36" si="49">C35/C33</f>
        <v>19.522589545252988</v>
      </c>
      <c r="D36" s="153">
        <f t="shared" ref="D36" si="50">D35/D33</f>
        <v>130.27295285359824</v>
      </c>
      <c r="E36" s="154">
        <f t="shared" ref="E36" si="51">E35/E33</f>
        <v>130.27295285359824</v>
      </c>
      <c r="F36" s="155">
        <f t="shared" ref="F36" si="52">F35/F33</f>
        <v>24.723141677904461</v>
      </c>
      <c r="G36" s="153">
        <f t="shared" ref="G36" si="53">G35/G33</f>
        <v>24.723293224387383</v>
      </c>
      <c r="H36" s="153">
        <f t="shared" ref="H36" si="54">H35/H33</f>
        <v>102.02966148015901</v>
      </c>
      <c r="I36" s="156">
        <f t="shared" ref="I36" si="55">I35/I33</f>
        <v>102.02966148015901</v>
      </c>
      <c r="J36" s="152">
        <f t="shared" ref="J36" si="56">J35/J33</f>
        <v>13.761097659402742</v>
      </c>
      <c r="K36" s="153">
        <f t="shared" ref="K36" si="57">K35/K33</f>
        <v>13.76109765940274</v>
      </c>
      <c r="L36" s="153">
        <f t="shared" ref="L36" si="58">L35/L33</f>
        <v>184.03547671840494</v>
      </c>
      <c r="M36" s="154">
        <f t="shared" ref="M36" si="59">M35/M33</f>
        <v>184.03547671840494</v>
      </c>
      <c r="N36" s="155">
        <f t="shared" ref="N36" si="60">N35/N33</f>
        <v>11.590326535161038</v>
      </c>
      <c r="O36" s="153">
        <f t="shared" ref="O36" si="61">O35/O33</f>
        <v>11.590326535161038</v>
      </c>
      <c r="P36" s="153">
        <f t="shared" ref="P36" si="62">P35/P33</f>
        <v>54.730258014073563</v>
      </c>
      <c r="Q36" s="156">
        <f t="shared" ref="Q36" si="63">Q35/Q33</f>
        <v>54.730258014073556</v>
      </c>
      <c r="R36" s="152">
        <f t="shared" ref="R36" si="64">R35/R33</f>
        <v>14.564928198656069</v>
      </c>
      <c r="S36" s="153">
        <f t="shared" ref="S36" si="65">S35/S33</f>
        <v>14.564928198656071</v>
      </c>
      <c r="T36" s="245"/>
      <c r="U36" s="246"/>
      <c r="V36" s="247"/>
      <c r="W36" s="248"/>
      <c r="X36" s="245"/>
      <c r="Y36" s="246"/>
    </row>
    <row r="37" spans="1:25" x14ac:dyDescent="0.25">
      <c r="A37" s="59" t="s">
        <v>181</v>
      </c>
      <c r="B37" s="191">
        <v>2.9</v>
      </c>
      <c r="C37" s="187">
        <v>9.5</v>
      </c>
      <c r="D37" s="187">
        <v>5.3</v>
      </c>
      <c r="E37" s="188">
        <f>19.4-SUM(B37:D37)</f>
        <v>1.6999999999999993</v>
      </c>
      <c r="F37" s="189">
        <v>4.5999999999999996</v>
      </c>
      <c r="G37" s="187">
        <v>29.7</v>
      </c>
      <c r="H37" s="187">
        <v>8.1</v>
      </c>
      <c r="I37" s="190">
        <f>39.2-SUM(F37:H37)</f>
        <v>-3.1999999999999957</v>
      </c>
      <c r="J37" s="191">
        <v>4.5</v>
      </c>
      <c r="K37" s="187">
        <v>13.4</v>
      </c>
      <c r="L37" s="187">
        <v>0.6</v>
      </c>
      <c r="M37" s="188">
        <f>18.3-SUM(J37:L37)</f>
        <v>-0.19999999999999929</v>
      </c>
      <c r="N37" s="189">
        <v>5.0999999999999996</v>
      </c>
      <c r="O37" s="187">
        <v>15.5</v>
      </c>
      <c r="P37" s="187">
        <v>3.1</v>
      </c>
      <c r="Q37" s="190">
        <f>23.4-SUM(N37:P37)</f>
        <v>-0.30000000000000426</v>
      </c>
      <c r="R37" s="191">
        <v>7.1</v>
      </c>
      <c r="S37" s="187">
        <v>23</v>
      </c>
      <c r="T37" s="233"/>
      <c r="U37" s="234"/>
      <c r="V37" s="235"/>
      <c r="W37" s="236"/>
      <c r="X37" s="233"/>
      <c r="Y37" s="234"/>
    </row>
    <row r="38" spans="1:25" x14ac:dyDescent="0.25">
      <c r="A38" s="54" t="s">
        <v>180</v>
      </c>
      <c r="B38" s="166">
        <f t="shared" ref="B38" si="66">B37/B35</f>
        <v>0.31182795698924726</v>
      </c>
      <c r="C38" s="162">
        <f t="shared" ref="C38" si="67">C37/C35</f>
        <v>0.4241071428571429</v>
      </c>
      <c r="D38" s="162">
        <f t="shared" ref="D38" si="68">D37/D35</f>
        <v>0.5</v>
      </c>
      <c r="E38" s="163">
        <f t="shared" ref="E38" si="69">E37/E35</f>
        <v>0.41463414634146312</v>
      </c>
      <c r="F38" s="164">
        <f t="shared" ref="F38" si="70">F37/F35</f>
        <v>0.46938775510204073</v>
      </c>
      <c r="G38" s="162">
        <f t="shared" ref="G38" si="71">G37/G35</f>
        <v>0.58579881656804733</v>
      </c>
      <c r="H38" s="162">
        <f t="shared" ref="H38" si="72">H37/H35</f>
        <v>0.61832061068702293</v>
      </c>
      <c r="I38" s="165">
        <f t="shared" ref="I38" si="73">I37/I35</f>
        <v>-3.5555555555555283</v>
      </c>
      <c r="J38" s="166">
        <f t="shared" ref="J38" si="74">J37/J35</f>
        <v>0.48913043478260876</v>
      </c>
      <c r="K38" s="162">
        <f t="shared" ref="K38" si="75">K37/K35</f>
        <v>0.5381526104417671</v>
      </c>
      <c r="L38" s="162">
        <f t="shared" ref="L38" si="76">L37/L35</f>
        <v>0.125</v>
      </c>
      <c r="M38" s="163">
        <f t="shared" ref="M38" si="77">M37/M35</f>
        <v>-5.7142857142856822E-2</v>
      </c>
      <c r="N38" s="164">
        <f t="shared" ref="N38" si="78">N37/N35</f>
        <v>0.6</v>
      </c>
      <c r="O38" s="162">
        <f t="shared" ref="O38" si="79">O37/O35</f>
        <v>0.68281938325991187</v>
      </c>
      <c r="P38" s="162">
        <f t="shared" ref="P38" si="80">P37/P35</f>
        <v>0.58490566037735847</v>
      </c>
      <c r="Q38" s="165">
        <f t="shared" ref="Q38" si="81">Q37/Q35</f>
        <v>-0.17647058823529632</v>
      </c>
      <c r="R38" s="166">
        <f t="shared" ref="R38" si="82">R37/R35</f>
        <v>0.67619047619047612</v>
      </c>
      <c r="S38" s="162">
        <f t="shared" ref="S38" si="83">S37/S35</f>
        <v>0.71428571428571419</v>
      </c>
      <c r="T38" s="249"/>
      <c r="U38" s="250"/>
      <c r="V38" s="251"/>
      <c r="W38" s="252"/>
      <c r="X38" s="249"/>
      <c r="Y38" s="250"/>
    </row>
    <row r="39" spans="1:25" ht="13.8" thickBot="1" x14ac:dyDescent="0.3">
      <c r="A39" s="55" t="s">
        <v>182</v>
      </c>
      <c r="B39" s="157">
        <f>B37/B33</f>
        <v>6.087689213035878</v>
      </c>
      <c r="C39" s="158">
        <f t="shared" ref="C39:S39" si="84">C37/C33</f>
        <v>8.2796696732099733</v>
      </c>
      <c r="D39" s="158">
        <f t="shared" si="84"/>
        <v>65.136476426799121</v>
      </c>
      <c r="E39" s="159">
        <f t="shared" si="84"/>
        <v>54.01561459783337</v>
      </c>
      <c r="F39" s="160">
        <f t="shared" si="84"/>
        <v>11.604739971261274</v>
      </c>
      <c r="G39" s="158">
        <f t="shared" si="84"/>
        <v>14.482875912510952</v>
      </c>
      <c r="H39" s="158">
        <f t="shared" si="84"/>
        <v>63.087042594602138</v>
      </c>
      <c r="I39" s="161">
        <f t="shared" si="84"/>
        <v>-362.77212970722928</v>
      </c>
      <c r="J39" s="157">
        <f t="shared" si="84"/>
        <v>6.7309716812296028</v>
      </c>
      <c r="K39" s="158">
        <f t="shared" si="84"/>
        <v>7.4055706279516764</v>
      </c>
      <c r="L39" s="158">
        <f t="shared" si="84"/>
        <v>23.004434589800617</v>
      </c>
      <c r="M39" s="159">
        <f t="shared" si="84"/>
        <v>-10.516312955337366</v>
      </c>
      <c r="N39" s="160">
        <f t="shared" si="84"/>
        <v>6.9541959210966224</v>
      </c>
      <c r="O39" s="158">
        <f t="shared" si="84"/>
        <v>7.9140996165196524</v>
      </c>
      <c r="P39" s="158">
        <f t="shared" si="84"/>
        <v>32.01203770634492</v>
      </c>
      <c r="Q39" s="161">
        <f t="shared" si="84"/>
        <v>-9.658280826013101</v>
      </c>
      <c r="R39" s="157">
        <f t="shared" si="84"/>
        <v>9.8486657343293409</v>
      </c>
      <c r="S39" s="158">
        <f t="shared" si="84"/>
        <v>10.403520141897193</v>
      </c>
      <c r="T39" s="253"/>
      <c r="U39" s="254"/>
      <c r="V39" s="255"/>
      <c r="W39" s="256"/>
      <c r="X39" s="253"/>
      <c r="Y39" s="254"/>
    </row>
    <row r="40" spans="1:25" ht="3.6" customHeight="1" thickBot="1" x14ac:dyDescent="0.3">
      <c r="A40" s="88">
        <v>1</v>
      </c>
      <c r="B40" s="111"/>
      <c r="C40" s="112"/>
      <c r="D40" s="112"/>
      <c r="E40" s="113"/>
      <c r="F40" s="114"/>
      <c r="G40" s="112"/>
      <c r="H40" s="112"/>
      <c r="I40" s="115"/>
      <c r="J40" s="111"/>
      <c r="K40" s="112"/>
      <c r="L40" s="112"/>
      <c r="M40" s="113"/>
      <c r="N40" s="114"/>
      <c r="O40" s="112"/>
      <c r="P40" s="112"/>
      <c r="Q40" s="115"/>
      <c r="R40" s="111"/>
      <c r="S40" s="112"/>
      <c r="T40" s="116"/>
      <c r="U40" s="117"/>
      <c r="V40" s="111"/>
      <c r="W40" s="112"/>
      <c r="X40" s="116"/>
      <c r="Y40" s="117"/>
    </row>
    <row r="41" spans="1:25" x14ac:dyDescent="0.25">
      <c r="A41" s="66" t="s">
        <v>200</v>
      </c>
      <c r="B41" s="133"/>
      <c r="C41" s="134"/>
      <c r="D41" s="134"/>
      <c r="E41" s="135">
        <v>0.61360000000000003</v>
      </c>
      <c r="F41" s="136"/>
      <c r="G41" s="134"/>
      <c r="H41" s="134"/>
      <c r="I41" s="137">
        <v>1.3753</v>
      </c>
      <c r="J41" s="133"/>
      <c r="K41" s="134"/>
      <c r="L41" s="134"/>
      <c r="M41" s="135">
        <v>1.7985</v>
      </c>
      <c r="N41" s="136"/>
      <c r="O41" s="134"/>
      <c r="P41" s="134"/>
      <c r="Q41" s="137">
        <v>1.8183</v>
      </c>
      <c r="R41" s="133"/>
      <c r="S41" s="134"/>
      <c r="T41" s="237"/>
      <c r="U41" s="238">
        <f>Farming!M28</f>
        <v>2.1208800000000001</v>
      </c>
      <c r="V41" s="239"/>
      <c r="W41" s="240"/>
      <c r="X41" s="237"/>
      <c r="Y41" s="238"/>
    </row>
    <row r="42" spans="1:25" hidden="1" outlineLevel="1" x14ac:dyDescent="0.25">
      <c r="A42" s="54" t="s">
        <v>195</v>
      </c>
      <c r="B42" s="166"/>
      <c r="C42" s="162"/>
      <c r="D42" s="162"/>
      <c r="E42" s="163"/>
      <c r="F42" s="164"/>
      <c r="G42" s="162"/>
      <c r="H42" s="162"/>
      <c r="I42" s="165"/>
      <c r="J42" s="166"/>
      <c r="K42" s="162"/>
      <c r="L42" s="162"/>
      <c r="M42" s="163"/>
      <c r="N42" s="164"/>
      <c r="O42" s="162"/>
      <c r="P42" s="162"/>
      <c r="Q42" s="165"/>
      <c r="R42" s="166"/>
      <c r="S42" s="162"/>
      <c r="T42" s="249"/>
      <c r="U42" s="250"/>
      <c r="V42" s="251"/>
      <c r="W42" s="252"/>
      <c r="X42" s="249"/>
      <c r="Y42" s="250"/>
    </row>
    <row r="43" spans="1:25" collapsed="1" x14ac:dyDescent="0.25">
      <c r="A43" s="67" t="s">
        <v>184</v>
      </c>
      <c r="B43" s="196">
        <v>86.9</v>
      </c>
      <c r="C43" s="192">
        <v>64</v>
      </c>
      <c r="D43" s="192">
        <v>12</v>
      </c>
      <c r="E43" s="193">
        <f>193.1-SUM(B43:D43)</f>
        <v>30.199999999999989</v>
      </c>
      <c r="F43" s="194">
        <v>69.900000000000006</v>
      </c>
      <c r="G43" s="192">
        <v>165</v>
      </c>
      <c r="H43" s="192">
        <v>34.9</v>
      </c>
      <c r="I43" s="195">
        <f>290.1-SUM(F43:H43)</f>
        <v>20.300000000000011</v>
      </c>
      <c r="J43" s="196">
        <v>55.3</v>
      </c>
      <c r="K43" s="192">
        <v>144.69999999999999</v>
      </c>
      <c r="L43" s="192">
        <v>46.7</v>
      </c>
      <c r="M43" s="193">
        <f>310.4-SUM(J43:L43)</f>
        <v>63.699999999999989</v>
      </c>
      <c r="N43" s="194">
        <v>56.2</v>
      </c>
      <c r="O43" s="192">
        <v>285.3</v>
      </c>
      <c r="P43" s="192">
        <v>10.1</v>
      </c>
      <c r="Q43" s="195">
        <f>358.1-SUM(N43:P43)</f>
        <v>6.5</v>
      </c>
      <c r="R43" s="196">
        <v>146.4</v>
      </c>
      <c r="S43" s="192">
        <v>124.8</v>
      </c>
      <c r="T43" s="241"/>
      <c r="U43" s="242"/>
      <c r="V43" s="243"/>
      <c r="W43" s="244"/>
      <c r="X43" s="241"/>
      <c r="Y43" s="242"/>
    </row>
    <row r="44" spans="1:25" outlineLevel="1" x14ac:dyDescent="0.25">
      <c r="A44" s="54" t="s">
        <v>179</v>
      </c>
      <c r="B44" s="155"/>
      <c r="C44" s="153"/>
      <c r="D44" s="153"/>
      <c r="E44" s="154">
        <f>SUM(B43:E43)/E41</f>
        <v>314.70013037809645</v>
      </c>
      <c r="F44" s="155"/>
      <c r="G44" s="153"/>
      <c r="H44" s="153"/>
      <c r="I44" s="154">
        <f>SUM(F43:I43)/I41</f>
        <v>210.93579582636517</v>
      </c>
      <c r="J44" s="155"/>
      <c r="K44" s="153"/>
      <c r="L44" s="153"/>
      <c r="M44" s="154">
        <f>SUM(J43:M43)/M41</f>
        <v>172.58826800111203</v>
      </c>
      <c r="N44" s="155"/>
      <c r="O44" s="153"/>
      <c r="P44" s="153"/>
      <c r="Q44" s="154">
        <f>SUM(N43:Q43)/Q41</f>
        <v>196.9421987570808</v>
      </c>
      <c r="R44" s="155"/>
      <c r="S44" s="153"/>
      <c r="T44" s="153"/>
      <c r="U44" s="154">
        <f>SUM(R43:U43)/U41</f>
        <v>127.87144958696389</v>
      </c>
      <c r="V44" s="155"/>
      <c r="W44" s="153"/>
      <c r="X44" s="153"/>
      <c r="Y44" s="154" t="e">
        <f>SUM(V43:Y43)/Y41</f>
        <v>#DIV/0!</v>
      </c>
    </row>
    <row r="45" spans="1:25" x14ac:dyDescent="0.25">
      <c r="A45" s="67" t="s">
        <v>181</v>
      </c>
      <c r="B45" s="196">
        <v>25.9</v>
      </c>
      <c r="C45" s="192">
        <v>-12.5</v>
      </c>
      <c r="D45" s="192">
        <v>-3.5</v>
      </c>
      <c r="E45" s="193">
        <f>67.7-SUM(B45:D45)</f>
        <v>57.800000000000004</v>
      </c>
      <c r="F45" s="194">
        <v>-6.4</v>
      </c>
      <c r="G45" s="192">
        <v>-42.2</v>
      </c>
      <c r="H45" s="192">
        <v>-21.5</v>
      </c>
      <c r="I45" s="195">
        <f>-44.3-SUM(F45:H45)</f>
        <v>25.799999999999997</v>
      </c>
      <c r="J45" s="196">
        <v>10.7</v>
      </c>
      <c r="K45" s="192">
        <v>43.6</v>
      </c>
      <c r="L45" s="192">
        <v>12.4</v>
      </c>
      <c r="M45" s="193">
        <f>97.9-SUM(J45:L45)</f>
        <v>31.200000000000003</v>
      </c>
      <c r="N45" s="194">
        <v>22.6</v>
      </c>
      <c r="O45" s="192">
        <v>113.1</v>
      </c>
      <c r="P45" s="192">
        <v>32.700000000000003</v>
      </c>
      <c r="Q45" s="195">
        <f>146+6.7+38.8-SUM(N45:P45)</f>
        <v>23.100000000000023</v>
      </c>
      <c r="R45" s="196">
        <v>77.7</v>
      </c>
      <c r="S45" s="192">
        <v>55.8</v>
      </c>
      <c r="T45" s="241"/>
      <c r="U45" s="242"/>
      <c r="V45" s="243"/>
      <c r="W45" s="244"/>
      <c r="X45" s="241"/>
      <c r="Y45" s="242"/>
    </row>
    <row r="46" spans="1:25" ht="13.8" thickBot="1" x14ac:dyDescent="0.3">
      <c r="A46" s="54" t="s">
        <v>180</v>
      </c>
      <c r="B46" s="166">
        <f t="shared" ref="B46:S46" si="85">B45/B43</f>
        <v>0.29804372842347521</v>
      </c>
      <c r="C46" s="162">
        <f t="shared" si="85"/>
        <v>-0.1953125</v>
      </c>
      <c r="D46" s="162">
        <f t="shared" si="85"/>
        <v>-0.29166666666666669</v>
      </c>
      <c r="E46" s="163">
        <f t="shared" si="85"/>
        <v>1.9139072847682128</v>
      </c>
      <c r="F46" s="164">
        <f t="shared" si="85"/>
        <v>-9.1559370529327611E-2</v>
      </c>
      <c r="G46" s="162">
        <f t="shared" si="85"/>
        <v>-0.25575757575757579</v>
      </c>
      <c r="H46" s="162">
        <f t="shared" si="85"/>
        <v>-0.61604584527220629</v>
      </c>
      <c r="I46" s="165">
        <f t="shared" si="85"/>
        <v>1.2709359605911321</v>
      </c>
      <c r="J46" s="166">
        <f t="shared" si="85"/>
        <v>0.1934900542495479</v>
      </c>
      <c r="K46" s="162">
        <f t="shared" si="85"/>
        <v>0.30131306150656534</v>
      </c>
      <c r="L46" s="162">
        <f t="shared" si="85"/>
        <v>0.26552462526766596</v>
      </c>
      <c r="M46" s="163">
        <f t="shared" si="85"/>
        <v>0.48979591836734709</v>
      </c>
      <c r="N46" s="164">
        <f t="shared" si="85"/>
        <v>0.40213523131672596</v>
      </c>
      <c r="O46" s="162">
        <f t="shared" si="85"/>
        <v>0.39642481598317558</v>
      </c>
      <c r="P46" s="162">
        <f t="shared" si="85"/>
        <v>3.2376237623762378</v>
      </c>
      <c r="Q46" s="165">
        <f t="shared" si="85"/>
        <v>3.5538461538461572</v>
      </c>
      <c r="R46" s="166">
        <f t="shared" si="85"/>
        <v>0.53073770491803274</v>
      </c>
      <c r="S46" s="162">
        <f t="shared" si="85"/>
        <v>0.44711538461538458</v>
      </c>
      <c r="T46" s="249"/>
      <c r="U46" s="250"/>
      <c r="V46" s="251"/>
      <c r="W46" s="252"/>
      <c r="X46" s="249"/>
      <c r="Y46" s="250"/>
    </row>
    <row r="47" spans="1:25" ht="13.8" hidden="1" outlineLevel="1" thickBot="1" x14ac:dyDescent="0.3">
      <c r="A47" s="55" t="s">
        <v>182</v>
      </c>
      <c r="B47" s="157" t="e">
        <f t="shared" ref="B47:S47" si="86">B45/B41</f>
        <v>#DIV/0!</v>
      </c>
      <c r="C47" s="158" t="e">
        <f t="shared" si="86"/>
        <v>#DIV/0!</v>
      </c>
      <c r="D47" s="158" t="e">
        <f t="shared" si="86"/>
        <v>#DIV/0!</v>
      </c>
      <c r="E47" s="159">
        <f t="shared" si="86"/>
        <v>94.198174706649283</v>
      </c>
      <c r="F47" s="160" t="e">
        <f t="shared" si="86"/>
        <v>#DIV/0!</v>
      </c>
      <c r="G47" s="158" t="e">
        <f t="shared" si="86"/>
        <v>#DIV/0!</v>
      </c>
      <c r="H47" s="158" t="e">
        <f t="shared" si="86"/>
        <v>#DIV/0!</v>
      </c>
      <c r="I47" s="161">
        <f t="shared" si="86"/>
        <v>18.759543372355122</v>
      </c>
      <c r="J47" s="157" t="e">
        <f t="shared" si="86"/>
        <v>#DIV/0!</v>
      </c>
      <c r="K47" s="158" t="e">
        <f t="shared" si="86"/>
        <v>#DIV/0!</v>
      </c>
      <c r="L47" s="158" t="e">
        <f t="shared" si="86"/>
        <v>#DIV/0!</v>
      </c>
      <c r="M47" s="159">
        <f t="shared" si="86"/>
        <v>17.347789824854047</v>
      </c>
      <c r="N47" s="160" t="e">
        <f t="shared" si="86"/>
        <v>#DIV/0!</v>
      </c>
      <c r="O47" s="158" t="e">
        <f t="shared" si="86"/>
        <v>#DIV/0!</v>
      </c>
      <c r="P47" s="158" t="e">
        <f t="shared" si="86"/>
        <v>#DIV/0!</v>
      </c>
      <c r="Q47" s="161">
        <f t="shared" si="86"/>
        <v>12.704174228675148</v>
      </c>
      <c r="R47" s="157" t="e">
        <f t="shared" si="86"/>
        <v>#DIV/0!</v>
      </c>
      <c r="S47" s="158" t="e">
        <f t="shared" si="86"/>
        <v>#DIV/0!</v>
      </c>
      <c r="T47" s="253"/>
      <c r="U47" s="254"/>
      <c r="V47" s="255"/>
      <c r="W47" s="256"/>
      <c r="X47" s="253"/>
      <c r="Y47" s="254"/>
    </row>
    <row r="48" spans="1:25" ht="3.6" customHeight="1" collapsed="1" thickBot="1" x14ac:dyDescent="0.3">
      <c r="A48" s="88">
        <v>2</v>
      </c>
      <c r="B48" s="111"/>
      <c r="C48" s="112"/>
      <c r="D48" s="112"/>
      <c r="E48" s="113"/>
      <c r="F48" s="114"/>
      <c r="G48" s="112"/>
      <c r="H48" s="112"/>
      <c r="I48" s="115"/>
      <c r="J48" s="111"/>
      <c r="K48" s="112"/>
      <c r="L48" s="112"/>
      <c r="M48" s="113"/>
      <c r="N48" s="114"/>
      <c r="O48" s="112"/>
      <c r="P48" s="112"/>
      <c r="Q48" s="115"/>
      <c r="R48" s="111"/>
      <c r="S48" s="112"/>
      <c r="T48" s="116"/>
      <c r="U48" s="117"/>
      <c r="V48" s="111"/>
      <c r="W48" s="112"/>
      <c r="X48" s="116"/>
      <c r="Y48" s="117"/>
    </row>
    <row r="49" spans="1:25" x14ac:dyDescent="0.25">
      <c r="A49" s="68" t="s">
        <v>203</v>
      </c>
      <c r="B49" s="138">
        <v>-1.2</v>
      </c>
      <c r="C49" s="139">
        <v>0.2</v>
      </c>
      <c r="D49" s="139">
        <v>1.1000000000000001</v>
      </c>
      <c r="E49" s="140">
        <f>-4-SUM(B49:D49)</f>
        <v>-4.0999999999999996</v>
      </c>
      <c r="F49" s="141">
        <v>-0.2</v>
      </c>
      <c r="G49" s="139">
        <v>0.1</v>
      </c>
      <c r="H49" s="139">
        <v>0.5</v>
      </c>
      <c r="I49" s="142">
        <f>0.3-SUM(F49:H49)</f>
        <v>-0.10000000000000003</v>
      </c>
      <c r="J49" s="138">
        <v>2.9</v>
      </c>
      <c r="K49" s="139">
        <v>0.1</v>
      </c>
      <c r="L49" s="139">
        <v>0.2</v>
      </c>
      <c r="M49" s="140">
        <f>4-SUM(J49:L49)</f>
        <v>0.79999999999999982</v>
      </c>
      <c r="N49" s="141">
        <v>0</v>
      </c>
      <c r="O49" s="139">
        <v>0</v>
      </c>
      <c r="P49" s="139">
        <v>0.2</v>
      </c>
      <c r="Q49" s="140">
        <f>1.7-SUM(N49:P49)</f>
        <v>1.5</v>
      </c>
      <c r="R49" s="138">
        <v>0</v>
      </c>
      <c r="S49" s="139">
        <v>0</v>
      </c>
      <c r="T49" s="143"/>
      <c r="U49" s="144">
        <f>0-SUM(R49:T49)</f>
        <v>0</v>
      </c>
      <c r="V49" s="138"/>
      <c r="W49" s="139"/>
      <c r="X49" s="143"/>
      <c r="Y49" s="144">
        <f>0-SUM(V49:X49)</f>
        <v>0</v>
      </c>
    </row>
    <row r="50" spans="1:25" x14ac:dyDescent="0.25">
      <c r="A50" s="266" t="s">
        <v>201</v>
      </c>
      <c r="B50" s="267">
        <v>-88.3</v>
      </c>
      <c r="C50" s="268">
        <v>-74.3</v>
      </c>
      <c r="D50" s="268">
        <v>-24.6</v>
      </c>
      <c r="E50" s="269">
        <f>-203.7-SUM(B50:D50)</f>
        <v>-16.5</v>
      </c>
      <c r="F50" s="270">
        <v>-57.5</v>
      </c>
      <c r="G50" s="268">
        <v>-188.8</v>
      </c>
      <c r="H50" s="268">
        <v>-46.7</v>
      </c>
      <c r="I50" s="271">
        <f>-317-SUM(F50:H50)</f>
        <v>-24</v>
      </c>
      <c r="J50" s="267">
        <v>-62</v>
      </c>
      <c r="K50" s="268">
        <v>-172.4</v>
      </c>
      <c r="L50" s="268">
        <v>-63</v>
      </c>
      <c r="M50" s="269">
        <f>-371.3-SUM(J50:L50)</f>
        <v>-73.900000000000034</v>
      </c>
      <c r="N50" s="270">
        <v>-62.8</v>
      </c>
      <c r="O50" s="268">
        <v>-313.89999999999998</v>
      </c>
      <c r="P50" s="268">
        <v>-28.6</v>
      </c>
      <c r="Q50" s="269">
        <f>-421.1-SUM(N50:P50)</f>
        <v>-15.800000000000011</v>
      </c>
      <c r="R50" s="267">
        <v>-160.6</v>
      </c>
      <c r="S50" s="268">
        <v>-159.80000000000001</v>
      </c>
      <c r="T50" s="272"/>
      <c r="U50" s="273">
        <f>0-SUM(R50:T50)</f>
        <v>320.39999999999998</v>
      </c>
      <c r="V50" s="267"/>
      <c r="W50" s="268"/>
      <c r="X50" s="272"/>
      <c r="Y50" s="273">
        <f>0-SUM(V50:X50)</f>
        <v>0</v>
      </c>
    </row>
    <row r="51" spans="1:25" x14ac:dyDescent="0.25">
      <c r="A51" s="274" t="s">
        <v>214</v>
      </c>
      <c r="B51" s="275"/>
      <c r="C51" s="276"/>
      <c r="D51" s="276"/>
      <c r="E51" s="277"/>
      <c r="F51" s="278"/>
      <c r="G51" s="276"/>
      <c r="H51" s="276"/>
      <c r="I51" s="279"/>
      <c r="J51" s="275"/>
      <c r="K51" s="276"/>
      <c r="L51" s="276"/>
      <c r="M51" s="277"/>
      <c r="N51" s="278">
        <v>-6.7</v>
      </c>
      <c r="O51" s="276">
        <v>-38.799999999999997</v>
      </c>
      <c r="P51" s="276"/>
      <c r="Q51" s="277"/>
      <c r="R51" s="275">
        <v>-30.8</v>
      </c>
      <c r="S51" s="276">
        <v>-1.3</v>
      </c>
      <c r="T51" s="280"/>
      <c r="U51" s="281"/>
      <c r="V51" s="275"/>
      <c r="W51" s="276"/>
      <c r="X51" s="280"/>
      <c r="Y51" s="281"/>
    </row>
    <row r="52" spans="1:25" ht="13.8" thickBot="1" x14ac:dyDescent="0.3">
      <c r="A52" s="69" t="s">
        <v>202</v>
      </c>
      <c r="B52" s="145">
        <v>-12</v>
      </c>
      <c r="C52" s="146">
        <v>-5.9</v>
      </c>
      <c r="D52" s="146">
        <v>-10</v>
      </c>
      <c r="E52" s="147">
        <f>-34.1-SUM(B52:D52)</f>
        <v>-6.2000000000000028</v>
      </c>
      <c r="F52" s="148">
        <v>-12.6</v>
      </c>
      <c r="G52" s="146">
        <v>-4.9000000000000004</v>
      </c>
      <c r="H52" s="146">
        <v>-54.7</v>
      </c>
      <c r="I52" s="149">
        <f>-36.7-SUM(F52:H52)</f>
        <v>35.5</v>
      </c>
      <c r="J52" s="145">
        <v>-6.8</v>
      </c>
      <c r="K52" s="146">
        <v>-6.2</v>
      </c>
      <c r="L52" s="146">
        <v>-5.4</v>
      </c>
      <c r="M52" s="147">
        <f>-32.9-SUM(J52:L52)</f>
        <v>-14.5</v>
      </c>
      <c r="N52" s="148">
        <v>-7.8</v>
      </c>
      <c r="O52" s="146">
        <v>-9.8000000000000007</v>
      </c>
      <c r="P52" s="146">
        <v>-7.6</v>
      </c>
      <c r="Q52" s="147">
        <f>-37.2-SUM(N52:P52)</f>
        <v>-12</v>
      </c>
      <c r="R52" s="145">
        <v>-9</v>
      </c>
      <c r="S52" s="146">
        <v>-6.6</v>
      </c>
      <c r="T52" s="150"/>
      <c r="U52" s="151">
        <f>0-SUM(R52:T52)</f>
        <v>15.6</v>
      </c>
      <c r="V52" s="145"/>
      <c r="W52" s="146"/>
      <c r="X52" s="150"/>
      <c r="Y52" s="151">
        <f>0-SUM(V52:X52)</f>
        <v>0</v>
      </c>
    </row>
    <row r="54" spans="1:25" x14ac:dyDescent="0.25">
      <c r="A54" s="30" t="s">
        <v>213</v>
      </c>
      <c r="B54" s="86">
        <f t="shared" ref="B54:M54" si="87">SUM(B23,B30,B37,B5,B11,B45,B49,B51,B52)</f>
        <v>74.999999999999986</v>
      </c>
      <c r="C54" s="86">
        <f t="shared" si="87"/>
        <v>80.899999999999991</v>
      </c>
      <c r="D54" s="86">
        <f t="shared" si="87"/>
        <v>45</v>
      </c>
      <c r="E54" s="86">
        <f t="shared" si="87"/>
        <v>86.699999999999989</v>
      </c>
      <c r="F54" s="86">
        <f t="shared" si="87"/>
        <v>3.0000000000000036</v>
      </c>
      <c r="G54" s="86">
        <f t="shared" si="87"/>
        <v>57.5</v>
      </c>
      <c r="H54" s="86">
        <f t="shared" si="87"/>
        <v>30.099999999999994</v>
      </c>
      <c r="I54" s="86">
        <f t="shared" si="87"/>
        <v>132.39999999999998</v>
      </c>
      <c r="J54" s="86">
        <f t="shared" si="87"/>
        <v>80.500000000000014</v>
      </c>
      <c r="K54" s="86">
        <f t="shared" si="87"/>
        <v>142.30000000000001</v>
      </c>
      <c r="L54" s="86">
        <f t="shared" si="87"/>
        <v>115.20000000000002</v>
      </c>
      <c r="M54" s="86">
        <f t="shared" si="87"/>
        <v>58.599999999999994</v>
      </c>
      <c r="N54" s="86">
        <f>SUM(N23,N30,N37,N5,N11,N45,N49,N51,N52)</f>
        <v>55</v>
      </c>
      <c r="O54" s="86">
        <f>SUM(O23,O30,O37,O5,O11,O45,O49,O51,O52)</f>
        <v>145.19999999999999</v>
      </c>
      <c r="P54" s="86">
        <f t="shared" ref="P54:U54" si="88">SUM(P23,P30,P37,P5,P11,P45,P49,P51,P52)</f>
        <v>99.000000000000014</v>
      </c>
      <c r="Q54" s="86">
        <f t="shared" si="88"/>
        <v>47.300000000000011</v>
      </c>
      <c r="R54" s="86">
        <f t="shared" si="88"/>
        <v>72.400000000000006</v>
      </c>
      <c r="S54" s="86">
        <f t="shared" si="88"/>
        <v>130.19999999999999</v>
      </c>
      <c r="T54" s="85">
        <f t="shared" si="88"/>
        <v>0</v>
      </c>
      <c r="U54" s="85">
        <f t="shared" si="88"/>
        <v>15.6</v>
      </c>
    </row>
    <row r="55" spans="1:25" x14ac:dyDescent="0.25">
      <c r="E55" s="33">
        <f>SUM(B54:E54)</f>
        <v>287.59999999999997</v>
      </c>
      <c r="I55" s="33">
        <f>SUM(F54:I54)</f>
        <v>222.99999999999997</v>
      </c>
      <c r="M55" s="33">
        <f>SUM(J54:M54)</f>
        <v>396.6</v>
      </c>
      <c r="Q55" s="33">
        <f>SUM(N54:Q54)</f>
        <v>346.5</v>
      </c>
      <c r="U55" s="33">
        <f>SUM(R54:U54)</f>
        <v>218.2</v>
      </c>
    </row>
    <row r="57" spans="1:25" x14ac:dyDescent="0.25">
      <c r="A57" s="30" t="s">
        <v>204</v>
      </c>
    </row>
    <row r="58" spans="1:25" x14ac:dyDescent="0.25">
      <c r="A58" t="s">
        <v>205</v>
      </c>
      <c r="B58" s="33">
        <f>[1]prices!B$5</f>
        <v>320.34313725490199</v>
      </c>
      <c r="C58" s="33">
        <f>[1]prices!C$5</f>
        <v>311.17446001838243</v>
      </c>
      <c r="D58" s="33">
        <f>[1]prices!D$5</f>
        <v>271.50735294117641</v>
      </c>
      <c r="E58" s="33">
        <f>[1]prices!E$5</f>
        <v>255.64682904411768</v>
      </c>
      <c r="F58" s="33">
        <f>[1]prices!F$5</f>
        <v>238.99500229779414</v>
      </c>
      <c r="G58" s="33">
        <f>[1]prices!G$5</f>
        <v>240.91366038602936</v>
      </c>
      <c r="H58" s="33">
        <f>[1]prices!H$5</f>
        <v>226.86083654773381</v>
      </c>
      <c r="I58" s="33">
        <f>[1]prices!I$5</f>
        <v>239.90283613445374</v>
      </c>
      <c r="J58" s="33">
        <f>[1]prices!J$5</f>
        <v>194.24689797794116</v>
      </c>
      <c r="K58" s="33">
        <f>[1]prices!K$5</f>
        <v>204.25235523897058</v>
      </c>
      <c r="L58" s="33">
        <f>[1]prices!L$5</f>
        <v>192.13476374156221</v>
      </c>
      <c r="M58" s="33">
        <f>[1]prices!M$5</f>
        <v>185.36852240896366</v>
      </c>
      <c r="N58" s="33">
        <f>[1]prices!N$5</f>
        <v>187.94376148897064</v>
      </c>
      <c r="O58" s="33">
        <f>[1]prices!O$5</f>
        <v>180.98575367647064</v>
      </c>
      <c r="P58" s="33">
        <f>[1]prices!P$5</f>
        <v>171.18641513982641</v>
      </c>
      <c r="Q58" s="33">
        <f>[1]prices!Q$5</f>
        <v>172.98512178308818</v>
      </c>
      <c r="R58" s="33">
        <f>[1]prices!R$5</f>
        <v>149.07657398897058</v>
      </c>
      <c r="S58" s="33">
        <f>[1]prices!S$5</f>
        <v>148.2157446311858</v>
      </c>
      <c r="T58" s="33">
        <f>[1]prices!T$5</f>
        <v>157.8614207779886</v>
      </c>
      <c r="U58" s="265">
        <f>[1]prices!U$5</f>
        <v>160.43563258636789</v>
      </c>
      <c r="V58" s="265">
        <f>[1]prices!V$5</f>
        <v>168.0220004668534</v>
      </c>
      <c r="W58" s="265">
        <f>[1]prices!W$5</f>
        <v>176.36700513538747</v>
      </c>
      <c r="X58" s="265">
        <f>[1]prices!X$5</f>
        <v>182.27999533146593</v>
      </c>
      <c r="Y58" s="265">
        <f>[1]prices!Y$5</f>
        <v>187.15277777777777</v>
      </c>
    </row>
    <row r="59" spans="1:25" x14ac:dyDescent="0.25">
      <c r="A59" t="s">
        <v>215</v>
      </c>
      <c r="B59" s="33">
        <f>[1]prices!B$16</f>
        <v>305.76021747281584</v>
      </c>
      <c r="C59" s="33">
        <f>[1]prices!C$16</f>
        <v>290.44199064960623</v>
      </c>
      <c r="D59" s="33">
        <f>[1]prices!D$16</f>
        <v>280.39698162729661</v>
      </c>
      <c r="E59" s="33">
        <f>[1]prices!E$16</f>
        <v>256.39456200787401</v>
      </c>
      <c r="F59" s="33">
        <f>[1]prices!F$16</f>
        <v>193.30093503937005</v>
      </c>
      <c r="G59" s="33">
        <f>[1]prices!G$16</f>
        <v>169.84344242125988</v>
      </c>
      <c r="H59" s="33">
        <f>[1]prices!H$16</f>
        <v>178.59493997676518</v>
      </c>
      <c r="I59" s="33">
        <f>[1]prices!I$16</f>
        <v>189.0685539307587</v>
      </c>
      <c r="J59" s="33">
        <f>[1]prices!J$16</f>
        <v>141.77915260592425</v>
      </c>
      <c r="K59" s="33">
        <f>[1]prices!K$16</f>
        <v>147.35658042744654</v>
      </c>
      <c r="L59" s="33">
        <f>[1]prices!L$16</f>
        <v>152.0959726345682</v>
      </c>
      <c r="M59" s="33">
        <f>[1]prices!M$16</f>
        <v>144.44756905386825</v>
      </c>
      <c r="N59" s="33">
        <f>[1]prices!N$16</f>
        <v>152.07615649606296</v>
      </c>
      <c r="O59" s="33">
        <f>[1]prices!O$16</f>
        <v>147.20872293307085</v>
      </c>
      <c r="P59" s="33">
        <f>[1]prices!P$16</f>
        <v>143.04569510778373</v>
      </c>
      <c r="Q59" s="33">
        <f>[1]prices!Q$16</f>
        <v>154.26304133858267</v>
      </c>
      <c r="R59" s="33">
        <f>[1]prices!R$16</f>
        <v>131.39917568897636</v>
      </c>
      <c r="S59" s="33">
        <f>[1]prices!S$16</f>
        <v>137.69060117485319</v>
      </c>
      <c r="T59" s="33">
        <f>[1]prices!T$16</f>
        <v>143.99923799847599</v>
      </c>
      <c r="U59" s="265">
        <f>[1]prices!U$16</f>
        <v>147.19566304211975</v>
      </c>
      <c r="V59" s="265">
        <f>[1]prices!V$16</f>
        <v>151.59667541557306</v>
      </c>
      <c r="W59" s="265">
        <f>[1]prices!W$16</f>
        <v>155.93363329583804</v>
      </c>
      <c r="X59" s="265">
        <f>[1]prices!X$16</f>
        <v>159.25353080864892</v>
      </c>
      <c r="Y59" s="265">
        <f>[1]prices!Y$16</f>
        <v>162.02193475815523</v>
      </c>
    </row>
  </sheetData>
  <autoFilter ref="A1:Y5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Balance sheet</vt:lpstr>
      <vt:lpstr>P&amp;L</vt:lpstr>
      <vt:lpstr>Farming</vt:lpstr>
      <vt:lpstr>UA farming</vt:lpstr>
      <vt:lpstr>key</vt:lpstr>
      <vt:lpstr>cor</vt:lpstr>
      <vt:lpstr>EBITDA quarterly</vt:lpstr>
      <vt:lpstr>'UA farming'!_Hlk288821911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sanyok</dc:creator>
  <cp:lastModifiedBy>Kuzya</cp:lastModifiedBy>
  <dcterms:created xsi:type="dcterms:W3CDTF">2017-03-17T14:26:21Z</dcterms:created>
  <dcterms:modified xsi:type="dcterms:W3CDTF">2017-04-25T19:24:21Z</dcterms:modified>
</cp:coreProperties>
</file>