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checkCompatibility="1"/>
  <mc:AlternateContent xmlns:mc="http://schemas.openxmlformats.org/markup-compatibility/2006">
    <mc:Choice Requires="x15">
      <x15ac:absPath xmlns:x15ac="http://schemas.microsoft.com/office/spreadsheetml/2010/11/ac" url="D:\.users\Sanya\odesk\_Fouad\Kernel\"/>
    </mc:Choice>
  </mc:AlternateContent>
  <bookViews>
    <workbookView xWindow="0" yWindow="96" windowWidth="20700" windowHeight="11760" activeTab="1"/>
  </bookViews>
  <sheets>
    <sheet name="Kernel" sheetId="1" r:id="rId1"/>
    <sheet name="all" sheetId="2" r:id="rId2"/>
    <sheet name="US" sheetId="3" r:id="rId3"/>
    <sheet name="Wilmar" sheetId="4" r:id="rId4"/>
    <sheet name="Golden Agri" sheetId="5" r:id="rId5"/>
    <sheet name="IOI" sheetId="6" r:id="rId6"/>
    <sheet name="Genting" sheetId="7" r:id="rId7"/>
    <sheet name="Black Earth" sheetId="8" r:id="rId8"/>
    <sheet name="MHP" sheetId="9" r:id="rId9"/>
  </sheets>
  <calcPr calcId="152511" iterateDelta="252"/>
</workbook>
</file>

<file path=xl/calcChain.xml><?xml version="1.0" encoding="utf-8"?>
<calcChain xmlns="http://schemas.openxmlformats.org/spreadsheetml/2006/main">
  <c r="B17" i="2" l="1"/>
  <c r="A17" i="2"/>
  <c r="B6" i="9" l="1"/>
  <c r="B7" i="9" s="1"/>
  <c r="B8" i="9" s="1"/>
  <c r="B9" i="9" s="1"/>
  <c r="B10" i="9" s="1"/>
  <c r="B11" i="9" s="1"/>
  <c r="B12" i="9" s="1"/>
  <c r="B5" i="9"/>
  <c r="B4" i="9"/>
  <c r="H8" i="9"/>
  <c r="C2" i="9" s="1"/>
  <c r="H5" i="9"/>
  <c r="C5" i="9"/>
  <c r="H4" i="9"/>
  <c r="C6" i="9" s="1"/>
  <c r="H3" i="9"/>
  <c r="H2" i="9"/>
  <c r="B5" i="5"/>
  <c r="B6" i="5" s="1"/>
  <c r="B7" i="5" s="1"/>
  <c r="B8" i="5" s="1"/>
  <c r="B9" i="5" s="1"/>
  <c r="B10" i="5" s="1"/>
  <c r="B11" i="5" s="1"/>
  <c r="B12" i="5" s="1"/>
  <c r="B13" i="5" s="1"/>
  <c r="E17" i="5"/>
  <c r="C17" i="5"/>
  <c r="B16" i="5"/>
  <c r="J22" i="5"/>
  <c r="C16" i="5" s="1"/>
  <c r="J23" i="5" s="1"/>
  <c r="J19" i="5"/>
  <c r="B3" i="6"/>
  <c r="B12" i="6"/>
  <c r="B11" i="6" s="1"/>
  <c r="B10" i="6" s="1"/>
  <c r="B9" i="6" s="1"/>
  <c r="B8" i="6" s="1"/>
  <c r="B7" i="6" s="1"/>
  <c r="B6" i="6" s="1"/>
  <c r="B5" i="6" s="1"/>
  <c r="B4" i="6" s="1"/>
  <c r="E12" i="6"/>
  <c r="C12" i="6"/>
  <c r="B13" i="6"/>
  <c r="K3" i="7"/>
  <c r="B12" i="8"/>
  <c r="B11" i="8"/>
  <c r="B10" i="8"/>
  <c r="B9" i="8"/>
  <c r="B8" i="8"/>
  <c r="B7" i="8"/>
  <c r="B6" i="8"/>
  <c r="B5" i="8"/>
  <c r="B13" i="8"/>
  <c r="E4" i="8"/>
  <c r="K7" i="8"/>
  <c r="C4" i="8"/>
  <c r="J7" i="8"/>
  <c r="E3" i="8" s="1"/>
  <c r="A4" i="8"/>
  <c r="B3" i="8"/>
  <c r="A6" i="8" s="1"/>
  <c r="B2" i="9" l="1"/>
  <c r="D15" i="9" s="1"/>
  <c r="D16" i="9" s="1"/>
  <c r="I6" i="9"/>
  <c r="A6" i="9"/>
  <c r="A4" i="9"/>
  <c r="A9" i="9"/>
  <c r="A10" i="9"/>
  <c r="A11" i="9"/>
  <c r="A12" i="9"/>
  <c r="A5" i="9"/>
  <c r="A7" i="9"/>
  <c r="A8" i="9"/>
  <c r="A3" i="9"/>
  <c r="C15" i="9"/>
  <c r="C22" i="9" s="1"/>
  <c r="C3" i="9"/>
  <c r="C7" i="9"/>
  <c r="C8" i="9"/>
  <c r="C4" i="9"/>
  <c r="C9" i="9"/>
  <c r="C10" i="9"/>
  <c r="C11" i="9"/>
  <c r="C12" i="9"/>
  <c r="J24" i="5"/>
  <c r="A15" i="2" s="1"/>
  <c r="B15" i="2"/>
  <c r="E16" i="5"/>
  <c r="J25" i="5" s="1"/>
  <c r="J26" i="5" s="1"/>
  <c r="A12" i="6"/>
  <c r="A7" i="8"/>
  <c r="A13" i="8"/>
  <c r="C3" i="8"/>
  <c r="J8" i="8" s="1"/>
  <c r="A5" i="8"/>
  <c r="A9" i="8"/>
  <c r="A10" i="8"/>
  <c r="J10" i="8"/>
  <c r="A8" i="8"/>
  <c r="A11" i="8"/>
  <c r="A12" i="8"/>
  <c r="E13" i="7"/>
  <c r="C13" i="7"/>
  <c r="E12" i="7"/>
  <c r="C12" i="7"/>
  <c r="E11" i="7"/>
  <c r="C11" i="7"/>
  <c r="E10" i="7"/>
  <c r="C10" i="7"/>
  <c r="E9" i="7"/>
  <c r="C9" i="7"/>
  <c r="E8" i="7"/>
  <c r="C8" i="7"/>
  <c r="K7" i="7"/>
  <c r="J7" i="7"/>
  <c r="E7" i="7"/>
  <c r="C7" i="7"/>
  <c r="E6" i="7"/>
  <c r="C6" i="7"/>
  <c r="B6" i="7"/>
  <c r="B7" i="7" s="1"/>
  <c r="B8" i="7" s="1"/>
  <c r="B9" i="7" s="1"/>
  <c r="B10" i="7" s="1"/>
  <c r="B11" i="7" s="1"/>
  <c r="B12" i="7" s="1"/>
  <c r="B13" i="7" s="1"/>
  <c r="E5" i="7"/>
  <c r="C5" i="7"/>
  <c r="E4" i="7"/>
  <c r="C4" i="7"/>
  <c r="B3" i="7"/>
  <c r="E14" i="6"/>
  <c r="C14" i="6"/>
  <c r="E13" i="6"/>
  <c r="C13" i="6"/>
  <c r="E11" i="6"/>
  <c r="C11" i="6"/>
  <c r="E10" i="6"/>
  <c r="C10" i="6"/>
  <c r="E9" i="6"/>
  <c r="C9" i="6"/>
  <c r="E8" i="6"/>
  <c r="C8" i="6"/>
  <c r="K7" i="6"/>
  <c r="J7" i="6"/>
  <c r="E3" i="6" s="1"/>
  <c r="E7" i="6"/>
  <c r="C7" i="6"/>
  <c r="A7" i="6"/>
  <c r="E6" i="6"/>
  <c r="C6" i="6"/>
  <c r="A6" i="6"/>
  <c r="E5" i="6"/>
  <c r="C5" i="6"/>
  <c r="A5" i="6"/>
  <c r="E4" i="6"/>
  <c r="C4" i="6"/>
  <c r="A4" i="6"/>
  <c r="E13" i="5"/>
  <c r="C13" i="5"/>
  <c r="K7" i="5"/>
  <c r="J7" i="5"/>
  <c r="C3" i="5" s="1"/>
  <c r="E5" i="5"/>
  <c r="C5" i="5"/>
  <c r="E4" i="5"/>
  <c r="C4" i="5"/>
  <c r="B3" i="5"/>
  <c r="A5" i="5" s="1"/>
  <c r="E13" i="4"/>
  <c r="C13" i="4"/>
  <c r="E12" i="4"/>
  <c r="C12" i="4"/>
  <c r="E11" i="4"/>
  <c r="C11" i="4"/>
  <c r="E10" i="4"/>
  <c r="C10" i="4"/>
  <c r="E9" i="4"/>
  <c r="C9" i="4"/>
  <c r="E8" i="4"/>
  <c r="C8" i="4"/>
  <c r="K7" i="4"/>
  <c r="J7" i="4"/>
  <c r="C3" i="4" s="1"/>
  <c r="E7" i="4"/>
  <c r="C7" i="4"/>
  <c r="E6" i="4"/>
  <c r="C6" i="4"/>
  <c r="B6" i="4"/>
  <c r="B7" i="4" s="1"/>
  <c r="B8" i="4" s="1"/>
  <c r="E5" i="4"/>
  <c r="C5" i="4"/>
  <c r="A5" i="4"/>
  <c r="E4" i="4"/>
  <c r="C4" i="4"/>
  <c r="E3" i="4"/>
  <c r="B3" i="4"/>
  <c r="A6" i="4" s="1"/>
  <c r="D10" i="9" l="1"/>
  <c r="D8" i="9"/>
  <c r="D2" i="9"/>
  <c r="D9" i="9"/>
  <c r="D7" i="9"/>
  <c r="D12" i="9"/>
  <c r="D3" i="9"/>
  <c r="D5" i="9"/>
  <c r="D11" i="9"/>
  <c r="D4" i="9"/>
  <c r="D6" i="9"/>
  <c r="D6" i="8"/>
  <c r="B12" i="2"/>
  <c r="C3" i="7"/>
  <c r="J10" i="7"/>
  <c r="J11" i="7" s="1"/>
  <c r="J8" i="7"/>
  <c r="A17" i="5"/>
  <c r="A16" i="5"/>
  <c r="E3" i="5"/>
  <c r="A4" i="5"/>
  <c r="A6" i="5"/>
  <c r="A7" i="5"/>
  <c r="C3" i="6"/>
  <c r="E3" i="7"/>
  <c r="F10" i="8"/>
  <c r="F9" i="8"/>
  <c r="F13" i="8"/>
  <c r="F4" i="8"/>
  <c r="J11" i="8"/>
  <c r="J9" i="8"/>
  <c r="A12" i="2" s="1"/>
  <c r="D3" i="8"/>
  <c r="D11" i="8"/>
  <c r="F3" i="8"/>
  <c r="F11" i="8"/>
  <c r="F7" i="8"/>
  <c r="F5" i="8"/>
  <c r="D10" i="8"/>
  <c r="D9" i="8"/>
  <c r="D13" i="8"/>
  <c r="D4" i="8"/>
  <c r="D12" i="8"/>
  <c r="D8" i="8"/>
  <c r="D7" i="8"/>
  <c r="D5" i="8"/>
  <c r="F12" i="8"/>
  <c r="F8" i="8"/>
  <c r="F6" i="8"/>
  <c r="A6" i="7"/>
  <c r="A11" i="7"/>
  <c r="A12" i="7"/>
  <c r="A9" i="7"/>
  <c r="A10" i="7"/>
  <c r="D10" i="7" s="1"/>
  <c r="A4" i="7"/>
  <c r="A7" i="7"/>
  <c r="A8" i="7"/>
  <c r="A13" i="7"/>
  <c r="A5" i="7"/>
  <c r="B9" i="4"/>
  <c r="B10" i="4" s="1"/>
  <c r="A4" i="4"/>
  <c r="A7" i="4"/>
  <c r="A8" i="4"/>
  <c r="E34" i="3"/>
  <c r="E33" i="3"/>
  <c r="E29" i="3"/>
  <c r="E25" i="3"/>
  <c r="C33" i="3"/>
  <c r="C32" i="3"/>
  <c r="E32" i="3" s="1"/>
  <c r="C31" i="3"/>
  <c r="E31" i="3" s="1"/>
  <c r="C30" i="3"/>
  <c r="E30" i="3" s="1"/>
  <c r="C29" i="3"/>
  <c r="C28" i="3"/>
  <c r="E28" i="3" s="1"/>
  <c r="C27" i="3"/>
  <c r="E27" i="3" s="1"/>
  <c r="C26" i="3"/>
  <c r="E26" i="3" s="1"/>
  <c r="C25" i="3"/>
  <c r="C24" i="3"/>
  <c r="E24" i="3" s="1"/>
  <c r="B24" i="3" a="1"/>
  <c r="B24" i="3" s="1"/>
  <c r="A24" i="3"/>
  <c r="K7" i="1"/>
  <c r="J7" i="1"/>
  <c r="E3" i="1" s="1"/>
  <c r="E13" i="1"/>
  <c r="E12" i="1"/>
  <c r="E11" i="1"/>
  <c r="E10" i="1"/>
  <c r="E9" i="1"/>
  <c r="E8" i="1"/>
  <c r="E7" i="1"/>
  <c r="E6" i="1"/>
  <c r="E5" i="1"/>
  <c r="E4" i="1"/>
  <c r="C13" i="1"/>
  <c r="C12" i="1"/>
  <c r="C11" i="1"/>
  <c r="C10" i="1"/>
  <c r="C9" i="1"/>
  <c r="C8" i="1"/>
  <c r="C7" i="1"/>
  <c r="C6" i="1"/>
  <c r="C5" i="1"/>
  <c r="C4" i="1"/>
  <c r="B6" i="1"/>
  <c r="B7" i="1" s="1"/>
  <c r="B8" i="1" s="1"/>
  <c r="B9" i="1" s="1"/>
  <c r="B10" i="1" s="1"/>
  <c r="B11" i="1" s="1"/>
  <c r="B12" i="1" s="1"/>
  <c r="B13" i="1" s="1"/>
  <c r="B3" i="1"/>
  <c r="J10" i="1" s="1"/>
  <c r="C16" i="9" l="1"/>
  <c r="F13" i="1"/>
  <c r="F3" i="1"/>
  <c r="J11" i="1"/>
  <c r="F10" i="1"/>
  <c r="F6" i="1"/>
  <c r="J9" i="7"/>
  <c r="A13" i="2" s="1"/>
  <c r="B13" i="2"/>
  <c r="F13" i="7"/>
  <c r="F8" i="7"/>
  <c r="F9" i="7"/>
  <c r="F10" i="7"/>
  <c r="K9" i="8"/>
  <c r="K11" i="8"/>
  <c r="D9" i="7"/>
  <c r="D3" i="7"/>
  <c r="D12" i="7"/>
  <c r="F12" i="7"/>
  <c r="F11" i="7"/>
  <c r="F6" i="7"/>
  <c r="F3" i="7"/>
  <c r="D6" i="7"/>
  <c r="F7" i="7"/>
  <c r="D13" i="7"/>
  <c r="D8" i="7"/>
  <c r="D5" i="7"/>
  <c r="D4" i="7"/>
  <c r="D7" i="7"/>
  <c r="D11" i="7"/>
  <c r="F4" i="7"/>
  <c r="F5" i="7"/>
  <c r="A8" i="6"/>
  <c r="A8" i="5"/>
  <c r="B11" i="4"/>
  <c r="A10" i="4"/>
  <c r="A9" i="4"/>
  <c r="B31" i="3"/>
  <c r="B27" i="3"/>
  <c r="D26" i="3" s="1"/>
  <c r="F26" i="3" s="1"/>
  <c r="B30" i="3"/>
  <c r="B33" i="3"/>
  <c r="D32" i="3" s="1"/>
  <c r="B29" i="3"/>
  <c r="B25" i="3"/>
  <c r="D24" i="3" s="1"/>
  <c r="F24" i="3" s="1"/>
  <c r="B34" i="3"/>
  <c r="B26" i="3"/>
  <c r="D25" i="3" s="1"/>
  <c r="B32" i="3"/>
  <c r="D31" i="3" s="1"/>
  <c r="F31" i="3" s="1"/>
  <c r="B28" i="3"/>
  <c r="C3" i="1"/>
  <c r="A11" i="1"/>
  <c r="F11" i="1" s="1"/>
  <c r="A5" i="1"/>
  <c r="F5" i="1" s="1"/>
  <c r="A9" i="1"/>
  <c r="F9" i="1" s="1"/>
  <c r="A13" i="1"/>
  <c r="A4" i="1"/>
  <c r="F4" i="1" s="1"/>
  <c r="K11" i="1" s="1"/>
  <c r="A8" i="1"/>
  <c r="F8" i="1" s="1"/>
  <c r="A12" i="1"/>
  <c r="F12" i="1" s="1"/>
  <c r="A6" i="1"/>
  <c r="A10" i="1"/>
  <c r="A7" i="1"/>
  <c r="F7" i="1" s="1"/>
  <c r="A22" i="9" l="1"/>
  <c r="E2" i="2"/>
  <c r="D27" i="3"/>
  <c r="F27" i="3" s="1"/>
  <c r="E5" i="2"/>
  <c r="D28" i="3"/>
  <c r="F28" i="3" s="1"/>
  <c r="E10" i="2"/>
  <c r="D30" i="3"/>
  <c r="F30" i="3" s="1"/>
  <c r="J8" i="1"/>
  <c r="D3" i="1" s="1"/>
  <c r="F25" i="3"/>
  <c r="F32" i="3"/>
  <c r="D34" i="3"/>
  <c r="F34" i="3" s="1"/>
  <c r="D33" i="3"/>
  <c r="F33" i="3" s="1"/>
  <c r="E7" i="2"/>
  <c r="E9" i="2"/>
  <c r="E8" i="2"/>
  <c r="D29" i="3"/>
  <c r="F29" i="3" s="1"/>
  <c r="E4" i="2" s="1"/>
  <c r="E6" i="2"/>
  <c r="K11" i="7"/>
  <c r="K9" i="7"/>
  <c r="A9" i="6"/>
  <c r="A9" i="5"/>
  <c r="B12" i="4"/>
  <c r="A11" i="4"/>
  <c r="E3" i="2" l="1"/>
  <c r="B11" i="2"/>
  <c r="D7" i="1"/>
  <c r="D11" i="1"/>
  <c r="D10" i="1"/>
  <c r="D6" i="1"/>
  <c r="D12" i="1"/>
  <c r="D8" i="1"/>
  <c r="D4" i="1"/>
  <c r="K9" i="1" s="1"/>
  <c r="J9" i="1"/>
  <c r="A11" i="2" s="1"/>
  <c r="E11" i="2" s="1"/>
  <c r="D5" i="1"/>
  <c r="D9" i="1"/>
  <c r="D13" i="1"/>
  <c r="A10" i="6"/>
  <c r="A10" i="5"/>
  <c r="B13" i="4"/>
  <c r="A12" i="4"/>
  <c r="J8" i="4"/>
  <c r="A11" i="6" l="1"/>
  <c r="A11" i="5"/>
  <c r="D6" i="4"/>
  <c r="D11" i="4"/>
  <c r="D7" i="4"/>
  <c r="D4" i="4"/>
  <c r="D9" i="4"/>
  <c r="D8" i="4"/>
  <c r="D3" i="4"/>
  <c r="D10" i="4"/>
  <c r="D5" i="4"/>
  <c r="D12" i="4"/>
  <c r="J9" i="4"/>
  <c r="A13" i="4"/>
  <c r="D13" i="4" s="1"/>
  <c r="J10" i="4"/>
  <c r="A13" i="6" l="1"/>
  <c r="J8" i="5"/>
  <c r="B16" i="2" s="1"/>
  <c r="A12" i="5"/>
  <c r="K9" i="4"/>
  <c r="F13" i="4"/>
  <c r="F8" i="4"/>
  <c r="F7" i="4"/>
  <c r="F5" i="4"/>
  <c r="F10" i="4"/>
  <c r="F12" i="4"/>
  <c r="F6" i="4"/>
  <c r="F9" i="4"/>
  <c r="F3" i="4"/>
  <c r="F4" i="4"/>
  <c r="F11" i="4"/>
  <c r="J11" i="4"/>
  <c r="K11" i="4" l="1"/>
  <c r="A14" i="6"/>
  <c r="J8" i="6"/>
  <c r="J10" i="6"/>
  <c r="D6" i="5"/>
  <c r="D8" i="5"/>
  <c r="D9" i="5"/>
  <c r="D10" i="5"/>
  <c r="D4" i="5"/>
  <c r="D11" i="5"/>
  <c r="D12" i="5"/>
  <c r="D7" i="5"/>
  <c r="D5" i="5"/>
  <c r="D3" i="5"/>
  <c r="J9" i="5"/>
  <c r="A16" i="2" s="1"/>
  <c r="A13" i="5"/>
  <c r="D13" i="5" s="1"/>
  <c r="J10" i="5"/>
  <c r="D12" i="6" l="1"/>
  <c r="B14" i="2"/>
  <c r="J11" i="6"/>
  <c r="F12" i="6"/>
  <c r="D6" i="6"/>
  <c r="D13" i="6"/>
  <c r="D11" i="6"/>
  <c r="D3" i="6"/>
  <c r="D8" i="6"/>
  <c r="D10" i="6"/>
  <c r="D4" i="6"/>
  <c r="D9" i="6"/>
  <c r="D5" i="6"/>
  <c r="D14" i="6"/>
  <c r="D7" i="6"/>
  <c r="J9" i="6"/>
  <c r="A14" i="2" s="1"/>
  <c r="E14" i="2" s="1"/>
  <c r="F10" i="6"/>
  <c r="F9" i="6"/>
  <c r="F4" i="6"/>
  <c r="F7" i="6"/>
  <c r="F14" i="6"/>
  <c r="F8" i="6"/>
  <c r="F5" i="6"/>
  <c r="F3" i="6"/>
  <c r="F11" i="6"/>
  <c r="F6" i="6"/>
  <c r="F13" i="6"/>
  <c r="K9" i="5"/>
  <c r="F10" i="5"/>
  <c r="F9" i="5"/>
  <c r="F4" i="5"/>
  <c r="F7" i="5"/>
  <c r="F8" i="5"/>
  <c r="F5" i="5"/>
  <c r="F11" i="5"/>
  <c r="F12" i="5"/>
  <c r="F13" i="5"/>
  <c r="F3" i="5"/>
  <c r="F6" i="5"/>
  <c r="J11" i="5"/>
  <c r="K11" i="6" l="1"/>
  <c r="K9" i="6"/>
  <c r="K11" i="5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<sst xmlns="http://schemas.openxmlformats.org/spreadsheetml/2006/main" count="222" uniqueCount="89">
  <si>
    <t>date</t>
  </si>
  <si>
    <t>CF</t>
  </si>
  <si>
    <t>DCF</t>
  </si>
  <si>
    <t>Duration</t>
  </si>
  <si>
    <t>Kernel</t>
  </si>
  <si>
    <t>Ukrainian Government</t>
  </si>
  <si>
    <t>Issue date</t>
  </si>
  <si>
    <t>Coupon</t>
  </si>
  <si>
    <t>bid</t>
  </si>
  <si>
    <t>offer</t>
  </si>
  <si>
    <t>date of trade</t>
  </si>
  <si>
    <t>accrued interest</t>
  </si>
  <si>
    <t>mid-interval YTM</t>
  </si>
  <si>
    <t>mid-interval duration</t>
  </si>
  <si>
    <t>offer YTM</t>
  </si>
  <si>
    <t>offer duration</t>
  </si>
  <si>
    <t>mid-interval</t>
  </si>
  <si>
    <t>check</t>
  </si>
  <si>
    <t>boerse</t>
  </si>
  <si>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</si>
  <si>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</si>
  <si>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</si>
  <si>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</si>
  <si>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</si>
  <si>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</si>
  <si>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</si>
  <si>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</si>
  <si>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</si>
  <si>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</si>
  <si>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</si>
  <si>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</si>
  <si>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</si>
  <si>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</si>
  <si>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</si>
  <si>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</si>
  <si>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</si>
  <si>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</si>
  <si>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</si>
  <si>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</si>
  <si>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</si>
  <si>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</si>
  <si>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duration</t>
  </si>
  <si>
    <t>yield</t>
  </si>
  <si>
    <t>USD Rf</t>
  </si>
  <si>
    <t>next yield</t>
  </si>
  <si>
    <t>next duration</t>
  </si>
  <si>
    <t>next less this duration</t>
  </si>
  <si>
    <t>next less this yield</t>
  </si>
  <si>
    <t>XS0792911298</t>
  </si>
  <si>
    <t>SG6S75978592</t>
  </si>
  <si>
    <t>XS1060713655</t>
  </si>
  <si>
    <t>XS1084645420</t>
  </si>
  <si>
    <t>SG6QA3000008</t>
  </si>
  <si>
    <t>SG6WG7000009</t>
  </si>
  <si>
    <t>SG6T47979602</t>
  </si>
  <si>
    <t>BBB</t>
  </si>
  <si>
    <t>SE0005472024</t>
  </si>
  <si>
    <t>Yield</t>
  </si>
  <si>
    <t>Issuer</t>
  </si>
  <si>
    <t>Currency</t>
  </si>
  <si>
    <t>USD</t>
  </si>
  <si>
    <t>Perpetuity!!!</t>
  </si>
  <si>
    <t>Black Earth Farming</t>
  </si>
  <si>
    <t>SEK</t>
  </si>
  <si>
    <t>Genting</t>
  </si>
  <si>
    <t>SGD</t>
  </si>
  <si>
    <t>IOI</t>
  </si>
  <si>
    <t>ave</t>
  </si>
  <si>
    <t>coupon</t>
  </si>
  <si>
    <t>Golden Agri</t>
  </si>
  <si>
    <t>Price</t>
  </si>
  <si>
    <t>Issue date:</t>
  </si>
  <si>
    <t>Last coupon date:</t>
  </si>
  <si>
    <t>Current date:</t>
  </si>
  <si>
    <t>Coupon:</t>
  </si>
  <si>
    <t>Current clean price:</t>
  </si>
  <si>
    <t>Accrued interest:</t>
  </si>
  <si>
    <t>bid/offer:</t>
  </si>
  <si>
    <t>Current full price:</t>
  </si>
  <si>
    <t>My formulas</t>
  </si>
  <si>
    <t>Excel formulas</t>
  </si>
  <si>
    <t>Boerse calculator</t>
  </si>
  <si>
    <t>YTM</t>
  </si>
  <si>
    <t>Duration, years</t>
  </si>
  <si>
    <t>Yields</t>
  </si>
  <si>
    <t>Gvmt (B- rating)</t>
  </si>
  <si>
    <t>Kernel (B+/B rating)</t>
  </si>
  <si>
    <t>Kernel after transaction costs</t>
  </si>
  <si>
    <t>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</si>
</sst>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%"/>
  </numFmts>
  <fonts count="8" x14ac:knownFonts="1">
    <font>
      <sz val="10"/>
      <name val="Arial Cyr"/>
    </font>
    <font>
      <sz val="8"/>
      <name val="Arial Cyr"/>
    </font>
    <font>
      <sz val="10"/>
      <name val="Arial Cyr"/>
    </font>
    <font>
      <b/>
      <sz val="10"/>
      <name val="Arial Cyr"/>
    </font>
    <font>
      <u/>
      <sz val="10"/>
      <color theme="10"/>
      <name val="Arial Cyr"/>
    </font>
    <font>
      <sz val="10"/>
      <color rgb="FF7030A0"/>
      <name val="Arial Cyr"/>
    </font>
    <font>
      <b/>
      <sz val="10"/>
      <color rgb="FF7030A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0" fillId="0" borderId="8" xfId="0" applyNumberFormat="1" applyBorder="1"/>
    <xf numFmtId="0" fontId="0" fillId="0" borderId="8" xfId="0" applyBorder="1"/>
    <xf numFmtId="0" fontId="0" fillId="0" borderId="0" xfId="0" applyNumberFormat="1"/>
    <xf numFmtId="0" fontId="4" fillId="0" borderId="0" xfId="2"/>
    <xf numFmtId="10" fontId="5" fillId="0" borderId="0" xfId="1" applyNumberFormat="1" applyFont="1"/>
    <xf numFmtId="164" fontId="5" fillId="0" borderId="0" xfId="0" applyNumberFormat="1" applyFont="1"/>
    <xf numFmtId="0" fontId="6" fillId="0" borderId="0" xfId="0" applyFont="1"/>
    <xf numFmtId="0" fontId="3" fillId="0" borderId="0" xfId="0" applyFont="1"/>
    <xf numFmtId="10" fontId="3" fillId="0" borderId="0" xfId="1" applyNumberFormat="1" applyFont="1"/>
    <xf numFmtId="0" fontId="7" fillId="0" borderId="0" xfId="3"/>
    <xf numFmtId="14" fontId="7" fillId="0" borderId="0" xfId="3" applyNumberFormat="1"/>
    <xf numFmtId="2" fontId="7" fillId="0" borderId="0" xfId="3" applyNumberFormat="1"/>
    <xf numFmtId="165" fontId="7" fillId="0" borderId="0" xfId="3" applyNumberFormat="1"/>
    <xf numFmtId="166" fontId="7" fillId="0" borderId="0" xfId="3" applyNumberFormat="1"/>
    <xf numFmtId="167" fontId="7" fillId="0" borderId="0" xfId="3" applyNumberFormat="1"/>
    <xf numFmtId="167" fontId="7" fillId="0" borderId="0" xfId="4" applyNumberFormat="1"/>
    <xf numFmtId="10" fontId="7" fillId="0" borderId="0" xfId="3" applyNumberFormat="1"/>
    <xf numFmtId="164" fontId="7" fillId="0" borderId="0" xfId="3" applyNumberFormat="1"/>
    <xf numFmtId="10" fontId="7" fillId="0" borderId="0" xfId="4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3" applyAlignment="1">
      <alignment horizontal="center"/>
    </xf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 structure of comparable bonds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all!$C$2</c:f>
              <c:strCache>
                <c:ptCount val="1"/>
                <c:pt idx="0">
                  <c:v>Ukrainian Government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all!$A$2:$A$10</c:f>
              <c:numCache>
                <c:formatCode>General</c:formatCode>
                <c:ptCount val="9"/>
                <c:pt idx="0">
                  <c:v>2.23</c:v>
                </c:pt>
                <c:pt idx="1">
                  <c:v>3.03</c:v>
                </c:pt>
                <c:pt idx="2">
                  <c:v>3.76</c:v>
                </c:pt>
                <c:pt idx="3">
                  <c:v>4.43</c:v>
                </c:pt>
                <c:pt idx="4">
                  <c:v>5.05</c:v>
                </c:pt>
                <c:pt idx="5">
                  <c:v>5.62</c:v>
                </c:pt>
                <c:pt idx="6">
                  <c:v>6.14</c:v>
                </c:pt>
                <c:pt idx="7">
                  <c:v>6.61</c:v>
                </c:pt>
                <c:pt idx="8">
                  <c:v>7.06</c:v>
                </c:pt>
              </c:numCache>
            </c:numRef>
          </c:xVal>
          <c:yVal>
            <c:numRef>
              <c:f>all!$B$2:$B$10</c:f>
              <c:numCache>
                <c:formatCode>0.00%</c:formatCode>
                <c:ptCount val="9"/>
                <c:pt idx="0">
                  <c:v>7.1300000000000002E-2</c:v>
                </c:pt>
                <c:pt idx="1">
                  <c:v>7.9699999999999993E-2</c:v>
                </c:pt>
                <c:pt idx="2">
                  <c:v>8.3500000000000005E-2</c:v>
                </c:pt>
                <c:pt idx="3">
                  <c:v>8.7900000000000006E-2</c:v>
                </c:pt>
                <c:pt idx="4">
                  <c:v>9.0300000000000005E-2</c:v>
                </c:pt>
                <c:pt idx="5">
                  <c:v>9.1499999999999998E-2</c:v>
                </c:pt>
                <c:pt idx="6">
                  <c:v>9.2100000000000001E-2</c:v>
                </c:pt>
                <c:pt idx="7">
                  <c:v>9.2299999999999993E-2</c:v>
                </c:pt>
                <c:pt idx="8">
                  <c:v>9.1600000000000001E-2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819208"/>
        <c:axId val="359819600"/>
      </c:scatterChart>
      <c:scatterChart>
        <c:scatterStyle val="lineMarker"/>
        <c:varyColors val="0"/>
        <c:ser>
          <c:idx val="1"/>
          <c:order val="1"/>
          <c:tx>
            <c:strRef>
              <c:f>all!$C$11</c:f>
              <c:strCache>
                <c:ptCount val="1"/>
                <c:pt idx="0">
                  <c:v>Kernel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Kernel (USD)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all!$A$11</c:f>
              <c:numCache>
                <c:formatCode>General</c:formatCode>
                <c:ptCount val="1"/>
                <c:pt idx="0">
                  <c:v>4.0086501052258932</c:v>
                </c:pt>
              </c:numCache>
            </c:numRef>
          </c:xVal>
          <c:yVal>
            <c:numRef>
              <c:f>all!$B$11</c:f>
              <c:numCache>
                <c:formatCode>0.00%</c:formatCode>
                <c:ptCount val="1"/>
                <c:pt idx="0">
                  <c:v>8.1786844134330752E-2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all!$D$12</c:f>
              <c:strCache>
                <c:ptCount val="1"/>
                <c:pt idx="0">
                  <c:v>SEK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8A68B09E-5247-4430-AB5A-4110546B4E94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{8A68B09E-5247-4430-AB5A-4110546B4E94}</c15:txfldGUID>
                      <c15:f>all!$C$12</c15:f>
                      <c15:dlblFieldTableCache>
                        <c:ptCount val="1"/>
                        <c:pt idx="0">
                          <c:v>Black Earth Farming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all!$A$12</c:f>
              <c:numCache>
                <c:formatCode>General</c:formatCode>
                <c:ptCount val="1"/>
                <c:pt idx="0">
                  <c:v>0.55207252828827125</c:v>
                </c:pt>
              </c:numCache>
            </c:numRef>
          </c:xVal>
          <c:yVal>
            <c:numRef>
              <c:f>all!$B$12</c:f>
              <c:numCache>
                <c:formatCode>0.00%</c:formatCode>
                <c:ptCount val="1"/>
                <c:pt idx="0">
                  <c:v>6.0638555884361262E-2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all!$D$14</c:f>
              <c:strCache>
                <c:ptCount val="1"/>
                <c:pt idx="0">
                  <c:v>USD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FFC000"/>
                        </a:solidFill>
                      </a:rPr>
                      <a:t>IOI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3333333333333835E-3"/>
                  <c:y val="-2.7777777777777776E-2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FFC000"/>
                        </a:solidFill>
                      </a:rPr>
                      <a:t>MHP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(all!$A$14,all!$A$17)</c:f>
              <c:numCache>
                <c:formatCode>General</c:formatCode>
                <c:ptCount val="2"/>
                <c:pt idx="0">
                  <c:v>4.6915838586997411</c:v>
                </c:pt>
                <c:pt idx="1">
                  <c:v>2.6349</c:v>
                </c:pt>
              </c:numCache>
            </c:numRef>
          </c:xVal>
          <c:yVal>
            <c:numRef>
              <c:f>(all!$B$14,all!$B$17)</c:f>
              <c:numCache>
                <c:formatCode>0.00%</c:formatCode>
                <c:ptCount val="2"/>
                <c:pt idx="0">
                  <c:v>3.7239047884941104E-2</c:v>
                </c:pt>
                <c:pt idx="1">
                  <c:v>8.3199999999999996E-2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all!$D$15</c:f>
              <c:strCache>
                <c:ptCount val="1"/>
                <c:pt idx="0">
                  <c:v>SGD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AF6AC5D-4A34-49A7-9264-F841DE9DC704}" type="CELLREF">
                      <a:rPr lang="en-US" b="1">
                        <a:solidFill>
                          <a:schemeClr val="accent5"/>
                        </a:solidFill>
                      </a:rPr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{AAF6AC5D-4A34-49A7-9264-F841DE9DC704}</c15:txfldGUID>
                      <c15:f>all!$C$15</c15:f>
                      <c15:dlblFieldTableCache>
                        <c:ptCount val="1"/>
                        <c:pt idx="0">
                          <c:v>Golden Agri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accent5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51D285D-689E-4BC7-A26A-8CE1B767145B}" type="CELLREF">
                      <a:rPr lang="en-US"/>
                      <a:pPr>
                        <a:defRPr b="1">
                          <a:solidFill>
                            <a:schemeClr val="accent5"/>
                          </a:solidFill>
                        </a:defRPr>
                      </a:pPr>
                      <a:t>[CELLREF]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{751D285D-689E-4BC7-A26A-8CE1B767145B}</c15:txfldGUID>
                      <c15:f>all!$C$16</c15:f>
                      <c15:dlblFieldTableCache>
                        <c:ptCount val="1"/>
                        <c:pt idx="0">
                          <c:v>Golden Agri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all!$A$15:$A$16</c:f>
              <c:numCache>
                <c:formatCode>General</c:formatCode>
                <c:ptCount val="2"/>
                <c:pt idx="0">
                  <c:v>7.4585635359115998E-2</c:v>
                </c:pt>
                <c:pt idx="1">
                  <c:v>1.0265662569139322</c:v>
                </c:pt>
              </c:numCache>
            </c:numRef>
          </c:xVal>
          <c:yVal>
            <c:numRef>
              <c:f>all!$B$15:$B$16</c:f>
              <c:numCache>
                <c:formatCode>0.00%</c:formatCode>
                <c:ptCount val="2"/>
                <c:pt idx="0">
                  <c:v>3.5281476378440854E-2</c:v>
                </c:pt>
                <c:pt idx="1">
                  <c:v>4.1353121399879469E-2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819208"/>
        <c:axId val="359819600"/>
      </c:scatterChart>
      <c:valAx>
        <c:axId val="35981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Duration,</a:t>
                </a:r>
                <a:r>
                  <a:rPr lang="en-US" baseline="0"/>
                  <a:t> years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19600"/>
        <c:crosses val="autoZero"/>
        <c:crossBetween val="midCat"/>
      </c:valAx>
      <c:valAx>
        <c:axId val="3598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19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11</xdr:row>
      <xdr:rowOff>114300</xdr:rowOff>
    </xdr:from>
    <xdr:to>
      <xdr:col>14</xdr:col>
      <xdr:colOff>556260</xdr:colOff>
      <xdr:row>28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reasury.gov/resource-center/data-chart-center/interest-rates/Pages/TextView.aspx?data=yiel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bonds.de/emissions/issue/73303" TargetMode="External"/><Relationship Id="rId2" Type="http://schemas.openxmlformats.org/officeDocument/2006/relationships/hyperlink" Target="http://cbonds.de/emissions/issue/160727" TargetMode="External"/><Relationship Id="rId1" Type="http://schemas.openxmlformats.org/officeDocument/2006/relationships/hyperlink" Target="http://cbonds.de/emissions/issue/15412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ecure.fundsupermart.com/main/bond/bond-info/factsheet.svdo?issueCode=SG6WG7000009" TargetMode="External"/><Relationship Id="rId1" Type="http://schemas.openxmlformats.org/officeDocument/2006/relationships/hyperlink" Target="https://secure.fundsupermart.com/main/bond/bond-info/factsheet.svdo?issueCode=SG6QA300000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bonds.com/emissions/issue/290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fundsupermart.com/main/bond/bond-info/factsheet.svdo?issueCode=SG6T479796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bonds.com/emissions/issue/172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workbookViewId="0">
      <selection activeCell="L12" sqref="L12"/>
    </sheetView>
  </sheetViews>
  <sheetFormatPr defaultRowHeight="13.2" x14ac:dyDescent="0.25"/>
  <cols>
    <col min="9" max="9" width="17.5546875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42766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42823</v>
      </c>
    </row>
    <row r="3" spans="1:12" x14ac:dyDescent="0.25">
      <c r="A3" s="12">
        <v>0</v>
      </c>
      <c r="B3" s="16">
        <f>$J$2</f>
        <v>42823</v>
      </c>
      <c r="C3" s="4">
        <f>-(J5+J4)/2-J7</f>
        <v>-104.22776243093922</v>
      </c>
      <c r="D3" s="5">
        <f>C3/(1+$J$8)^$A3</f>
        <v>-104.22776243093922</v>
      </c>
      <c r="E3" s="17">
        <f>-$J$5-$J$7</f>
        <v>-104.57776243093923</v>
      </c>
      <c r="F3" s="5">
        <f>E3/(1+$J$10)^$A3</f>
        <v>-104.57776243093923</v>
      </c>
      <c r="I3" t="s">
        <v>7</v>
      </c>
      <c r="J3" s="2">
        <v>8.7499999999999994E-2</v>
      </c>
    </row>
    <row r="4" spans="1:12" x14ac:dyDescent="0.25">
      <c r="A4" s="13">
        <f t="shared" ref="A4:A13" si="0">YEARFRAC($B$3,B4,1)</f>
        <v>0.33972602739726027</v>
      </c>
      <c r="B4" s="16">
        <v>42947</v>
      </c>
      <c r="C4" s="4">
        <f>$J$3*100/2</f>
        <v>4.375</v>
      </c>
      <c r="D4" s="5">
        <f t="shared" ref="D4:D13" si="1">C4/(1+$J$8)^$A4</f>
        <v>4.2597021660990428</v>
      </c>
      <c r="E4" s="17">
        <f>$J$3*100/2</f>
        <v>4.375</v>
      </c>
      <c r="F4" s="5">
        <f t="shared" ref="F4:F13" si="2">E4/(1+$J$10)^$A4</f>
        <v>4.2609106206341778</v>
      </c>
      <c r="I4" t="s">
        <v>8</v>
      </c>
      <c r="J4">
        <v>102.5</v>
      </c>
    </row>
    <row r="5" spans="1:12" x14ac:dyDescent="0.25">
      <c r="A5" s="13">
        <f t="shared" si="0"/>
        <v>0.84383561643835614</v>
      </c>
      <c r="B5" s="16">
        <v>43131</v>
      </c>
      <c r="C5" s="4">
        <f t="shared" ref="C5:E12" si="3">$J$3*100/2</f>
        <v>4.375</v>
      </c>
      <c r="D5" s="5">
        <f t="shared" si="1"/>
        <v>4.0941908053285152</v>
      </c>
      <c r="E5" s="17">
        <f t="shared" si="3"/>
        <v>4.375</v>
      </c>
      <c r="F5" s="5">
        <f t="shared" si="2"/>
        <v>4.0970764283711389</v>
      </c>
      <c r="I5" t="s">
        <v>9</v>
      </c>
      <c r="J5">
        <v>103.2</v>
      </c>
    </row>
    <row r="6" spans="1:12" x14ac:dyDescent="0.25">
      <c r="A6" s="13">
        <f t="shared" si="0"/>
        <v>1.3397260273972602</v>
      </c>
      <c r="B6" s="16">
        <f>EOMONTH(B5,6)</f>
        <v>43312</v>
      </c>
      <c r="C6" s="4">
        <f t="shared" si="3"/>
        <v>4.375</v>
      </c>
      <c r="D6" s="5">
        <f t="shared" si="1"/>
        <v>3.9376538818123161</v>
      </c>
      <c r="E6" s="17">
        <f t="shared" si="3"/>
        <v>4.375</v>
      </c>
      <c r="F6" s="5">
        <f t="shared" si="2"/>
        <v>3.9420610246112879</v>
      </c>
      <c r="K6" t="s">
        <v>17</v>
      </c>
      <c r="L6" t="s">
        <v>18</v>
      </c>
    </row>
    <row r="7" spans="1:12" x14ac:dyDescent="0.25">
      <c r="A7" s="13">
        <f t="shared" si="0"/>
        <v>1.8438356164383563</v>
      </c>
      <c r="B7" s="16">
        <f t="shared" ref="B7:B13" si="4">EOMONTH(B6,6)</f>
        <v>43496</v>
      </c>
      <c r="C7" s="4">
        <f t="shared" si="3"/>
        <v>4.375</v>
      </c>
      <c r="D7" s="5">
        <f t="shared" si="1"/>
        <v>3.7846557549928197</v>
      </c>
      <c r="E7" s="17">
        <f t="shared" si="3"/>
        <v>4.375</v>
      </c>
      <c r="F7" s="5">
        <f t="shared" si="2"/>
        <v>3.7904867623652811</v>
      </c>
      <c r="I7" t="s">
        <v>11</v>
      </c>
      <c r="J7">
        <f>ACCRINT($J$1,$B$4,$J$2,$J$3,100,2,1)</f>
        <v>1.3777624309392265</v>
      </c>
      <c r="K7">
        <f>J3/2*(J2-J1)/(B4-J1)*100</f>
        <v>1.3777624309392265</v>
      </c>
      <c r="L7">
        <v>1.3664400000000001</v>
      </c>
    </row>
    <row r="8" spans="1:12" x14ac:dyDescent="0.25">
      <c r="A8" s="13">
        <f t="shared" si="0"/>
        <v>2.3397260273972602</v>
      </c>
      <c r="B8" s="16">
        <f t="shared" si="4"/>
        <v>43677</v>
      </c>
      <c r="C8" s="4">
        <f t="shared" si="3"/>
        <v>4.375</v>
      </c>
      <c r="D8" s="5">
        <f t="shared" si="1"/>
        <v>3.6399535667891323</v>
      </c>
      <c r="E8" s="17">
        <f t="shared" si="3"/>
        <v>4.375</v>
      </c>
      <c r="F8" s="5">
        <f t="shared" si="2"/>
        <v>3.6470713669761285</v>
      </c>
      <c r="I8" t="s">
        <v>12</v>
      </c>
      <c r="J8" s="3">
        <f>XIRR($C$3:$C$13,$B$3:$B$13)</f>
        <v>8.1786844134330752E-2</v>
      </c>
      <c r="L8" s="2">
        <v>8.1870100000000001E-2</v>
      </c>
    </row>
    <row r="9" spans="1:12" x14ac:dyDescent="0.25">
      <c r="A9" s="13">
        <f t="shared" si="0"/>
        <v>2.8418891170431211</v>
      </c>
      <c r="B9" s="16">
        <f t="shared" si="4"/>
        <v>43861</v>
      </c>
      <c r="C9" s="4">
        <f t="shared" si="3"/>
        <v>4.375</v>
      </c>
      <c r="D9" s="5">
        <f t="shared" si="1"/>
        <v>3.4990580232953015</v>
      </c>
      <c r="E9" s="17">
        <f t="shared" si="3"/>
        <v>4.375</v>
      </c>
      <c r="F9" s="5">
        <f t="shared" si="2"/>
        <v>3.5073705737455447</v>
      </c>
      <c r="I9" t="s">
        <v>13</v>
      </c>
      <c r="J9">
        <f>DURATION($J$2,$B$13,$J$3,J8,2,1)</f>
        <v>4.0086501052258932</v>
      </c>
      <c r="K9">
        <f>SUMPRODUCT($D$3:$D$13,$A$3:$A$13)/100</f>
        <v>4.1827826517932829</v>
      </c>
      <c r="L9">
        <v>4.0129999999999999</v>
      </c>
    </row>
    <row r="10" spans="1:12" x14ac:dyDescent="0.25">
      <c r="A10" s="13">
        <f t="shared" si="0"/>
        <v>3.3401779603011637</v>
      </c>
      <c r="B10" s="16">
        <f t="shared" si="4"/>
        <v>44043</v>
      </c>
      <c r="C10" s="4">
        <f t="shared" si="3"/>
        <v>4.375</v>
      </c>
      <c r="D10" s="5">
        <f t="shared" si="1"/>
        <v>3.3646408877755127</v>
      </c>
      <c r="E10" s="17">
        <f t="shared" si="3"/>
        <v>4.375</v>
      </c>
      <c r="F10" s="5">
        <f t="shared" si="2"/>
        <v>3.3740375740522892</v>
      </c>
      <c r="I10" t="s">
        <v>14</v>
      </c>
      <c r="J10" s="3">
        <f>XIRR($E$3:$E$13,$B$3:$B$13)</f>
        <v>8.0883982777595537E-2</v>
      </c>
      <c r="L10" s="2">
        <v>8.0966800000000005E-2</v>
      </c>
    </row>
    <row r="11" spans="1:12" x14ac:dyDescent="0.25">
      <c r="A11" s="13">
        <f t="shared" si="0"/>
        <v>3.8444687842278205</v>
      </c>
      <c r="B11" s="16">
        <f t="shared" si="4"/>
        <v>44227</v>
      </c>
      <c r="C11" s="4">
        <f t="shared" si="3"/>
        <v>4.375</v>
      </c>
      <c r="D11" s="5">
        <f t="shared" si="1"/>
        <v>3.2338611908245105</v>
      </c>
      <c r="E11" s="17">
        <f t="shared" si="3"/>
        <v>4.375</v>
      </c>
      <c r="F11" s="5">
        <f t="shared" si="2"/>
        <v>3.2442583715689683</v>
      </c>
      <c r="I11" t="s">
        <v>15</v>
      </c>
      <c r="J11">
        <f>DURATION($J$2,$B$13,$J$3,J10,2,1)</f>
        <v>4.0104052381816668</v>
      </c>
      <c r="K11">
        <f>SUMPRODUCT($F$3:$F$13,$A$3:$A$13)/100</f>
        <v>4.1985868573117884</v>
      </c>
      <c r="L11">
        <v>4.0149999999999997</v>
      </c>
    </row>
    <row r="12" spans="1:12" x14ac:dyDescent="0.25">
      <c r="A12" s="13">
        <f t="shared" si="0"/>
        <v>4.3400876232201533</v>
      </c>
      <c r="B12" s="16">
        <f t="shared" si="4"/>
        <v>44408</v>
      </c>
      <c r="C12" s="4">
        <f t="shared" si="3"/>
        <v>4.375</v>
      </c>
      <c r="D12" s="5">
        <f t="shared" si="1"/>
        <v>3.1102844345190079</v>
      </c>
      <c r="E12" s="17">
        <f t="shared" si="3"/>
        <v>4.375</v>
      </c>
      <c r="F12" s="5">
        <f t="shared" si="2"/>
        <v>3.1215757981933128</v>
      </c>
    </row>
    <row r="13" spans="1:12" x14ac:dyDescent="0.25">
      <c r="A13" s="14">
        <f t="shared" si="0"/>
        <v>4.8443633044272021</v>
      </c>
      <c r="B13" s="18">
        <f t="shared" si="4"/>
        <v>44592</v>
      </c>
      <c r="C13" s="6">
        <f>$J$3*100/2+100</f>
        <v>104.375</v>
      </c>
      <c r="D13" s="7">
        <f t="shared" si="1"/>
        <v>71.318419686875288</v>
      </c>
      <c r="E13" s="19">
        <f>$J$3*100/2+100</f>
        <v>104.375</v>
      </c>
      <c r="F13" s="7">
        <f t="shared" si="2"/>
        <v>71.607472829248323</v>
      </c>
    </row>
  </sheetData>
  <mergeCells count="2">
    <mergeCell ref="C1:D1"/>
    <mergeCell ref="E1:F1"/>
  </mergeCells>
  <phoneticPr fontId="1" type="noConversion"/>
  <pageMargins left="0.75" right="0.75" top="1" bottom="1" header="0.5" footer="0.5"/>
  <headerFooter alignWithMargins="0"/>
  <ignoredErrors>
    <ignoredError sqref="D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N11" sqref="N11"/>
    </sheetView>
  </sheetViews>
  <sheetFormatPr defaultRowHeight="13.2" x14ac:dyDescent="0.25"/>
  <sheetData>
    <row r="1" spans="1:5" x14ac:dyDescent="0.25">
      <c r="A1" t="s">
        <v>3</v>
      </c>
      <c r="B1" t="s">
        <v>57</v>
      </c>
      <c r="C1" t="s">
        <v>58</v>
      </c>
      <c r="D1" t="s">
        <v>59</v>
      </c>
      <c r="E1" s="21" t="s">
        <v>43</v>
      </c>
    </row>
    <row r="2" spans="1:5" x14ac:dyDescent="0.25">
      <c r="A2">
        <v>2.23</v>
      </c>
      <c r="B2" s="3">
        <v>7.1300000000000002E-2</v>
      </c>
      <c r="C2" t="s">
        <v>5</v>
      </c>
      <c r="D2" s="3" t="s">
        <v>60</v>
      </c>
      <c r="E2">
        <f>VLOOKUP($A2,US!$A$24:$F$34,2,TRUE)+VLOOKUP($A2,US!$A$24:$F$34,6,TRUE)*($A2-VLOOKUP($A2,US!$A$24:$F$34,1,TRUE))/VLOOKUP($A2,US!$A$24:$F$34,5,TRUE)</f>
        <v>1.3198E-2</v>
      </c>
    </row>
    <row r="3" spans="1:5" x14ac:dyDescent="0.25">
      <c r="A3">
        <v>3.03</v>
      </c>
      <c r="B3" s="3">
        <v>7.9699999999999993E-2</v>
      </c>
      <c r="C3" t="s">
        <v>5</v>
      </c>
      <c r="D3" s="3" t="s">
        <v>60</v>
      </c>
      <c r="E3">
        <f>VLOOKUP($A3,US!$A$24:$F$34,2,TRUE)+VLOOKUP($A3,US!$A$24:$F$34,6,TRUE)*($A3-VLOOKUP($A3,US!$A$24:$F$34,1,TRUE))/VLOOKUP($A3,US!$A$24:$F$34,5,TRUE)</f>
        <v>1.5261499999999999E-2</v>
      </c>
    </row>
    <row r="4" spans="1:5" x14ac:dyDescent="0.25">
      <c r="A4">
        <v>3.76</v>
      </c>
      <c r="B4" s="3">
        <v>8.3500000000000005E-2</v>
      </c>
      <c r="C4" t="s">
        <v>5</v>
      </c>
      <c r="D4" s="3" t="s">
        <v>60</v>
      </c>
      <c r="E4">
        <f>VLOOKUP($A4,US!$A$24:$F$34,2,TRUE)+VLOOKUP($A4,US!$A$24:$F$34,6,TRUE)*($A4-VLOOKUP($A4,US!$A$24:$F$34,1,TRUE))/VLOOKUP($A4,US!$A$24:$F$34,5,TRUE)</f>
        <v>1.6757999999999999E-2</v>
      </c>
    </row>
    <row r="5" spans="1:5" x14ac:dyDescent="0.25">
      <c r="A5">
        <v>4.43</v>
      </c>
      <c r="B5" s="3">
        <v>8.7900000000000006E-2</v>
      </c>
      <c r="C5" t="s">
        <v>5</v>
      </c>
      <c r="D5" s="3" t="s">
        <v>60</v>
      </c>
      <c r="E5">
        <f>VLOOKUP($A5,US!$A$24:$F$34,2,TRUE)+VLOOKUP($A5,US!$A$24:$F$34,6,TRUE)*($A5-VLOOKUP($A5,US!$A$24:$F$34,1,TRUE))/VLOOKUP($A5,US!$A$24:$F$34,5,TRUE)</f>
        <v>1.8131499999999998E-2</v>
      </c>
    </row>
    <row r="6" spans="1:5" x14ac:dyDescent="0.25">
      <c r="A6">
        <v>5.05</v>
      </c>
      <c r="B6" s="3">
        <v>9.0300000000000005E-2</v>
      </c>
      <c r="C6" t="s">
        <v>5</v>
      </c>
      <c r="D6" s="3" t="s">
        <v>60</v>
      </c>
      <c r="E6">
        <f>VLOOKUP($A6,US!$A$24:$F$34,2,TRUE)+VLOOKUP($A6,US!$A$24:$F$34,6,TRUE)*($A6-VLOOKUP($A6,US!$A$24:$F$34,1,TRUE))/VLOOKUP($A6,US!$A$24:$F$34,5,TRUE)</f>
        <v>1.9372499999999997E-2</v>
      </c>
    </row>
    <row r="7" spans="1:5" x14ac:dyDescent="0.25">
      <c r="A7">
        <v>5.62</v>
      </c>
      <c r="B7" s="3">
        <v>9.1499999999999998E-2</v>
      </c>
      <c r="C7" t="s">
        <v>5</v>
      </c>
      <c r="D7" s="3" t="s">
        <v>60</v>
      </c>
      <c r="E7">
        <f>VLOOKUP($A7,US!$A$24:$F$34,2,TRUE)+VLOOKUP($A7,US!$A$24:$F$34,6,TRUE)*($A7-VLOOKUP($A7,US!$A$24:$F$34,1,TRUE))/VLOOKUP($A7,US!$A$24:$F$34,5,TRUE)</f>
        <v>2.0198999999999998E-2</v>
      </c>
    </row>
    <row r="8" spans="1:5" x14ac:dyDescent="0.25">
      <c r="A8">
        <v>6.14</v>
      </c>
      <c r="B8" s="3">
        <v>9.2100000000000001E-2</v>
      </c>
      <c r="C8" t="s">
        <v>5</v>
      </c>
      <c r="D8" s="3" t="s">
        <v>60</v>
      </c>
      <c r="E8">
        <f>VLOOKUP($A8,US!$A$24:$F$34,2,TRUE)+VLOOKUP($A8,US!$A$24:$F$34,6,TRUE)*($A8-VLOOKUP($A8,US!$A$24:$F$34,1,TRUE))/VLOOKUP($A8,US!$A$24:$F$34,5,TRUE)</f>
        <v>2.0952999999999999E-2</v>
      </c>
    </row>
    <row r="9" spans="1:5" x14ac:dyDescent="0.25">
      <c r="A9">
        <v>6.61</v>
      </c>
      <c r="B9" s="3">
        <v>9.2299999999999993E-2</v>
      </c>
      <c r="C9" t="s">
        <v>5</v>
      </c>
      <c r="D9" s="3" t="s">
        <v>60</v>
      </c>
      <c r="E9">
        <f>VLOOKUP($A9,US!$A$24:$F$34,2,TRUE)+VLOOKUP($A9,US!$A$24:$F$34,6,TRUE)*($A9-VLOOKUP($A9,US!$A$24:$F$34,1,TRUE))/VLOOKUP($A9,US!$A$24:$F$34,5,TRUE)</f>
        <v>2.1634500000000001E-2</v>
      </c>
    </row>
    <row r="10" spans="1:5" x14ac:dyDescent="0.25">
      <c r="A10">
        <v>7.06</v>
      </c>
      <c r="B10" s="3">
        <v>9.1600000000000001E-2</v>
      </c>
      <c r="C10" t="s">
        <v>5</v>
      </c>
      <c r="D10" s="3" t="s">
        <v>60</v>
      </c>
      <c r="E10">
        <f>VLOOKUP($A10,US!$A$24:$F$34,2,TRUE)+VLOOKUP($A10,US!$A$24:$F$34,6,TRUE)*($A10-VLOOKUP($A10,US!$A$24:$F$34,1,TRUE))/VLOOKUP($A10,US!$A$24:$F$34,5,TRUE)</f>
        <v>2.2236000000000002E-2</v>
      </c>
    </row>
    <row r="11" spans="1:5" x14ac:dyDescent="0.25">
      <c r="A11" s="25">
        <f>Kernel!$J$9</f>
        <v>4.0086501052258932</v>
      </c>
      <c r="B11" s="26">
        <f>Kernel!$J$8</f>
        <v>8.1786844134330752E-2</v>
      </c>
      <c r="C11" s="25" t="s">
        <v>4</v>
      </c>
      <c r="D11" s="26" t="s">
        <v>60</v>
      </c>
      <c r="E11" s="25">
        <f>VLOOKUP($A11,US!$A$24:$F$34,2,TRUE)+VLOOKUP($A11,US!$A$24:$F$34,6,TRUE)*($A11-VLOOKUP($A11,US!$A$24:$F$34,1,TRUE))/VLOOKUP($A11,US!$A$24:$F$34,5,TRUE)</f>
        <v>1.726773271571308E-2</v>
      </c>
    </row>
    <row r="12" spans="1:5" x14ac:dyDescent="0.25">
      <c r="A12">
        <f>'Black Earth'!$J$9</f>
        <v>0.55207252828827125</v>
      </c>
      <c r="B12" s="3">
        <f>'Black Earth'!$J$8</f>
        <v>6.0638555884361262E-2</v>
      </c>
      <c r="C12" s="3" t="s">
        <v>62</v>
      </c>
      <c r="D12" s="3" t="s">
        <v>63</v>
      </c>
    </row>
    <row r="13" spans="1:5" x14ac:dyDescent="0.25">
      <c r="A13">
        <f>Genting!$J$9</f>
        <v>24.399393369454135</v>
      </c>
      <c r="B13" s="3">
        <f>Genting!$J$8</f>
        <v>4.2736150643350124E-2</v>
      </c>
      <c r="C13" s="3" t="s">
        <v>64</v>
      </c>
      <c r="D13" s="3" t="s">
        <v>65</v>
      </c>
    </row>
    <row r="14" spans="1:5" x14ac:dyDescent="0.25">
      <c r="A14">
        <f>IOI!$J$9</f>
        <v>4.6915838586997411</v>
      </c>
      <c r="B14" s="3">
        <f>IOI!$J$8</f>
        <v>3.7239047884941104E-2</v>
      </c>
      <c r="C14" s="3" t="s">
        <v>66</v>
      </c>
      <c r="D14" s="3" t="s">
        <v>60</v>
      </c>
      <c r="E14">
        <f>VLOOKUP($A14,US!$A$24:$F$34,2,TRUE)+VLOOKUP($A14,US!$A$24:$F$34,6,TRUE)*($A14-VLOOKUP($A14,US!$A$24:$F$34,1,TRUE))/VLOOKUP($A14,US!$A$24:$F$34,5,TRUE)</f>
        <v>1.8667746910334466E-2</v>
      </c>
    </row>
    <row r="15" spans="1:5" x14ac:dyDescent="0.25">
      <c r="A15">
        <f>'Golden Agri'!$J$24</f>
        <v>7.4585635359115998E-2</v>
      </c>
      <c r="B15" s="2">
        <f>'Golden Agri'!$J$23</f>
        <v>3.5281476378440854E-2</v>
      </c>
      <c r="C15" s="3" t="s">
        <v>69</v>
      </c>
      <c r="D15" s="3" t="s">
        <v>65</v>
      </c>
    </row>
    <row r="16" spans="1:5" x14ac:dyDescent="0.25">
      <c r="A16">
        <f>'Golden Agri'!$J$9</f>
        <v>1.0265662569139322</v>
      </c>
      <c r="B16" s="2">
        <f>'Golden Agri'!$J$8</f>
        <v>4.1353121399879469E-2</v>
      </c>
      <c r="C16" s="3" t="s">
        <v>69</v>
      </c>
      <c r="D16" s="3" t="s">
        <v>65</v>
      </c>
    </row>
    <row r="17" spans="1:4" x14ac:dyDescent="0.25">
      <c r="A17">
        <f>MHP!$A$23</f>
        <v>2.6349</v>
      </c>
      <c r="B17" s="2">
        <f>MHP!$D$23</f>
        <v>8.3199999999999996E-2</v>
      </c>
      <c r="C17" s="3" t="s">
        <v>88</v>
      </c>
      <c r="D17" s="3" t="s">
        <v>60</v>
      </c>
    </row>
  </sheetData>
  <hyperlinks>
    <hyperlink ref="E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28" sqref="D28"/>
    </sheetView>
  </sheetViews>
  <sheetFormatPr defaultRowHeight="13.2" outlineLevelRow="1" x14ac:dyDescent="0.25"/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hidden="1" outlineLevel="1" x14ac:dyDescent="0.25">
      <c r="A2" s="1">
        <v>42738</v>
      </c>
      <c r="B2">
        <v>0.46</v>
      </c>
      <c r="C2">
        <v>0.63</v>
      </c>
      <c r="D2">
        <v>0.79</v>
      </c>
      <c r="E2">
        <v>0.92</v>
      </c>
      <c r="F2">
        <v>1.29</v>
      </c>
      <c r="G2">
        <v>1.57</v>
      </c>
      <c r="H2">
        <v>1.99</v>
      </c>
      <c r="I2">
        <v>2.29</v>
      </c>
      <c r="J2">
        <v>2.46</v>
      </c>
      <c r="K2">
        <v>2.81</v>
      </c>
      <c r="L2">
        <v>3.06</v>
      </c>
    </row>
    <row r="3" spans="1:12" hidden="1" outlineLevel="1" x14ac:dyDescent="0.25">
      <c r="A3" s="1">
        <v>42769</v>
      </c>
      <c r="B3">
        <v>0.52</v>
      </c>
      <c r="C3">
        <v>0.67</v>
      </c>
      <c r="D3">
        <v>0.84</v>
      </c>
      <c r="E3">
        <v>0.98</v>
      </c>
      <c r="F3">
        <v>1.32</v>
      </c>
      <c r="G3">
        <v>1.6</v>
      </c>
      <c r="H3">
        <v>2.0299999999999998</v>
      </c>
      <c r="I3">
        <v>2.3199999999999998</v>
      </c>
      <c r="J3">
        <v>2.4900000000000002</v>
      </c>
      <c r="K3">
        <v>2.84</v>
      </c>
      <c r="L3">
        <v>3.09</v>
      </c>
    </row>
    <row r="4" spans="1:12" hidden="1" outlineLevel="1" x14ac:dyDescent="0.25">
      <c r="A4" s="1">
        <v>42797</v>
      </c>
      <c r="B4">
        <v>0.56000000000000005</v>
      </c>
      <c r="C4">
        <v>0.71</v>
      </c>
      <c r="D4">
        <v>0.84</v>
      </c>
      <c r="E4">
        <v>0.98</v>
      </c>
      <c r="F4">
        <v>1.32</v>
      </c>
      <c r="G4">
        <v>1.59</v>
      </c>
      <c r="H4">
        <v>2.02</v>
      </c>
      <c r="I4">
        <v>2.3199999999999998</v>
      </c>
      <c r="J4">
        <v>2.4900000000000002</v>
      </c>
      <c r="K4">
        <v>2.83</v>
      </c>
      <c r="L4">
        <v>3.08</v>
      </c>
    </row>
    <row r="5" spans="1:12" hidden="1" outlineLevel="1" x14ac:dyDescent="0.25">
      <c r="A5" s="1">
        <v>42889</v>
      </c>
      <c r="B5">
        <v>0.56000000000000005</v>
      </c>
      <c r="C5">
        <v>0.74</v>
      </c>
      <c r="D5">
        <v>0.83</v>
      </c>
      <c r="E5">
        <v>0.97</v>
      </c>
      <c r="F5">
        <v>1.31</v>
      </c>
      <c r="G5">
        <v>1.6</v>
      </c>
      <c r="H5">
        <v>2.02</v>
      </c>
      <c r="I5">
        <v>2.3199999999999998</v>
      </c>
      <c r="J5">
        <v>2.4900000000000002</v>
      </c>
      <c r="K5">
        <v>2.84</v>
      </c>
      <c r="L5">
        <v>3.1</v>
      </c>
    </row>
    <row r="6" spans="1:12" hidden="1" outlineLevel="1" x14ac:dyDescent="0.25">
      <c r="A6" s="1">
        <v>42919</v>
      </c>
      <c r="B6">
        <v>0.55000000000000004</v>
      </c>
      <c r="C6">
        <v>0.76</v>
      </c>
      <c r="D6">
        <v>0.87</v>
      </c>
      <c r="E6">
        <v>1.02</v>
      </c>
      <c r="F6">
        <v>1.32</v>
      </c>
      <c r="G6">
        <v>1.62</v>
      </c>
      <c r="H6">
        <v>2.0499999999999998</v>
      </c>
      <c r="I6">
        <v>2.34</v>
      </c>
      <c r="J6">
        <v>2.52</v>
      </c>
      <c r="K6">
        <v>2.85</v>
      </c>
      <c r="L6">
        <v>3.11</v>
      </c>
    </row>
    <row r="7" spans="1:12" hidden="1" outlineLevel="1" x14ac:dyDescent="0.25">
      <c r="A7" s="1">
        <v>42950</v>
      </c>
      <c r="B7">
        <v>0.54</v>
      </c>
      <c r="C7">
        <v>0.73</v>
      </c>
      <c r="D7">
        <v>0.86</v>
      </c>
      <c r="E7">
        <v>1.03</v>
      </c>
      <c r="F7">
        <v>1.36</v>
      </c>
      <c r="G7">
        <v>1.65</v>
      </c>
      <c r="H7">
        <v>2.08</v>
      </c>
      <c r="I7">
        <v>2.38</v>
      </c>
      <c r="J7">
        <v>2.57</v>
      </c>
      <c r="K7">
        <v>2.89</v>
      </c>
      <c r="L7">
        <v>3.15</v>
      </c>
    </row>
    <row r="8" spans="1:12" hidden="1" outlineLevel="1" x14ac:dyDescent="0.25">
      <c r="A8" s="1">
        <v>42981</v>
      </c>
      <c r="B8">
        <v>0.5</v>
      </c>
      <c r="C8">
        <v>0.73</v>
      </c>
      <c r="D8">
        <v>0.88</v>
      </c>
      <c r="E8">
        <v>1.04</v>
      </c>
      <c r="F8">
        <v>1.37</v>
      </c>
      <c r="G8">
        <v>1.67</v>
      </c>
      <c r="H8">
        <v>2.13</v>
      </c>
      <c r="I8">
        <v>2.4300000000000002</v>
      </c>
      <c r="J8">
        <v>2.6</v>
      </c>
      <c r="K8">
        <v>2.94</v>
      </c>
      <c r="L8">
        <v>3.19</v>
      </c>
    </row>
    <row r="9" spans="1:12" hidden="1" outlineLevel="1" x14ac:dyDescent="0.25">
      <c r="A9" s="1">
        <v>43011</v>
      </c>
      <c r="B9">
        <v>0.6</v>
      </c>
      <c r="C9">
        <v>0.75</v>
      </c>
      <c r="D9">
        <v>0.89</v>
      </c>
      <c r="E9">
        <v>1.03</v>
      </c>
      <c r="F9">
        <v>1.36</v>
      </c>
      <c r="G9">
        <v>1.66</v>
      </c>
      <c r="H9">
        <v>2.11</v>
      </c>
      <c r="I9">
        <v>2.4</v>
      </c>
      <c r="J9">
        <v>2.58</v>
      </c>
      <c r="K9">
        <v>2.94</v>
      </c>
      <c r="L9">
        <v>3.16</v>
      </c>
    </row>
    <row r="10" spans="1:12" hidden="1" outlineLevel="1" x14ac:dyDescent="0.25">
      <c r="A10" t="s">
        <v>31</v>
      </c>
      <c r="B10">
        <v>0.69</v>
      </c>
      <c r="C10">
        <v>0.79</v>
      </c>
      <c r="D10">
        <v>0.93</v>
      </c>
      <c r="E10">
        <v>1.06</v>
      </c>
      <c r="F10">
        <v>1.4</v>
      </c>
      <c r="G10">
        <v>1.69</v>
      </c>
      <c r="H10">
        <v>2.14</v>
      </c>
      <c r="I10">
        <v>2.4300000000000002</v>
      </c>
      <c r="J10">
        <v>2.62</v>
      </c>
      <c r="K10">
        <v>2.97</v>
      </c>
      <c r="L10">
        <v>3.2</v>
      </c>
    </row>
    <row r="11" spans="1:12" hidden="1" outlineLevel="1" x14ac:dyDescent="0.25">
      <c r="A11" t="s">
        <v>32</v>
      </c>
      <c r="B11">
        <v>0.77</v>
      </c>
      <c r="C11">
        <v>0.78</v>
      </c>
      <c r="D11">
        <v>0.93</v>
      </c>
      <c r="E11">
        <v>1.06</v>
      </c>
      <c r="F11">
        <v>1.4</v>
      </c>
      <c r="G11">
        <v>1.68</v>
      </c>
      <c r="H11">
        <v>2.13</v>
      </c>
      <c r="I11">
        <v>2.42</v>
      </c>
      <c r="J11">
        <v>2.6</v>
      </c>
      <c r="K11">
        <v>2.94</v>
      </c>
      <c r="L11">
        <v>3.17</v>
      </c>
    </row>
    <row r="12" spans="1:12" hidden="1" outlineLevel="1" x14ac:dyDescent="0.25">
      <c r="A12" t="s">
        <v>33</v>
      </c>
      <c r="B12">
        <v>0.71</v>
      </c>
      <c r="C12">
        <v>0.73</v>
      </c>
      <c r="D12">
        <v>0.89</v>
      </c>
      <c r="E12">
        <v>1.02</v>
      </c>
      <c r="F12">
        <v>1.33</v>
      </c>
      <c r="G12">
        <v>1.59</v>
      </c>
      <c r="H12">
        <v>2.02</v>
      </c>
      <c r="I12">
        <v>2.31</v>
      </c>
      <c r="J12">
        <v>2.5099999999999998</v>
      </c>
      <c r="K12">
        <v>2.87</v>
      </c>
      <c r="L12">
        <v>3.11</v>
      </c>
    </row>
    <row r="13" spans="1:12" hidden="1" outlineLevel="1" x14ac:dyDescent="0.25">
      <c r="A13" t="s">
        <v>34</v>
      </c>
      <c r="B13">
        <v>0.68</v>
      </c>
      <c r="C13">
        <v>0.73</v>
      </c>
      <c r="D13">
        <v>0.89</v>
      </c>
      <c r="E13">
        <v>1.01</v>
      </c>
      <c r="F13">
        <v>1.35</v>
      </c>
      <c r="G13">
        <v>1.63</v>
      </c>
      <c r="H13">
        <v>2.0499999999999998</v>
      </c>
      <c r="I13">
        <v>2.34</v>
      </c>
      <c r="J13">
        <v>2.5299999999999998</v>
      </c>
      <c r="K13">
        <v>2.89</v>
      </c>
      <c r="L13">
        <v>3.14</v>
      </c>
    </row>
    <row r="14" spans="1:12" hidden="1" outlineLevel="1" x14ac:dyDescent="0.25">
      <c r="A14" t="s">
        <v>35</v>
      </c>
      <c r="B14">
        <v>0.71</v>
      </c>
      <c r="C14">
        <v>0.73</v>
      </c>
      <c r="D14">
        <v>0.87</v>
      </c>
      <c r="E14">
        <v>1</v>
      </c>
      <c r="F14">
        <v>1.33</v>
      </c>
      <c r="G14">
        <v>1.6</v>
      </c>
      <c r="H14">
        <v>2.0299999999999998</v>
      </c>
      <c r="I14">
        <v>2.31</v>
      </c>
      <c r="J14">
        <v>2.5</v>
      </c>
      <c r="K14">
        <v>2.86</v>
      </c>
      <c r="L14">
        <v>3.11</v>
      </c>
    </row>
    <row r="15" spans="1:12" hidden="1" outlineLevel="1" x14ac:dyDescent="0.25">
      <c r="A15" t="s">
        <v>36</v>
      </c>
      <c r="B15">
        <v>0.7</v>
      </c>
      <c r="C15">
        <v>0.76</v>
      </c>
      <c r="D15">
        <v>0.89</v>
      </c>
      <c r="E15">
        <v>1.01</v>
      </c>
      <c r="F15">
        <v>1.3</v>
      </c>
      <c r="G15">
        <v>1.57</v>
      </c>
      <c r="H15">
        <v>2</v>
      </c>
      <c r="I15">
        <v>2.2799999999999998</v>
      </c>
      <c r="J15">
        <v>2.4700000000000002</v>
      </c>
      <c r="K15">
        <v>2.83</v>
      </c>
      <c r="L15">
        <v>3.08</v>
      </c>
    </row>
    <row r="16" spans="1:12" hidden="1" outlineLevel="1" x14ac:dyDescent="0.25">
      <c r="A16" t="s">
        <v>37</v>
      </c>
      <c r="B16">
        <v>0.76</v>
      </c>
      <c r="C16">
        <v>0.77</v>
      </c>
      <c r="D16">
        <v>0.91</v>
      </c>
      <c r="E16">
        <v>1</v>
      </c>
      <c r="F16">
        <v>1.27</v>
      </c>
      <c r="G16">
        <v>1.54</v>
      </c>
      <c r="H16">
        <v>1.96</v>
      </c>
      <c r="I16">
        <v>2.2400000000000002</v>
      </c>
      <c r="J16">
        <v>2.4300000000000002</v>
      </c>
      <c r="K16">
        <v>2.79</v>
      </c>
      <c r="L16">
        <v>3.04</v>
      </c>
    </row>
    <row r="17" spans="1:12" hidden="1" outlineLevel="1" x14ac:dyDescent="0.25">
      <c r="A17" t="s">
        <v>38</v>
      </c>
      <c r="B17">
        <v>0.74</v>
      </c>
      <c r="C17">
        <v>0.77</v>
      </c>
      <c r="D17">
        <v>0.9</v>
      </c>
      <c r="E17">
        <v>0.99</v>
      </c>
      <c r="F17">
        <v>1.27</v>
      </c>
      <c r="G17">
        <v>1.52</v>
      </c>
      <c r="H17">
        <v>1.95</v>
      </c>
      <c r="I17">
        <v>2.2200000000000002</v>
      </c>
      <c r="J17">
        <v>2.4</v>
      </c>
      <c r="K17">
        <v>2.76</v>
      </c>
      <c r="L17">
        <v>3.02</v>
      </c>
    </row>
    <row r="18" spans="1:12" hidden="1" outlineLevel="1" x14ac:dyDescent="0.25">
      <c r="A18" t="s">
        <v>39</v>
      </c>
      <c r="B18">
        <v>0.73</v>
      </c>
      <c r="C18">
        <v>0.76</v>
      </c>
      <c r="D18">
        <v>0.9</v>
      </c>
      <c r="E18">
        <v>0.99</v>
      </c>
      <c r="F18">
        <v>1.26</v>
      </c>
      <c r="G18">
        <v>1.52</v>
      </c>
      <c r="H18">
        <v>1.95</v>
      </c>
      <c r="I18">
        <v>2.23</v>
      </c>
      <c r="J18">
        <v>2.41</v>
      </c>
      <c r="K18">
        <v>2.76</v>
      </c>
      <c r="L18">
        <v>3.02</v>
      </c>
    </row>
    <row r="19" spans="1:12" collapsed="1" x14ac:dyDescent="0.25">
      <c r="A19" t="s">
        <v>40</v>
      </c>
      <c r="B19">
        <v>0.73</v>
      </c>
      <c r="C19">
        <v>0.78</v>
      </c>
      <c r="D19">
        <v>0.89</v>
      </c>
      <c r="E19">
        <v>1</v>
      </c>
      <c r="F19">
        <v>1.26</v>
      </c>
      <c r="G19">
        <v>1.52</v>
      </c>
      <c r="H19">
        <v>1.93</v>
      </c>
      <c r="I19">
        <v>2.2200000000000002</v>
      </c>
      <c r="J19">
        <v>2.4</v>
      </c>
      <c r="K19">
        <v>2.74</v>
      </c>
      <c r="L19">
        <v>3</v>
      </c>
    </row>
    <row r="23" spans="1:12" x14ac:dyDescent="0.25">
      <c r="A23" t="s">
        <v>41</v>
      </c>
      <c r="B23" t="s">
        <v>42</v>
      </c>
      <c r="C23" t="s">
        <v>45</v>
      </c>
      <c r="D23" t="s">
        <v>44</v>
      </c>
      <c r="E23" t="s">
        <v>46</v>
      </c>
      <c r="F23" t="s">
        <v>47</v>
      </c>
    </row>
    <row r="24" spans="1:12" x14ac:dyDescent="0.25">
      <c r="A24">
        <f>1/12</f>
        <v>8.3333333333333329E-2</v>
      </c>
      <c r="B24" s="2">
        <f t="array" ref="B24:B34">TRANSPOSE(B19:L19)/100</f>
        <v>7.3000000000000001E-3</v>
      </c>
      <c r="C24" s="20">
        <f>A25</f>
        <v>0.25</v>
      </c>
      <c r="D24" s="2">
        <f>B25</f>
        <v>7.8000000000000005E-3</v>
      </c>
      <c r="E24">
        <f>C24-A24</f>
        <v>0.16666666666666669</v>
      </c>
      <c r="F24" s="3">
        <f>D24-B24</f>
        <v>5.0000000000000044E-4</v>
      </c>
    </row>
    <row r="25" spans="1:12" x14ac:dyDescent="0.25">
      <c r="A25">
        <v>0.25</v>
      </c>
      <c r="B25" s="2">
        <v>7.8000000000000005E-3</v>
      </c>
      <c r="C25" s="20">
        <f t="shared" ref="C25:C33" si="0">A26</f>
        <v>0.5</v>
      </c>
      <c r="D25" s="2">
        <f t="shared" ref="D25:D33" si="1">B26</f>
        <v>8.8999999999999999E-3</v>
      </c>
      <c r="E25">
        <f t="shared" ref="E25:E34" si="2">C25-A25</f>
        <v>0.25</v>
      </c>
      <c r="F25" s="3">
        <f t="shared" ref="F25:F34" si="3">D25-B25</f>
        <v>1.0999999999999994E-3</v>
      </c>
    </row>
    <row r="26" spans="1:12" x14ac:dyDescent="0.25">
      <c r="A26">
        <v>0.5</v>
      </c>
      <c r="B26" s="2">
        <v>8.8999999999999999E-3</v>
      </c>
      <c r="C26" s="20">
        <f t="shared" si="0"/>
        <v>1</v>
      </c>
      <c r="D26" s="2">
        <f t="shared" si="1"/>
        <v>0.01</v>
      </c>
      <c r="E26">
        <f t="shared" si="2"/>
        <v>0.5</v>
      </c>
      <c r="F26" s="3">
        <f t="shared" si="3"/>
        <v>1.1000000000000003E-3</v>
      </c>
    </row>
    <row r="27" spans="1:12" x14ac:dyDescent="0.25">
      <c r="A27">
        <v>1</v>
      </c>
      <c r="B27" s="2">
        <v>0.01</v>
      </c>
      <c r="C27" s="20">
        <f t="shared" si="0"/>
        <v>2</v>
      </c>
      <c r="D27" s="2">
        <f t="shared" si="1"/>
        <v>1.26E-2</v>
      </c>
      <c r="E27">
        <f t="shared" si="2"/>
        <v>1</v>
      </c>
      <c r="F27" s="3">
        <f t="shared" si="3"/>
        <v>2.5999999999999999E-3</v>
      </c>
    </row>
    <row r="28" spans="1:12" x14ac:dyDescent="0.25">
      <c r="A28">
        <v>2</v>
      </c>
      <c r="B28" s="2">
        <v>1.26E-2</v>
      </c>
      <c r="C28" s="20">
        <f t="shared" si="0"/>
        <v>3</v>
      </c>
      <c r="D28" s="2">
        <f t="shared" si="1"/>
        <v>1.52E-2</v>
      </c>
      <c r="E28">
        <f t="shared" si="2"/>
        <v>1</v>
      </c>
      <c r="F28" s="3">
        <f t="shared" si="3"/>
        <v>2.5999999999999999E-3</v>
      </c>
    </row>
    <row r="29" spans="1:12" x14ac:dyDescent="0.25">
      <c r="A29">
        <v>3</v>
      </c>
      <c r="B29" s="2">
        <v>1.52E-2</v>
      </c>
      <c r="C29" s="20">
        <f t="shared" si="0"/>
        <v>5</v>
      </c>
      <c r="D29" s="2">
        <f t="shared" si="1"/>
        <v>1.9299999999999998E-2</v>
      </c>
      <c r="E29">
        <f t="shared" si="2"/>
        <v>2</v>
      </c>
      <c r="F29" s="3">
        <f t="shared" si="3"/>
        <v>4.0999999999999977E-3</v>
      </c>
    </row>
    <row r="30" spans="1:12" x14ac:dyDescent="0.25">
      <c r="A30">
        <v>5</v>
      </c>
      <c r="B30" s="2">
        <v>1.9299999999999998E-2</v>
      </c>
      <c r="C30" s="20">
        <f t="shared" si="0"/>
        <v>7</v>
      </c>
      <c r="D30" s="2">
        <f t="shared" si="1"/>
        <v>2.2200000000000001E-2</v>
      </c>
      <c r="E30">
        <f t="shared" si="2"/>
        <v>2</v>
      </c>
      <c r="F30" s="3">
        <f t="shared" si="3"/>
        <v>2.9000000000000033E-3</v>
      </c>
    </row>
    <row r="31" spans="1:12" x14ac:dyDescent="0.25">
      <c r="A31">
        <v>7</v>
      </c>
      <c r="B31" s="2">
        <v>2.2200000000000001E-2</v>
      </c>
      <c r="C31" s="20">
        <f t="shared" si="0"/>
        <v>10</v>
      </c>
      <c r="D31" s="2">
        <f t="shared" si="1"/>
        <v>2.4E-2</v>
      </c>
      <c r="E31">
        <f t="shared" si="2"/>
        <v>3</v>
      </c>
      <c r="F31" s="3">
        <f t="shared" si="3"/>
        <v>1.7999999999999995E-3</v>
      </c>
    </row>
    <row r="32" spans="1:12" x14ac:dyDescent="0.25">
      <c r="A32">
        <v>10</v>
      </c>
      <c r="B32" s="2">
        <v>2.4E-2</v>
      </c>
      <c r="C32" s="20">
        <f t="shared" si="0"/>
        <v>20</v>
      </c>
      <c r="D32" s="2">
        <f t="shared" si="1"/>
        <v>2.7400000000000001E-2</v>
      </c>
      <c r="E32">
        <f t="shared" si="2"/>
        <v>10</v>
      </c>
      <c r="F32" s="3">
        <f t="shared" si="3"/>
        <v>3.4000000000000002E-3</v>
      </c>
    </row>
    <row r="33" spans="1:6" x14ac:dyDescent="0.25">
      <c r="A33">
        <v>20</v>
      </c>
      <c r="B33" s="2">
        <v>2.7400000000000001E-2</v>
      </c>
      <c r="C33" s="20">
        <f t="shared" si="0"/>
        <v>30</v>
      </c>
      <c r="D33" s="2">
        <f t="shared" si="1"/>
        <v>0.03</v>
      </c>
      <c r="E33">
        <f t="shared" si="2"/>
        <v>10</v>
      </c>
      <c r="F33" s="3">
        <f t="shared" si="3"/>
        <v>2.5999999999999981E-3</v>
      </c>
    </row>
    <row r="34" spans="1:6" x14ac:dyDescent="0.25">
      <c r="A34">
        <v>30</v>
      </c>
      <c r="B34" s="2">
        <v>0.03</v>
      </c>
      <c r="C34" s="20">
        <v>999</v>
      </c>
      <c r="D34" s="2">
        <f>B34</f>
        <v>0.03</v>
      </c>
      <c r="E34">
        <f t="shared" si="2"/>
        <v>969</v>
      </c>
      <c r="F34" s="3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2" sqref="K2"/>
    </sheetView>
  </sheetViews>
  <sheetFormatPr defaultRowHeight="13.2" x14ac:dyDescent="0.25"/>
  <cols>
    <col min="9" max="9" width="17.5546875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42766</v>
      </c>
      <c r="K1" s="21" t="s">
        <v>49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42823</v>
      </c>
      <c r="K2" s="21" t="s">
        <v>50</v>
      </c>
    </row>
    <row r="3" spans="1:12" x14ac:dyDescent="0.25">
      <c r="A3" s="12">
        <v>0</v>
      </c>
      <c r="B3" s="16">
        <f>$J$2</f>
        <v>42823</v>
      </c>
      <c r="C3" s="4">
        <f>-(J5+J4)/2-J7</f>
        <v>-104.22776243093922</v>
      </c>
      <c r="D3" s="5">
        <f>C3/(1+$J$8)^$A3</f>
        <v>-104.22776243093922</v>
      </c>
      <c r="E3" s="17">
        <f>-$J$5-$J$7</f>
        <v>-104.57776243093923</v>
      </c>
      <c r="F3" s="5">
        <f>E3/(1+$J$10)^$A3</f>
        <v>-104.57776243093923</v>
      </c>
      <c r="I3" t="s">
        <v>7</v>
      </c>
      <c r="J3" s="2">
        <v>8.7499999999999994E-2</v>
      </c>
      <c r="K3" s="21" t="s">
        <v>51</v>
      </c>
    </row>
    <row r="4" spans="1:12" x14ac:dyDescent="0.25">
      <c r="A4" s="13">
        <f t="shared" ref="A4:A13" si="0">YEARFRAC($B$3,B4,1)</f>
        <v>0.33972602739726027</v>
      </c>
      <c r="B4" s="16">
        <v>42947</v>
      </c>
      <c r="C4" s="4">
        <f>$J$3*100/2</f>
        <v>4.375</v>
      </c>
      <c r="D4" s="5">
        <f t="shared" ref="D4:D13" si="1">C4/(1+$J$8)^$A4</f>
        <v>4.2597021660990428</v>
      </c>
      <c r="E4" s="17">
        <f>$J$3*100/2</f>
        <v>4.375</v>
      </c>
      <c r="F4" s="5">
        <f t="shared" ref="F4:F13" si="2">E4/(1+$J$10)^$A4</f>
        <v>4.2609106206341778</v>
      </c>
      <c r="I4" t="s">
        <v>8</v>
      </c>
      <c r="J4">
        <v>102.5</v>
      </c>
    </row>
    <row r="5" spans="1:12" x14ac:dyDescent="0.25">
      <c r="A5" s="13">
        <f t="shared" si="0"/>
        <v>0.84383561643835614</v>
      </c>
      <c r="B5" s="16">
        <v>43131</v>
      </c>
      <c r="C5" s="4">
        <f t="shared" ref="C5:E12" si="3">$J$3*100/2</f>
        <v>4.375</v>
      </c>
      <c r="D5" s="5">
        <f t="shared" si="1"/>
        <v>4.0941908053285152</v>
      </c>
      <c r="E5" s="17">
        <f t="shared" si="3"/>
        <v>4.375</v>
      </c>
      <c r="F5" s="5">
        <f t="shared" si="2"/>
        <v>4.0970764283711389</v>
      </c>
      <c r="I5" t="s">
        <v>9</v>
      </c>
      <c r="J5">
        <v>103.2</v>
      </c>
    </row>
    <row r="6" spans="1:12" x14ac:dyDescent="0.25">
      <c r="A6" s="13">
        <f t="shared" si="0"/>
        <v>1.3397260273972602</v>
      </c>
      <c r="B6" s="16">
        <f>EOMONTH(B5,6)</f>
        <v>43312</v>
      </c>
      <c r="C6" s="4">
        <f t="shared" si="3"/>
        <v>4.375</v>
      </c>
      <c r="D6" s="5">
        <f t="shared" si="1"/>
        <v>3.9376538818123161</v>
      </c>
      <c r="E6" s="17">
        <f t="shared" si="3"/>
        <v>4.375</v>
      </c>
      <c r="F6" s="5">
        <f t="shared" si="2"/>
        <v>3.9420610246112879</v>
      </c>
      <c r="K6" t="s">
        <v>17</v>
      </c>
      <c r="L6" t="s">
        <v>18</v>
      </c>
    </row>
    <row r="7" spans="1:12" x14ac:dyDescent="0.25">
      <c r="A7" s="13">
        <f t="shared" si="0"/>
        <v>1.8438356164383563</v>
      </c>
      <c r="B7" s="16">
        <f t="shared" ref="B7:B13" si="4">EOMONTH(B6,6)</f>
        <v>43496</v>
      </c>
      <c r="C7" s="4">
        <f t="shared" si="3"/>
        <v>4.375</v>
      </c>
      <c r="D7" s="5">
        <f t="shared" si="1"/>
        <v>3.7846557549928197</v>
      </c>
      <c r="E7" s="17">
        <f t="shared" si="3"/>
        <v>4.375</v>
      </c>
      <c r="F7" s="5">
        <f t="shared" si="2"/>
        <v>3.7904867623652811</v>
      </c>
      <c r="I7" t="s">
        <v>11</v>
      </c>
      <c r="J7">
        <f>ACCRINT($J$1,$B$4,$J$2,$J$3,100,2,1)</f>
        <v>1.3777624309392265</v>
      </c>
      <c r="K7">
        <f>J3/2*(J2-J1)/(B4-J1)*100</f>
        <v>1.3777624309392265</v>
      </c>
      <c r="L7">
        <v>1.3664400000000001</v>
      </c>
    </row>
    <row r="8" spans="1:12" x14ac:dyDescent="0.25">
      <c r="A8" s="13">
        <f t="shared" si="0"/>
        <v>2.3397260273972602</v>
      </c>
      <c r="B8" s="16">
        <f t="shared" si="4"/>
        <v>43677</v>
      </c>
      <c r="C8" s="4">
        <f t="shared" si="3"/>
        <v>4.375</v>
      </c>
      <c r="D8" s="5">
        <f t="shared" si="1"/>
        <v>3.6399535667891323</v>
      </c>
      <c r="E8" s="17">
        <f t="shared" si="3"/>
        <v>4.375</v>
      </c>
      <c r="F8" s="5">
        <f t="shared" si="2"/>
        <v>3.6470713669761285</v>
      </c>
      <c r="I8" t="s">
        <v>12</v>
      </c>
      <c r="J8" s="3">
        <f>XIRR($C$3:$C$13,$B$3:$B$13)</f>
        <v>8.1786844134330752E-2</v>
      </c>
      <c r="L8" s="2">
        <v>8.1870100000000001E-2</v>
      </c>
    </row>
    <row r="9" spans="1:12" x14ac:dyDescent="0.25">
      <c r="A9" s="13">
        <f t="shared" si="0"/>
        <v>2.8418891170431211</v>
      </c>
      <c r="B9" s="16">
        <f t="shared" si="4"/>
        <v>43861</v>
      </c>
      <c r="C9" s="4">
        <f t="shared" si="3"/>
        <v>4.375</v>
      </c>
      <c r="D9" s="5">
        <f t="shared" si="1"/>
        <v>3.4990580232953015</v>
      </c>
      <c r="E9" s="17">
        <f t="shared" si="3"/>
        <v>4.375</v>
      </c>
      <c r="F9" s="5">
        <f t="shared" si="2"/>
        <v>3.5073705737455447</v>
      </c>
      <c r="I9" t="s">
        <v>13</v>
      </c>
      <c r="J9">
        <f>DURATION($J$2,$B$13,$J$3,J8,2,1)</f>
        <v>4.0086501052258932</v>
      </c>
      <c r="K9">
        <f>SUMPRODUCT($D$3:$D$13,$A$3:$A$13)/100</f>
        <v>4.1827826517932829</v>
      </c>
      <c r="L9">
        <v>4.0129999999999999</v>
      </c>
    </row>
    <row r="10" spans="1:12" x14ac:dyDescent="0.25">
      <c r="A10" s="13">
        <f t="shared" si="0"/>
        <v>3.3401779603011637</v>
      </c>
      <c r="B10" s="16">
        <f t="shared" si="4"/>
        <v>44043</v>
      </c>
      <c r="C10" s="4">
        <f t="shared" si="3"/>
        <v>4.375</v>
      </c>
      <c r="D10" s="5">
        <f t="shared" si="1"/>
        <v>3.3646408877755127</v>
      </c>
      <c r="E10" s="17">
        <f t="shared" si="3"/>
        <v>4.375</v>
      </c>
      <c r="F10" s="5">
        <f t="shared" si="2"/>
        <v>3.3740375740522892</v>
      </c>
      <c r="I10" t="s">
        <v>14</v>
      </c>
      <c r="J10" s="3">
        <f>XIRR($E$3:$E$13,$B$3:$B$13)</f>
        <v>8.0883982777595537E-2</v>
      </c>
      <c r="L10" s="2">
        <v>8.0966800000000005E-2</v>
      </c>
    </row>
    <row r="11" spans="1:12" x14ac:dyDescent="0.25">
      <c r="A11" s="13">
        <f t="shared" si="0"/>
        <v>3.8444687842278205</v>
      </c>
      <c r="B11" s="16">
        <f t="shared" si="4"/>
        <v>44227</v>
      </c>
      <c r="C11" s="4">
        <f t="shared" si="3"/>
        <v>4.375</v>
      </c>
      <c r="D11" s="5">
        <f t="shared" si="1"/>
        <v>3.2338611908245105</v>
      </c>
      <c r="E11" s="17">
        <f t="shared" si="3"/>
        <v>4.375</v>
      </c>
      <c r="F11" s="5">
        <f t="shared" si="2"/>
        <v>3.2442583715689683</v>
      </c>
      <c r="I11" t="s">
        <v>15</v>
      </c>
      <c r="J11">
        <f>DURATION($J$2,$B$13,$J$3,J10,2,1)</f>
        <v>4.0104052381816668</v>
      </c>
      <c r="K11">
        <f>SUMPRODUCT($F$3:$F$13,$A$3:$A$13)/100</f>
        <v>4.1985868573117884</v>
      </c>
      <c r="L11">
        <v>4.0149999999999997</v>
      </c>
    </row>
    <row r="12" spans="1:12" x14ac:dyDescent="0.25">
      <c r="A12" s="13">
        <f t="shared" si="0"/>
        <v>4.3400876232201533</v>
      </c>
      <c r="B12" s="16">
        <f t="shared" si="4"/>
        <v>44408</v>
      </c>
      <c r="C12" s="4">
        <f t="shared" si="3"/>
        <v>4.375</v>
      </c>
      <c r="D12" s="5">
        <f t="shared" si="1"/>
        <v>3.1102844345190079</v>
      </c>
      <c r="E12" s="17">
        <f t="shared" si="3"/>
        <v>4.375</v>
      </c>
      <c r="F12" s="5">
        <f t="shared" si="2"/>
        <v>3.1215757981933128</v>
      </c>
    </row>
    <row r="13" spans="1:12" x14ac:dyDescent="0.25">
      <c r="A13" s="14">
        <f t="shared" si="0"/>
        <v>4.8443633044272021</v>
      </c>
      <c r="B13" s="18">
        <f t="shared" si="4"/>
        <v>44592</v>
      </c>
      <c r="C13" s="6">
        <f>$J$3*100/2+100</f>
        <v>104.375</v>
      </c>
      <c r="D13" s="7">
        <f t="shared" si="1"/>
        <v>71.318419686875288</v>
      </c>
      <c r="E13" s="19">
        <f>$J$3*100/2+100</f>
        <v>104.375</v>
      </c>
      <c r="F13" s="7">
        <f t="shared" si="2"/>
        <v>71.607472829248323</v>
      </c>
    </row>
  </sheetData>
  <mergeCells count="2">
    <mergeCell ref="C1:D1"/>
    <mergeCell ref="E1:F1"/>
  </mergeCells>
  <hyperlinks>
    <hyperlink ref="K3" r:id="rId1"/>
    <hyperlink ref="K1" r:id="rId2"/>
    <hyperlink ref="K2" r:id="rId3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J10" sqref="J10"/>
    </sheetView>
  </sheetViews>
  <sheetFormatPr defaultRowHeight="13.2" x14ac:dyDescent="0.25"/>
  <cols>
    <col min="2" max="2" width="10.109375" bestFit="1" customWidth="1"/>
    <col min="9" max="9" width="17.5546875" bestFit="1" customWidth="1"/>
    <col min="10" max="10" width="12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42670</v>
      </c>
      <c r="K1" s="21" t="s">
        <v>52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42828</v>
      </c>
      <c r="K2" s="21" t="s">
        <v>53</v>
      </c>
    </row>
    <row r="3" spans="1:12" x14ac:dyDescent="0.25">
      <c r="A3" s="12">
        <v>0</v>
      </c>
      <c r="B3" s="16">
        <f>$J$2</f>
        <v>42828</v>
      </c>
      <c r="C3" s="4">
        <f>-(J5+J4)/2-J7</f>
        <v>-103.83736263736265</v>
      </c>
      <c r="D3" s="5">
        <f>C3/(1+$J$8)^$A3</f>
        <v>-103.83736263736265</v>
      </c>
      <c r="E3" s="17">
        <f>-$J$5-$J$7</f>
        <v>-104.03736263736265</v>
      </c>
      <c r="F3" s="5">
        <f>E3/(1+$J$10)^$A3</f>
        <v>-104.03736263736265</v>
      </c>
      <c r="I3" t="s">
        <v>7</v>
      </c>
      <c r="J3" s="2">
        <v>5.5E-2</v>
      </c>
    </row>
    <row r="4" spans="1:12" x14ac:dyDescent="0.25">
      <c r="A4" s="13">
        <f t="shared" ref="A4:A13" si="0">YEARFRAC($B$3,B4,1)</f>
        <v>6.575342465753424E-2</v>
      </c>
      <c r="B4" s="16">
        <v>42852</v>
      </c>
      <c r="C4" s="4">
        <f>$J$3*100/2</f>
        <v>2.75</v>
      </c>
      <c r="D4" s="5">
        <f t="shared" ref="D4:D13" si="1">C4/(1+$J$8)^$A4</f>
        <v>2.7426826773104307</v>
      </c>
      <c r="E4" s="17">
        <f>$J$3*100/2</f>
        <v>2.75</v>
      </c>
      <c r="F4" s="5">
        <f t="shared" ref="F4:F13" si="2">E4/(1+$J$10)^$A4</f>
        <v>2.7430207704539122</v>
      </c>
      <c r="I4" t="s">
        <v>8</v>
      </c>
      <c r="J4">
        <v>101.25</v>
      </c>
    </row>
    <row r="5" spans="1:12" x14ac:dyDescent="0.25">
      <c r="A5" s="13">
        <f t="shared" si="0"/>
        <v>0.56712328767123288</v>
      </c>
      <c r="B5" s="16">
        <f>EOMONTH(B4,6)-4</f>
        <v>43035</v>
      </c>
      <c r="C5" s="4">
        <f t="shared" ref="C5:E5" si="3">$J$3*100/2</f>
        <v>2.75</v>
      </c>
      <c r="D5" s="5">
        <f t="shared" si="1"/>
        <v>2.6875245806577333</v>
      </c>
      <c r="E5" s="17">
        <f t="shared" si="3"/>
        <v>2.75</v>
      </c>
      <c r="F5" s="5">
        <f t="shared" si="2"/>
        <v>2.6903833325289743</v>
      </c>
      <c r="I5" t="s">
        <v>9</v>
      </c>
      <c r="J5">
        <v>101.65</v>
      </c>
    </row>
    <row r="6" spans="1:12" x14ac:dyDescent="0.25">
      <c r="A6" s="13">
        <f t="shared" si="0"/>
        <v>1.0657534246575342</v>
      </c>
      <c r="B6" s="16">
        <f>EOMONTH(B5,6)-3</f>
        <v>43217</v>
      </c>
      <c r="C6" s="4">
        <v>0</v>
      </c>
      <c r="D6" s="5">
        <f t="shared" si="1"/>
        <v>0</v>
      </c>
      <c r="E6" s="17">
        <v>0</v>
      </c>
      <c r="F6" s="5">
        <f t="shared" si="2"/>
        <v>0</v>
      </c>
      <c r="K6" t="s">
        <v>17</v>
      </c>
      <c r="L6" t="s">
        <v>18</v>
      </c>
    </row>
    <row r="7" spans="1:12" x14ac:dyDescent="0.25">
      <c r="A7" s="13">
        <f t="shared" si="0"/>
        <v>1.0657534246575342</v>
      </c>
      <c r="B7" s="16">
        <f>B6</f>
        <v>43217</v>
      </c>
      <c r="C7" s="4">
        <v>0</v>
      </c>
      <c r="D7" s="5">
        <f t="shared" si="1"/>
        <v>0</v>
      </c>
      <c r="E7" s="17">
        <v>0</v>
      </c>
      <c r="F7" s="5">
        <f t="shared" si="2"/>
        <v>0</v>
      </c>
      <c r="I7" t="s">
        <v>11</v>
      </c>
      <c r="J7">
        <f>ACCRINT($J$1,$B$4,$J$2,$J$3,100,2,1)</f>
        <v>2.3873626373626373</v>
      </c>
      <c r="K7">
        <f>J3/2*(J2-J1)/(B4-J1)*100</f>
        <v>2.3873626373626373</v>
      </c>
    </row>
    <row r="8" spans="1:12" x14ac:dyDescent="0.25">
      <c r="A8" s="13">
        <f t="shared" si="0"/>
        <v>1.0657534246575342</v>
      </c>
      <c r="B8" s="16">
        <f t="shared" ref="B8:B13" si="4">B7</f>
        <v>43217</v>
      </c>
      <c r="C8" s="4">
        <v>0</v>
      </c>
      <c r="D8" s="5">
        <f t="shared" si="1"/>
        <v>0</v>
      </c>
      <c r="E8" s="17">
        <v>0</v>
      </c>
      <c r="F8" s="5">
        <f t="shared" si="2"/>
        <v>0</v>
      </c>
      <c r="I8" t="s">
        <v>12</v>
      </c>
      <c r="J8" s="3">
        <f>XIRR($C$3:$C$13,$B$3:$B$13)</f>
        <v>4.1353121399879469E-2</v>
      </c>
      <c r="L8" s="2"/>
    </row>
    <row r="9" spans="1:12" x14ac:dyDescent="0.25">
      <c r="A9" s="13">
        <f t="shared" si="0"/>
        <v>1.0657534246575342</v>
      </c>
      <c r="B9" s="16">
        <f t="shared" si="4"/>
        <v>43217</v>
      </c>
      <c r="C9" s="4">
        <v>0</v>
      </c>
      <c r="D9" s="5">
        <f t="shared" si="1"/>
        <v>0</v>
      </c>
      <c r="E9" s="17">
        <v>0</v>
      </c>
      <c r="F9" s="5">
        <f t="shared" si="2"/>
        <v>0</v>
      </c>
      <c r="I9" t="s">
        <v>13</v>
      </c>
      <c r="J9">
        <f>DURATION($J$2,$B$13,$J$3,J8,2,1)</f>
        <v>1.0265662569139322</v>
      </c>
      <c r="K9">
        <f>SUMPRODUCT($D$3:$D$13,$A$3:$A$13)/100</f>
        <v>1.0658226119967424</v>
      </c>
    </row>
    <row r="10" spans="1:12" x14ac:dyDescent="0.25">
      <c r="A10" s="13">
        <f t="shared" si="0"/>
        <v>1.0657534246575342</v>
      </c>
      <c r="B10" s="16">
        <f t="shared" si="4"/>
        <v>43217</v>
      </c>
      <c r="C10" s="4">
        <v>0</v>
      </c>
      <c r="D10" s="5">
        <f t="shared" si="1"/>
        <v>0</v>
      </c>
      <c r="E10" s="17">
        <v>0</v>
      </c>
      <c r="F10" s="5">
        <f t="shared" si="2"/>
        <v>0</v>
      </c>
      <c r="I10" t="s">
        <v>14</v>
      </c>
      <c r="J10" s="3">
        <f>XIRR($E$3:$E$13,$B$3:$B$13)</f>
        <v>3.9402797818183913E-2</v>
      </c>
      <c r="L10" s="2"/>
    </row>
    <row r="11" spans="1:12" x14ac:dyDescent="0.25">
      <c r="A11" s="13">
        <f t="shared" si="0"/>
        <v>1.0657534246575342</v>
      </c>
      <c r="B11" s="16">
        <f t="shared" si="4"/>
        <v>43217</v>
      </c>
      <c r="C11" s="4">
        <v>0</v>
      </c>
      <c r="D11" s="5">
        <f t="shared" si="1"/>
        <v>0</v>
      </c>
      <c r="E11" s="17">
        <v>0</v>
      </c>
      <c r="F11" s="5">
        <f t="shared" si="2"/>
        <v>0</v>
      </c>
      <c r="I11" t="s">
        <v>15</v>
      </c>
      <c r="J11">
        <f>DURATION($J$2,$B$13,$J$3,J10,2,1)</f>
        <v>1.0266261344411454</v>
      </c>
      <c r="K11">
        <f>SUMPRODUCT($F$3:$F$13,$A$3:$A$13)/100</f>
        <v>1.0679364877736202</v>
      </c>
    </row>
    <row r="12" spans="1:12" x14ac:dyDescent="0.25">
      <c r="A12" s="13">
        <f t="shared" si="0"/>
        <v>1.0657534246575342</v>
      </c>
      <c r="B12" s="16">
        <f t="shared" si="4"/>
        <v>43217</v>
      </c>
      <c r="C12" s="4">
        <v>0</v>
      </c>
      <c r="D12" s="5">
        <f t="shared" si="1"/>
        <v>0</v>
      </c>
      <c r="E12" s="17">
        <v>0</v>
      </c>
      <c r="F12" s="5">
        <f t="shared" si="2"/>
        <v>0</v>
      </c>
    </row>
    <row r="13" spans="1:12" x14ac:dyDescent="0.25">
      <c r="A13" s="14">
        <f t="shared" si="0"/>
        <v>1.0657534246575342</v>
      </c>
      <c r="B13" s="16">
        <f t="shared" si="4"/>
        <v>43217</v>
      </c>
      <c r="C13" s="6">
        <f>$J$3*100/2+100</f>
        <v>102.75</v>
      </c>
      <c r="D13" s="7">
        <f t="shared" si="1"/>
        <v>98.407155181052701</v>
      </c>
      <c r="E13" s="19">
        <f>$J$3*100/2+100</f>
        <v>102.75</v>
      </c>
      <c r="F13" s="7">
        <f t="shared" si="2"/>
        <v>98.603958754274416</v>
      </c>
    </row>
    <row r="15" spans="1:12" x14ac:dyDescent="0.25">
      <c r="I15" t="s">
        <v>6</v>
      </c>
      <c r="J15" s="1">
        <v>42673</v>
      </c>
    </row>
    <row r="16" spans="1:12" x14ac:dyDescent="0.25">
      <c r="A16" s="13">
        <f t="shared" ref="A16:A17" si="5">YEARFRAC($B$3,B16,1)</f>
        <v>0</v>
      </c>
      <c r="B16" s="1">
        <f>J16</f>
        <v>42828</v>
      </c>
      <c r="C16">
        <f>-J19-J22</f>
        <v>-101.83846153846153</v>
      </c>
      <c r="E16">
        <f>-J18-J22</f>
        <v>-101.88846153846153</v>
      </c>
      <c r="I16" t="s">
        <v>10</v>
      </c>
      <c r="J16" s="1">
        <v>42828</v>
      </c>
    </row>
    <row r="17" spans="1:12" x14ac:dyDescent="0.25">
      <c r="A17" s="13">
        <f t="shared" si="5"/>
        <v>7.3972602739726029E-2</v>
      </c>
      <c r="B17" s="1">
        <v>42855</v>
      </c>
      <c r="C17">
        <f>100+J20*100/2</f>
        <v>102.1</v>
      </c>
      <c r="E17">
        <f>100+J20*100/2</f>
        <v>102.1</v>
      </c>
      <c r="I17" t="s">
        <v>8</v>
      </c>
      <c r="J17">
        <v>100</v>
      </c>
    </row>
    <row r="18" spans="1:12" x14ac:dyDescent="0.25">
      <c r="I18" t="s">
        <v>9</v>
      </c>
      <c r="J18">
        <v>100.1</v>
      </c>
    </row>
    <row r="19" spans="1:12" x14ac:dyDescent="0.25">
      <c r="I19" t="s">
        <v>67</v>
      </c>
      <c r="J19">
        <f>AVERAGE(J17:J18)</f>
        <v>100.05</v>
      </c>
    </row>
    <row r="20" spans="1:12" x14ac:dyDescent="0.25">
      <c r="I20" t="s">
        <v>68</v>
      </c>
      <c r="J20" s="2">
        <v>4.2000000000000003E-2</v>
      </c>
    </row>
    <row r="22" spans="1:12" x14ac:dyDescent="0.25">
      <c r="I22" t="s">
        <v>11</v>
      </c>
      <c r="J22">
        <f>ACCRINT($J$15,$B$4,$J$16,$J$20,100,2,1)</f>
        <v>1.7884615384615385</v>
      </c>
    </row>
    <row r="23" spans="1:12" x14ac:dyDescent="0.25">
      <c r="I23" t="s">
        <v>12</v>
      </c>
      <c r="J23" s="3">
        <f>XIRR($C$16:$C$17,$B$16:$B$17)</f>
        <v>3.5281476378440854E-2</v>
      </c>
    </row>
    <row r="24" spans="1:12" x14ac:dyDescent="0.25">
      <c r="I24" t="s">
        <v>13</v>
      </c>
      <c r="J24">
        <f>DURATION($J$16,$B$17,$J$20,J23,2,1)</f>
        <v>7.4585635359115998E-2</v>
      </c>
    </row>
    <row r="25" spans="1:12" x14ac:dyDescent="0.25">
      <c r="I25" t="s">
        <v>14</v>
      </c>
      <c r="J25" s="3">
        <f>XIRR($E$16:$E$17,$B$16:$B$17)</f>
        <v>2.8434494137763975E-2</v>
      </c>
      <c r="L25" s="2">
        <v>2.7439999999999999E-2</v>
      </c>
    </row>
    <row r="26" spans="1:12" x14ac:dyDescent="0.25">
      <c r="I26" t="s">
        <v>15</v>
      </c>
      <c r="J26">
        <f>DURATION($J$16,$B$17,$J$20,J25,2,1)</f>
        <v>7.4585635359115984E-2</v>
      </c>
    </row>
  </sheetData>
  <mergeCells count="2">
    <mergeCell ref="C1:D1"/>
    <mergeCell ref="E1:F1"/>
  </mergeCells>
  <hyperlinks>
    <hyperlink ref="K1" r:id="rId1"/>
    <hyperlink ref="K2" r:id="rId2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9" sqref="J9"/>
    </sheetView>
  </sheetViews>
  <sheetFormatPr defaultRowHeight="13.2" x14ac:dyDescent="0.25"/>
  <cols>
    <col min="2" max="2" width="10.109375" bestFit="1" customWidth="1"/>
    <col min="9" max="9" width="17.5546875" bestFit="1" customWidth="1"/>
    <col min="10" max="10" width="12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42731</v>
      </c>
      <c r="K1" s="21" t="s">
        <v>48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42828</v>
      </c>
    </row>
    <row r="3" spans="1:12" x14ac:dyDescent="0.25">
      <c r="A3" s="12">
        <v>0</v>
      </c>
      <c r="B3" s="16">
        <f>$J$2</f>
        <v>42828</v>
      </c>
      <c r="C3" s="4">
        <f>-(J5+J4)/2-J7</f>
        <v>-104.38836538461538</v>
      </c>
      <c r="D3" s="5">
        <f>C3/(1+$J$8)^$A3</f>
        <v>-104.38836538461538</v>
      </c>
      <c r="E3" s="17">
        <f>-$J$5-$J$7</f>
        <v>-104.87086538461539</v>
      </c>
      <c r="F3" s="5">
        <f>E3/(1+$J$10)^$A3</f>
        <v>-104.87086538461539</v>
      </c>
      <c r="I3" t="s">
        <v>7</v>
      </c>
      <c r="J3" s="2">
        <v>4.3749999999999997E-2</v>
      </c>
    </row>
    <row r="4" spans="1:12" x14ac:dyDescent="0.25">
      <c r="A4" s="13">
        <f t="shared" ref="A4:A14" si="0">YEARFRAC($B$3,B4,1)</f>
        <v>0.23013698630136986</v>
      </c>
      <c r="B4" s="16">
        <f t="shared" ref="B4:B12" si="1">EOMONTH(B5,-6)-4</f>
        <v>42912</v>
      </c>
      <c r="C4" s="4">
        <f>$J$3*100/2</f>
        <v>2.1875</v>
      </c>
      <c r="D4" s="5">
        <f t="shared" ref="D4:D14" si="2">C4/(1+$J$8)^$A4</f>
        <v>2.1691707979872574</v>
      </c>
      <c r="E4" s="17">
        <f>$J$3*100/2</f>
        <v>2.1875</v>
      </c>
      <c r="F4" s="5">
        <f t="shared" ref="F4:F14" si="3">E4/(1+$J$10)^$A4</f>
        <v>2.1696612332157725</v>
      </c>
      <c r="I4" t="s">
        <v>8</v>
      </c>
      <c r="J4">
        <v>102.74</v>
      </c>
    </row>
    <row r="5" spans="1:12" x14ac:dyDescent="0.25">
      <c r="A5" s="13">
        <f t="shared" si="0"/>
        <v>0.73424657534246573</v>
      </c>
      <c r="B5" s="16">
        <f t="shared" si="1"/>
        <v>43096</v>
      </c>
      <c r="C5" s="4">
        <f t="shared" ref="C5:E13" si="4">$J$3*100/2</f>
        <v>2.1875</v>
      </c>
      <c r="D5" s="5">
        <f t="shared" si="2"/>
        <v>2.1295559984674197</v>
      </c>
      <c r="E5" s="17">
        <f t="shared" si="4"/>
        <v>2.1875</v>
      </c>
      <c r="F5" s="5">
        <f t="shared" si="3"/>
        <v>2.131092524847642</v>
      </c>
      <c r="I5" t="s">
        <v>9</v>
      </c>
      <c r="J5">
        <v>103.705</v>
      </c>
    </row>
    <row r="6" spans="1:12" x14ac:dyDescent="0.25">
      <c r="A6" s="13">
        <f t="shared" si="0"/>
        <v>1.2301369863013698</v>
      </c>
      <c r="B6" s="16">
        <f t="shared" si="1"/>
        <v>43277</v>
      </c>
      <c r="C6" s="4">
        <f t="shared" si="4"/>
        <v>2.1875</v>
      </c>
      <c r="D6" s="5">
        <f t="shared" si="2"/>
        <v>2.0912930364610407</v>
      </c>
      <c r="E6" s="17">
        <f t="shared" si="4"/>
        <v>2.1875</v>
      </c>
      <c r="F6" s="5">
        <f t="shared" si="3"/>
        <v>2.0938216542498531</v>
      </c>
      <c r="K6" t="s">
        <v>17</v>
      </c>
      <c r="L6" t="s">
        <v>18</v>
      </c>
    </row>
    <row r="7" spans="1:12" x14ac:dyDescent="0.25">
      <c r="A7" s="13">
        <f t="shared" si="0"/>
        <v>1.7342465753424658</v>
      </c>
      <c r="B7" s="16">
        <f t="shared" si="1"/>
        <v>43461</v>
      </c>
      <c r="C7" s="4">
        <f t="shared" si="4"/>
        <v>2.1875</v>
      </c>
      <c r="D7" s="5">
        <f t="shared" si="2"/>
        <v>2.0531004909715347</v>
      </c>
      <c r="E7" s="17">
        <f t="shared" si="4"/>
        <v>2.1875</v>
      </c>
      <c r="F7" s="5">
        <f t="shared" si="3"/>
        <v>2.0566010985606384</v>
      </c>
      <c r="I7" t="s">
        <v>11</v>
      </c>
      <c r="J7">
        <f>ACCRINT($J$1,$B$4,$J$2,$J$3,100,2,1)</f>
        <v>1.1658653846153846</v>
      </c>
      <c r="K7">
        <f>J3/2*(J2-J1)/(B4-J1)*100</f>
        <v>1.1723066298342542</v>
      </c>
      <c r="L7">
        <v>1.1302000000000001</v>
      </c>
    </row>
    <row r="8" spans="1:12" x14ac:dyDescent="0.25">
      <c r="A8" s="13">
        <f t="shared" si="0"/>
        <v>2.2301369863013698</v>
      </c>
      <c r="B8" s="16">
        <f t="shared" si="1"/>
        <v>43642</v>
      </c>
      <c r="C8" s="4">
        <f t="shared" si="4"/>
        <v>2.1875</v>
      </c>
      <c r="D8" s="5">
        <f t="shared" si="2"/>
        <v>2.0162112492057123</v>
      </c>
      <c r="E8" s="17">
        <f t="shared" si="4"/>
        <v>2.1875</v>
      </c>
      <c r="F8" s="5">
        <f t="shared" si="3"/>
        <v>2.0206330152784715</v>
      </c>
      <c r="I8" t="s">
        <v>12</v>
      </c>
      <c r="J8" s="3">
        <f>XIRR($C$3:$C$14,$B$3:$B$14)</f>
        <v>3.7239047884941104E-2</v>
      </c>
      <c r="L8" s="2">
        <v>3.6739000000000001E-2</v>
      </c>
    </row>
    <row r="9" spans="1:12" x14ac:dyDescent="0.25">
      <c r="A9" s="13">
        <f t="shared" si="0"/>
        <v>2.7342465753424658</v>
      </c>
      <c r="B9" s="16">
        <f t="shared" si="1"/>
        <v>43826</v>
      </c>
      <c r="C9" s="4">
        <f t="shared" si="4"/>
        <v>2.1875</v>
      </c>
      <c r="D9" s="5">
        <f t="shared" si="2"/>
        <v>1.9793898958567562</v>
      </c>
      <c r="E9" s="17">
        <f t="shared" si="4"/>
        <v>2.1875</v>
      </c>
      <c r="F9" s="5">
        <f t="shared" si="3"/>
        <v>1.9847134881688027</v>
      </c>
      <c r="I9" t="s">
        <v>13</v>
      </c>
      <c r="J9">
        <f>DURATION($J$2,$B$14,$J$3,J8,2,1)</f>
        <v>4.6915838586997411</v>
      </c>
      <c r="K9">
        <f>SUMPRODUCT($D$3:$D$14,$A$3:$A$14)/100</f>
        <v>4.8979047738797608</v>
      </c>
      <c r="L9">
        <v>4.6909999999999998</v>
      </c>
    </row>
    <row r="10" spans="1:12" x14ac:dyDescent="0.25">
      <c r="A10" s="13">
        <f t="shared" si="0"/>
        <v>3.2306639288158796</v>
      </c>
      <c r="B10" s="16">
        <f t="shared" si="1"/>
        <v>44008</v>
      </c>
      <c r="C10" s="4">
        <f t="shared" si="4"/>
        <v>2.1875</v>
      </c>
      <c r="D10" s="5">
        <f t="shared" si="2"/>
        <v>1.9437876049613867</v>
      </c>
      <c r="E10" s="17">
        <f t="shared" si="4"/>
        <v>2.1875</v>
      </c>
      <c r="F10" s="5">
        <f t="shared" si="3"/>
        <v>1.9499660942185597</v>
      </c>
      <c r="I10" t="s">
        <v>14</v>
      </c>
      <c r="J10" s="3">
        <f>XIRR($E$3:$E$14,$B$3:$B$14)</f>
        <v>3.6220648884773249E-2</v>
      </c>
      <c r="L10" s="2">
        <v>3.5753E-2</v>
      </c>
    </row>
    <row r="11" spans="1:12" x14ac:dyDescent="0.25">
      <c r="A11" s="13">
        <f t="shared" si="0"/>
        <v>3.7344284736481863</v>
      </c>
      <c r="B11" s="16">
        <f t="shared" si="1"/>
        <v>44192</v>
      </c>
      <c r="C11" s="4">
        <f t="shared" si="4"/>
        <v>2.1875</v>
      </c>
      <c r="D11" s="5">
        <f t="shared" si="2"/>
        <v>1.9083129734868329</v>
      </c>
      <c r="E11" s="17">
        <f t="shared" si="4"/>
        <v>2.1875</v>
      </c>
      <c r="F11" s="5">
        <f t="shared" si="3"/>
        <v>1.9153262824469779</v>
      </c>
      <c r="I11" t="s">
        <v>15</v>
      </c>
      <c r="J11">
        <f>DURATION($J$2,$B$14,$J$3,J10,2,1)</f>
        <v>4.6932141752539529</v>
      </c>
      <c r="K11">
        <f>SUMPRODUCT($F$3:$F$14,$A$3:$A$14)/100</f>
        <v>4.9222127699540659</v>
      </c>
    </row>
    <row r="12" spans="1:12" x14ac:dyDescent="0.25">
      <c r="A12" s="13">
        <f t="shared" ref="A12" si="5">YEARFRAC($B$3,B12,1)</f>
        <v>4.2305585980284777</v>
      </c>
      <c r="B12" s="16">
        <f t="shared" si="1"/>
        <v>44373</v>
      </c>
      <c r="C12" s="4">
        <f t="shared" si="4"/>
        <v>2.1875</v>
      </c>
      <c r="D12" s="5">
        <f t="shared" ref="D12" si="6">C12/(1+$J$8)^$A12</f>
        <v>1.874008787804911</v>
      </c>
      <c r="E12" s="17">
        <f t="shared" si="4"/>
        <v>2.1875</v>
      </c>
      <c r="F12" s="5">
        <f t="shared" ref="F12" si="7">E12/(1+$J$10)^$A12</f>
        <v>1.8818129171429754</v>
      </c>
    </row>
    <row r="13" spans="1:12" x14ac:dyDescent="0.25">
      <c r="A13" s="13">
        <f t="shared" si="0"/>
        <v>4.7343921139101868</v>
      </c>
      <c r="B13" s="16">
        <f>EOMONTH(B14,-6)-4</f>
        <v>44557</v>
      </c>
      <c r="C13" s="4">
        <f t="shared" si="4"/>
        <v>2.1875</v>
      </c>
      <c r="D13" s="5">
        <f t="shared" si="2"/>
        <v>1.8398029984420619</v>
      </c>
      <c r="E13" s="17">
        <f t="shared" si="4"/>
        <v>2.1875</v>
      </c>
      <c r="F13" s="5">
        <f t="shared" si="3"/>
        <v>1.8483792639486589</v>
      </c>
    </row>
    <row r="14" spans="1:12" x14ac:dyDescent="0.25">
      <c r="A14" s="14">
        <f t="shared" si="0"/>
        <v>5.2332268370607027</v>
      </c>
      <c r="B14" s="18">
        <v>44739</v>
      </c>
      <c r="C14" s="6">
        <f>$J$3*100/2+100</f>
        <v>102.1875</v>
      </c>
      <c r="D14" s="7">
        <f t="shared" si="2"/>
        <v>84.391772643428965</v>
      </c>
      <c r="E14" s="19">
        <f>$J$3*100/2+100</f>
        <v>102.1875</v>
      </c>
      <c r="F14" s="7">
        <f t="shared" si="3"/>
        <v>84.826722139672242</v>
      </c>
    </row>
  </sheetData>
  <mergeCells count="2">
    <mergeCell ref="C1:D1"/>
    <mergeCell ref="E1:F1"/>
  </mergeCells>
  <hyperlinks>
    <hyperlink ref="K1" r:id="rId1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1" sqref="K1"/>
    </sheetView>
  </sheetViews>
  <sheetFormatPr defaultRowHeight="13.2" x14ac:dyDescent="0.25"/>
  <cols>
    <col min="9" max="9" width="17.5546875" bestFit="1" customWidth="1"/>
    <col min="10" max="10" width="12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42806</v>
      </c>
      <c r="K1" s="21" t="s">
        <v>54</v>
      </c>
      <c r="L1" t="s">
        <v>55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42828</v>
      </c>
    </row>
    <row r="3" spans="1:12" x14ac:dyDescent="0.25">
      <c r="A3" s="12">
        <v>0</v>
      </c>
      <c r="B3" s="16">
        <f>$J$2</f>
        <v>42828</v>
      </c>
      <c r="C3" s="4">
        <f>-(J5+J4)/2-J7</f>
        <v>-100.8794640883978</v>
      </c>
      <c r="D3" s="5">
        <f>C3/(1+$J$8)^$A3</f>
        <v>-100.8794640883978</v>
      </c>
      <c r="E3" s="17">
        <f>-$J$5-$J$7</f>
        <v>-100.91646408839779</v>
      </c>
      <c r="F3" s="5">
        <f>E3/(1+$J$10)^$A3</f>
        <v>-100.91646408839779</v>
      </c>
      <c r="I3" t="s">
        <v>7</v>
      </c>
      <c r="J3" s="2">
        <v>5.1249999999999997E-2</v>
      </c>
      <c r="K3" s="3">
        <f>(1+J3/2)^2-1</f>
        <v>5.1906640624999945E-2</v>
      </c>
    </row>
    <row r="4" spans="1:12" x14ac:dyDescent="0.25">
      <c r="A4" s="13">
        <f t="shared" ref="A4:A13" si="0">YEARFRAC($B$3,B4,1)</f>
        <v>0.32602739726027397</v>
      </c>
      <c r="B4" s="16">
        <v>42947</v>
      </c>
      <c r="C4" s="4">
        <f>$J$3*100/2</f>
        <v>2.5625</v>
      </c>
      <c r="D4" s="5">
        <f t="shared" ref="D4:D13" si="1">C4/(1+$J$8)^$A4</f>
        <v>2.5277755676516289</v>
      </c>
      <c r="E4" s="17">
        <f>$J$3*100/2</f>
        <v>2.5625</v>
      </c>
      <c r="F4" s="5">
        <f t="shared" ref="F4:F13" si="2">E4/(1+$J$10)^$A4</f>
        <v>2.5280777978778208</v>
      </c>
      <c r="I4" t="s">
        <v>8</v>
      </c>
      <c r="J4">
        <v>100.53100000000001</v>
      </c>
    </row>
    <row r="5" spans="1:12" x14ac:dyDescent="0.25">
      <c r="A5" s="13">
        <f t="shared" si="0"/>
        <v>0.83013698630136989</v>
      </c>
      <c r="B5" s="16">
        <v>43131</v>
      </c>
      <c r="C5" s="4">
        <f t="shared" ref="C5:E12" si="3">$J$3*100/2</f>
        <v>2.5625</v>
      </c>
      <c r="D5" s="5">
        <f t="shared" si="1"/>
        <v>2.4750080009322275</v>
      </c>
      <c r="E5" s="17">
        <f t="shared" si="3"/>
        <v>2.5625</v>
      </c>
      <c r="F5" s="5">
        <f t="shared" si="2"/>
        <v>2.4757615504600512</v>
      </c>
      <c r="I5" t="s">
        <v>9</v>
      </c>
      <c r="J5">
        <v>100.605</v>
      </c>
    </row>
    <row r="6" spans="1:12" x14ac:dyDescent="0.25">
      <c r="A6" s="13">
        <f t="shared" si="0"/>
        <v>1.3260273972602741</v>
      </c>
      <c r="B6" s="16">
        <f>EOMONTH(B5,6)</f>
        <v>43312</v>
      </c>
      <c r="C6" s="4">
        <f t="shared" si="3"/>
        <v>2.5625</v>
      </c>
      <c r="D6" s="5">
        <f t="shared" si="1"/>
        <v>2.4241756326296304</v>
      </c>
      <c r="E6" s="17">
        <f t="shared" si="3"/>
        <v>2.5625</v>
      </c>
      <c r="F6" s="5">
        <f t="shared" si="2"/>
        <v>2.4253547078154027</v>
      </c>
      <c r="K6" t="s">
        <v>17</v>
      </c>
      <c r="L6" t="s">
        <v>18</v>
      </c>
    </row>
    <row r="7" spans="1:12" x14ac:dyDescent="0.25">
      <c r="A7" s="13">
        <f t="shared" si="0"/>
        <v>1.8301369863013699</v>
      </c>
      <c r="B7" s="16">
        <f t="shared" ref="B7:B13" si="4">EOMONTH(B6,6)</f>
        <v>43496</v>
      </c>
      <c r="C7" s="4">
        <f t="shared" si="3"/>
        <v>2.5625</v>
      </c>
      <c r="D7" s="5">
        <f t="shared" si="1"/>
        <v>2.3735707248714739</v>
      </c>
      <c r="E7" s="17">
        <f t="shared" si="3"/>
        <v>2.5625</v>
      </c>
      <c r="F7" s="5">
        <f t="shared" si="2"/>
        <v>2.3751642203721621</v>
      </c>
      <c r="I7" t="s">
        <v>11</v>
      </c>
      <c r="J7">
        <f>ACCRINT($J$1,$B$4,$J$2,$J$3,100,2,1)</f>
        <v>0.31146408839779005</v>
      </c>
      <c r="K7">
        <f>J3/2*(J2-J1)/(B4-J1)*100</f>
        <v>0.39982269503546097</v>
      </c>
    </row>
    <row r="8" spans="1:12" x14ac:dyDescent="0.25">
      <c r="A8" s="13">
        <f t="shared" si="0"/>
        <v>2.3260273972602739</v>
      </c>
      <c r="B8" s="16">
        <f t="shared" si="4"/>
        <v>43677</v>
      </c>
      <c r="C8" s="4">
        <f t="shared" si="3"/>
        <v>2.5625</v>
      </c>
      <c r="D8" s="5">
        <f t="shared" si="1"/>
        <v>2.324821702147716</v>
      </c>
      <c r="E8" s="17">
        <f t="shared" si="3"/>
        <v>2.5625</v>
      </c>
      <c r="F8" s="5">
        <f t="shared" si="2"/>
        <v>2.3268055530807774</v>
      </c>
      <c r="I8" t="s">
        <v>12</v>
      </c>
      <c r="J8" s="22">
        <f>(1+$K$3)*100/(AVERAGE($J$4:$J$5)+$J$7)-1</f>
        <v>4.2736150643350124E-2</v>
      </c>
      <c r="L8" s="2">
        <v>5.8229999999999997E-2</v>
      </c>
    </row>
    <row r="9" spans="1:12" x14ac:dyDescent="0.25">
      <c r="A9" s="13">
        <f t="shared" si="0"/>
        <v>2.8281998631074607</v>
      </c>
      <c r="B9" s="16">
        <f t="shared" si="4"/>
        <v>43861</v>
      </c>
      <c r="C9" s="4">
        <f t="shared" si="3"/>
        <v>2.5625</v>
      </c>
      <c r="D9" s="5">
        <f t="shared" si="1"/>
        <v>2.2764753527268531</v>
      </c>
      <c r="E9" s="17">
        <f t="shared" si="3"/>
        <v>2.5625</v>
      </c>
      <c r="F9" s="5">
        <f t="shared" si="2"/>
        <v>2.2788375578261948</v>
      </c>
      <c r="I9" t="s">
        <v>13</v>
      </c>
      <c r="J9" s="23">
        <f>1+1/J8</f>
        <v>24.399393369454135</v>
      </c>
      <c r="K9">
        <f>SUMPRODUCT($D$3:$D$13,$A$3:$A$13)/100</f>
        <v>4.5207579336114501</v>
      </c>
    </row>
    <row r="10" spans="1:12" x14ac:dyDescent="0.25">
      <c r="A10" s="13">
        <f t="shared" si="0"/>
        <v>3.3264887063655029</v>
      </c>
      <c r="B10" s="16">
        <f t="shared" si="4"/>
        <v>44043</v>
      </c>
      <c r="C10" s="4">
        <f t="shared" si="3"/>
        <v>2.5625</v>
      </c>
      <c r="D10" s="5">
        <f t="shared" si="1"/>
        <v>2.2294967145774796</v>
      </c>
      <c r="E10" s="17">
        <f t="shared" si="3"/>
        <v>2.5625</v>
      </c>
      <c r="F10" s="5">
        <f t="shared" si="2"/>
        <v>2.2322180190106011</v>
      </c>
      <c r="I10" t="s">
        <v>14</v>
      </c>
      <c r="J10" s="22">
        <f>(1+$K$3)*100/(AVERAGE($J$5)+$J$7)-1</f>
        <v>4.2353841989134944E-2</v>
      </c>
      <c r="L10" s="2">
        <v>5.8209999999999998E-2</v>
      </c>
    </row>
    <row r="11" spans="1:12" x14ac:dyDescent="0.25">
      <c r="A11" s="13">
        <f t="shared" si="0"/>
        <v>3.8307776560788609</v>
      </c>
      <c r="B11" s="16">
        <f t="shared" si="4"/>
        <v>44227</v>
      </c>
      <c r="C11" s="4">
        <f t="shared" si="3"/>
        <v>2.5625</v>
      </c>
      <c r="D11" s="5">
        <f t="shared" si="1"/>
        <v>2.1829393636002719</v>
      </c>
      <c r="E11" s="17">
        <f t="shared" si="3"/>
        <v>2.5625</v>
      </c>
      <c r="F11" s="5">
        <f t="shared" si="2"/>
        <v>2.1860080536284592</v>
      </c>
      <c r="I11" t="s">
        <v>15</v>
      </c>
      <c r="J11" s="23">
        <f>1+1/J10</f>
        <v>24.610608932633092</v>
      </c>
      <c r="K11">
        <f>SUMPRODUCT($F$3:$F$13,$A$3:$A$13)/100</f>
        <v>4.5284543825751031</v>
      </c>
    </row>
    <row r="12" spans="1:12" x14ac:dyDescent="0.25">
      <c r="A12" s="13">
        <f t="shared" si="0"/>
        <v>4.3263964950711937</v>
      </c>
      <c r="B12" s="16">
        <f t="shared" si="4"/>
        <v>44408</v>
      </c>
      <c r="C12" s="4">
        <f t="shared" si="3"/>
        <v>2.5625</v>
      </c>
      <c r="D12" s="5">
        <f t="shared" si="1"/>
        <v>2.13812987740546</v>
      </c>
      <c r="E12" s="17">
        <f t="shared" si="3"/>
        <v>2.5625</v>
      </c>
      <c r="F12" s="5">
        <f t="shared" si="2"/>
        <v>2.1415247562518025</v>
      </c>
    </row>
    <row r="13" spans="1:12" x14ac:dyDescent="0.25">
      <c r="A13" s="14">
        <f t="shared" si="0"/>
        <v>4.8306709265175716</v>
      </c>
      <c r="B13" s="18">
        <f t="shared" si="4"/>
        <v>44592</v>
      </c>
      <c r="C13" s="6">
        <f>$J$3*100/2+100</f>
        <v>102.5625</v>
      </c>
      <c r="D13" s="7">
        <f t="shared" si="1"/>
        <v>83.790330996710267</v>
      </c>
      <c r="E13" s="19">
        <f>$J$3*100/2+100</f>
        <v>102.5625</v>
      </c>
      <c r="F13" s="7">
        <f t="shared" si="2"/>
        <v>83.938892199118996</v>
      </c>
    </row>
    <row r="14" spans="1:12" x14ac:dyDescent="0.25">
      <c r="I14" s="24" t="s">
        <v>61</v>
      </c>
    </row>
  </sheetData>
  <mergeCells count="2">
    <mergeCell ref="C1:D1"/>
    <mergeCell ref="E1:F1"/>
  </mergeCells>
  <hyperlinks>
    <hyperlink ref="K1" r:id="rId1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3" sqref="J3"/>
    </sheetView>
  </sheetViews>
  <sheetFormatPr defaultRowHeight="13.2" x14ac:dyDescent="0.25"/>
  <cols>
    <col min="2" max="2" width="10.109375" bestFit="1" customWidth="1"/>
    <col min="9" max="9" width="17.5546875" bestFit="1" customWidth="1"/>
    <col min="10" max="10" width="12" bestFit="1" customWidth="1"/>
  </cols>
  <sheetData>
    <row r="1" spans="1:12" x14ac:dyDescent="0.25">
      <c r="A1" s="15"/>
      <c r="B1" s="8"/>
      <c r="C1" s="37" t="s">
        <v>16</v>
      </c>
      <c r="D1" s="38"/>
      <c r="E1" s="39" t="s">
        <v>9</v>
      </c>
      <c r="F1" s="38"/>
      <c r="I1" t="s">
        <v>6</v>
      </c>
      <c r="J1" s="1">
        <v>42673</v>
      </c>
      <c r="K1" s="21" t="s">
        <v>56</v>
      </c>
    </row>
    <row r="2" spans="1:12" x14ac:dyDescent="0.25">
      <c r="A2" s="4"/>
      <c r="B2" s="9" t="s">
        <v>0</v>
      </c>
      <c r="C2" s="9" t="s">
        <v>1</v>
      </c>
      <c r="D2" s="10" t="s">
        <v>2</v>
      </c>
      <c r="E2" s="11" t="s">
        <v>1</v>
      </c>
      <c r="F2" s="10" t="s">
        <v>2</v>
      </c>
      <c r="I2" t="s">
        <v>10</v>
      </c>
      <c r="J2" s="1">
        <v>42828</v>
      </c>
    </row>
    <row r="3" spans="1:12" x14ac:dyDescent="0.25">
      <c r="A3" s="12">
        <v>0</v>
      </c>
      <c r="B3" s="16">
        <f>$J$2</f>
        <v>42828</v>
      </c>
      <c r="C3" s="4">
        <f>-(J5+J4)/2-J7</f>
        <v>-105.75655737704918</v>
      </c>
      <c r="D3" s="5">
        <f>C3/(1+$J$8)^$A3</f>
        <v>-105.75655737704918</v>
      </c>
      <c r="E3" s="17">
        <f>-$J$5-$J$7</f>
        <v>-105.90655737704918</v>
      </c>
      <c r="F3" s="5">
        <f>E3/(1+$J$10)^$A3</f>
        <v>-105.90655737704918</v>
      </c>
      <c r="I3" t="s">
        <v>7</v>
      </c>
      <c r="J3" s="2">
        <v>9.4E-2</v>
      </c>
    </row>
    <row r="4" spans="1:12" x14ac:dyDescent="0.25">
      <c r="A4" s="13">
        <f t="shared" ref="A4:A13" si="0">YEARFRAC($B$3,B4,1)</f>
        <v>0.57534246575342463</v>
      </c>
      <c r="B4" s="16">
        <v>43038</v>
      </c>
      <c r="C4" s="4">
        <f>100+J3*100</f>
        <v>109.4</v>
      </c>
      <c r="D4" s="5">
        <f t="shared" ref="D4:D13" si="1">C4/(1+$J$8)^$A4</f>
        <v>105.75655737867454</v>
      </c>
      <c r="E4" s="17">
        <f>$J$3*100/1+100</f>
        <v>109.4</v>
      </c>
      <c r="F4" s="5">
        <f t="shared" ref="F4:F13" si="2">E4/(1+$J$10)^$A4</f>
        <v>105.90655749925105</v>
      </c>
      <c r="I4" t="s">
        <v>8</v>
      </c>
      <c r="J4">
        <v>101.6</v>
      </c>
    </row>
    <row r="5" spans="1:12" x14ac:dyDescent="0.25">
      <c r="A5" s="13">
        <f t="shared" si="0"/>
        <v>0.57534246575342463</v>
      </c>
      <c r="B5" s="16">
        <f t="shared" ref="B5:B12" si="3">$B$4</f>
        <v>43038</v>
      </c>
      <c r="C5" s="4">
        <v>0</v>
      </c>
      <c r="D5" s="5">
        <f t="shared" si="1"/>
        <v>0</v>
      </c>
      <c r="E5" s="17">
        <v>0</v>
      </c>
      <c r="F5" s="5">
        <f t="shared" si="2"/>
        <v>0</v>
      </c>
      <c r="I5" t="s">
        <v>9</v>
      </c>
      <c r="J5">
        <v>101.9</v>
      </c>
    </row>
    <row r="6" spans="1:12" x14ac:dyDescent="0.25">
      <c r="A6" s="13">
        <f t="shared" si="0"/>
        <v>0.57534246575342463</v>
      </c>
      <c r="B6" s="16">
        <f t="shared" si="3"/>
        <v>43038</v>
      </c>
      <c r="C6" s="4">
        <v>0</v>
      </c>
      <c r="D6" s="5">
        <f t="shared" si="1"/>
        <v>0</v>
      </c>
      <c r="E6" s="17">
        <v>0</v>
      </c>
      <c r="F6" s="5">
        <f t="shared" si="2"/>
        <v>0</v>
      </c>
      <c r="K6" t="s">
        <v>17</v>
      </c>
      <c r="L6" t="s">
        <v>18</v>
      </c>
    </row>
    <row r="7" spans="1:12" x14ac:dyDescent="0.25">
      <c r="A7" s="13">
        <f t="shared" si="0"/>
        <v>0.57534246575342463</v>
      </c>
      <c r="B7" s="16">
        <f t="shared" si="3"/>
        <v>43038</v>
      </c>
      <c r="C7" s="4">
        <v>0</v>
      </c>
      <c r="D7" s="5">
        <f t="shared" si="1"/>
        <v>0</v>
      </c>
      <c r="E7" s="17">
        <v>0</v>
      </c>
      <c r="F7" s="5">
        <f t="shared" si="2"/>
        <v>0</v>
      </c>
      <c r="I7" t="s">
        <v>11</v>
      </c>
      <c r="J7">
        <f>ACCRINT($J$1,$B$4,$J$2,$J$3,100,2,1)</f>
        <v>4.0065573770491811</v>
      </c>
      <c r="K7">
        <f>J3/1*(J2-J1)/(B4-J1)*100</f>
        <v>3.9917808219178084</v>
      </c>
      <c r="L7">
        <v>1.5405</v>
      </c>
    </row>
    <row r="8" spans="1:12" x14ac:dyDescent="0.25">
      <c r="A8" s="13">
        <f t="shared" si="0"/>
        <v>0.57534246575342463</v>
      </c>
      <c r="B8" s="16">
        <f t="shared" si="3"/>
        <v>43038</v>
      </c>
      <c r="C8" s="4">
        <v>0</v>
      </c>
      <c r="D8" s="5">
        <f t="shared" si="1"/>
        <v>0</v>
      </c>
      <c r="E8" s="17">
        <v>0</v>
      </c>
      <c r="F8" s="5">
        <f t="shared" si="2"/>
        <v>0</v>
      </c>
      <c r="I8" t="s">
        <v>12</v>
      </c>
      <c r="J8" s="3">
        <f>XIRR($C$3:$C$13,$B$3:$B$13)</f>
        <v>6.0638555884361262E-2</v>
      </c>
      <c r="L8" s="2"/>
    </row>
    <row r="9" spans="1:12" x14ac:dyDescent="0.25">
      <c r="A9" s="13">
        <f t="shared" si="0"/>
        <v>0.57534246575342463</v>
      </c>
      <c r="B9" s="16">
        <f t="shared" si="3"/>
        <v>43038</v>
      </c>
      <c r="C9" s="4">
        <v>0</v>
      </c>
      <c r="D9" s="5">
        <f t="shared" si="1"/>
        <v>0</v>
      </c>
      <c r="E9" s="17">
        <v>0</v>
      </c>
      <c r="F9" s="5">
        <f t="shared" si="2"/>
        <v>0</v>
      </c>
      <c r="I9" t="s">
        <v>13</v>
      </c>
      <c r="J9">
        <f>DURATION($J$2,$B$13,$J$3,J8,2,1)</f>
        <v>0.55207252828827125</v>
      </c>
      <c r="K9">
        <f>SUMPRODUCT($D$3:$D$13,$A$3:$A$13)/100</f>
        <v>0.60846238491840143</v>
      </c>
    </row>
    <row r="10" spans="1:12" x14ac:dyDescent="0.25">
      <c r="A10" s="13">
        <f t="shared" si="0"/>
        <v>0.57534246575342463</v>
      </c>
      <c r="B10" s="16">
        <f t="shared" si="3"/>
        <v>43038</v>
      </c>
      <c r="C10" s="4">
        <v>0</v>
      </c>
      <c r="D10" s="5">
        <f t="shared" si="1"/>
        <v>0</v>
      </c>
      <c r="E10" s="17">
        <v>0</v>
      </c>
      <c r="F10" s="5">
        <f t="shared" si="2"/>
        <v>0</v>
      </c>
      <c r="I10" t="s">
        <v>14</v>
      </c>
      <c r="J10" s="3">
        <f>XIRR($E$3:$E$13,$B$3:$B$13)</f>
        <v>5.8028903603553769E-2</v>
      </c>
      <c r="L10" s="2"/>
    </row>
    <row r="11" spans="1:12" x14ac:dyDescent="0.25">
      <c r="A11" s="13">
        <f t="shared" si="0"/>
        <v>0.57534246575342463</v>
      </c>
      <c r="B11" s="16">
        <f t="shared" si="3"/>
        <v>43038</v>
      </c>
      <c r="C11" s="4">
        <v>0</v>
      </c>
      <c r="D11" s="5">
        <f t="shared" si="1"/>
        <v>0</v>
      </c>
      <c r="E11" s="17">
        <v>0</v>
      </c>
      <c r="F11" s="5">
        <f t="shared" si="2"/>
        <v>0</v>
      </c>
      <c r="I11" t="s">
        <v>15</v>
      </c>
      <c r="J11">
        <f>DURATION($J$2,$B$13,$J$3,J10,2,1)</f>
        <v>0.5520992845974465</v>
      </c>
      <c r="K11">
        <f>SUMPRODUCT($F$3:$F$13,$A$3:$A$13)/100</f>
        <v>0.60932539931075946</v>
      </c>
    </row>
    <row r="12" spans="1:12" x14ac:dyDescent="0.25">
      <c r="A12" s="13">
        <f t="shared" si="0"/>
        <v>0.57534246575342463</v>
      </c>
      <c r="B12" s="16">
        <f t="shared" si="3"/>
        <v>43038</v>
      </c>
      <c r="C12" s="4">
        <v>0</v>
      </c>
      <c r="D12" s="5">
        <f t="shared" si="1"/>
        <v>0</v>
      </c>
      <c r="E12" s="17">
        <v>0</v>
      </c>
      <c r="F12" s="5">
        <f t="shared" si="2"/>
        <v>0</v>
      </c>
    </row>
    <row r="13" spans="1:12" x14ac:dyDescent="0.25">
      <c r="A13" s="14">
        <f t="shared" si="0"/>
        <v>0.57534246575342463</v>
      </c>
      <c r="B13" s="18">
        <f>$B$4</f>
        <v>43038</v>
      </c>
      <c r="C13" s="6">
        <v>0</v>
      </c>
      <c r="D13" s="7">
        <f t="shared" si="1"/>
        <v>0</v>
      </c>
      <c r="E13" s="19">
        <v>0</v>
      </c>
      <c r="F13" s="7">
        <f t="shared" si="2"/>
        <v>0</v>
      </c>
    </row>
  </sheetData>
  <mergeCells count="2">
    <mergeCell ref="C1:D1"/>
    <mergeCell ref="E1:F1"/>
  </mergeCells>
  <hyperlinks>
    <hyperlink ref="K1" r:id="rId1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15" sqref="C15"/>
    </sheetView>
  </sheetViews>
  <sheetFormatPr defaultRowHeight="13.2" x14ac:dyDescent="0.25"/>
  <cols>
    <col min="1" max="1" width="11.109375" style="27" bestFit="1" customWidth="1"/>
    <col min="2" max="2" width="13.6640625" style="27" bestFit="1" customWidth="1"/>
    <col min="3" max="6" width="8.88671875" style="27"/>
    <col min="7" max="7" width="17.44140625" style="27" bestFit="1" customWidth="1"/>
    <col min="8" max="8" width="10.109375" style="27" bestFit="1" customWidth="1"/>
    <col min="9" max="9" width="14.44140625" style="27" bestFit="1" customWidth="1"/>
    <col min="10" max="256" width="8.88671875" style="27"/>
    <col min="257" max="257" width="11.109375" style="27" bestFit="1" customWidth="1"/>
    <col min="258" max="258" width="13.6640625" style="27" bestFit="1" customWidth="1"/>
    <col min="259" max="262" width="8.88671875" style="27"/>
    <col min="263" max="263" width="17.44140625" style="27" bestFit="1" customWidth="1"/>
    <col min="264" max="264" width="10.109375" style="27" bestFit="1" customWidth="1"/>
    <col min="265" max="265" width="14.44140625" style="27" bestFit="1" customWidth="1"/>
    <col min="266" max="512" width="8.88671875" style="27"/>
    <col min="513" max="513" width="11.109375" style="27" bestFit="1" customWidth="1"/>
    <col min="514" max="514" width="13.6640625" style="27" bestFit="1" customWidth="1"/>
    <col min="515" max="518" width="8.88671875" style="27"/>
    <col min="519" max="519" width="17.44140625" style="27" bestFit="1" customWidth="1"/>
    <col min="520" max="520" width="10.109375" style="27" bestFit="1" customWidth="1"/>
    <col min="521" max="521" width="14.44140625" style="27" bestFit="1" customWidth="1"/>
    <col min="522" max="768" width="8.88671875" style="27"/>
    <col min="769" max="769" width="11.109375" style="27" bestFit="1" customWidth="1"/>
    <col min="770" max="770" width="13.6640625" style="27" bestFit="1" customWidth="1"/>
    <col min="771" max="774" width="8.88671875" style="27"/>
    <col min="775" max="775" width="17.44140625" style="27" bestFit="1" customWidth="1"/>
    <col min="776" max="776" width="10.109375" style="27" bestFit="1" customWidth="1"/>
    <col min="777" max="777" width="14.44140625" style="27" bestFit="1" customWidth="1"/>
    <col min="778" max="1024" width="8.88671875" style="27"/>
    <col min="1025" max="1025" width="11.109375" style="27" bestFit="1" customWidth="1"/>
    <col min="1026" max="1026" width="13.6640625" style="27" bestFit="1" customWidth="1"/>
    <col min="1027" max="1030" width="8.88671875" style="27"/>
    <col min="1031" max="1031" width="17.44140625" style="27" bestFit="1" customWidth="1"/>
    <col min="1032" max="1032" width="10.109375" style="27" bestFit="1" customWidth="1"/>
    <col min="1033" max="1033" width="14.44140625" style="27" bestFit="1" customWidth="1"/>
    <col min="1034" max="1280" width="8.88671875" style="27"/>
    <col min="1281" max="1281" width="11.109375" style="27" bestFit="1" customWidth="1"/>
    <col min="1282" max="1282" width="13.6640625" style="27" bestFit="1" customWidth="1"/>
    <col min="1283" max="1286" width="8.88671875" style="27"/>
    <col min="1287" max="1287" width="17.44140625" style="27" bestFit="1" customWidth="1"/>
    <col min="1288" max="1288" width="10.109375" style="27" bestFit="1" customWidth="1"/>
    <col min="1289" max="1289" width="14.44140625" style="27" bestFit="1" customWidth="1"/>
    <col min="1290" max="1536" width="8.88671875" style="27"/>
    <col min="1537" max="1537" width="11.109375" style="27" bestFit="1" customWidth="1"/>
    <col min="1538" max="1538" width="13.6640625" style="27" bestFit="1" customWidth="1"/>
    <col min="1539" max="1542" width="8.88671875" style="27"/>
    <col min="1543" max="1543" width="17.44140625" style="27" bestFit="1" customWidth="1"/>
    <col min="1544" max="1544" width="10.109375" style="27" bestFit="1" customWidth="1"/>
    <col min="1545" max="1545" width="14.44140625" style="27" bestFit="1" customWidth="1"/>
    <col min="1546" max="1792" width="8.88671875" style="27"/>
    <col min="1793" max="1793" width="11.109375" style="27" bestFit="1" customWidth="1"/>
    <col min="1794" max="1794" width="13.6640625" style="27" bestFit="1" customWidth="1"/>
    <col min="1795" max="1798" width="8.88671875" style="27"/>
    <col min="1799" max="1799" width="17.44140625" style="27" bestFit="1" customWidth="1"/>
    <col min="1800" max="1800" width="10.109375" style="27" bestFit="1" customWidth="1"/>
    <col min="1801" max="1801" width="14.44140625" style="27" bestFit="1" customWidth="1"/>
    <col min="1802" max="2048" width="8.88671875" style="27"/>
    <col min="2049" max="2049" width="11.109375" style="27" bestFit="1" customWidth="1"/>
    <col min="2050" max="2050" width="13.6640625" style="27" bestFit="1" customWidth="1"/>
    <col min="2051" max="2054" width="8.88671875" style="27"/>
    <col min="2055" max="2055" width="17.44140625" style="27" bestFit="1" customWidth="1"/>
    <col min="2056" max="2056" width="10.109375" style="27" bestFit="1" customWidth="1"/>
    <col min="2057" max="2057" width="14.44140625" style="27" bestFit="1" customWidth="1"/>
    <col min="2058" max="2304" width="8.88671875" style="27"/>
    <col min="2305" max="2305" width="11.109375" style="27" bestFit="1" customWidth="1"/>
    <col min="2306" max="2306" width="13.6640625" style="27" bestFit="1" customWidth="1"/>
    <col min="2307" max="2310" width="8.88671875" style="27"/>
    <col min="2311" max="2311" width="17.44140625" style="27" bestFit="1" customWidth="1"/>
    <col min="2312" max="2312" width="10.109375" style="27" bestFit="1" customWidth="1"/>
    <col min="2313" max="2313" width="14.44140625" style="27" bestFit="1" customWidth="1"/>
    <col min="2314" max="2560" width="8.88671875" style="27"/>
    <col min="2561" max="2561" width="11.109375" style="27" bestFit="1" customWidth="1"/>
    <col min="2562" max="2562" width="13.6640625" style="27" bestFit="1" customWidth="1"/>
    <col min="2563" max="2566" width="8.88671875" style="27"/>
    <col min="2567" max="2567" width="17.44140625" style="27" bestFit="1" customWidth="1"/>
    <col min="2568" max="2568" width="10.109375" style="27" bestFit="1" customWidth="1"/>
    <col min="2569" max="2569" width="14.44140625" style="27" bestFit="1" customWidth="1"/>
    <col min="2570" max="2816" width="8.88671875" style="27"/>
    <col min="2817" max="2817" width="11.109375" style="27" bestFit="1" customWidth="1"/>
    <col min="2818" max="2818" width="13.6640625" style="27" bestFit="1" customWidth="1"/>
    <col min="2819" max="2822" width="8.88671875" style="27"/>
    <col min="2823" max="2823" width="17.44140625" style="27" bestFit="1" customWidth="1"/>
    <col min="2824" max="2824" width="10.109375" style="27" bestFit="1" customWidth="1"/>
    <col min="2825" max="2825" width="14.44140625" style="27" bestFit="1" customWidth="1"/>
    <col min="2826" max="3072" width="8.88671875" style="27"/>
    <col min="3073" max="3073" width="11.109375" style="27" bestFit="1" customWidth="1"/>
    <col min="3074" max="3074" width="13.6640625" style="27" bestFit="1" customWidth="1"/>
    <col min="3075" max="3078" width="8.88671875" style="27"/>
    <col min="3079" max="3079" width="17.44140625" style="27" bestFit="1" customWidth="1"/>
    <col min="3080" max="3080" width="10.109375" style="27" bestFit="1" customWidth="1"/>
    <col min="3081" max="3081" width="14.44140625" style="27" bestFit="1" customWidth="1"/>
    <col min="3082" max="3328" width="8.88671875" style="27"/>
    <col min="3329" max="3329" width="11.109375" style="27" bestFit="1" customWidth="1"/>
    <col min="3330" max="3330" width="13.6640625" style="27" bestFit="1" customWidth="1"/>
    <col min="3331" max="3334" width="8.88671875" style="27"/>
    <col min="3335" max="3335" width="17.44140625" style="27" bestFit="1" customWidth="1"/>
    <col min="3336" max="3336" width="10.109375" style="27" bestFit="1" customWidth="1"/>
    <col min="3337" max="3337" width="14.44140625" style="27" bestFit="1" customWidth="1"/>
    <col min="3338" max="3584" width="8.88671875" style="27"/>
    <col min="3585" max="3585" width="11.109375" style="27" bestFit="1" customWidth="1"/>
    <col min="3586" max="3586" width="13.6640625" style="27" bestFit="1" customWidth="1"/>
    <col min="3587" max="3590" width="8.88671875" style="27"/>
    <col min="3591" max="3591" width="17.44140625" style="27" bestFit="1" customWidth="1"/>
    <col min="3592" max="3592" width="10.109375" style="27" bestFit="1" customWidth="1"/>
    <col min="3593" max="3593" width="14.44140625" style="27" bestFit="1" customWidth="1"/>
    <col min="3594" max="3840" width="8.88671875" style="27"/>
    <col min="3841" max="3841" width="11.109375" style="27" bestFit="1" customWidth="1"/>
    <col min="3842" max="3842" width="13.6640625" style="27" bestFit="1" customWidth="1"/>
    <col min="3843" max="3846" width="8.88671875" style="27"/>
    <col min="3847" max="3847" width="17.44140625" style="27" bestFit="1" customWidth="1"/>
    <col min="3848" max="3848" width="10.109375" style="27" bestFit="1" customWidth="1"/>
    <col min="3849" max="3849" width="14.44140625" style="27" bestFit="1" customWidth="1"/>
    <col min="3850" max="4096" width="8.88671875" style="27"/>
    <col min="4097" max="4097" width="11.109375" style="27" bestFit="1" customWidth="1"/>
    <col min="4098" max="4098" width="13.6640625" style="27" bestFit="1" customWidth="1"/>
    <col min="4099" max="4102" width="8.88671875" style="27"/>
    <col min="4103" max="4103" width="17.44140625" style="27" bestFit="1" customWidth="1"/>
    <col min="4104" max="4104" width="10.109375" style="27" bestFit="1" customWidth="1"/>
    <col min="4105" max="4105" width="14.44140625" style="27" bestFit="1" customWidth="1"/>
    <col min="4106" max="4352" width="8.88671875" style="27"/>
    <col min="4353" max="4353" width="11.109375" style="27" bestFit="1" customWidth="1"/>
    <col min="4354" max="4354" width="13.6640625" style="27" bestFit="1" customWidth="1"/>
    <col min="4355" max="4358" width="8.88671875" style="27"/>
    <col min="4359" max="4359" width="17.44140625" style="27" bestFit="1" customWidth="1"/>
    <col min="4360" max="4360" width="10.109375" style="27" bestFit="1" customWidth="1"/>
    <col min="4361" max="4361" width="14.44140625" style="27" bestFit="1" customWidth="1"/>
    <col min="4362" max="4608" width="8.88671875" style="27"/>
    <col min="4609" max="4609" width="11.109375" style="27" bestFit="1" customWidth="1"/>
    <col min="4610" max="4610" width="13.6640625" style="27" bestFit="1" customWidth="1"/>
    <col min="4611" max="4614" width="8.88671875" style="27"/>
    <col min="4615" max="4615" width="17.44140625" style="27" bestFit="1" customWidth="1"/>
    <col min="4616" max="4616" width="10.109375" style="27" bestFit="1" customWidth="1"/>
    <col min="4617" max="4617" width="14.44140625" style="27" bestFit="1" customWidth="1"/>
    <col min="4618" max="4864" width="8.88671875" style="27"/>
    <col min="4865" max="4865" width="11.109375" style="27" bestFit="1" customWidth="1"/>
    <col min="4866" max="4866" width="13.6640625" style="27" bestFit="1" customWidth="1"/>
    <col min="4867" max="4870" width="8.88671875" style="27"/>
    <col min="4871" max="4871" width="17.44140625" style="27" bestFit="1" customWidth="1"/>
    <col min="4872" max="4872" width="10.109375" style="27" bestFit="1" customWidth="1"/>
    <col min="4873" max="4873" width="14.44140625" style="27" bestFit="1" customWidth="1"/>
    <col min="4874" max="5120" width="8.88671875" style="27"/>
    <col min="5121" max="5121" width="11.109375" style="27" bestFit="1" customWidth="1"/>
    <col min="5122" max="5122" width="13.6640625" style="27" bestFit="1" customWidth="1"/>
    <col min="5123" max="5126" width="8.88671875" style="27"/>
    <col min="5127" max="5127" width="17.44140625" style="27" bestFit="1" customWidth="1"/>
    <col min="5128" max="5128" width="10.109375" style="27" bestFit="1" customWidth="1"/>
    <col min="5129" max="5129" width="14.44140625" style="27" bestFit="1" customWidth="1"/>
    <col min="5130" max="5376" width="8.88671875" style="27"/>
    <col min="5377" max="5377" width="11.109375" style="27" bestFit="1" customWidth="1"/>
    <col min="5378" max="5378" width="13.6640625" style="27" bestFit="1" customWidth="1"/>
    <col min="5379" max="5382" width="8.88671875" style="27"/>
    <col min="5383" max="5383" width="17.44140625" style="27" bestFit="1" customWidth="1"/>
    <col min="5384" max="5384" width="10.109375" style="27" bestFit="1" customWidth="1"/>
    <col min="5385" max="5385" width="14.44140625" style="27" bestFit="1" customWidth="1"/>
    <col min="5386" max="5632" width="8.88671875" style="27"/>
    <col min="5633" max="5633" width="11.109375" style="27" bestFit="1" customWidth="1"/>
    <col min="5634" max="5634" width="13.6640625" style="27" bestFit="1" customWidth="1"/>
    <col min="5635" max="5638" width="8.88671875" style="27"/>
    <col min="5639" max="5639" width="17.44140625" style="27" bestFit="1" customWidth="1"/>
    <col min="5640" max="5640" width="10.109375" style="27" bestFit="1" customWidth="1"/>
    <col min="5641" max="5641" width="14.44140625" style="27" bestFit="1" customWidth="1"/>
    <col min="5642" max="5888" width="8.88671875" style="27"/>
    <col min="5889" max="5889" width="11.109375" style="27" bestFit="1" customWidth="1"/>
    <col min="5890" max="5890" width="13.6640625" style="27" bestFit="1" customWidth="1"/>
    <col min="5891" max="5894" width="8.88671875" style="27"/>
    <col min="5895" max="5895" width="17.44140625" style="27" bestFit="1" customWidth="1"/>
    <col min="5896" max="5896" width="10.109375" style="27" bestFit="1" customWidth="1"/>
    <col min="5897" max="5897" width="14.44140625" style="27" bestFit="1" customWidth="1"/>
    <col min="5898" max="6144" width="8.88671875" style="27"/>
    <col min="6145" max="6145" width="11.109375" style="27" bestFit="1" customWidth="1"/>
    <col min="6146" max="6146" width="13.6640625" style="27" bestFit="1" customWidth="1"/>
    <col min="6147" max="6150" width="8.88671875" style="27"/>
    <col min="6151" max="6151" width="17.44140625" style="27" bestFit="1" customWidth="1"/>
    <col min="6152" max="6152" width="10.109375" style="27" bestFit="1" customWidth="1"/>
    <col min="6153" max="6153" width="14.44140625" style="27" bestFit="1" customWidth="1"/>
    <col min="6154" max="6400" width="8.88671875" style="27"/>
    <col min="6401" max="6401" width="11.109375" style="27" bestFit="1" customWidth="1"/>
    <col min="6402" max="6402" width="13.6640625" style="27" bestFit="1" customWidth="1"/>
    <col min="6403" max="6406" width="8.88671875" style="27"/>
    <col min="6407" max="6407" width="17.44140625" style="27" bestFit="1" customWidth="1"/>
    <col min="6408" max="6408" width="10.109375" style="27" bestFit="1" customWidth="1"/>
    <col min="6409" max="6409" width="14.44140625" style="27" bestFit="1" customWidth="1"/>
    <col min="6410" max="6656" width="8.88671875" style="27"/>
    <col min="6657" max="6657" width="11.109375" style="27" bestFit="1" customWidth="1"/>
    <col min="6658" max="6658" width="13.6640625" style="27" bestFit="1" customWidth="1"/>
    <col min="6659" max="6662" width="8.88671875" style="27"/>
    <col min="6663" max="6663" width="17.44140625" style="27" bestFit="1" customWidth="1"/>
    <col min="6664" max="6664" width="10.109375" style="27" bestFit="1" customWidth="1"/>
    <col min="6665" max="6665" width="14.44140625" style="27" bestFit="1" customWidth="1"/>
    <col min="6666" max="6912" width="8.88671875" style="27"/>
    <col min="6913" max="6913" width="11.109375" style="27" bestFit="1" customWidth="1"/>
    <col min="6914" max="6914" width="13.6640625" style="27" bestFit="1" customWidth="1"/>
    <col min="6915" max="6918" width="8.88671875" style="27"/>
    <col min="6919" max="6919" width="17.44140625" style="27" bestFit="1" customWidth="1"/>
    <col min="6920" max="6920" width="10.109375" style="27" bestFit="1" customWidth="1"/>
    <col min="6921" max="6921" width="14.44140625" style="27" bestFit="1" customWidth="1"/>
    <col min="6922" max="7168" width="8.88671875" style="27"/>
    <col min="7169" max="7169" width="11.109375" style="27" bestFit="1" customWidth="1"/>
    <col min="7170" max="7170" width="13.6640625" style="27" bestFit="1" customWidth="1"/>
    <col min="7171" max="7174" width="8.88671875" style="27"/>
    <col min="7175" max="7175" width="17.44140625" style="27" bestFit="1" customWidth="1"/>
    <col min="7176" max="7176" width="10.109375" style="27" bestFit="1" customWidth="1"/>
    <col min="7177" max="7177" width="14.44140625" style="27" bestFit="1" customWidth="1"/>
    <col min="7178" max="7424" width="8.88671875" style="27"/>
    <col min="7425" max="7425" width="11.109375" style="27" bestFit="1" customWidth="1"/>
    <col min="7426" max="7426" width="13.6640625" style="27" bestFit="1" customWidth="1"/>
    <col min="7427" max="7430" width="8.88671875" style="27"/>
    <col min="7431" max="7431" width="17.44140625" style="27" bestFit="1" customWidth="1"/>
    <col min="7432" max="7432" width="10.109375" style="27" bestFit="1" customWidth="1"/>
    <col min="7433" max="7433" width="14.44140625" style="27" bestFit="1" customWidth="1"/>
    <col min="7434" max="7680" width="8.88671875" style="27"/>
    <col min="7681" max="7681" width="11.109375" style="27" bestFit="1" customWidth="1"/>
    <col min="7682" max="7682" width="13.6640625" style="27" bestFit="1" customWidth="1"/>
    <col min="7683" max="7686" width="8.88671875" style="27"/>
    <col min="7687" max="7687" width="17.44140625" style="27" bestFit="1" customWidth="1"/>
    <col min="7688" max="7688" width="10.109375" style="27" bestFit="1" customWidth="1"/>
    <col min="7689" max="7689" width="14.44140625" style="27" bestFit="1" customWidth="1"/>
    <col min="7690" max="7936" width="8.88671875" style="27"/>
    <col min="7937" max="7937" width="11.109375" style="27" bestFit="1" customWidth="1"/>
    <col min="7938" max="7938" width="13.6640625" style="27" bestFit="1" customWidth="1"/>
    <col min="7939" max="7942" width="8.88671875" style="27"/>
    <col min="7943" max="7943" width="17.44140625" style="27" bestFit="1" customWidth="1"/>
    <col min="7944" max="7944" width="10.109375" style="27" bestFit="1" customWidth="1"/>
    <col min="7945" max="7945" width="14.44140625" style="27" bestFit="1" customWidth="1"/>
    <col min="7946" max="8192" width="8.88671875" style="27"/>
    <col min="8193" max="8193" width="11.109375" style="27" bestFit="1" customWidth="1"/>
    <col min="8194" max="8194" width="13.6640625" style="27" bestFit="1" customWidth="1"/>
    <col min="8195" max="8198" width="8.88671875" style="27"/>
    <col min="8199" max="8199" width="17.44140625" style="27" bestFit="1" customWidth="1"/>
    <col min="8200" max="8200" width="10.109375" style="27" bestFit="1" customWidth="1"/>
    <col min="8201" max="8201" width="14.44140625" style="27" bestFit="1" customWidth="1"/>
    <col min="8202" max="8448" width="8.88671875" style="27"/>
    <col min="8449" max="8449" width="11.109375" style="27" bestFit="1" customWidth="1"/>
    <col min="8450" max="8450" width="13.6640625" style="27" bestFit="1" customWidth="1"/>
    <col min="8451" max="8454" width="8.88671875" style="27"/>
    <col min="8455" max="8455" width="17.44140625" style="27" bestFit="1" customWidth="1"/>
    <col min="8456" max="8456" width="10.109375" style="27" bestFit="1" customWidth="1"/>
    <col min="8457" max="8457" width="14.44140625" style="27" bestFit="1" customWidth="1"/>
    <col min="8458" max="8704" width="8.88671875" style="27"/>
    <col min="8705" max="8705" width="11.109375" style="27" bestFit="1" customWidth="1"/>
    <col min="8706" max="8706" width="13.6640625" style="27" bestFit="1" customWidth="1"/>
    <col min="8707" max="8710" width="8.88671875" style="27"/>
    <col min="8711" max="8711" width="17.44140625" style="27" bestFit="1" customWidth="1"/>
    <col min="8712" max="8712" width="10.109375" style="27" bestFit="1" customWidth="1"/>
    <col min="8713" max="8713" width="14.44140625" style="27" bestFit="1" customWidth="1"/>
    <col min="8714" max="8960" width="8.88671875" style="27"/>
    <col min="8961" max="8961" width="11.109375" style="27" bestFit="1" customWidth="1"/>
    <col min="8962" max="8962" width="13.6640625" style="27" bestFit="1" customWidth="1"/>
    <col min="8963" max="8966" width="8.88671875" style="27"/>
    <col min="8967" max="8967" width="17.44140625" style="27" bestFit="1" customWidth="1"/>
    <col min="8968" max="8968" width="10.109375" style="27" bestFit="1" customWidth="1"/>
    <col min="8969" max="8969" width="14.44140625" style="27" bestFit="1" customWidth="1"/>
    <col min="8970" max="9216" width="8.88671875" style="27"/>
    <col min="9217" max="9217" width="11.109375" style="27" bestFit="1" customWidth="1"/>
    <col min="9218" max="9218" width="13.6640625" style="27" bestFit="1" customWidth="1"/>
    <col min="9219" max="9222" width="8.88671875" style="27"/>
    <col min="9223" max="9223" width="17.44140625" style="27" bestFit="1" customWidth="1"/>
    <col min="9224" max="9224" width="10.109375" style="27" bestFit="1" customWidth="1"/>
    <col min="9225" max="9225" width="14.44140625" style="27" bestFit="1" customWidth="1"/>
    <col min="9226" max="9472" width="8.88671875" style="27"/>
    <col min="9473" max="9473" width="11.109375" style="27" bestFit="1" customWidth="1"/>
    <col min="9474" max="9474" width="13.6640625" style="27" bestFit="1" customWidth="1"/>
    <col min="9475" max="9478" width="8.88671875" style="27"/>
    <col min="9479" max="9479" width="17.44140625" style="27" bestFit="1" customWidth="1"/>
    <col min="9480" max="9480" width="10.109375" style="27" bestFit="1" customWidth="1"/>
    <col min="9481" max="9481" width="14.44140625" style="27" bestFit="1" customWidth="1"/>
    <col min="9482" max="9728" width="8.88671875" style="27"/>
    <col min="9729" max="9729" width="11.109375" style="27" bestFit="1" customWidth="1"/>
    <col min="9730" max="9730" width="13.6640625" style="27" bestFit="1" customWidth="1"/>
    <col min="9731" max="9734" width="8.88671875" style="27"/>
    <col min="9735" max="9735" width="17.44140625" style="27" bestFit="1" customWidth="1"/>
    <col min="9736" max="9736" width="10.109375" style="27" bestFit="1" customWidth="1"/>
    <col min="9737" max="9737" width="14.44140625" style="27" bestFit="1" customWidth="1"/>
    <col min="9738" max="9984" width="8.88671875" style="27"/>
    <col min="9985" max="9985" width="11.109375" style="27" bestFit="1" customWidth="1"/>
    <col min="9986" max="9986" width="13.6640625" style="27" bestFit="1" customWidth="1"/>
    <col min="9987" max="9990" width="8.88671875" style="27"/>
    <col min="9991" max="9991" width="17.44140625" style="27" bestFit="1" customWidth="1"/>
    <col min="9992" max="9992" width="10.109375" style="27" bestFit="1" customWidth="1"/>
    <col min="9993" max="9993" width="14.44140625" style="27" bestFit="1" customWidth="1"/>
    <col min="9994" max="10240" width="8.88671875" style="27"/>
    <col min="10241" max="10241" width="11.109375" style="27" bestFit="1" customWidth="1"/>
    <col min="10242" max="10242" width="13.6640625" style="27" bestFit="1" customWidth="1"/>
    <col min="10243" max="10246" width="8.88671875" style="27"/>
    <col min="10247" max="10247" width="17.44140625" style="27" bestFit="1" customWidth="1"/>
    <col min="10248" max="10248" width="10.109375" style="27" bestFit="1" customWidth="1"/>
    <col min="10249" max="10249" width="14.44140625" style="27" bestFit="1" customWidth="1"/>
    <col min="10250" max="10496" width="8.88671875" style="27"/>
    <col min="10497" max="10497" width="11.109375" style="27" bestFit="1" customWidth="1"/>
    <col min="10498" max="10498" width="13.6640625" style="27" bestFit="1" customWidth="1"/>
    <col min="10499" max="10502" width="8.88671875" style="27"/>
    <col min="10503" max="10503" width="17.44140625" style="27" bestFit="1" customWidth="1"/>
    <col min="10504" max="10504" width="10.109375" style="27" bestFit="1" customWidth="1"/>
    <col min="10505" max="10505" width="14.44140625" style="27" bestFit="1" customWidth="1"/>
    <col min="10506" max="10752" width="8.88671875" style="27"/>
    <col min="10753" max="10753" width="11.109375" style="27" bestFit="1" customWidth="1"/>
    <col min="10754" max="10754" width="13.6640625" style="27" bestFit="1" customWidth="1"/>
    <col min="10755" max="10758" width="8.88671875" style="27"/>
    <col min="10759" max="10759" width="17.44140625" style="27" bestFit="1" customWidth="1"/>
    <col min="10760" max="10760" width="10.109375" style="27" bestFit="1" customWidth="1"/>
    <col min="10761" max="10761" width="14.44140625" style="27" bestFit="1" customWidth="1"/>
    <col min="10762" max="11008" width="8.88671875" style="27"/>
    <col min="11009" max="11009" width="11.109375" style="27" bestFit="1" customWidth="1"/>
    <col min="11010" max="11010" width="13.6640625" style="27" bestFit="1" customWidth="1"/>
    <col min="11011" max="11014" width="8.88671875" style="27"/>
    <col min="11015" max="11015" width="17.44140625" style="27" bestFit="1" customWidth="1"/>
    <col min="11016" max="11016" width="10.109375" style="27" bestFit="1" customWidth="1"/>
    <col min="11017" max="11017" width="14.44140625" style="27" bestFit="1" customWidth="1"/>
    <col min="11018" max="11264" width="8.88671875" style="27"/>
    <col min="11265" max="11265" width="11.109375" style="27" bestFit="1" customWidth="1"/>
    <col min="11266" max="11266" width="13.6640625" style="27" bestFit="1" customWidth="1"/>
    <col min="11267" max="11270" width="8.88671875" style="27"/>
    <col min="11271" max="11271" width="17.44140625" style="27" bestFit="1" customWidth="1"/>
    <col min="11272" max="11272" width="10.109375" style="27" bestFit="1" customWidth="1"/>
    <col min="11273" max="11273" width="14.44140625" style="27" bestFit="1" customWidth="1"/>
    <col min="11274" max="11520" width="8.88671875" style="27"/>
    <col min="11521" max="11521" width="11.109375" style="27" bestFit="1" customWidth="1"/>
    <col min="11522" max="11522" width="13.6640625" style="27" bestFit="1" customWidth="1"/>
    <col min="11523" max="11526" width="8.88671875" style="27"/>
    <col min="11527" max="11527" width="17.44140625" style="27" bestFit="1" customWidth="1"/>
    <col min="11528" max="11528" width="10.109375" style="27" bestFit="1" customWidth="1"/>
    <col min="11529" max="11529" width="14.44140625" style="27" bestFit="1" customWidth="1"/>
    <col min="11530" max="11776" width="8.88671875" style="27"/>
    <col min="11777" max="11777" width="11.109375" style="27" bestFit="1" customWidth="1"/>
    <col min="11778" max="11778" width="13.6640625" style="27" bestFit="1" customWidth="1"/>
    <col min="11779" max="11782" width="8.88671875" style="27"/>
    <col min="11783" max="11783" width="17.44140625" style="27" bestFit="1" customWidth="1"/>
    <col min="11784" max="11784" width="10.109375" style="27" bestFit="1" customWidth="1"/>
    <col min="11785" max="11785" width="14.44140625" style="27" bestFit="1" customWidth="1"/>
    <col min="11786" max="12032" width="8.88671875" style="27"/>
    <col min="12033" max="12033" width="11.109375" style="27" bestFit="1" customWidth="1"/>
    <col min="12034" max="12034" width="13.6640625" style="27" bestFit="1" customWidth="1"/>
    <col min="12035" max="12038" width="8.88671875" style="27"/>
    <col min="12039" max="12039" width="17.44140625" style="27" bestFit="1" customWidth="1"/>
    <col min="12040" max="12040" width="10.109375" style="27" bestFit="1" customWidth="1"/>
    <col min="12041" max="12041" width="14.44140625" style="27" bestFit="1" customWidth="1"/>
    <col min="12042" max="12288" width="8.88671875" style="27"/>
    <col min="12289" max="12289" width="11.109375" style="27" bestFit="1" customWidth="1"/>
    <col min="12290" max="12290" width="13.6640625" style="27" bestFit="1" customWidth="1"/>
    <col min="12291" max="12294" width="8.88671875" style="27"/>
    <col min="12295" max="12295" width="17.44140625" style="27" bestFit="1" customWidth="1"/>
    <col min="12296" max="12296" width="10.109375" style="27" bestFit="1" customWidth="1"/>
    <col min="12297" max="12297" width="14.44140625" style="27" bestFit="1" customWidth="1"/>
    <col min="12298" max="12544" width="8.88671875" style="27"/>
    <col min="12545" max="12545" width="11.109375" style="27" bestFit="1" customWidth="1"/>
    <col min="12546" max="12546" width="13.6640625" style="27" bestFit="1" customWidth="1"/>
    <col min="12547" max="12550" width="8.88671875" style="27"/>
    <col min="12551" max="12551" width="17.44140625" style="27" bestFit="1" customWidth="1"/>
    <col min="12552" max="12552" width="10.109375" style="27" bestFit="1" customWidth="1"/>
    <col min="12553" max="12553" width="14.44140625" style="27" bestFit="1" customWidth="1"/>
    <col min="12554" max="12800" width="8.88671875" style="27"/>
    <col min="12801" max="12801" width="11.109375" style="27" bestFit="1" customWidth="1"/>
    <col min="12802" max="12802" width="13.6640625" style="27" bestFit="1" customWidth="1"/>
    <col min="12803" max="12806" width="8.88671875" style="27"/>
    <col min="12807" max="12807" width="17.44140625" style="27" bestFit="1" customWidth="1"/>
    <col min="12808" max="12808" width="10.109375" style="27" bestFit="1" customWidth="1"/>
    <col min="12809" max="12809" width="14.44140625" style="27" bestFit="1" customWidth="1"/>
    <col min="12810" max="13056" width="8.88671875" style="27"/>
    <col min="13057" max="13057" width="11.109375" style="27" bestFit="1" customWidth="1"/>
    <col min="13058" max="13058" width="13.6640625" style="27" bestFit="1" customWidth="1"/>
    <col min="13059" max="13062" width="8.88671875" style="27"/>
    <col min="13063" max="13063" width="17.44140625" style="27" bestFit="1" customWidth="1"/>
    <col min="13064" max="13064" width="10.109375" style="27" bestFit="1" customWidth="1"/>
    <col min="13065" max="13065" width="14.44140625" style="27" bestFit="1" customWidth="1"/>
    <col min="13066" max="13312" width="8.88671875" style="27"/>
    <col min="13313" max="13313" width="11.109375" style="27" bestFit="1" customWidth="1"/>
    <col min="13314" max="13314" width="13.6640625" style="27" bestFit="1" customWidth="1"/>
    <col min="13315" max="13318" width="8.88671875" style="27"/>
    <col min="13319" max="13319" width="17.44140625" style="27" bestFit="1" customWidth="1"/>
    <col min="13320" max="13320" width="10.109375" style="27" bestFit="1" customWidth="1"/>
    <col min="13321" max="13321" width="14.44140625" style="27" bestFit="1" customWidth="1"/>
    <col min="13322" max="13568" width="8.88671875" style="27"/>
    <col min="13569" max="13569" width="11.109375" style="27" bestFit="1" customWidth="1"/>
    <col min="13570" max="13570" width="13.6640625" style="27" bestFit="1" customWidth="1"/>
    <col min="13571" max="13574" width="8.88671875" style="27"/>
    <col min="13575" max="13575" width="17.44140625" style="27" bestFit="1" customWidth="1"/>
    <col min="13576" max="13576" width="10.109375" style="27" bestFit="1" customWidth="1"/>
    <col min="13577" max="13577" width="14.44140625" style="27" bestFit="1" customWidth="1"/>
    <col min="13578" max="13824" width="8.88671875" style="27"/>
    <col min="13825" max="13825" width="11.109375" style="27" bestFit="1" customWidth="1"/>
    <col min="13826" max="13826" width="13.6640625" style="27" bestFit="1" customWidth="1"/>
    <col min="13827" max="13830" width="8.88671875" style="27"/>
    <col min="13831" max="13831" width="17.44140625" style="27" bestFit="1" customWidth="1"/>
    <col min="13832" max="13832" width="10.109375" style="27" bestFit="1" customWidth="1"/>
    <col min="13833" max="13833" width="14.44140625" style="27" bestFit="1" customWidth="1"/>
    <col min="13834" max="14080" width="8.88671875" style="27"/>
    <col min="14081" max="14081" width="11.109375" style="27" bestFit="1" customWidth="1"/>
    <col min="14082" max="14082" width="13.6640625" style="27" bestFit="1" customWidth="1"/>
    <col min="14083" max="14086" width="8.88671875" style="27"/>
    <col min="14087" max="14087" width="17.44140625" style="27" bestFit="1" customWidth="1"/>
    <col min="14088" max="14088" width="10.109375" style="27" bestFit="1" customWidth="1"/>
    <col min="14089" max="14089" width="14.44140625" style="27" bestFit="1" customWidth="1"/>
    <col min="14090" max="14336" width="8.88671875" style="27"/>
    <col min="14337" max="14337" width="11.109375" style="27" bestFit="1" customWidth="1"/>
    <col min="14338" max="14338" width="13.6640625" style="27" bestFit="1" customWidth="1"/>
    <col min="14339" max="14342" width="8.88671875" style="27"/>
    <col min="14343" max="14343" width="17.44140625" style="27" bestFit="1" customWidth="1"/>
    <col min="14344" max="14344" width="10.109375" style="27" bestFit="1" customWidth="1"/>
    <col min="14345" max="14345" width="14.44140625" style="27" bestFit="1" customWidth="1"/>
    <col min="14346" max="14592" width="8.88671875" style="27"/>
    <col min="14593" max="14593" width="11.109375" style="27" bestFit="1" customWidth="1"/>
    <col min="14594" max="14594" width="13.6640625" style="27" bestFit="1" customWidth="1"/>
    <col min="14595" max="14598" width="8.88671875" style="27"/>
    <col min="14599" max="14599" width="17.44140625" style="27" bestFit="1" customWidth="1"/>
    <col min="14600" max="14600" width="10.109375" style="27" bestFit="1" customWidth="1"/>
    <col min="14601" max="14601" width="14.44140625" style="27" bestFit="1" customWidth="1"/>
    <col min="14602" max="14848" width="8.88671875" style="27"/>
    <col min="14849" max="14849" width="11.109375" style="27" bestFit="1" customWidth="1"/>
    <col min="14850" max="14850" width="13.6640625" style="27" bestFit="1" customWidth="1"/>
    <col min="14851" max="14854" width="8.88671875" style="27"/>
    <col min="14855" max="14855" width="17.44140625" style="27" bestFit="1" customWidth="1"/>
    <col min="14856" max="14856" width="10.109375" style="27" bestFit="1" customWidth="1"/>
    <col min="14857" max="14857" width="14.44140625" style="27" bestFit="1" customWidth="1"/>
    <col min="14858" max="15104" width="8.88671875" style="27"/>
    <col min="15105" max="15105" width="11.109375" style="27" bestFit="1" customWidth="1"/>
    <col min="15106" max="15106" width="13.6640625" style="27" bestFit="1" customWidth="1"/>
    <col min="15107" max="15110" width="8.88671875" style="27"/>
    <col min="15111" max="15111" width="17.44140625" style="27" bestFit="1" customWidth="1"/>
    <col min="15112" max="15112" width="10.109375" style="27" bestFit="1" customWidth="1"/>
    <col min="15113" max="15113" width="14.44140625" style="27" bestFit="1" customWidth="1"/>
    <col min="15114" max="15360" width="8.88671875" style="27"/>
    <col min="15361" max="15361" width="11.109375" style="27" bestFit="1" customWidth="1"/>
    <col min="15362" max="15362" width="13.6640625" style="27" bestFit="1" customWidth="1"/>
    <col min="15363" max="15366" width="8.88671875" style="27"/>
    <col min="15367" max="15367" width="17.44140625" style="27" bestFit="1" customWidth="1"/>
    <col min="15368" max="15368" width="10.109375" style="27" bestFit="1" customWidth="1"/>
    <col min="15369" max="15369" width="14.44140625" style="27" bestFit="1" customWidth="1"/>
    <col min="15370" max="15616" width="8.88671875" style="27"/>
    <col min="15617" max="15617" width="11.109375" style="27" bestFit="1" customWidth="1"/>
    <col min="15618" max="15618" width="13.6640625" style="27" bestFit="1" customWidth="1"/>
    <col min="15619" max="15622" width="8.88671875" style="27"/>
    <col min="15623" max="15623" width="17.44140625" style="27" bestFit="1" customWidth="1"/>
    <col min="15624" max="15624" width="10.109375" style="27" bestFit="1" customWidth="1"/>
    <col min="15625" max="15625" width="14.44140625" style="27" bestFit="1" customWidth="1"/>
    <col min="15626" max="15872" width="8.88671875" style="27"/>
    <col min="15873" max="15873" width="11.109375" style="27" bestFit="1" customWidth="1"/>
    <col min="15874" max="15874" width="13.6640625" style="27" bestFit="1" customWidth="1"/>
    <col min="15875" max="15878" width="8.88671875" style="27"/>
    <col min="15879" max="15879" width="17.44140625" style="27" bestFit="1" customWidth="1"/>
    <col min="15880" max="15880" width="10.109375" style="27" bestFit="1" customWidth="1"/>
    <col min="15881" max="15881" width="14.44140625" style="27" bestFit="1" customWidth="1"/>
    <col min="15882" max="16128" width="8.88671875" style="27"/>
    <col min="16129" max="16129" width="11.109375" style="27" bestFit="1" customWidth="1"/>
    <col min="16130" max="16130" width="13.6640625" style="27" bestFit="1" customWidth="1"/>
    <col min="16131" max="16134" width="8.88671875" style="27"/>
    <col min="16135" max="16135" width="17.44140625" style="27" bestFit="1" customWidth="1"/>
    <col min="16136" max="16136" width="10.109375" style="27" bestFit="1" customWidth="1"/>
    <col min="16137" max="16137" width="14.44140625" style="27" bestFit="1" customWidth="1"/>
    <col min="16138" max="16384" width="8.88671875" style="27"/>
  </cols>
  <sheetData>
    <row r="1" spans="1:11" x14ac:dyDescent="0.25">
      <c r="B1" s="27" t="s">
        <v>19</v>
      </c>
      <c r="C1" s="27" t="s">
        <v>70</v>
      </c>
      <c r="G1" s="27" t="s">
        <v>71</v>
      </c>
      <c r="H1" s="28">
        <v>42766</v>
      </c>
      <c r="J1" s="27" t="s">
        <v>8</v>
      </c>
      <c r="K1" s="29">
        <v>102.35</v>
      </c>
    </row>
    <row r="2" spans="1:11" x14ac:dyDescent="0.25">
      <c r="A2" s="27">
        <v>0</v>
      </c>
      <c r="B2" s="28">
        <f ca="1">H3</f>
        <v>42828</v>
      </c>
      <c r="C2" s="29">
        <f>-H8</f>
        <v>-102.72499999999999</v>
      </c>
      <c r="D2" s="27">
        <f t="shared" ref="D2:D12" si="0">C2*A2/(1+$C$15)^A2</f>
        <v>0</v>
      </c>
      <c r="G2" s="27" t="s">
        <v>72</v>
      </c>
      <c r="H2" s="28">
        <f>H1</f>
        <v>42766</v>
      </c>
      <c r="J2" s="27" t="s">
        <v>9</v>
      </c>
      <c r="K2" s="29">
        <v>103.1</v>
      </c>
    </row>
    <row r="3" spans="1:11" x14ac:dyDescent="0.25">
      <c r="A3" s="27">
        <f ca="1">YEARFRAC(B3,$H$3)</f>
        <v>0.32777777777777778</v>
      </c>
      <c r="B3" s="28">
        <v>42947</v>
      </c>
      <c r="C3" s="27">
        <f t="shared" ref="C3:C11" si="1">$H$4/2</f>
        <v>4.375</v>
      </c>
      <c r="D3" s="27">
        <f t="shared" ca="1" si="0"/>
        <v>1.3972888369770204</v>
      </c>
      <c r="G3" s="27" t="s">
        <v>73</v>
      </c>
      <c r="H3" s="28">
        <f ca="1">TODAY()+2</f>
        <v>42828</v>
      </c>
      <c r="I3" s="28"/>
    </row>
    <row r="4" spans="1:11" x14ac:dyDescent="0.25">
      <c r="A4" s="27">
        <f t="shared" ref="A4:A12" ca="1" si="2">YEARFRAC(B4,$H$3)</f>
        <v>0.82777777777777772</v>
      </c>
      <c r="B4" s="28">
        <f>EOMONTH(B3,6)</f>
        <v>43131</v>
      </c>
      <c r="C4" s="27">
        <f t="shared" si="1"/>
        <v>4.375</v>
      </c>
      <c r="D4" s="27">
        <f t="shared" ca="1" si="0"/>
        <v>3.3917733556117278</v>
      </c>
      <c r="G4" s="27" t="s">
        <v>74</v>
      </c>
      <c r="H4" s="27">
        <f>8.75</f>
        <v>8.75</v>
      </c>
    </row>
    <row r="5" spans="1:11" x14ac:dyDescent="0.25">
      <c r="A5" s="27">
        <f t="shared" ca="1" si="2"/>
        <v>1.3277777777777777</v>
      </c>
      <c r="B5" s="28">
        <f t="shared" ref="B5:B12" si="3">EOMONTH(B4,6)</f>
        <v>43312</v>
      </c>
      <c r="C5" s="27">
        <f t="shared" si="1"/>
        <v>4.375</v>
      </c>
      <c r="D5" s="27">
        <f t="shared" ca="1" si="0"/>
        <v>5.2293153777938466</v>
      </c>
      <c r="G5" s="27" t="s">
        <v>75</v>
      </c>
      <c r="H5" s="30">
        <f>AVERAGE(K1:K2)</f>
        <v>102.72499999999999</v>
      </c>
    </row>
    <row r="6" spans="1:11" x14ac:dyDescent="0.25">
      <c r="A6" s="27">
        <f t="shared" ca="1" si="2"/>
        <v>1.8277777777777777</v>
      </c>
      <c r="B6" s="28">
        <f t="shared" si="3"/>
        <v>43496</v>
      </c>
      <c r="C6" s="27">
        <f t="shared" si="1"/>
        <v>4.375</v>
      </c>
      <c r="D6" s="27">
        <f t="shared" ca="1" si="0"/>
        <v>6.9190936642919478</v>
      </c>
      <c r="G6" s="27" t="s">
        <v>76</v>
      </c>
      <c r="H6" s="29">
        <v>0</v>
      </c>
      <c r="I6" s="31">
        <f ca="1">(H3-H2)/(EOMONTH(H2,6)-H2)*H4/2</f>
        <v>1.4986187845303869</v>
      </c>
    </row>
    <row r="7" spans="1:11" x14ac:dyDescent="0.25">
      <c r="A7" s="27">
        <f t="shared" ca="1" si="2"/>
        <v>2.3277777777777779</v>
      </c>
      <c r="B7" s="28">
        <f t="shared" si="3"/>
        <v>43677</v>
      </c>
      <c r="C7" s="27">
        <f t="shared" si="1"/>
        <v>4.375</v>
      </c>
      <c r="D7" s="27">
        <f t="shared" ca="1" si="0"/>
        <v>8.4698108706141753</v>
      </c>
      <c r="G7" s="27" t="s">
        <v>77</v>
      </c>
      <c r="H7" s="29">
        <v>0</v>
      </c>
    </row>
    <row r="8" spans="1:11" x14ac:dyDescent="0.25">
      <c r="A8" s="27">
        <f t="shared" ca="1" si="2"/>
        <v>2.8277777777777779</v>
      </c>
      <c r="B8" s="28">
        <f t="shared" si="3"/>
        <v>43861</v>
      </c>
      <c r="C8" s="27">
        <f t="shared" si="1"/>
        <v>4.375</v>
      </c>
      <c r="D8" s="27">
        <f t="shared" ca="1" si="0"/>
        <v>9.889716678621653</v>
      </c>
      <c r="G8" s="27" t="s">
        <v>78</v>
      </c>
      <c r="H8" s="29">
        <f>H5+H6+H7/2</f>
        <v>102.72499999999999</v>
      </c>
    </row>
    <row r="9" spans="1:11" x14ac:dyDescent="0.25">
      <c r="A9" s="27">
        <f t="shared" ca="1" si="2"/>
        <v>3.3277777777777779</v>
      </c>
      <c r="B9" s="28">
        <f t="shared" si="3"/>
        <v>44043</v>
      </c>
      <c r="C9" s="27">
        <f t="shared" si="1"/>
        <v>4.375</v>
      </c>
      <c r="D9" s="27">
        <f t="shared" ca="1" si="0"/>
        <v>11.186629849724453</v>
      </c>
    </row>
    <row r="10" spans="1:11" x14ac:dyDescent="0.25">
      <c r="A10" s="27">
        <f t="shared" ca="1" si="2"/>
        <v>3.8277777777777779</v>
      </c>
      <c r="B10" s="28">
        <f t="shared" si="3"/>
        <v>44227</v>
      </c>
      <c r="C10" s="27">
        <f t="shared" si="1"/>
        <v>4.375</v>
      </c>
      <c r="D10" s="27">
        <f t="shared" ca="1" si="0"/>
        <v>12.367959248527974</v>
      </c>
    </row>
    <row r="11" spans="1:11" x14ac:dyDescent="0.25">
      <c r="A11" s="27">
        <f t="shared" ca="1" si="2"/>
        <v>4.3277777777777775</v>
      </c>
      <c r="B11" s="28">
        <f t="shared" si="3"/>
        <v>44408</v>
      </c>
      <c r="C11" s="27">
        <f t="shared" si="1"/>
        <v>4.375</v>
      </c>
      <c r="D11" s="27">
        <f t="shared" ca="1" si="0"/>
        <v>13.44072388362868</v>
      </c>
    </row>
    <row r="12" spans="1:11" x14ac:dyDescent="0.25">
      <c r="A12" s="27">
        <f t="shared" ca="1" si="2"/>
        <v>4.8277777777777775</v>
      </c>
      <c r="B12" s="28">
        <f t="shared" si="3"/>
        <v>44592</v>
      </c>
      <c r="C12" s="27">
        <f>$H$4/2+100</f>
        <v>104.375</v>
      </c>
      <c r="D12" s="27">
        <f t="shared" ca="1" si="0"/>
        <v>343.81893224296141</v>
      </c>
    </row>
    <row r="13" spans="1:11" x14ac:dyDescent="0.25">
      <c r="B13" s="28"/>
    </row>
    <row r="14" spans="1:11" x14ac:dyDescent="0.25">
      <c r="C14" s="27" t="s">
        <v>79</v>
      </c>
      <c r="D14" s="27" t="s">
        <v>80</v>
      </c>
      <c r="E14" s="27" t="s">
        <v>81</v>
      </c>
    </row>
    <row r="15" spans="1:11" x14ac:dyDescent="0.25">
      <c r="B15" s="27" t="s">
        <v>82</v>
      </c>
      <c r="C15" s="32">
        <f>(IRR(C2:C12)+1)^2-1</f>
        <v>8.2398655257058584E-2</v>
      </c>
      <c r="D15" s="33">
        <f ca="1">XIRR(C2:C12,B2:B12)</f>
        <v>8.601764142513274E-2</v>
      </c>
      <c r="E15" s="34">
        <v>8.2216399999999995E-2</v>
      </c>
    </row>
    <row r="16" spans="1:11" x14ac:dyDescent="0.25">
      <c r="B16" s="27" t="s">
        <v>83</v>
      </c>
      <c r="C16" s="30">
        <f ca="1">SUM(D2:D12)/100</f>
        <v>4.1611124400875292</v>
      </c>
      <c r="D16" s="30">
        <f ca="1">DURATION(H3,B12,H4/100,D15,2,1)</f>
        <v>3.986581565812684</v>
      </c>
      <c r="E16" s="27">
        <v>4.0289999999999999</v>
      </c>
    </row>
    <row r="18" spans="1:4" x14ac:dyDescent="0.25">
      <c r="B18" s="40" t="s">
        <v>84</v>
      </c>
      <c r="C18" s="40"/>
    </row>
    <row r="19" spans="1:4" x14ac:dyDescent="0.25">
      <c r="A19" s="27" t="s">
        <v>3</v>
      </c>
      <c r="B19" s="27" t="s">
        <v>85</v>
      </c>
      <c r="C19" s="27" t="s">
        <v>86</v>
      </c>
      <c r="D19" s="27" t="s">
        <v>87</v>
      </c>
    </row>
    <row r="20" spans="1:4" x14ac:dyDescent="0.25">
      <c r="A20" s="27">
        <v>2.2400000000000002</v>
      </c>
      <c r="B20" s="34">
        <v>7.3300000000000004E-2</v>
      </c>
      <c r="C20" s="34"/>
    </row>
    <row r="21" spans="1:4" x14ac:dyDescent="0.25">
      <c r="A21" s="27">
        <v>3.03</v>
      </c>
      <c r="B21" s="34">
        <v>8.2100000000000006E-2</v>
      </c>
      <c r="C21" s="34"/>
    </row>
    <row r="22" spans="1:4" x14ac:dyDescent="0.25">
      <c r="A22" s="35">
        <f ca="1">$C$16</f>
        <v>4.1611124400875292</v>
      </c>
      <c r="B22" s="34"/>
      <c r="C22" s="34">
        <f>$C$15</f>
        <v>8.2398655257058584E-2</v>
      </c>
    </row>
    <row r="23" spans="1:4" x14ac:dyDescent="0.25">
      <c r="A23" s="35">
        <v>2.6349</v>
      </c>
      <c r="B23" s="34"/>
      <c r="C23" s="34"/>
      <c r="D23" s="36">
        <v>8.3199999999999996E-2</v>
      </c>
    </row>
    <row r="24" spans="1:4" x14ac:dyDescent="0.25">
      <c r="A24" s="27">
        <v>3.77</v>
      </c>
      <c r="B24" s="34">
        <v>8.6499999999999994E-2</v>
      </c>
      <c r="C24" s="34"/>
    </row>
    <row r="25" spans="1:4" x14ac:dyDescent="0.25">
      <c r="A25" s="27">
        <v>4.4400000000000004</v>
      </c>
      <c r="B25" s="34">
        <v>8.9499999999999996E-2</v>
      </c>
      <c r="C25" s="34"/>
    </row>
    <row r="26" spans="1:4" x14ac:dyDescent="0.25">
      <c r="A26" s="27">
        <v>5.0599999999999996</v>
      </c>
      <c r="B26" s="34">
        <v>9.1200000000000003E-2</v>
      </c>
      <c r="C26" s="34"/>
    </row>
    <row r="27" spans="1:4" x14ac:dyDescent="0.25">
      <c r="A27" s="27">
        <v>5.62</v>
      </c>
      <c r="B27" s="34">
        <v>9.3200000000000005E-2</v>
      </c>
      <c r="C27" s="34"/>
    </row>
    <row r="28" spans="1:4" x14ac:dyDescent="0.25">
      <c r="A28" s="27">
        <v>6.13</v>
      </c>
      <c r="B28" s="34">
        <v>9.4299999999999995E-2</v>
      </c>
      <c r="C28" s="34"/>
    </row>
    <row r="29" spans="1:4" x14ac:dyDescent="0.25">
      <c r="A29" s="27">
        <v>6.6</v>
      </c>
      <c r="B29" s="34">
        <v>9.4299999999999995E-2</v>
      </c>
      <c r="C29" s="34"/>
    </row>
    <row r="30" spans="1:4" x14ac:dyDescent="0.25">
      <c r="B30" s="34"/>
      <c r="C30" s="34"/>
    </row>
  </sheetData>
  <mergeCells count="1">
    <mergeCell ref="B18:C1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Kernel</vt:lpstr>
      <vt:lpstr>all</vt:lpstr>
      <vt:lpstr>US</vt:lpstr>
      <vt:lpstr>Wilmar</vt:lpstr>
      <vt:lpstr>Golden Agri</vt:lpstr>
      <vt:lpstr>IOI</vt:lpstr>
      <vt:lpstr>Genting</vt:lpstr>
      <vt:lpstr>Black Earth</vt:lpstr>
      <vt:lpstr>MHP</vt:lpstr>
    </vt:vector>
  </TitlesOfParts>
  <Company>KPI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Kuzya</dc:creator>
  <cp:lastModifiedBy>Kuzya</cp:lastModifiedBy>
  <dcterms:created xsi:type="dcterms:W3CDTF">2011-04-29T13:12:24Z</dcterms:created>
  <dcterms:modified xsi:type="dcterms:W3CDTF">2017-04-01T17:45:54Z</dcterms:modified>
</cp:coreProperties>
</file>