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mi\Documents\Msc Civil Engineering\Year 2\Marine Renewable Technologies\Assignments\Offshore-Renewable-Technologies\Assignment 4\"/>
    </mc:Choice>
  </mc:AlternateContent>
  <xr:revisionPtr revIDLastSave="0" documentId="13_ncr:1_{A08A36A2-5CDE-41F9-B341-916E523674C0}" xr6:coauthVersionLast="47" xr6:coauthVersionMax="47" xr10:uidLastSave="{00000000-0000-0000-0000-000000000000}"/>
  <bookViews>
    <workbookView xWindow="-23148" yWindow="3672" windowWidth="23256" windowHeight="12456" activeTab="2" xr2:uid="{00000000-000D-0000-FFFF-FFFF00000000}"/>
  </bookViews>
  <sheets>
    <sheet name="WTG Yield Wake" sheetId="1" r:id="rId1"/>
    <sheet name="IAC" sheetId="2" r:id="rId2"/>
    <sheet name="IAC_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3" l="1"/>
  <c r="C46" i="3"/>
  <c r="D46" i="3" s="1"/>
  <c r="J45" i="3"/>
  <c r="C45" i="3"/>
  <c r="D45" i="3" s="1"/>
  <c r="J44" i="3"/>
  <c r="C44" i="3"/>
  <c r="D44" i="3" s="1"/>
  <c r="J43" i="3"/>
  <c r="D43" i="3"/>
  <c r="H43" i="3" s="1"/>
  <c r="C43" i="3"/>
  <c r="J42" i="3"/>
  <c r="C42" i="3"/>
  <c r="D42" i="3" s="1"/>
  <c r="J41" i="3"/>
  <c r="D41" i="3"/>
  <c r="C41" i="3"/>
  <c r="J40" i="3"/>
  <c r="C40" i="3"/>
  <c r="D40" i="3" s="1"/>
  <c r="J39" i="3"/>
  <c r="D39" i="3"/>
  <c r="E39" i="3" s="1"/>
  <c r="C39" i="3"/>
  <c r="J38" i="3"/>
  <c r="C38" i="3"/>
  <c r="D38" i="3" s="1"/>
  <c r="J37" i="3"/>
  <c r="D37" i="3"/>
  <c r="H37" i="3" s="1"/>
  <c r="C37" i="3"/>
  <c r="J36" i="3"/>
  <c r="C36" i="3"/>
  <c r="D36" i="3" s="1"/>
  <c r="J35" i="3"/>
  <c r="D35" i="3"/>
  <c r="E35" i="3" s="1"/>
  <c r="C35" i="3"/>
  <c r="J34" i="3"/>
  <c r="C34" i="3"/>
  <c r="D34" i="3" s="1"/>
  <c r="J33" i="3"/>
  <c r="D33" i="3"/>
  <c r="H33" i="3" s="1"/>
  <c r="C33" i="3"/>
  <c r="J32" i="3"/>
  <c r="C32" i="3"/>
  <c r="D32" i="3" s="1"/>
  <c r="J31" i="3"/>
  <c r="D31" i="3"/>
  <c r="E31" i="3" s="1"/>
  <c r="C31" i="3"/>
  <c r="J30" i="3"/>
  <c r="C30" i="3"/>
  <c r="D30" i="3" s="1"/>
  <c r="J29" i="3"/>
  <c r="D29" i="3"/>
  <c r="C29" i="3"/>
  <c r="J28" i="3"/>
  <c r="C28" i="3"/>
  <c r="D28" i="3" s="1"/>
  <c r="J27" i="3"/>
  <c r="D27" i="3"/>
  <c r="E27" i="3" s="1"/>
  <c r="C27" i="3"/>
  <c r="J26" i="3"/>
  <c r="C26" i="3"/>
  <c r="D26" i="3" s="1"/>
  <c r="J25" i="3"/>
  <c r="D25" i="3"/>
  <c r="C25" i="3"/>
  <c r="J24" i="3"/>
  <c r="C24" i="3"/>
  <c r="D24" i="3" s="1"/>
  <c r="J23" i="3"/>
  <c r="D23" i="3"/>
  <c r="H23" i="3" s="1"/>
  <c r="C23" i="3"/>
  <c r="J22" i="3"/>
  <c r="C22" i="3"/>
  <c r="D22" i="3" s="1"/>
  <c r="J21" i="3"/>
  <c r="D21" i="3"/>
  <c r="C21" i="3"/>
  <c r="J20" i="3"/>
  <c r="I20" i="3"/>
  <c r="K20" i="3" s="1"/>
  <c r="C20" i="3"/>
  <c r="D20" i="3" s="1"/>
  <c r="K19" i="3"/>
  <c r="J19" i="3"/>
  <c r="J47" i="3" s="1"/>
  <c r="I19" i="3"/>
  <c r="C19" i="3"/>
  <c r="D19" i="3" s="1"/>
  <c r="K18" i="3"/>
  <c r="I18" i="3"/>
  <c r="C18" i="3"/>
  <c r="D18" i="3" s="1"/>
  <c r="H11" i="3"/>
  <c r="G11" i="3"/>
  <c r="F11" i="3"/>
  <c r="F9" i="3"/>
  <c r="G9" i="3" s="1"/>
  <c r="H9" i="3" s="1"/>
  <c r="H11" i="2"/>
  <c r="G11" i="2"/>
  <c r="F11" i="2"/>
  <c r="K49" i="2"/>
  <c r="D46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18" i="2"/>
  <c r="F9" i="2"/>
  <c r="G9" i="2" s="1"/>
  <c r="H9" i="2" s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18" i="2"/>
  <c r="L42" i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B4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4" i="1"/>
  <c r="H29" i="3" l="1"/>
  <c r="H25" i="3"/>
  <c r="H21" i="3"/>
  <c r="H41" i="3"/>
  <c r="F32" i="3"/>
  <c r="E32" i="3"/>
  <c r="H32" i="3"/>
  <c r="G32" i="3"/>
  <c r="H38" i="3"/>
  <c r="G38" i="3"/>
  <c r="F38" i="3"/>
  <c r="E38" i="3"/>
  <c r="I38" i="3" s="1"/>
  <c r="K38" i="3" s="1"/>
  <c r="F24" i="3"/>
  <c r="E24" i="3"/>
  <c r="G24" i="3"/>
  <c r="H24" i="3"/>
  <c r="H34" i="3"/>
  <c r="G34" i="3"/>
  <c r="F34" i="3"/>
  <c r="E34" i="3"/>
  <c r="I34" i="3" s="1"/>
  <c r="K34" i="3" s="1"/>
  <c r="G44" i="3"/>
  <c r="F44" i="3"/>
  <c r="E44" i="3"/>
  <c r="H44" i="3"/>
  <c r="H30" i="3"/>
  <c r="G30" i="3"/>
  <c r="F30" i="3"/>
  <c r="E30" i="3"/>
  <c r="F28" i="3"/>
  <c r="E28" i="3"/>
  <c r="H28" i="3"/>
  <c r="G28" i="3"/>
  <c r="F40" i="3"/>
  <c r="E40" i="3"/>
  <c r="H40" i="3"/>
  <c r="G40" i="3"/>
  <c r="H45" i="3"/>
  <c r="G45" i="3"/>
  <c r="F45" i="3"/>
  <c r="E45" i="3"/>
  <c r="H42" i="3"/>
  <c r="G42" i="3"/>
  <c r="F42" i="3"/>
  <c r="E42" i="3"/>
  <c r="I42" i="3" s="1"/>
  <c r="K42" i="3" s="1"/>
  <c r="H26" i="3"/>
  <c r="G26" i="3"/>
  <c r="F26" i="3"/>
  <c r="E26" i="3"/>
  <c r="I26" i="3" s="1"/>
  <c r="K26" i="3" s="1"/>
  <c r="F36" i="3"/>
  <c r="H36" i="3"/>
  <c r="E36" i="3"/>
  <c r="G36" i="3"/>
  <c r="H46" i="3"/>
  <c r="G46" i="3"/>
  <c r="F46" i="3"/>
  <c r="E46" i="3"/>
  <c r="I46" i="3" s="1"/>
  <c r="K46" i="3" s="1"/>
  <c r="H22" i="3"/>
  <c r="G22" i="3"/>
  <c r="F22" i="3"/>
  <c r="E22" i="3"/>
  <c r="F23" i="3"/>
  <c r="F27" i="3"/>
  <c r="F31" i="3"/>
  <c r="F35" i="3"/>
  <c r="F39" i="3"/>
  <c r="F43" i="3"/>
  <c r="E23" i="3"/>
  <c r="G23" i="3"/>
  <c r="G27" i="3"/>
  <c r="I27" i="3" s="1"/>
  <c r="K27" i="3" s="1"/>
  <c r="G31" i="3"/>
  <c r="I31" i="3" s="1"/>
  <c r="K31" i="3" s="1"/>
  <c r="G35" i="3"/>
  <c r="I35" i="3" s="1"/>
  <c r="K35" i="3" s="1"/>
  <c r="G39" i="3"/>
  <c r="G43" i="3"/>
  <c r="E43" i="3"/>
  <c r="H27" i="3"/>
  <c r="H31" i="3"/>
  <c r="H35" i="3"/>
  <c r="H39" i="3"/>
  <c r="E21" i="3"/>
  <c r="I21" i="3" s="1"/>
  <c r="K21" i="3" s="1"/>
  <c r="E25" i="3"/>
  <c r="E29" i="3"/>
  <c r="E33" i="3"/>
  <c r="I33" i="3" s="1"/>
  <c r="K33" i="3" s="1"/>
  <c r="E37" i="3"/>
  <c r="I37" i="3" s="1"/>
  <c r="K37" i="3" s="1"/>
  <c r="E41" i="3"/>
  <c r="F21" i="3"/>
  <c r="F25" i="3"/>
  <c r="F29" i="3"/>
  <c r="F33" i="3"/>
  <c r="F37" i="3"/>
  <c r="F41" i="3"/>
  <c r="G21" i="3"/>
  <c r="G25" i="3"/>
  <c r="G29" i="3"/>
  <c r="G33" i="3"/>
  <c r="G37" i="3"/>
  <c r="G41" i="3"/>
  <c r="E22" i="2"/>
  <c r="E45" i="2"/>
  <c r="E41" i="2"/>
  <c r="E33" i="2"/>
  <c r="E25" i="2"/>
  <c r="E40" i="2"/>
  <c r="E28" i="2"/>
  <c r="E21" i="2"/>
  <c r="F43" i="2"/>
  <c r="F35" i="2"/>
  <c r="F23" i="2"/>
  <c r="E43" i="2"/>
  <c r="E35" i="2"/>
  <c r="E23" i="2"/>
  <c r="F46" i="2"/>
  <c r="F42" i="2"/>
  <c r="F38" i="2"/>
  <c r="F34" i="2"/>
  <c r="E37" i="2"/>
  <c r="E29" i="2"/>
  <c r="F44" i="2"/>
  <c r="F40" i="2"/>
  <c r="F36" i="2"/>
  <c r="F32" i="2"/>
  <c r="F28" i="2"/>
  <c r="F24" i="2"/>
  <c r="E44" i="2"/>
  <c r="E36" i="2"/>
  <c r="E32" i="2"/>
  <c r="E24" i="2"/>
  <c r="E39" i="2"/>
  <c r="E31" i="2"/>
  <c r="E27" i="2"/>
  <c r="E46" i="2"/>
  <c r="E42" i="2"/>
  <c r="E38" i="2"/>
  <c r="E34" i="2"/>
  <c r="E30" i="2"/>
  <c r="E26" i="2"/>
  <c r="J47" i="2"/>
  <c r="D8" i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17" i="1"/>
  <c r="L17" i="1" s="1"/>
  <c r="J15" i="1"/>
  <c r="J16" i="1"/>
  <c r="J14" i="1"/>
  <c r="D4" i="1"/>
  <c r="C15" i="1" s="1"/>
  <c r="E15" i="1" s="1"/>
  <c r="I29" i="3" l="1"/>
  <c r="K29" i="3" s="1"/>
  <c r="I25" i="3"/>
  <c r="K25" i="3" s="1"/>
  <c r="I39" i="3"/>
  <c r="K39" i="3" s="1"/>
  <c r="I23" i="3"/>
  <c r="K23" i="3" s="1"/>
  <c r="I40" i="3"/>
  <c r="K40" i="3" s="1"/>
  <c r="I44" i="3"/>
  <c r="K44" i="3" s="1"/>
  <c r="I28" i="3"/>
  <c r="K28" i="3" s="1"/>
  <c r="I24" i="3"/>
  <c r="K24" i="3" s="1"/>
  <c r="I43" i="3"/>
  <c r="K43" i="3" s="1"/>
  <c r="I36" i="3"/>
  <c r="K36" i="3" s="1"/>
  <c r="I45" i="3"/>
  <c r="K45" i="3" s="1"/>
  <c r="I30" i="3"/>
  <c r="K30" i="3" s="1"/>
  <c r="I32" i="3"/>
  <c r="K32" i="3" s="1"/>
  <c r="I41" i="3"/>
  <c r="K41" i="3" s="1"/>
  <c r="I22" i="3"/>
  <c r="K22" i="3" s="1"/>
  <c r="L43" i="1"/>
  <c r="L46" i="1" s="1"/>
  <c r="G30" i="2"/>
  <c r="G38" i="2"/>
  <c r="G46" i="2"/>
  <c r="G21" i="2"/>
  <c r="G27" i="2"/>
  <c r="G31" i="2"/>
  <c r="G39" i="2"/>
  <c r="G24" i="2"/>
  <c r="G28" i="2"/>
  <c r="G32" i="2"/>
  <c r="G36" i="2"/>
  <c r="G44" i="2"/>
  <c r="G26" i="2"/>
  <c r="G34" i="2"/>
  <c r="G42" i="2"/>
  <c r="G23" i="2"/>
  <c r="G35" i="2"/>
  <c r="G43" i="2"/>
  <c r="G25" i="2"/>
  <c r="G29" i="2"/>
  <c r="G33" i="2"/>
  <c r="G37" i="2"/>
  <c r="G41" i="2"/>
  <c r="G45" i="2"/>
  <c r="G22" i="2"/>
  <c r="G40" i="2"/>
  <c r="F25" i="2"/>
  <c r="F29" i="2"/>
  <c r="F33" i="2"/>
  <c r="F37" i="2"/>
  <c r="F41" i="2"/>
  <c r="F45" i="2"/>
  <c r="F27" i="2"/>
  <c r="F31" i="2"/>
  <c r="F22" i="2"/>
  <c r="F39" i="2"/>
  <c r="F26" i="2"/>
  <c r="F30" i="2"/>
  <c r="F21" i="2"/>
  <c r="I20" i="2"/>
  <c r="K20" i="2" s="1"/>
  <c r="C14" i="1"/>
  <c r="E14" i="1" s="1"/>
  <c r="J43" i="1"/>
  <c r="C29" i="1"/>
  <c r="E29" i="1" s="1"/>
  <c r="C30" i="1"/>
  <c r="E30" i="1" s="1"/>
  <c r="C28" i="1"/>
  <c r="E28" i="1" s="1"/>
  <c r="C41" i="1"/>
  <c r="E41" i="1" s="1"/>
  <c r="C24" i="1"/>
  <c r="E24" i="1" s="1"/>
  <c r="C39" i="1"/>
  <c r="E39" i="1" s="1"/>
  <c r="C22" i="1"/>
  <c r="E22" i="1" s="1"/>
  <c r="C37" i="1"/>
  <c r="E37" i="1" s="1"/>
  <c r="C20" i="1"/>
  <c r="E20" i="1" s="1"/>
  <c r="C35" i="1"/>
  <c r="E35" i="1" s="1"/>
  <c r="C19" i="1"/>
  <c r="E19" i="1" s="1"/>
  <c r="C34" i="1"/>
  <c r="E34" i="1" s="1"/>
  <c r="C18" i="1"/>
  <c r="E18" i="1" s="1"/>
  <c r="C27" i="1"/>
  <c r="E27" i="1" s="1"/>
  <c r="C26" i="1"/>
  <c r="E26" i="1" s="1"/>
  <c r="C32" i="1"/>
  <c r="E32" i="1" s="1"/>
  <c r="C16" i="1"/>
  <c r="E16" i="1" s="1"/>
  <c r="C42" i="1"/>
  <c r="E42" i="1" s="1"/>
  <c r="C25" i="1"/>
  <c r="E25" i="1" s="1"/>
  <c r="C40" i="1"/>
  <c r="E40" i="1" s="1"/>
  <c r="C23" i="1"/>
  <c r="E23" i="1" s="1"/>
  <c r="C38" i="1"/>
  <c r="E38" i="1" s="1"/>
  <c r="C21" i="1"/>
  <c r="E21" i="1" s="1"/>
  <c r="C36" i="1"/>
  <c r="E36" i="1" s="1"/>
  <c r="C33" i="1"/>
  <c r="E33" i="1" s="1"/>
  <c r="C17" i="1"/>
  <c r="E17" i="1" s="1"/>
  <c r="C31" i="1"/>
  <c r="E31" i="1" s="1"/>
  <c r="D6" i="1"/>
  <c r="K48" i="3" l="1"/>
  <c r="K50" i="3" s="1"/>
  <c r="J46" i="1"/>
  <c r="H22" i="2"/>
  <c r="I22" i="2" s="1"/>
  <c r="K22" i="2" s="1"/>
  <c r="I19" i="2"/>
  <c r="K19" i="2" s="1"/>
  <c r="I18" i="2"/>
  <c r="K18" i="2" s="1"/>
  <c r="H25" i="2" l="1"/>
  <c r="I25" i="2" s="1"/>
  <c r="K25" i="2" s="1"/>
  <c r="H29" i="2"/>
  <c r="I29" i="2" s="1"/>
  <c r="K29" i="2" s="1"/>
  <c r="H39" i="2"/>
  <c r="I39" i="2" s="1"/>
  <c r="K39" i="2" s="1"/>
  <c r="H31" i="2"/>
  <c r="I31" i="2" s="1"/>
  <c r="K31" i="2" s="1"/>
  <c r="H23" i="2"/>
  <c r="I23" i="2" s="1"/>
  <c r="K23" i="2" s="1"/>
  <c r="H44" i="2"/>
  <c r="I44" i="2" s="1"/>
  <c r="K44" i="2" s="1"/>
  <c r="H26" i="2"/>
  <c r="I26" i="2" s="1"/>
  <c r="K26" i="2" s="1"/>
  <c r="H32" i="2"/>
  <c r="I32" i="2" s="1"/>
  <c r="K32" i="2" s="1"/>
  <c r="H34" i="2"/>
  <c r="I34" i="2" s="1"/>
  <c r="K34" i="2" s="1"/>
  <c r="H40" i="2"/>
  <c r="I40" i="2" s="1"/>
  <c r="K40" i="2" s="1"/>
  <c r="H36" i="2"/>
  <c r="I36" i="2" s="1"/>
  <c r="K36" i="2" s="1"/>
  <c r="H28" i="2"/>
  <c r="I28" i="2" s="1"/>
  <c r="K28" i="2" s="1"/>
  <c r="H24" i="2"/>
  <c r="I24" i="2" s="1"/>
  <c r="K24" i="2" s="1"/>
  <c r="H21" i="2"/>
  <c r="I21" i="2" s="1"/>
  <c r="K21" i="2" s="1"/>
  <c r="H45" i="2"/>
  <c r="I45" i="2" s="1"/>
  <c r="K45" i="2" s="1"/>
  <c r="H46" i="2"/>
  <c r="I46" i="2" s="1"/>
  <c r="K46" i="2" s="1"/>
  <c r="H41" i="2"/>
  <c r="I41" i="2" s="1"/>
  <c r="K41" i="2" s="1"/>
  <c r="H38" i="2"/>
  <c r="I38" i="2" s="1"/>
  <c r="K38" i="2" s="1"/>
  <c r="H37" i="2"/>
  <c r="I37" i="2" s="1"/>
  <c r="K37" i="2" s="1"/>
  <c r="H30" i="2"/>
  <c r="I30" i="2" s="1"/>
  <c r="K30" i="2" s="1"/>
  <c r="H42" i="2"/>
  <c r="I42" i="2" s="1"/>
  <c r="K42" i="2" s="1"/>
  <c r="H43" i="2"/>
  <c r="I43" i="2" s="1"/>
  <c r="K43" i="2" s="1"/>
  <c r="H35" i="2"/>
  <c r="I35" i="2" s="1"/>
  <c r="K35" i="2" s="1"/>
  <c r="H27" i="2"/>
  <c r="I27" i="2" s="1"/>
  <c r="K27" i="2" s="1"/>
  <c r="H33" i="2"/>
  <c r="I33" i="2" s="1"/>
  <c r="K33" i="2" s="1"/>
  <c r="K48" i="2" l="1"/>
  <c r="K50" i="2" s="1"/>
</calcChain>
</file>

<file path=xl/sharedStrings.xml><?xml version="1.0" encoding="utf-8"?>
<sst xmlns="http://schemas.openxmlformats.org/spreadsheetml/2006/main" count="124" uniqueCount="69">
  <si>
    <t>hours</t>
  </si>
  <si>
    <t>(m/s)</t>
  </si>
  <si>
    <t>C_P</t>
  </si>
  <si>
    <t>Diameter</t>
  </si>
  <si>
    <t>Swept area</t>
  </si>
  <si>
    <t>Hub height</t>
  </si>
  <si>
    <t>m</t>
  </si>
  <si>
    <t>m^2</t>
  </si>
  <si>
    <t>rpm</t>
  </si>
  <si>
    <t>m/s</t>
  </si>
  <si>
    <t>%</t>
  </si>
  <si>
    <t>WTG 1</t>
  </si>
  <si>
    <t>WTG 2</t>
  </si>
  <si>
    <t>WTG 3</t>
  </si>
  <si>
    <t>WTG 4</t>
  </si>
  <si>
    <t>P_loss</t>
  </si>
  <si>
    <t>Offshore Site 1</t>
  </si>
  <si>
    <t>Power in the Wind</t>
  </si>
  <si>
    <t>Power density rotor</t>
  </si>
  <si>
    <t>W/m^2</t>
  </si>
  <si>
    <t>(MW)</t>
  </si>
  <si>
    <t>C_T</t>
  </si>
  <si>
    <t>Gross Yield</t>
  </si>
  <si>
    <t>Park Efficiency</t>
  </si>
  <si>
    <t>Time</t>
  </si>
  <si>
    <t>% of year</t>
  </si>
  <si>
    <t>(MWh/year)</t>
  </si>
  <si>
    <t>WTG Power</t>
  </si>
  <si>
    <t>MWh/year</t>
  </si>
  <si>
    <t>Capacity Factor</t>
  </si>
  <si>
    <t>WTG</t>
  </si>
  <si>
    <t xml:space="preserve"> </t>
  </si>
  <si>
    <t>Park</t>
  </si>
  <si>
    <t>Gross Yield incl. Wake Loss</t>
  </si>
  <si>
    <t>Cable 1</t>
  </si>
  <si>
    <t>400 mm2</t>
  </si>
  <si>
    <t>Cable 2</t>
  </si>
  <si>
    <t>630 mm2</t>
  </si>
  <si>
    <t>Cable 3</t>
  </si>
  <si>
    <t>800 mm2</t>
  </si>
  <si>
    <t>km</t>
  </si>
  <si>
    <t>Ohm/km</t>
  </si>
  <si>
    <t># of WTGs:</t>
  </si>
  <si>
    <t>MW</t>
  </si>
  <si>
    <t>Loss</t>
  </si>
  <si>
    <t>IAC Voltage kV</t>
  </si>
  <si>
    <t>String Section Length [km]</t>
  </si>
  <si>
    <t>[kW]</t>
  </si>
  <si>
    <t>[MWh/year]</t>
  </si>
  <si>
    <t>MVA</t>
  </si>
  <si>
    <t>Resistance [Ohm/km]</t>
  </si>
  <si>
    <t>/year</t>
  </si>
  <si>
    <t>Rated rotor speed</t>
  </si>
  <si>
    <t>Rated tip speed</t>
  </si>
  <si>
    <t>Rated power</t>
  </si>
  <si>
    <t>h/year</t>
  </si>
  <si>
    <t>WTG 1 Parameters*)</t>
  </si>
  <si>
    <t>*) C_P provided here is assumed to include all WTG aerodynamic, drive train and internal electrical losses.</t>
  </si>
  <si>
    <t>Wind speed</t>
  </si>
  <si>
    <t>Free windspeed at hub height</t>
  </si>
  <si>
    <t>IAC String Losses (MWh/year)</t>
  </si>
  <si>
    <t>WTG Energy Yield (MWh/year)</t>
  </si>
  <si>
    <t>Free Wind Speed</t>
  </si>
  <si>
    <t>Power</t>
  </si>
  <si>
    <t>Losses (% WTG Energy Yield/year)</t>
  </si>
  <si>
    <t>IAC Section Cable 1 / 2 / 3</t>
  </si>
  <si>
    <t>Nominal Current [A] on IAC Section</t>
  </si>
  <si>
    <t># WTGs on IAC Section</t>
  </si>
  <si>
    <t>WTG Nominal Power [MVA]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</si>
</sst>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_ * #,##0_ ;_ * \-#,##0_ ;_ * &quot;-&quot;??_ ;_ @_ "/>
    <numFmt numFmtId="167" formatCode="0.0"/>
  </numFmts>
  <fonts count="9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ptos"/>
      <family val="2"/>
    </font>
    <font>
      <sz val="10"/>
      <name val="Aptos"/>
      <family val="2"/>
    </font>
    <font>
      <i/>
      <sz val="1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7" xfId="0" applyFont="1" applyFill="1" applyBorder="1"/>
    <xf numFmtId="0" fontId="7" fillId="2" borderId="16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0" borderId="0" xfId="0" applyFont="1"/>
    <xf numFmtId="2" fontId="7" fillId="0" borderId="0" xfId="0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right"/>
    </xf>
    <xf numFmtId="166" fontId="6" fillId="0" borderId="0" xfId="0" applyNumberFormat="1" applyFont="1"/>
    <xf numFmtId="166" fontId="6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9" fontId="7" fillId="0" borderId="19" xfId="21" applyFont="1" applyBorder="1" applyAlignment="1">
      <alignment horizont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3" xfId="0" applyFont="1" applyFill="1" applyBorder="1"/>
    <xf numFmtId="0" fontId="7" fillId="2" borderId="15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5" xfId="0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7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2" borderId="2" xfId="0" applyFont="1" applyFill="1" applyBorder="1" applyAlignment="1">
      <alignment horizontal="right"/>
    </xf>
    <xf numFmtId="1" fontId="7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/>
    <xf numFmtId="165" fontId="7" fillId="2" borderId="4" xfId="0" applyNumberFormat="1" applyFont="1" applyFill="1" applyBorder="1"/>
    <xf numFmtId="165" fontId="7" fillId="2" borderId="8" xfId="0" applyNumberFormat="1" applyFont="1" applyFill="1" applyBorder="1"/>
    <xf numFmtId="165" fontId="7" fillId="2" borderId="11" xfId="0" applyNumberFormat="1" applyFont="1" applyFill="1" applyBorder="1"/>
    <xf numFmtId="165" fontId="7" fillId="2" borderId="6" xfId="0" applyNumberFormat="1" applyFont="1" applyFill="1" applyBorder="1"/>
    <xf numFmtId="165" fontId="7" fillId="2" borderId="9" xfId="0" applyNumberFormat="1" applyFont="1" applyFill="1" applyBorder="1"/>
    <xf numFmtId="165" fontId="7" fillId="2" borderId="12" xfId="0" applyNumberFormat="1" applyFont="1" applyFill="1" applyBorder="1"/>
    <xf numFmtId="164" fontId="7" fillId="2" borderId="4" xfId="42" applyFont="1" applyFill="1" applyBorder="1"/>
    <xf numFmtId="166" fontId="7" fillId="2" borderId="4" xfId="42" applyNumberFormat="1" applyFont="1" applyFill="1" applyBorder="1"/>
    <xf numFmtId="166" fontId="7" fillId="2" borderId="8" xfId="42" applyNumberFormat="1" applyFont="1" applyFill="1" applyBorder="1"/>
    <xf numFmtId="9" fontId="0" fillId="2" borderId="8" xfId="21" applyFont="1" applyFill="1" applyBorder="1" applyAlignment="1">
      <alignment horizontal="center"/>
    </xf>
    <xf numFmtId="164" fontId="7" fillId="2" borderId="6" xfId="42" applyFont="1" applyFill="1" applyBorder="1"/>
    <xf numFmtId="166" fontId="7" fillId="2" borderId="6" xfId="42" applyNumberFormat="1" applyFont="1" applyFill="1" applyBorder="1"/>
    <xf numFmtId="9" fontId="0" fillId="2" borderId="9" xfId="2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167" fontId="7" fillId="2" borderId="14" xfId="0" applyNumberFormat="1" applyFont="1" applyFill="1" applyBorder="1" applyAlignment="1">
      <alignment horizontal="center"/>
    </xf>
    <xf numFmtId="164" fontId="7" fillId="2" borderId="14" xfId="42" applyFont="1" applyFill="1" applyBorder="1"/>
    <xf numFmtId="167" fontId="7" fillId="2" borderId="14" xfId="0" applyNumberFormat="1" applyFont="1" applyFill="1" applyBorder="1"/>
    <xf numFmtId="167" fontId="7" fillId="2" borderId="20" xfId="0" applyNumberFormat="1" applyFont="1" applyFill="1" applyBorder="1"/>
    <xf numFmtId="0" fontId="7" fillId="2" borderId="21" xfId="0" applyFont="1" applyFill="1" applyBorder="1" applyAlignment="1">
      <alignment horizontal="center"/>
    </xf>
    <xf numFmtId="167" fontId="7" fillId="2" borderId="21" xfId="0" applyNumberFormat="1" applyFont="1" applyFill="1" applyBorder="1" applyAlignment="1">
      <alignment horizontal="center"/>
    </xf>
    <xf numFmtId="0" fontId="6" fillId="2" borderId="10" xfId="0" applyFont="1" applyFill="1" applyBorder="1"/>
    <xf numFmtId="167" fontId="7" fillId="4" borderId="11" xfId="0" applyNumberFormat="1" applyFont="1" applyFill="1" applyBorder="1"/>
    <xf numFmtId="167" fontId="7" fillId="4" borderId="12" xfId="0" applyNumberFormat="1" applyFont="1" applyFill="1" applyBorder="1"/>
    <xf numFmtId="0" fontId="7" fillId="2" borderId="23" xfId="0" applyFont="1" applyFill="1" applyBorder="1" applyAlignment="1">
      <alignment horizontal="center"/>
    </xf>
    <xf numFmtId="165" fontId="7" fillId="4" borderId="24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7" fillId="2" borderId="18" xfId="0" applyFont="1" applyFill="1" applyBorder="1"/>
    <xf numFmtId="0" fontId="6" fillId="2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7" fontId="7" fillId="2" borderId="27" xfId="0" applyNumberFormat="1" applyFont="1" applyFill="1" applyBorder="1" applyAlignment="1">
      <alignment horizontal="center"/>
    </xf>
    <xf numFmtId="167" fontId="7" fillId="2" borderId="20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1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1" xfId="0" applyFont="1" applyFill="1" applyBorder="1" applyAlignment="1">
      <alignment vertical="center" wrapText="1"/>
    </xf>
    <xf numFmtId="1" fontId="7" fillId="4" borderId="17" xfId="0" applyNumberFormat="1" applyFont="1" applyFill="1" applyBorder="1" applyAlignment="1">
      <alignment horizontal="center"/>
    </xf>
    <xf numFmtId="1" fontId="7" fillId="4" borderId="16" xfId="0" applyNumberFormat="1" applyFont="1" applyFill="1" applyBorder="1" applyAlignment="1">
      <alignment horizontal="center"/>
    </xf>
    <xf numFmtId="1" fontId="6" fillId="4" borderId="10" xfId="0" applyNumberFormat="1" applyFont="1" applyFill="1" applyBorder="1"/>
    <xf numFmtId="10" fontId="6" fillId="4" borderId="12" xfId="21" applyNumberFormat="1" applyFont="1" applyFill="1" applyBorder="1"/>
    <xf numFmtId="0" fontId="6" fillId="2" borderId="14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7" fillId="4" borderId="28" xfId="0" applyNumberFormat="1" applyFont="1" applyFill="1" applyBorder="1" applyAlignment="1">
      <alignment horizontal="center"/>
    </xf>
    <xf numFmtId="165" fontId="7" fillId="4" borderId="29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6" xfId="0" applyFont="1" applyFill="1" applyBorder="1"/>
    <xf numFmtId="0" fontId="7" fillId="2" borderId="6" xfId="0" applyFont="1" applyFill="1" applyBorder="1"/>
    <xf numFmtId="0" fontId="7" fillId="2" borderId="24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5" xfId="0" applyFont="1" applyFill="1" applyBorder="1"/>
    <xf numFmtId="0" fontId="6" fillId="2" borderId="17" xfId="0" applyFont="1" applyFill="1" applyBorder="1"/>
    <xf numFmtId="0" fontId="6" fillId="2" borderId="15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14" xfId="0" applyFont="1" applyFill="1" applyBorder="1"/>
    <xf numFmtId="0" fontId="6" fillId="2" borderId="17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17" xfId="0" applyFont="1" applyFill="1" applyBorder="1" applyAlignment="1">
      <alignment horizontal="right"/>
    </xf>
    <xf numFmtId="0" fontId="6" fillId="2" borderId="18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1" fontId="7" fillId="2" borderId="8" xfId="0" applyNumberFormat="1" applyFont="1" applyFill="1" applyBorder="1"/>
    <xf numFmtId="1" fontId="7" fillId="2" borderId="9" xfId="0" applyNumberFormat="1" applyFont="1" applyFill="1" applyBorder="1"/>
    <xf numFmtId="0" fontId="5" fillId="0" borderId="0" xfId="0" applyFont="1"/>
    <xf numFmtId="1" fontId="7" fillId="2" borderId="4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7" fontId="7" fillId="2" borderId="13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</cellXfs>
  <cellStyles count="43">
    <cellStyle name="Comma" xfId="4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 cent" xfId="2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NL" sz="1200"/>
              <a:t>Wind</a:t>
            </a:r>
            <a:r>
              <a:rPr lang="en-NL" sz="1200" baseline="0"/>
              <a:t> tu</a:t>
            </a:r>
            <a:r>
              <a:rPr lang="en-US" sz="1200"/>
              <a:t>rbine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'WTG Yield Wake'!$D$13</c:f>
              <c:strCache>
                <c:ptCount val="1"/>
                <c:pt idx="0">
                  <c:v>(MW)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'WTG Yield Wake'!$B$14:$B$42</c:f>
              <c:numCache>
                <c:formatCode>General</c:formatCode>
                <c:ptCount val="2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</c:numCache>
            </c:numRef>
          </c:xVal>
          <c:yVal>
            <c:numRef>
              <c:f>'WTG Yield Wake'!$D$14:$D$42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0.437</c:v>
                </c:pt>
                <c:pt idx="4">
                  <c:v>1.423</c:v>
                </c:pt>
                <c:pt idx="5">
                  <c:v>2.83</c:v>
                </c:pt>
                <c:pt idx="6">
                  <c:v>4.7720000000000002</c:v>
                </c:pt>
                <c:pt idx="7">
                  <c:v>7.46</c:v>
                </c:pt>
                <c:pt idx="8">
                  <c:v>10.949</c:v>
                </c:pt>
                <c:pt idx="9">
                  <c:v>14.622999999999999</c:v>
                </c:pt>
                <c:pt idx="10">
                  <c:v>17.73</c:v>
                </c:pt>
                <c:pt idx="11">
                  <c:v>19.442</c:v>
                </c:pt>
                <c:pt idx="12">
                  <c:v>19.920999999999999</c:v>
                </c:pt>
                <c:pt idx="13">
                  <c:v>19.991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18.400000000000002</c:v>
                </c:pt>
                <c:pt idx="24">
                  <c:v>15.200000000000001</c:v>
                </c:pt>
                <c:pt idx="25">
                  <c:v>12</c:v>
                </c:pt>
                <c:pt idx="26">
                  <c:v>8.7999999999999989</c:v>
                </c:pt>
                <c:pt idx="27">
                  <c:v>5.6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0-414A-876B-FDE1C550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7816"/>
        <c:axId val="351794680"/>
      </c:scatterChart>
      <c:valAx>
        <c:axId val="35179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4680"/>
        <c:crosses val="autoZero"/>
        <c:crossBetween val="midCat"/>
      </c:valAx>
      <c:valAx>
        <c:axId val="351794680"/>
        <c:scaling>
          <c:orientation val="minMax"/>
          <c:max val="20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Turbine power (MW)</a:t>
                </a:r>
              </a:p>
            </c:rich>
          </c:tx>
          <c:overlay val="0"/>
        </c:title>
        <c:numFmt formatCode="0.0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7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NL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C</a:t>
            </a:r>
            <a:r>
              <a:rPr lang="en-US" sz="1050"/>
              <a:t>p</a:t>
            </a:r>
            <a:r>
              <a:rPr lang="en-US" sz="1200" baseline="0"/>
              <a:t> vs. wind speed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'WTG Yield Wake'!$E$13</c:f>
              <c:strCache>
                <c:ptCount val="1"/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'WTG Yield Wake'!$B$17:$B$41</c:f>
              <c:numCache>
                <c:formatCode>General</c:formatCode>
                <c:ptCount val="25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</c:numCache>
            </c:numRef>
          </c:xVal>
          <c:yVal>
            <c:numRef>
              <c:f>'WTG Yield Wake'!$E$17:$E$41</c:f>
              <c:numCache>
                <c:formatCode>0.000</c:formatCode>
                <c:ptCount val="25"/>
                <c:pt idx="0">
                  <c:v>0.27047052107979547</c:v>
                </c:pt>
                <c:pt idx="1">
                  <c:v>0.41439069275587165</c:v>
                </c:pt>
                <c:pt idx="2">
                  <c:v>0.45137863705468551</c:v>
                </c:pt>
                <c:pt idx="3">
                  <c:v>0.46110836289273688</c:v>
                </c:pt>
                <c:pt idx="4">
                  <c:v>0.46924285782087227</c:v>
                </c:pt>
                <c:pt idx="5">
                  <c:v>0.47310802247845668</c:v>
                </c:pt>
                <c:pt idx="6">
                  <c:v>0.45259348485135137</c:v>
                </c:pt>
                <c:pt idx="7">
                  <c:v>0.40642786157680938</c:v>
                </c:pt>
                <c:pt idx="8">
                  <c:v>0.33922671872427007</c:v>
                </c:pt>
                <c:pt idx="9">
                  <c:v>0.27065978360057813</c:v>
                </c:pt>
                <c:pt idx="10">
                  <c:v>0.21561344938660185</c:v>
                </c:pt>
                <c:pt idx="11">
                  <c:v>0.17408791454520536</c:v>
                </c:pt>
                <c:pt idx="12">
                  <c:v>0.14252056486331488</c:v>
                </c:pt>
                <c:pt idx="13">
                  <c:v>0.11814648267365151</c:v>
                </c:pt>
                <c:pt idx="14">
                  <c:v>9.9028108404501769E-2</c:v>
                </c:pt>
                <c:pt idx="15">
                  <c:v>8.3821889085404874E-2</c:v>
                </c:pt>
                <c:pt idx="16">
                  <c:v>7.1576225962052861E-2</c:v>
                </c:pt>
                <c:pt idx="17">
                  <c:v>6.160430272113019E-2</c:v>
                </c:pt>
                <c:pt idx="18">
                  <c:v>5.3401966466386779E-2</c:v>
                </c:pt>
                <c:pt idx="19">
                  <c:v>4.6593472129964481E-2</c:v>
                </c:pt>
                <c:pt idx="20">
                  <c:v>3.7623298652664366E-2</c:v>
                </c:pt>
                <c:pt idx="21">
                  <c:v>2.7427610199497576E-2</c:v>
                </c:pt>
                <c:pt idx="22">
                  <c:v>1.9204514769627128E-2</c:v>
                </c:pt>
                <c:pt idx="23">
                  <c:v>1.2548380643423266E-2</c:v>
                </c:pt>
                <c:pt idx="24">
                  <c:v>7.1454992721024417E-3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1-49C8-8876-D610F44D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9384"/>
        <c:axId val="351795072"/>
      </c:scatterChart>
      <c:valAx>
        <c:axId val="3517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5072"/>
        <c:crosses val="autoZero"/>
        <c:crossBetween val="midCat"/>
      </c:valAx>
      <c:valAx>
        <c:axId val="35179507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sz="800"/>
                  <a:t>p</a:t>
                </a:r>
                <a:endParaRPr lang="en-US"/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9384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NL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C</a:t>
            </a:r>
            <a:r>
              <a:rPr lang="en-NL" sz="1050"/>
              <a:t>T</a:t>
            </a:r>
            <a:r>
              <a:rPr lang="en-US" sz="1200" baseline="0"/>
              <a:t> vs. wind speed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'WTG Yield Wake'!$E$13</c:f>
              <c:strCache>
                <c:ptCount val="1"/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'WTG Yield Wake'!$B$17:$B$41</c:f>
              <c:numCache>
                <c:formatCode>General</c:formatCode>
                <c:ptCount val="25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</c:numCache>
            </c:numRef>
          </c:xVal>
          <c:yVal>
            <c:numRef>
              <c:f>'WTG Yield Wake'!$F$14:$F$42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0.85499999999999998</c:v>
                </c:pt>
                <c:pt idx="4">
                  <c:v>0.85499999999999998</c:v>
                </c:pt>
                <c:pt idx="5">
                  <c:v>0.85499999999999998</c:v>
                </c:pt>
                <c:pt idx="6">
                  <c:v>0.85799999999999998</c:v>
                </c:pt>
                <c:pt idx="7">
                  <c:v>0.86299999999999999</c:v>
                </c:pt>
                <c:pt idx="8">
                  <c:v>0.84</c:v>
                </c:pt>
                <c:pt idx="9">
                  <c:v>0.752</c:v>
                </c:pt>
                <c:pt idx="10">
                  <c:v>0.64100000000000001</c:v>
                </c:pt>
                <c:pt idx="11">
                  <c:v>0.52100000000000002</c:v>
                </c:pt>
                <c:pt idx="12">
                  <c:v>0.40200000000000002</c:v>
                </c:pt>
                <c:pt idx="13">
                  <c:v>0.309</c:v>
                </c:pt>
                <c:pt idx="14">
                  <c:v>0.24399999999999999</c:v>
                </c:pt>
                <c:pt idx="15">
                  <c:v>0.19700000000000001</c:v>
                </c:pt>
                <c:pt idx="16">
                  <c:v>0.16200000000000001</c:v>
                </c:pt>
                <c:pt idx="17">
                  <c:v>0.13600000000000001</c:v>
                </c:pt>
                <c:pt idx="18">
                  <c:v>0.11600000000000001</c:v>
                </c:pt>
                <c:pt idx="19">
                  <c:v>0.1</c:v>
                </c:pt>
                <c:pt idx="20">
                  <c:v>8.7999999999999995E-2</c:v>
                </c:pt>
                <c:pt idx="21">
                  <c:v>7.8E-2</c:v>
                </c:pt>
                <c:pt idx="22">
                  <c:v>7.0000000000000007E-2</c:v>
                </c:pt>
                <c:pt idx="23">
                  <c:v>5.8000000000000003E-2</c:v>
                </c:pt>
                <c:pt idx="24">
                  <c:v>4.3999999999999997E-2</c:v>
                </c:pt>
                <c:pt idx="25">
                  <c:v>3.3000000000000002E-2</c:v>
                </c:pt>
                <c:pt idx="26">
                  <c:v>2.3E-2</c:v>
                </c:pt>
                <c:pt idx="27">
                  <c:v>1.5E-3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2-4345-8932-D2E71C79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9384"/>
        <c:axId val="351795072"/>
      </c:scatterChart>
      <c:valAx>
        <c:axId val="3517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5072"/>
        <c:crosses val="autoZero"/>
        <c:crossBetween val="midCat"/>
      </c:valAx>
      <c:valAx>
        <c:axId val="35179507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sz="800"/>
                  <a:t>p</a:t>
                </a:r>
                <a:endParaRPr lang="en-US"/>
              </a:p>
            </c:rich>
          </c:tx>
          <c:overlay val="0"/>
        </c:title>
        <c:numFmt formatCode="0.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NL"/>
          </a:p>
        </c:txPr>
        <c:crossAx val="351799384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NL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Wind</a:t>
            </a:r>
            <a:r>
              <a:rPr lang="en-NL" baseline="0"/>
              <a:t> Speed Distribution [h/year]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IAC!$B$18:$B$46</c:f>
              <c:numCache>
                <c:formatCode>General</c:formatCode>
                <c:ptCount val="2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</c:numCache>
            </c:numRef>
          </c:xVal>
          <c:yVal>
            <c:numRef>
              <c:f>IAC!$J$18:$J$46</c:f>
              <c:numCache>
                <c:formatCode>_ * #,##0_ ;_ * \-#,##0_ ;_ * "-"??_ ;_ @_ </c:formatCode>
                <c:ptCount val="29"/>
                <c:pt idx="0">
                  <c:v>57</c:v>
                </c:pt>
                <c:pt idx="1">
                  <c:v>151.98599999999999</c:v>
                </c:pt>
                <c:pt idx="2">
                  <c:v>293.98559999999998</c:v>
                </c:pt>
                <c:pt idx="3">
                  <c:v>423.28320000000002</c:v>
                </c:pt>
                <c:pt idx="4">
                  <c:v>559.7639999999999</c:v>
                </c:pt>
                <c:pt idx="5">
                  <c:v>670.75320000000011</c:v>
                </c:pt>
                <c:pt idx="6">
                  <c:v>764.92319999999995</c:v>
                </c:pt>
                <c:pt idx="7">
                  <c:v>827.64480000000015</c:v>
                </c:pt>
                <c:pt idx="8">
                  <c:v>842.62440000000004</c:v>
                </c:pt>
                <c:pt idx="9">
                  <c:v>799.1748</c:v>
                </c:pt>
                <c:pt idx="10">
                  <c:v>717.61919999999998</c:v>
                </c:pt>
                <c:pt idx="11">
                  <c:v>620.38319999999999</c:v>
                </c:pt>
                <c:pt idx="12">
                  <c:v>510.27</c:v>
                </c:pt>
                <c:pt idx="13">
                  <c:v>399.2808</c:v>
                </c:pt>
                <c:pt idx="14">
                  <c:v>295.47480000000002</c:v>
                </c:pt>
                <c:pt idx="15">
                  <c:v>211.46640000000002</c:v>
                </c:pt>
                <c:pt idx="16">
                  <c:v>157.76760000000002</c:v>
                </c:pt>
                <c:pt idx="17">
                  <c:v>123.95399999999999</c:v>
                </c:pt>
                <c:pt idx="18">
                  <c:v>100.38959999999999</c:v>
                </c:pt>
                <c:pt idx="19">
                  <c:v>75.686400000000006</c:v>
                </c:pt>
                <c:pt idx="20">
                  <c:v>53.611199999999997</c:v>
                </c:pt>
                <c:pt idx="21">
                  <c:v>38.106000000000002</c:v>
                </c:pt>
                <c:pt idx="22">
                  <c:v>25.7544</c:v>
                </c:pt>
                <c:pt idx="23">
                  <c:v>15.855599999999999</c:v>
                </c:pt>
                <c:pt idx="24">
                  <c:v>9.5484000000000009</c:v>
                </c:pt>
                <c:pt idx="25">
                  <c:v>6.2195999999999989</c:v>
                </c:pt>
                <c:pt idx="26">
                  <c:v>3.4163999999999999</c:v>
                </c:pt>
                <c:pt idx="27">
                  <c:v>2.3652000000000002</c:v>
                </c:pt>
                <c:pt idx="28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4-46DB-AB2F-0BF9B27A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24159"/>
        <c:axId val="1305720799"/>
      </c:scatterChart>
      <c:valAx>
        <c:axId val="13057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05720799"/>
        <c:crosses val="autoZero"/>
        <c:crossBetween val="midCat"/>
      </c:valAx>
      <c:valAx>
        <c:axId val="1305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/ Year [h/year]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057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Wind</a:t>
            </a:r>
            <a:r>
              <a:rPr lang="en-NL" baseline="0"/>
              <a:t> Speed Distribution [h/year]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IAC!$B$18:$B$46</c:f>
              <c:numCache>
                <c:formatCode>General</c:formatCode>
                <c:ptCount val="29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</c:numCache>
            </c:numRef>
          </c:xVal>
          <c:yVal>
            <c:numRef>
              <c:f>IAC!$J$18:$J$46</c:f>
              <c:numCache>
                <c:formatCode>_ * #,##0_ ;_ * \-#,##0_ ;_ * "-"??_ ;_ @_ </c:formatCode>
                <c:ptCount val="29"/>
                <c:pt idx="0">
                  <c:v>57</c:v>
                </c:pt>
                <c:pt idx="1">
                  <c:v>151.98599999999999</c:v>
                </c:pt>
                <c:pt idx="2">
                  <c:v>293.98559999999998</c:v>
                </c:pt>
                <c:pt idx="3">
                  <c:v>423.28320000000002</c:v>
                </c:pt>
                <c:pt idx="4">
                  <c:v>559.7639999999999</c:v>
                </c:pt>
                <c:pt idx="5">
                  <c:v>670.75320000000011</c:v>
                </c:pt>
                <c:pt idx="6">
                  <c:v>764.92319999999995</c:v>
                </c:pt>
                <c:pt idx="7">
                  <c:v>827.64480000000015</c:v>
                </c:pt>
                <c:pt idx="8">
                  <c:v>842.62440000000004</c:v>
                </c:pt>
                <c:pt idx="9">
                  <c:v>799.1748</c:v>
                </c:pt>
                <c:pt idx="10">
                  <c:v>717.61919999999998</c:v>
                </c:pt>
                <c:pt idx="11">
                  <c:v>620.38319999999999</c:v>
                </c:pt>
                <c:pt idx="12">
                  <c:v>510.27</c:v>
                </c:pt>
                <c:pt idx="13">
                  <c:v>399.2808</c:v>
                </c:pt>
                <c:pt idx="14">
                  <c:v>295.47480000000002</c:v>
                </c:pt>
                <c:pt idx="15">
                  <c:v>211.46640000000002</c:v>
                </c:pt>
                <c:pt idx="16">
                  <c:v>157.76760000000002</c:v>
                </c:pt>
                <c:pt idx="17">
                  <c:v>123.95399999999999</c:v>
                </c:pt>
                <c:pt idx="18">
                  <c:v>100.38959999999999</c:v>
                </c:pt>
                <c:pt idx="19">
                  <c:v>75.686400000000006</c:v>
                </c:pt>
                <c:pt idx="20">
                  <c:v>53.611199999999997</c:v>
                </c:pt>
                <c:pt idx="21">
                  <c:v>38.106000000000002</c:v>
                </c:pt>
                <c:pt idx="22">
                  <c:v>25.7544</c:v>
                </c:pt>
                <c:pt idx="23">
                  <c:v>15.855599999999999</c:v>
                </c:pt>
                <c:pt idx="24">
                  <c:v>9.5484000000000009</c:v>
                </c:pt>
                <c:pt idx="25">
                  <c:v>6.2195999999999989</c:v>
                </c:pt>
                <c:pt idx="26">
                  <c:v>3.4163999999999999</c:v>
                </c:pt>
                <c:pt idx="27">
                  <c:v>2.3652000000000002</c:v>
                </c:pt>
                <c:pt idx="28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A-400C-9FE4-DF4F673D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724159"/>
        <c:axId val="1305720799"/>
      </c:scatterChart>
      <c:valAx>
        <c:axId val="13057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05720799"/>
        <c:crosses val="autoZero"/>
        <c:crossBetween val="midCat"/>
      </c:valAx>
      <c:valAx>
        <c:axId val="1305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/ Year [h/year]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057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387350</xdr:colOff>
      <xdr:row>18</xdr:row>
      <xdr:rowOff>108857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19792</xdr:colOff>
      <xdr:row>20</xdr:row>
      <xdr:rowOff>29691</xdr:rowOff>
    </xdr:from>
    <xdr:to>
      <xdr:col>21</xdr:col>
      <xdr:colOff>407142</xdr:colOff>
      <xdr:row>40</xdr:row>
      <xdr:rowOff>59376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7776</xdr:rowOff>
    </xdr:from>
    <xdr:to>
      <xdr:col>21</xdr:col>
      <xdr:colOff>383268</xdr:colOff>
      <xdr:row>62</xdr:row>
      <xdr:rowOff>33767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5AD10-6230-427D-94DE-5D05F272E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16006</xdr:colOff>
      <xdr:row>17</xdr:row>
      <xdr:rowOff>14726</xdr:rowOff>
    </xdr:from>
    <xdr:to>
      <xdr:col>19</xdr:col>
      <xdr:colOff>195300</xdr:colOff>
      <xdr:row>33</xdr:row>
      <xdr:rowOff>94128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2CA6B-89DF-E93E-5CFF-7FB614EC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16006</xdr:colOff>
      <xdr:row>17</xdr:row>
      <xdr:rowOff>14726</xdr:rowOff>
    </xdr:from>
    <xdr:to>
      <xdr:col>19</xdr:col>
      <xdr:colOff>195300</xdr:colOff>
      <xdr:row>33</xdr:row>
      <xdr:rowOff>94128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44107-6EA2-4DEC-AED3-EC506149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6"/>
  <sheetViews>
    <sheetView topLeftCell="C29" zoomScale="155" zoomScaleNormal="70" workbookViewId="0">
      <selection activeCell="J43" sqref="J43"/>
    </sheetView>
  </sheetViews>
  <sheetFormatPr defaultColWidth="8.85546875" defaultRowHeight="13.5" x14ac:dyDescent="0.25"/>
  <cols>
    <col min="1" max="1" width="8.85546875" style="9"/>
    <col min="2" max="2" width="11.42578125" style="9" bestFit="1" customWidth="1"/>
    <col min="3" max="3" width="15.140625" style="9" bestFit="1" customWidth="1"/>
    <col min="4" max="4" width="10" style="9" bestFit="1" customWidth="1"/>
    <col min="5" max="5" width="6.5703125" style="9" bestFit="1" customWidth="1"/>
    <col min="6" max="6" width="5.85546875" style="9" bestFit="1" customWidth="1"/>
    <col min="7" max="7" width="11.5703125" style="9" customWidth="1"/>
    <col min="8" max="8" width="13.42578125" style="9" bestFit="1" customWidth="1"/>
    <col min="9" max="9" width="14.42578125" style="9" bestFit="1" customWidth="1"/>
    <col min="10" max="10" width="10" style="9" bestFit="1" customWidth="1"/>
    <col min="11" max="11" width="12.5703125" style="9" customWidth="1"/>
    <col min="12" max="12" width="13.85546875" style="9" bestFit="1" customWidth="1"/>
    <col min="13" max="16384" width="8.85546875" style="9"/>
  </cols>
  <sheetData>
    <row r="2" spans="2:12" ht="14.25" thickBot="1" x14ac:dyDescent="0.3">
      <c r="B2" s="2" t="s">
        <v>11</v>
      </c>
    </row>
    <row r="3" spans="2:12" x14ac:dyDescent="0.25">
      <c r="B3" s="118" t="s">
        <v>3</v>
      </c>
      <c r="C3" s="119"/>
      <c r="D3" s="34">
        <v>280</v>
      </c>
      <c r="E3" s="4" t="s">
        <v>6</v>
      </c>
    </row>
    <row r="4" spans="2:12" x14ac:dyDescent="0.25">
      <c r="B4" s="116" t="s">
        <v>4</v>
      </c>
      <c r="C4" s="117"/>
      <c r="D4" s="35">
        <f>PI()*D3^2*(1/4)</f>
        <v>61575.216010359945</v>
      </c>
      <c r="E4" s="7" t="s">
        <v>7</v>
      </c>
    </row>
    <row r="5" spans="2:12" x14ac:dyDescent="0.25">
      <c r="B5" s="116" t="s">
        <v>54</v>
      </c>
      <c r="C5" s="117"/>
      <c r="D5" s="36">
        <v>20</v>
      </c>
      <c r="E5" s="7" t="s">
        <v>43</v>
      </c>
    </row>
    <row r="6" spans="2:12" x14ac:dyDescent="0.25">
      <c r="B6" s="116" t="s">
        <v>18</v>
      </c>
      <c r="C6" s="117"/>
      <c r="D6" s="35">
        <f>D5*1000000/D4</f>
        <v>324.80600630999049</v>
      </c>
      <c r="E6" s="7" t="s">
        <v>19</v>
      </c>
    </row>
    <row r="7" spans="2:12" x14ac:dyDescent="0.25">
      <c r="B7" s="116" t="s">
        <v>52</v>
      </c>
      <c r="C7" s="117"/>
      <c r="D7" s="36">
        <v>7</v>
      </c>
      <c r="E7" s="7" t="s">
        <v>8</v>
      </c>
    </row>
    <row r="8" spans="2:12" x14ac:dyDescent="0.25">
      <c r="B8" s="116" t="s">
        <v>53</v>
      </c>
      <c r="C8" s="117"/>
      <c r="D8" s="35">
        <f>PI()*D3*D7/60</f>
        <v>102.62536001726657</v>
      </c>
      <c r="E8" s="7" t="s">
        <v>9</v>
      </c>
      <c r="F8" s="10"/>
    </row>
    <row r="9" spans="2:12" ht="14.25" thickBot="1" x14ac:dyDescent="0.3">
      <c r="B9" s="120" t="s">
        <v>5</v>
      </c>
      <c r="C9" s="121"/>
      <c r="D9" s="37">
        <v>160</v>
      </c>
      <c r="E9" s="8" t="s">
        <v>6</v>
      </c>
    </row>
    <row r="10" spans="2:12" x14ac:dyDescent="0.25">
      <c r="B10" s="12"/>
      <c r="C10" s="12"/>
      <c r="D10" s="13"/>
      <c r="K10" s="16" t="s">
        <v>42</v>
      </c>
    </row>
    <row r="11" spans="2:12" ht="14.25" thickBot="1" x14ac:dyDescent="0.3">
      <c r="B11" s="2" t="s">
        <v>56</v>
      </c>
      <c r="H11" s="2" t="s">
        <v>16</v>
      </c>
      <c r="K11" s="16">
        <v>80</v>
      </c>
    </row>
    <row r="12" spans="2:12" ht="40.5" x14ac:dyDescent="0.25">
      <c r="B12" s="38" t="s">
        <v>58</v>
      </c>
      <c r="C12" s="39" t="s">
        <v>17</v>
      </c>
      <c r="D12" s="40" t="s">
        <v>27</v>
      </c>
      <c r="E12" s="41" t="s">
        <v>2</v>
      </c>
      <c r="F12" s="41" t="s">
        <v>21</v>
      </c>
      <c r="G12" s="18"/>
      <c r="H12" s="81" t="s">
        <v>59</v>
      </c>
      <c r="I12" s="39" t="s">
        <v>24</v>
      </c>
      <c r="J12" s="39" t="s">
        <v>22</v>
      </c>
      <c r="K12" s="40" t="s">
        <v>23</v>
      </c>
      <c r="L12" s="19" t="s">
        <v>33</v>
      </c>
    </row>
    <row r="13" spans="2:12" x14ac:dyDescent="0.25">
      <c r="B13" s="20" t="s">
        <v>1</v>
      </c>
      <c r="C13" s="6" t="s">
        <v>20</v>
      </c>
      <c r="D13" s="7" t="s">
        <v>20</v>
      </c>
      <c r="E13" s="42"/>
      <c r="F13" s="42"/>
      <c r="H13" s="20" t="s">
        <v>1</v>
      </c>
      <c r="I13" s="6" t="s">
        <v>25</v>
      </c>
      <c r="J13" s="6" t="s">
        <v>26</v>
      </c>
      <c r="K13" s="7" t="s">
        <v>10</v>
      </c>
      <c r="L13" s="3" t="s">
        <v>26</v>
      </c>
    </row>
    <row r="14" spans="2:12" x14ac:dyDescent="0.25">
      <c r="B14" s="20">
        <f>H14</f>
        <v>0.5</v>
      </c>
      <c r="C14" s="43">
        <f>0.5*1.224*$D$4*(B14^3)/1000000</f>
        <v>4.7105040247925351E-3</v>
      </c>
      <c r="D14" s="44">
        <v>0</v>
      </c>
      <c r="E14" s="45">
        <f>D14/C14</f>
        <v>0</v>
      </c>
      <c r="F14" s="45">
        <v>0</v>
      </c>
      <c r="H14" s="20">
        <v>0.5</v>
      </c>
      <c r="I14" s="49">
        <v>0.65200000000000002</v>
      </c>
      <c r="J14" s="50">
        <f>I14*$D14*8766</f>
        <v>0</v>
      </c>
      <c r="K14" s="51"/>
      <c r="L14" s="11"/>
    </row>
    <row r="15" spans="2:12" x14ac:dyDescent="0.25">
      <c r="B15" s="20">
        <f t="shared" ref="B15:B41" si="0">H15</f>
        <v>1.5</v>
      </c>
      <c r="C15" s="43">
        <f t="shared" ref="C15:C42" si="1">0.5*1.224*$D$4*(B15^3)/1000000</f>
        <v>0.12718360866939846</v>
      </c>
      <c r="D15" s="44">
        <v>0</v>
      </c>
      <c r="E15" s="45">
        <f t="shared" ref="E15:E42" si="2">D15/C15</f>
        <v>0</v>
      </c>
      <c r="F15" s="45">
        <v>0</v>
      </c>
      <c r="H15" s="20">
        <v>1.5</v>
      </c>
      <c r="I15" s="49">
        <v>1.7350000000000001</v>
      </c>
      <c r="J15" s="50">
        <f t="shared" ref="J15:J16" si="3">I15*$D15*8766</f>
        <v>0</v>
      </c>
      <c r="K15" s="51"/>
      <c r="L15" s="11"/>
    </row>
    <row r="16" spans="2:12" x14ac:dyDescent="0.25">
      <c r="B16" s="20">
        <f t="shared" si="0"/>
        <v>2.5</v>
      </c>
      <c r="C16" s="43">
        <f t="shared" si="1"/>
        <v>0.58881300309906692</v>
      </c>
      <c r="D16" s="44">
        <v>0</v>
      </c>
      <c r="E16" s="45">
        <f t="shared" si="2"/>
        <v>0</v>
      </c>
      <c r="F16" s="45">
        <v>0</v>
      </c>
      <c r="H16" s="20">
        <v>2.5</v>
      </c>
      <c r="I16" s="49">
        <v>3.3559999999999999</v>
      </c>
      <c r="J16" s="50">
        <f t="shared" si="3"/>
        <v>0</v>
      </c>
      <c r="K16" s="51"/>
      <c r="L16" s="11"/>
    </row>
    <row r="17" spans="2:12" x14ac:dyDescent="0.25">
      <c r="B17" s="20">
        <f t="shared" si="0"/>
        <v>3.5</v>
      </c>
      <c r="C17" s="43">
        <f t="shared" si="1"/>
        <v>1.6157028805038396</v>
      </c>
      <c r="D17" s="44">
        <v>0.437</v>
      </c>
      <c r="E17" s="45">
        <f t="shared" si="2"/>
        <v>0.27047052107979547</v>
      </c>
      <c r="F17" s="45">
        <v>0.85499999999999998</v>
      </c>
      <c r="H17" s="20">
        <v>3.5</v>
      </c>
      <c r="I17" s="49">
        <v>4.8319999999999999</v>
      </c>
      <c r="J17" s="50">
        <f>I17*$D17/100*8766</f>
        <v>185.10145344</v>
      </c>
      <c r="K17" s="52">
        <v>0.48936170212765956</v>
      </c>
      <c r="L17" s="15">
        <f t="shared" ref="L17:L42" si="4">$K$11*J17*K17</f>
        <v>7246.5249857361696</v>
      </c>
    </row>
    <row r="18" spans="2:12" x14ac:dyDescent="0.25">
      <c r="B18" s="20">
        <f t="shared" si="0"/>
        <v>4.5</v>
      </c>
      <c r="C18" s="43">
        <f t="shared" si="1"/>
        <v>3.4339574340737582</v>
      </c>
      <c r="D18" s="44">
        <v>1.423</v>
      </c>
      <c r="E18" s="45">
        <f t="shared" si="2"/>
        <v>0.41439069275587165</v>
      </c>
      <c r="F18" s="45">
        <v>0.85499999999999998</v>
      </c>
      <c r="H18" s="20">
        <v>4.5</v>
      </c>
      <c r="I18" s="49">
        <v>6.39</v>
      </c>
      <c r="J18" s="50">
        <f t="shared" ref="J18:J41" si="5">I18*$D18/100*8766</f>
        <v>797.08975019999991</v>
      </c>
      <c r="K18" s="52">
        <v>0.56663896817081538</v>
      </c>
      <c r="L18" s="15">
        <f t="shared" si="4"/>
        <v>36132.969087428872</v>
      </c>
    </row>
    <row r="19" spans="2:12" x14ac:dyDescent="0.25">
      <c r="B19" s="20">
        <f t="shared" si="0"/>
        <v>5.5</v>
      </c>
      <c r="C19" s="43">
        <f t="shared" si="1"/>
        <v>6.2696808569988649</v>
      </c>
      <c r="D19" s="44">
        <v>2.83</v>
      </c>
      <c r="E19" s="45">
        <f t="shared" si="2"/>
        <v>0.45137863705468551</v>
      </c>
      <c r="F19" s="45">
        <v>0.85499999999999998</v>
      </c>
      <c r="H19" s="20">
        <v>5.5</v>
      </c>
      <c r="I19" s="49">
        <v>7.657</v>
      </c>
      <c r="J19" s="50">
        <f t="shared" si="5"/>
        <v>1899.5317146</v>
      </c>
      <c r="K19" s="52">
        <v>0.61633103548101109</v>
      </c>
      <c r="L19" s="15">
        <f t="shared" si="4"/>
        <v>93659.227887075074</v>
      </c>
    </row>
    <row r="20" spans="2:12" x14ac:dyDescent="0.25">
      <c r="B20" s="20">
        <f t="shared" si="0"/>
        <v>6.5</v>
      </c>
      <c r="C20" s="43">
        <f t="shared" si="1"/>
        <v>10.348977342469201</v>
      </c>
      <c r="D20" s="44">
        <v>4.7720000000000002</v>
      </c>
      <c r="E20" s="45">
        <f t="shared" si="2"/>
        <v>0.46110836289273688</v>
      </c>
      <c r="F20" s="45">
        <v>0.85799999999999998</v>
      </c>
      <c r="H20" s="20">
        <v>6.5</v>
      </c>
      <c r="I20" s="49">
        <v>8.7319999999999993</v>
      </c>
      <c r="J20" s="50">
        <f t="shared" si="5"/>
        <v>3652.7136566399995</v>
      </c>
      <c r="K20" s="52">
        <v>0.63665408697143833</v>
      </c>
      <c r="L20" s="15">
        <f t="shared" si="4"/>
        <v>186041.20624289944</v>
      </c>
    </row>
    <row r="21" spans="2:12" x14ac:dyDescent="0.25">
      <c r="B21" s="20">
        <f t="shared" si="0"/>
        <v>7.5</v>
      </c>
      <c r="C21" s="43">
        <f t="shared" si="1"/>
        <v>15.897951083674807</v>
      </c>
      <c r="D21" s="44">
        <v>7.46</v>
      </c>
      <c r="E21" s="45">
        <f t="shared" si="2"/>
        <v>0.46924285782087227</v>
      </c>
      <c r="F21" s="45">
        <v>0.86299999999999999</v>
      </c>
      <c r="H21" s="20">
        <v>7.5</v>
      </c>
      <c r="I21" s="49">
        <v>9.4480000000000004</v>
      </c>
      <c r="J21" s="50">
        <f t="shared" si="5"/>
        <v>6178.4591327999997</v>
      </c>
      <c r="K21" s="52">
        <v>0.64575743432922117</v>
      </c>
      <c r="L21" s="15">
        <f t="shared" si="4"/>
        <v>319182.8734163898</v>
      </c>
    </row>
    <row r="22" spans="2:12" x14ac:dyDescent="0.25">
      <c r="B22" s="20">
        <f t="shared" si="0"/>
        <v>8.5</v>
      </c>
      <c r="C22" s="43">
        <f t="shared" si="1"/>
        <v>23.142706273805725</v>
      </c>
      <c r="D22" s="44">
        <v>10.949</v>
      </c>
      <c r="E22" s="45">
        <f t="shared" si="2"/>
        <v>0.47310802247845668</v>
      </c>
      <c r="F22" s="45">
        <v>0.84</v>
      </c>
      <c r="H22" s="20">
        <v>8.5</v>
      </c>
      <c r="I22" s="49">
        <v>9.6189999999999998</v>
      </c>
      <c r="J22" s="50">
        <f t="shared" si="5"/>
        <v>9232.2136614599985</v>
      </c>
      <c r="K22" s="52">
        <v>0.66202090592334495</v>
      </c>
      <c r="L22" s="15">
        <f t="shared" si="4"/>
        <v>488953.4761470104</v>
      </c>
    </row>
    <row r="23" spans="2:12" x14ac:dyDescent="0.25">
      <c r="B23" s="20">
        <f t="shared" si="0"/>
        <v>9.5</v>
      </c>
      <c r="C23" s="43">
        <f t="shared" si="1"/>
        <v>32.309347106052002</v>
      </c>
      <c r="D23" s="44">
        <v>14.622999999999999</v>
      </c>
      <c r="E23" s="45">
        <f t="shared" si="2"/>
        <v>0.45259348485135137</v>
      </c>
      <c r="F23" s="45">
        <v>0.752</v>
      </c>
      <c r="H23" s="20">
        <v>9.5</v>
      </c>
      <c r="I23" s="49">
        <v>9.1229999999999993</v>
      </c>
      <c r="J23" s="50">
        <f t="shared" si="5"/>
        <v>11694.337438139997</v>
      </c>
      <c r="K23" s="52">
        <v>0.69857894951034616</v>
      </c>
      <c r="L23" s="15">
        <f t="shared" si="4"/>
        <v>653553.43702042813</v>
      </c>
    </row>
    <row r="24" spans="2:12" x14ac:dyDescent="0.25">
      <c r="B24" s="20">
        <f t="shared" si="0"/>
        <v>10.5</v>
      </c>
      <c r="C24" s="43">
        <f t="shared" si="1"/>
        <v>43.62397777360367</v>
      </c>
      <c r="D24" s="44">
        <v>17.73</v>
      </c>
      <c r="E24" s="45">
        <f t="shared" si="2"/>
        <v>0.40642786157680938</v>
      </c>
      <c r="F24" s="45">
        <v>0.64100000000000001</v>
      </c>
      <c r="H24" s="20">
        <v>10.5</v>
      </c>
      <c r="I24" s="49">
        <v>8.1920000000000002</v>
      </c>
      <c r="J24" s="50">
        <f t="shared" si="5"/>
        <v>12732.1030656</v>
      </c>
      <c r="K24" s="52">
        <v>0.75621483097714737</v>
      </c>
      <c r="L24" s="15">
        <f t="shared" si="4"/>
        <v>770256.41341890593</v>
      </c>
    </row>
    <row r="25" spans="2:12" x14ac:dyDescent="0.25">
      <c r="B25" s="20">
        <f t="shared" si="0"/>
        <v>11.5</v>
      </c>
      <c r="C25" s="43">
        <f t="shared" si="1"/>
        <v>57.312702469650773</v>
      </c>
      <c r="D25" s="44">
        <v>19.442</v>
      </c>
      <c r="E25" s="45">
        <f t="shared" si="2"/>
        <v>0.33922671872427007</v>
      </c>
      <c r="F25" s="45">
        <v>0.52100000000000002</v>
      </c>
      <c r="H25" s="20">
        <v>11.5</v>
      </c>
      <c r="I25" s="49">
        <v>7.0819999999999999</v>
      </c>
      <c r="J25" s="50">
        <f t="shared" si="5"/>
        <v>12069.751469039998</v>
      </c>
      <c r="K25" s="52">
        <v>0.83768207915341164</v>
      </c>
      <c r="L25" s="15">
        <f t="shared" si="4"/>
        <v>808849.16043602966</v>
      </c>
    </row>
    <row r="26" spans="2:12" x14ac:dyDescent="0.25">
      <c r="B26" s="20">
        <f t="shared" si="0"/>
        <v>12.5</v>
      </c>
      <c r="C26" s="43">
        <f t="shared" si="1"/>
        <v>73.601625387383365</v>
      </c>
      <c r="D26" s="44">
        <v>19.920999999999999</v>
      </c>
      <c r="E26" s="45">
        <f t="shared" si="2"/>
        <v>0.27065978360057813</v>
      </c>
      <c r="F26" s="45">
        <v>0.40200000000000002</v>
      </c>
      <c r="H26" s="20">
        <v>12.5</v>
      </c>
      <c r="I26" s="49">
        <v>5.8250000000000002</v>
      </c>
      <c r="J26" s="50">
        <f t="shared" si="5"/>
        <v>10172.0510595</v>
      </c>
      <c r="K26" s="52">
        <v>0.91788240611303229</v>
      </c>
      <c r="L26" s="15">
        <f t="shared" si="4"/>
        <v>746939.73612787831</v>
      </c>
    </row>
    <row r="27" spans="2:12" x14ac:dyDescent="0.25">
      <c r="B27" s="20">
        <f t="shared" si="0"/>
        <v>13.5</v>
      </c>
      <c r="C27" s="43">
        <f t="shared" si="1"/>
        <v>92.71685071999147</v>
      </c>
      <c r="D27" s="44">
        <v>19.991</v>
      </c>
      <c r="E27" s="45">
        <f t="shared" si="2"/>
        <v>0.21561344938660185</v>
      </c>
      <c r="F27" s="45">
        <v>0.309</v>
      </c>
      <c r="H27" s="20">
        <v>13.5</v>
      </c>
      <c r="I27" s="49">
        <v>4.5579999999999998</v>
      </c>
      <c r="J27" s="50">
        <f t="shared" si="5"/>
        <v>7987.4896114799994</v>
      </c>
      <c r="K27" s="52">
        <v>0.96661107073580077</v>
      </c>
      <c r="L27" s="15">
        <f t="shared" si="4"/>
        <v>617663.67086750141</v>
      </c>
    </row>
    <row r="28" spans="2:12" x14ac:dyDescent="0.25">
      <c r="B28" s="20">
        <f t="shared" si="0"/>
        <v>14.5</v>
      </c>
      <c r="C28" s="43">
        <f t="shared" si="1"/>
        <v>114.88448266066514</v>
      </c>
      <c r="D28" s="44">
        <v>20</v>
      </c>
      <c r="E28" s="45">
        <f t="shared" si="2"/>
        <v>0.17408791454520536</v>
      </c>
      <c r="F28" s="45">
        <v>0.24399999999999999</v>
      </c>
      <c r="H28" s="20">
        <v>14.5</v>
      </c>
      <c r="I28" s="49">
        <v>3.3730000000000002</v>
      </c>
      <c r="J28" s="50">
        <f t="shared" si="5"/>
        <v>5913.5436000000009</v>
      </c>
      <c r="K28" s="52">
        <v>0.99177423569375489</v>
      </c>
      <c r="L28" s="15">
        <f t="shared" si="4"/>
        <v>469192.01473053574</v>
      </c>
    </row>
    <row r="29" spans="2:12" x14ac:dyDescent="0.25">
      <c r="B29" s="20">
        <f t="shared" si="0"/>
        <v>15.5</v>
      </c>
      <c r="C29" s="43">
        <f t="shared" si="1"/>
        <v>140.33062540259442</v>
      </c>
      <c r="D29" s="44">
        <v>20</v>
      </c>
      <c r="E29" s="45">
        <f t="shared" si="2"/>
        <v>0.14252056486331488</v>
      </c>
      <c r="F29" s="45">
        <v>0.19700000000000001</v>
      </c>
      <c r="H29" s="20">
        <v>15.5</v>
      </c>
      <c r="I29" s="49">
        <v>2.4140000000000001</v>
      </c>
      <c r="J29" s="50">
        <f t="shared" si="5"/>
        <v>4232.2248</v>
      </c>
      <c r="K29" s="52">
        <v>0.99943036320877976</v>
      </c>
      <c r="L29" s="15">
        <f t="shared" si="4"/>
        <v>338385.11752361641</v>
      </c>
    </row>
    <row r="30" spans="2:12" x14ac:dyDescent="0.25">
      <c r="B30" s="20">
        <f t="shared" si="0"/>
        <v>16.5</v>
      </c>
      <c r="C30" s="43">
        <f t="shared" si="1"/>
        <v>169.28138313896932</v>
      </c>
      <c r="D30" s="44">
        <v>20</v>
      </c>
      <c r="E30" s="45">
        <f t="shared" si="2"/>
        <v>0.11814648267365151</v>
      </c>
      <c r="F30" s="45">
        <v>0.16200000000000001</v>
      </c>
      <c r="H30" s="20">
        <v>16.5</v>
      </c>
      <c r="I30" s="49">
        <v>1.8009999999999999</v>
      </c>
      <c r="J30" s="50">
        <f t="shared" si="5"/>
        <v>3157.5131999999999</v>
      </c>
      <c r="K30" s="52">
        <v>0.99943036320877976</v>
      </c>
      <c r="L30" s="15">
        <f t="shared" si="4"/>
        <v>252457.16514500129</v>
      </c>
    </row>
    <row r="31" spans="2:12" x14ac:dyDescent="0.25">
      <c r="B31" s="20">
        <f t="shared" si="0"/>
        <v>17.5</v>
      </c>
      <c r="C31" s="43">
        <f t="shared" si="1"/>
        <v>201.96286006297996</v>
      </c>
      <c r="D31" s="44">
        <v>20</v>
      </c>
      <c r="E31" s="45">
        <f t="shared" si="2"/>
        <v>9.9028108404501769E-2</v>
      </c>
      <c r="F31" s="45">
        <v>0.13600000000000001</v>
      </c>
      <c r="H31" s="20">
        <v>17.5</v>
      </c>
      <c r="I31" s="49">
        <v>1.415</v>
      </c>
      <c r="J31" s="50">
        <f t="shared" si="5"/>
        <v>2480.7780000000002</v>
      </c>
      <c r="K31" s="52">
        <v>0.99943036320877976</v>
      </c>
      <c r="L31" s="15">
        <f t="shared" si="4"/>
        <v>198349.18860642804</v>
      </c>
    </row>
    <row r="32" spans="2:12" x14ac:dyDescent="0.25">
      <c r="B32" s="20">
        <f t="shared" si="0"/>
        <v>18.5</v>
      </c>
      <c r="C32" s="43">
        <f t="shared" si="1"/>
        <v>238.60116036781631</v>
      </c>
      <c r="D32" s="44">
        <v>20</v>
      </c>
      <c r="E32" s="45">
        <f t="shared" si="2"/>
        <v>8.3821889085404874E-2</v>
      </c>
      <c r="F32" s="45">
        <v>0.11600000000000001</v>
      </c>
      <c r="H32" s="20">
        <v>18.5</v>
      </c>
      <c r="I32" s="49">
        <v>1.1459999999999999</v>
      </c>
      <c r="J32" s="50">
        <f t="shared" si="5"/>
        <v>2009.1671999999999</v>
      </c>
      <c r="K32" s="52">
        <v>0.99943036320877976</v>
      </c>
      <c r="L32" s="15">
        <f t="shared" si="4"/>
        <v>160641.81635545334</v>
      </c>
    </row>
    <row r="33" spans="2:13" x14ac:dyDescent="0.25">
      <c r="B33" s="20">
        <f t="shared" si="0"/>
        <v>19.5</v>
      </c>
      <c r="C33" s="43">
        <f t="shared" si="1"/>
        <v>279.42238824666839</v>
      </c>
      <c r="D33" s="44">
        <v>20</v>
      </c>
      <c r="E33" s="45">
        <f t="shared" si="2"/>
        <v>7.1576225962052861E-2</v>
      </c>
      <c r="F33" s="45">
        <v>0.1</v>
      </c>
      <c r="H33" s="20">
        <v>19.5</v>
      </c>
      <c r="I33" s="49">
        <v>0.86399999999999999</v>
      </c>
      <c r="J33" s="50">
        <f t="shared" si="5"/>
        <v>1514.7648000000002</v>
      </c>
      <c r="K33" s="52">
        <v>0.99943036320877976</v>
      </c>
      <c r="L33" s="15">
        <f t="shared" si="4"/>
        <v>121112.15473918998</v>
      </c>
    </row>
    <row r="34" spans="2:13" x14ac:dyDescent="0.25">
      <c r="B34" s="20">
        <f t="shared" si="0"/>
        <v>20.5</v>
      </c>
      <c r="C34" s="43">
        <f t="shared" si="1"/>
        <v>324.65264789272629</v>
      </c>
      <c r="D34" s="44">
        <v>20</v>
      </c>
      <c r="E34" s="45">
        <f t="shared" si="2"/>
        <v>6.160430272113019E-2</v>
      </c>
      <c r="F34" s="45">
        <v>8.7999999999999995E-2</v>
      </c>
      <c r="H34" s="20">
        <v>20.5</v>
      </c>
      <c r="I34" s="49">
        <v>0.61199999999999999</v>
      </c>
      <c r="J34" s="50">
        <f t="shared" si="5"/>
        <v>1072.9584</v>
      </c>
      <c r="K34" s="52">
        <v>0.99943036320877976</v>
      </c>
      <c r="L34" s="15">
        <f t="shared" si="4"/>
        <v>85787.776273592885</v>
      </c>
    </row>
    <row r="35" spans="2:13" x14ac:dyDescent="0.25">
      <c r="B35" s="20">
        <f t="shared" si="0"/>
        <v>21.5</v>
      </c>
      <c r="C35" s="43">
        <f t="shared" si="1"/>
        <v>374.51804349918007</v>
      </c>
      <c r="D35" s="44">
        <v>20</v>
      </c>
      <c r="E35" s="45">
        <f t="shared" si="2"/>
        <v>5.3401966466386779E-2</v>
      </c>
      <c r="F35" s="45">
        <v>7.8E-2</v>
      </c>
      <c r="H35" s="20">
        <v>21.5</v>
      </c>
      <c r="I35" s="49">
        <v>0.435</v>
      </c>
      <c r="J35" s="50">
        <f t="shared" si="5"/>
        <v>762.64199999999994</v>
      </c>
      <c r="K35" s="52">
        <v>0.99943036320877976</v>
      </c>
      <c r="L35" s="15">
        <f t="shared" si="4"/>
        <v>60976.605684661612</v>
      </c>
    </row>
    <row r="36" spans="2:13" x14ac:dyDescent="0.25">
      <c r="B36" s="20">
        <f t="shared" si="0"/>
        <v>22.5</v>
      </c>
      <c r="C36" s="43">
        <f t="shared" si="1"/>
        <v>429.24467925921977</v>
      </c>
      <c r="D36" s="44">
        <v>20</v>
      </c>
      <c r="E36" s="45">
        <f t="shared" si="2"/>
        <v>4.6593472129964481E-2</v>
      </c>
      <c r="F36" s="45">
        <v>7.0000000000000007E-2</v>
      </c>
      <c r="H36" s="20">
        <v>22.5</v>
      </c>
      <c r="I36" s="49">
        <v>0.29399999999999998</v>
      </c>
      <c r="J36" s="50">
        <f t="shared" si="5"/>
        <v>515.44079999999997</v>
      </c>
      <c r="K36" s="52">
        <v>0.99943036320877976</v>
      </c>
      <c r="L36" s="15">
        <f t="shared" si="4"/>
        <v>41211.774876529918</v>
      </c>
    </row>
    <row r="37" spans="2:13" x14ac:dyDescent="0.25">
      <c r="B37" s="20">
        <f t="shared" si="0"/>
        <v>23.5</v>
      </c>
      <c r="C37" s="43">
        <f t="shared" si="1"/>
        <v>489.05865936603539</v>
      </c>
      <c r="D37" s="44">
        <v>18.400000000000002</v>
      </c>
      <c r="E37" s="45">
        <f t="shared" si="2"/>
        <v>3.7623298652664366E-2</v>
      </c>
      <c r="F37" s="45">
        <v>5.8000000000000003E-2</v>
      </c>
      <c r="H37" s="20">
        <v>23.5</v>
      </c>
      <c r="I37" s="49">
        <v>0.18099999999999999</v>
      </c>
      <c r="J37" s="50">
        <f t="shared" si="5"/>
        <v>291.94286400000004</v>
      </c>
      <c r="K37" s="52">
        <v>1.04</v>
      </c>
      <c r="L37" s="15">
        <f t="shared" si="4"/>
        <v>24289.646284800005</v>
      </c>
    </row>
    <row r="38" spans="2:13" x14ac:dyDescent="0.25">
      <c r="B38" s="20">
        <f t="shared" si="0"/>
        <v>24.5</v>
      </c>
      <c r="C38" s="43">
        <f t="shared" si="1"/>
        <v>554.18608801281698</v>
      </c>
      <c r="D38" s="44">
        <v>15.200000000000001</v>
      </c>
      <c r="E38" s="45">
        <f t="shared" si="2"/>
        <v>2.7427610199497576E-2</v>
      </c>
      <c r="F38" s="45">
        <v>4.3999999999999997E-2</v>
      </c>
      <c r="H38" s="20">
        <v>24.5</v>
      </c>
      <c r="I38" s="49">
        <v>0.109</v>
      </c>
      <c r="J38" s="50">
        <f t="shared" si="5"/>
        <v>145.23508799999999</v>
      </c>
      <c r="K38" s="52">
        <v>1.04</v>
      </c>
      <c r="L38" s="15">
        <f t="shared" si="4"/>
        <v>12083.5593216</v>
      </c>
    </row>
    <row r="39" spans="2:13" x14ac:dyDescent="0.25">
      <c r="B39" s="20">
        <f t="shared" si="0"/>
        <v>25.5</v>
      </c>
      <c r="C39" s="43">
        <f t="shared" si="1"/>
        <v>624.85306939275461</v>
      </c>
      <c r="D39" s="44">
        <v>12</v>
      </c>
      <c r="E39" s="45">
        <f t="shared" si="2"/>
        <v>1.9204514769627128E-2</v>
      </c>
      <c r="F39" s="45">
        <v>3.3000000000000002E-2</v>
      </c>
      <c r="H39" s="20">
        <v>25.5</v>
      </c>
      <c r="I39" s="49">
        <v>7.0999999999999994E-2</v>
      </c>
      <c r="J39" s="50">
        <f t="shared" si="5"/>
        <v>74.686319999999981</v>
      </c>
      <c r="K39" s="52">
        <v>1.04</v>
      </c>
      <c r="L39" s="15">
        <f t="shared" si="4"/>
        <v>6213.9018239999987</v>
      </c>
    </row>
    <row r="40" spans="2:13" x14ac:dyDescent="0.25">
      <c r="B40" s="20">
        <f t="shared" si="0"/>
        <v>26.5</v>
      </c>
      <c r="C40" s="43">
        <f t="shared" si="1"/>
        <v>701.28570769903831</v>
      </c>
      <c r="D40" s="44">
        <v>8.7999999999999989</v>
      </c>
      <c r="E40" s="45">
        <f t="shared" si="2"/>
        <v>1.2548380643423266E-2</v>
      </c>
      <c r="F40" s="45">
        <v>2.3E-2</v>
      </c>
      <c r="H40" s="20">
        <v>26.5</v>
      </c>
      <c r="I40" s="49">
        <v>3.9E-2</v>
      </c>
      <c r="J40" s="50">
        <f t="shared" si="5"/>
        <v>30.084911999999992</v>
      </c>
      <c r="K40" s="52">
        <v>1.04</v>
      </c>
      <c r="L40" s="15">
        <f t="shared" si="4"/>
        <v>2503.0646783999996</v>
      </c>
    </row>
    <row r="41" spans="2:13" x14ac:dyDescent="0.25">
      <c r="B41" s="20">
        <f t="shared" si="0"/>
        <v>27.5</v>
      </c>
      <c r="C41" s="43">
        <f t="shared" si="1"/>
        <v>783.71010712485804</v>
      </c>
      <c r="D41" s="44">
        <v>5.6</v>
      </c>
      <c r="E41" s="45">
        <f t="shared" si="2"/>
        <v>7.1454992721024417E-3</v>
      </c>
      <c r="F41" s="45">
        <v>1.5E-3</v>
      </c>
      <c r="H41" s="20">
        <v>27.5</v>
      </c>
      <c r="I41" s="49">
        <v>2.7E-2</v>
      </c>
      <c r="J41" s="50">
        <f t="shared" si="5"/>
        <v>13.254192000000002</v>
      </c>
      <c r="K41" s="52">
        <v>1.04</v>
      </c>
      <c r="L41" s="15">
        <f t="shared" si="4"/>
        <v>1102.7487744</v>
      </c>
    </row>
    <row r="42" spans="2:13" ht="14.25" thickBot="1" x14ac:dyDescent="0.3">
      <c r="B42" s="25">
        <f>H42</f>
        <v>28.5</v>
      </c>
      <c r="C42" s="46">
        <f t="shared" si="1"/>
        <v>872.35237186340407</v>
      </c>
      <c r="D42" s="47">
        <v>0</v>
      </c>
      <c r="E42" s="48">
        <f t="shared" si="2"/>
        <v>0</v>
      </c>
      <c r="F42" s="48">
        <v>0</v>
      </c>
      <c r="H42" s="25">
        <v>28.5</v>
      </c>
      <c r="I42" s="53">
        <v>1.7999999999999999E-2</v>
      </c>
      <c r="J42" s="54">
        <v>0</v>
      </c>
      <c r="K42" s="55">
        <v>0</v>
      </c>
      <c r="L42" s="15">
        <f t="shared" si="4"/>
        <v>0</v>
      </c>
    </row>
    <row r="43" spans="2:13" x14ac:dyDescent="0.25">
      <c r="B43" s="80" t="s">
        <v>57</v>
      </c>
      <c r="C43" s="12"/>
      <c r="D43" s="13"/>
      <c r="J43" s="14">
        <f>SUM(J14:J42)</f>
        <v>98815.078188899992</v>
      </c>
      <c r="L43" s="14">
        <f>SUM(L17:L42)</f>
        <v>6502785.2304554926</v>
      </c>
      <c r="M43" s="2" t="s">
        <v>28</v>
      </c>
    </row>
    <row r="45" spans="2:13" ht="14.25" thickBot="1" x14ac:dyDescent="0.3">
      <c r="J45" s="16" t="s">
        <v>30</v>
      </c>
      <c r="K45" s="16" t="s">
        <v>31</v>
      </c>
      <c r="L45" s="16" t="s">
        <v>32</v>
      </c>
    </row>
    <row r="46" spans="2:13" ht="14.25" thickBot="1" x14ac:dyDescent="0.3">
      <c r="I46" s="2" t="s">
        <v>29</v>
      </c>
      <c r="J46" s="17">
        <f>J43/20/8760</f>
        <v>0.56401300336130133</v>
      </c>
      <c r="L46" s="17">
        <f>L43/20/8760/K11</f>
        <v>0.46395442568889073</v>
      </c>
    </row>
  </sheetData>
  <mergeCells count="7">
    <mergeCell ref="B4:C4"/>
    <mergeCell ref="B3:C3"/>
    <mergeCell ref="B6:C6"/>
    <mergeCell ref="B9:C9"/>
    <mergeCell ref="B7:C7"/>
    <mergeCell ref="B5:C5"/>
    <mergeCell ref="B8:C8"/>
  </mergeCells>
  <phoneticPr fontId="0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zoomScale="40" zoomScaleNormal="40" zoomScalePageLayoutView="125" workbookViewId="0">
      <selection sqref="A1:W67"/>
    </sheetView>
  </sheetViews>
  <sheetFormatPr defaultColWidth="8.85546875" defaultRowHeight="12.75" x14ac:dyDescent="0.2"/>
  <cols>
    <col min="2" max="2" width="30" bestFit="1" customWidth="1"/>
    <col min="3" max="3" width="5.42578125" customWidth="1"/>
    <col min="4" max="4" width="4.42578125" bestFit="1" customWidth="1"/>
    <col min="5" max="5" width="8.140625" bestFit="1" customWidth="1"/>
    <col min="6" max="8" width="7.85546875" bestFit="1" customWidth="1"/>
    <col min="9" max="9" width="10" bestFit="1" customWidth="1"/>
    <col min="10" max="10" width="6.5703125" style="28" customWidth="1"/>
    <col min="11" max="11" width="10.5703125" bestFit="1" customWidth="1"/>
  </cols>
  <sheetData>
    <row r="1" spans="2:15" ht="13.5" x14ac:dyDescent="0.25">
      <c r="B1" s="9"/>
      <c r="C1" s="9"/>
      <c r="D1" s="9"/>
      <c r="E1" s="9"/>
      <c r="F1" s="9"/>
      <c r="G1" s="9"/>
    </row>
    <row r="2" spans="2:15" ht="13.5" x14ac:dyDescent="0.25">
      <c r="B2" s="75" t="s">
        <v>34</v>
      </c>
      <c r="C2" s="75"/>
      <c r="D2" s="75"/>
      <c r="E2" s="75" t="s">
        <v>35</v>
      </c>
      <c r="F2" s="75">
        <v>0.10100000000000001</v>
      </c>
      <c r="G2" s="75" t="s">
        <v>41</v>
      </c>
    </row>
    <row r="3" spans="2:15" ht="13.5" x14ac:dyDescent="0.25">
      <c r="B3" s="75" t="s">
        <v>36</v>
      </c>
      <c r="C3" s="75"/>
      <c r="D3" s="75"/>
      <c r="E3" s="75" t="s">
        <v>37</v>
      </c>
      <c r="F3" s="75">
        <v>6.3E-2</v>
      </c>
      <c r="G3" s="75" t="s">
        <v>41</v>
      </c>
    </row>
    <row r="4" spans="2:15" ht="13.5" x14ac:dyDescent="0.25">
      <c r="B4" s="75" t="s">
        <v>38</v>
      </c>
      <c r="C4" s="75"/>
      <c r="D4" s="75"/>
      <c r="E4" s="75" t="s">
        <v>39</v>
      </c>
      <c r="F4" s="75">
        <v>3.6999999999999998E-2</v>
      </c>
      <c r="G4" s="75" t="s">
        <v>41</v>
      </c>
    </row>
    <row r="6" spans="2:15" ht="13.5" x14ac:dyDescent="0.25">
      <c r="B6" s="2"/>
      <c r="C6" s="2"/>
      <c r="D6" s="2"/>
      <c r="E6" s="16"/>
      <c r="F6" s="16"/>
      <c r="G6" s="16"/>
      <c r="H6" s="16"/>
      <c r="I6" s="16"/>
      <c r="J6" s="16"/>
      <c r="K6" s="9"/>
    </row>
    <row r="7" spans="2:15" ht="14.25" thickBot="1" x14ac:dyDescent="0.3">
      <c r="B7" s="2"/>
      <c r="C7" s="2"/>
      <c r="D7" s="2"/>
      <c r="E7" s="16" t="s">
        <v>11</v>
      </c>
      <c r="F7" s="16" t="s">
        <v>12</v>
      </c>
      <c r="G7" s="16" t="s">
        <v>13</v>
      </c>
      <c r="H7" s="16" t="s">
        <v>14</v>
      </c>
      <c r="J7" s="16"/>
      <c r="K7" s="56"/>
    </row>
    <row r="8" spans="2:15" ht="13.5" x14ac:dyDescent="0.25">
      <c r="B8" s="111" t="s">
        <v>68</v>
      </c>
      <c r="C8" s="70"/>
      <c r="D8" s="70"/>
      <c r="E8" s="112">
        <v>21.1</v>
      </c>
      <c r="F8" s="112">
        <v>21.1</v>
      </c>
      <c r="G8" s="112">
        <v>21.1</v>
      </c>
      <c r="H8" s="112">
        <v>21.1</v>
      </c>
      <c r="I8" s="22"/>
      <c r="J8" s="29"/>
      <c r="K8" s="4"/>
    </row>
    <row r="9" spans="2:15" ht="13.5" x14ac:dyDescent="0.25">
      <c r="B9" s="90" t="s">
        <v>45</v>
      </c>
      <c r="C9" s="68"/>
      <c r="D9" s="68"/>
      <c r="E9" s="31">
        <v>66</v>
      </c>
      <c r="F9" s="110">
        <f t="shared" ref="F9" si="0">E9</f>
        <v>66</v>
      </c>
      <c r="G9" s="110">
        <f t="shared" ref="G9" si="1">F9</f>
        <v>66</v>
      </c>
      <c r="H9" s="110">
        <f t="shared" ref="H9" si="2">G9</f>
        <v>66</v>
      </c>
      <c r="I9" s="23"/>
      <c r="J9" s="30"/>
      <c r="K9" s="5"/>
    </row>
    <row r="10" spans="2:15" ht="14.25" thickBot="1" x14ac:dyDescent="0.3">
      <c r="B10" s="26" t="s">
        <v>67</v>
      </c>
      <c r="C10" s="6"/>
      <c r="D10" s="6"/>
      <c r="E10" s="23">
        <v>1</v>
      </c>
      <c r="F10" s="23">
        <v>2</v>
      </c>
      <c r="G10" s="23">
        <v>3</v>
      </c>
      <c r="H10" s="23">
        <v>4</v>
      </c>
      <c r="I10" s="23"/>
      <c r="J10" s="30"/>
      <c r="K10" s="5"/>
    </row>
    <row r="11" spans="2:15" ht="13.5" x14ac:dyDescent="0.25">
      <c r="B11" s="90" t="s">
        <v>66</v>
      </c>
      <c r="C11" s="27"/>
      <c r="D11" s="86"/>
      <c r="E11" s="87">
        <v>184.16</v>
      </c>
      <c r="F11" s="71">
        <f>F10*$E$11</f>
        <v>368.32</v>
      </c>
      <c r="G11" s="71">
        <f>G10*$E$11</f>
        <v>552.48</v>
      </c>
      <c r="H11" s="71">
        <f>H10*$E$11</f>
        <v>736.64</v>
      </c>
      <c r="I11" s="66"/>
      <c r="J11" s="30"/>
      <c r="K11" s="5"/>
    </row>
    <row r="12" spans="2:15" ht="13.5" x14ac:dyDescent="0.25">
      <c r="B12" s="90" t="s">
        <v>65</v>
      </c>
      <c r="C12" s="27"/>
      <c r="D12" s="86"/>
      <c r="E12" s="88">
        <v>1</v>
      </c>
      <c r="F12" s="82">
        <v>1</v>
      </c>
      <c r="G12" s="82">
        <v>2</v>
      </c>
      <c r="H12" s="83">
        <v>3</v>
      </c>
      <c r="I12" s="66"/>
      <c r="J12" s="30"/>
      <c r="K12" s="5"/>
    </row>
    <row r="13" spans="2:15" ht="14.25" thickBot="1" x14ac:dyDescent="0.3">
      <c r="B13" s="113" t="s">
        <v>50</v>
      </c>
      <c r="C13" s="72"/>
      <c r="D13" s="114"/>
      <c r="E13" s="89">
        <v>0.10100000000000001</v>
      </c>
      <c r="F13" s="67">
        <v>0.10100000000000001</v>
      </c>
      <c r="G13" s="67">
        <v>6.3E-2</v>
      </c>
      <c r="H13" s="67">
        <v>3.6999999999999998E-2</v>
      </c>
      <c r="I13" s="115"/>
      <c r="J13" s="94"/>
      <c r="K13" s="95"/>
    </row>
    <row r="14" spans="2:15" ht="13.5" x14ac:dyDescent="0.25">
      <c r="B14" s="21"/>
      <c r="C14" s="69"/>
      <c r="D14" s="69"/>
      <c r="E14" s="100" t="s">
        <v>40</v>
      </c>
      <c r="F14" s="100" t="s">
        <v>40</v>
      </c>
      <c r="G14" s="100" t="s">
        <v>40</v>
      </c>
      <c r="H14" s="100" t="s">
        <v>40</v>
      </c>
      <c r="I14" s="23"/>
      <c r="J14" s="30"/>
      <c r="K14" s="5"/>
    </row>
    <row r="15" spans="2:15" ht="14.25" thickBot="1" x14ac:dyDescent="0.3">
      <c r="B15" s="91" t="s">
        <v>46</v>
      </c>
      <c r="C15" s="92"/>
      <c r="D15" s="92"/>
      <c r="E15" s="93">
        <v>2.5</v>
      </c>
      <c r="F15" s="93">
        <v>2.5</v>
      </c>
      <c r="G15" s="93">
        <v>2</v>
      </c>
      <c r="H15" s="93">
        <v>1.5</v>
      </c>
      <c r="I15" s="93"/>
      <c r="J15" s="94"/>
      <c r="K15" s="95"/>
    </row>
    <row r="16" spans="2:15" ht="14.25" thickBot="1" x14ac:dyDescent="0.3">
      <c r="B16" s="97" t="s">
        <v>62</v>
      </c>
      <c r="C16" s="96" t="s">
        <v>63</v>
      </c>
      <c r="D16" s="76"/>
      <c r="E16" s="29"/>
      <c r="F16" s="23"/>
      <c r="G16" s="23"/>
      <c r="H16" s="23"/>
      <c r="I16" s="101" t="s">
        <v>15</v>
      </c>
      <c r="J16" s="102" t="s">
        <v>0</v>
      </c>
      <c r="K16" s="103" t="s">
        <v>44</v>
      </c>
      <c r="O16" s="109"/>
    </row>
    <row r="17" spans="2:11" ht="13.5" x14ac:dyDescent="0.25">
      <c r="B17" s="98" t="s">
        <v>1</v>
      </c>
      <c r="C17" s="99" t="s">
        <v>43</v>
      </c>
      <c r="D17" s="63" t="s">
        <v>49</v>
      </c>
      <c r="E17" s="61"/>
      <c r="F17" s="24"/>
      <c r="G17" s="24"/>
      <c r="H17" s="24"/>
      <c r="I17" s="104" t="s">
        <v>47</v>
      </c>
      <c r="J17" s="105"/>
      <c r="K17" s="106" t="s">
        <v>48</v>
      </c>
    </row>
    <row r="18" spans="2:11" ht="13.5" x14ac:dyDescent="0.25">
      <c r="B18" s="20">
        <v>0.5</v>
      </c>
      <c r="C18" s="59">
        <f>'WTG Yield Wake'!D14</f>
        <v>0</v>
      </c>
      <c r="D18" s="64">
        <f>C18/0.95</f>
        <v>0</v>
      </c>
      <c r="E18" s="62">
        <v>0</v>
      </c>
      <c r="F18" s="57">
        <v>0</v>
      </c>
      <c r="G18" s="57">
        <v>0</v>
      </c>
      <c r="H18" s="57">
        <v>0</v>
      </c>
      <c r="I18" s="58">
        <f>SUM(E18:H18)</f>
        <v>0</v>
      </c>
      <c r="J18" s="32">
        <v>57</v>
      </c>
      <c r="K18" s="107">
        <f>I18*J18/1000</f>
        <v>0</v>
      </c>
    </row>
    <row r="19" spans="2:11" ht="13.5" x14ac:dyDescent="0.25">
      <c r="B19" s="20">
        <v>1.5</v>
      </c>
      <c r="C19" s="59">
        <f>'WTG Yield Wake'!D15</f>
        <v>0</v>
      </c>
      <c r="D19" s="64">
        <f t="shared" ref="D19:D45" si="3">C19/0.95</f>
        <v>0</v>
      </c>
      <c r="E19" s="62">
        <v>0</v>
      </c>
      <c r="F19" s="57">
        <v>0</v>
      </c>
      <c r="G19" s="57">
        <v>0</v>
      </c>
      <c r="H19" s="57">
        <v>0</v>
      </c>
      <c r="I19" s="58">
        <f t="shared" ref="I19:I46" si="4">SUM(E19:H19)</f>
        <v>0</v>
      </c>
      <c r="J19" s="32">
        <f>'WTG Yield Wake'!I15*8760/100</f>
        <v>151.98599999999999</v>
      </c>
      <c r="K19" s="107">
        <f t="shared" ref="K19:K46" si="5">I19*J19/1000</f>
        <v>0</v>
      </c>
    </row>
    <row r="20" spans="2:11" ht="13.5" x14ac:dyDescent="0.25">
      <c r="B20" s="20">
        <v>2.5</v>
      </c>
      <c r="C20" s="59">
        <f>'WTG Yield Wake'!D16</f>
        <v>0</v>
      </c>
      <c r="D20" s="64">
        <f t="shared" si="3"/>
        <v>0</v>
      </c>
      <c r="E20" s="62">
        <v>0</v>
      </c>
      <c r="F20" s="57">
        <v>0</v>
      </c>
      <c r="G20" s="57">
        <v>0</v>
      </c>
      <c r="H20" s="57">
        <v>0</v>
      </c>
      <c r="I20" s="58">
        <f t="shared" si="4"/>
        <v>0</v>
      </c>
      <c r="J20" s="32">
        <f>'WTG Yield Wake'!I16*8760/100</f>
        <v>293.98559999999998</v>
      </c>
      <c r="K20" s="107">
        <f t="shared" si="5"/>
        <v>0</v>
      </c>
    </row>
    <row r="21" spans="2:11" ht="13.5" x14ac:dyDescent="0.25">
      <c r="B21" s="20">
        <v>3.5</v>
      </c>
      <c r="C21" s="59">
        <f>'WTG Yield Wake'!D17</f>
        <v>0.437</v>
      </c>
      <c r="D21" s="64">
        <f t="shared" si="3"/>
        <v>0.46</v>
      </c>
      <c r="E21" s="62">
        <f>3*($D21/E$8*E$11)^2*E$13*E$15/1000</f>
        <v>1.2210234437472654E-2</v>
      </c>
      <c r="F21" s="57">
        <f t="shared" ref="F21:H36" si="6">3*($D21/F$8*F$11)^2*F$13*F$15/1000</f>
        <v>4.8840937749890616E-2</v>
      </c>
      <c r="G21" s="57">
        <f t="shared" si="6"/>
        <v>5.4837250899382135E-2</v>
      </c>
      <c r="H21" s="57">
        <f t="shared" si="6"/>
        <v>4.2941339328616691E-2</v>
      </c>
      <c r="I21" s="58">
        <f t="shared" si="4"/>
        <v>0.15882976241536209</v>
      </c>
      <c r="J21" s="32">
        <f>'WTG Yield Wake'!I17*8760/100</f>
        <v>423.28320000000002</v>
      </c>
      <c r="K21" s="107">
        <f t="shared" si="5"/>
        <v>6.7229970090414204E-2</v>
      </c>
    </row>
    <row r="22" spans="2:11" ht="13.5" x14ac:dyDescent="0.25">
      <c r="B22" s="20">
        <v>4.5</v>
      </c>
      <c r="C22" s="59">
        <f>'WTG Yield Wake'!D18</f>
        <v>1.423</v>
      </c>
      <c r="D22" s="64">
        <f t="shared" si="3"/>
        <v>1.4978947368421054</v>
      </c>
      <c r="E22" s="62">
        <f t="shared" ref="E22:H46" si="7">3*($D22/E$8*E$11)^2*E$13*E$15/1000</f>
        <v>0.12947053086750765</v>
      </c>
      <c r="F22" s="57">
        <f t="shared" si="6"/>
        <v>0.5178821234700306</v>
      </c>
      <c r="G22" s="57">
        <f t="shared" si="6"/>
        <v>0.58146369110397489</v>
      </c>
      <c r="H22" s="57">
        <f t="shared" si="6"/>
        <v>0.45532606499147243</v>
      </c>
      <c r="I22" s="58">
        <f t="shared" si="4"/>
        <v>1.6841424104329858</v>
      </c>
      <c r="J22" s="32">
        <f>'WTG Yield Wake'!I18*8760/100</f>
        <v>559.7639999999999</v>
      </c>
      <c r="K22" s="107">
        <f t="shared" si="5"/>
        <v>0.9427222922336097</v>
      </c>
    </row>
    <row r="23" spans="2:11" ht="13.5" x14ac:dyDescent="0.25">
      <c r="B23" s="20">
        <v>5.5</v>
      </c>
      <c r="C23" s="59">
        <f>'WTG Yield Wake'!D19</f>
        <v>2.83</v>
      </c>
      <c r="D23" s="64">
        <f t="shared" si="3"/>
        <v>2.978947368421053</v>
      </c>
      <c r="E23" s="62">
        <f t="shared" si="7"/>
        <v>0.51207550223478537</v>
      </c>
      <c r="F23" s="57">
        <f t="shared" si="6"/>
        <v>2.0483020089391415</v>
      </c>
      <c r="G23" s="57">
        <f t="shared" si="6"/>
        <v>2.2997767110267193</v>
      </c>
      <c r="H23" s="57">
        <f t="shared" si="6"/>
        <v>1.8008833504336212</v>
      </c>
      <c r="I23" s="58">
        <f t="shared" si="4"/>
        <v>6.6610375726342683</v>
      </c>
      <c r="J23" s="32">
        <f>'WTG Yield Wake'!I19*8760/100</f>
        <v>670.75320000000011</v>
      </c>
      <c r="K23" s="107">
        <f t="shared" si="5"/>
        <v>4.4679122671646683</v>
      </c>
    </row>
    <row r="24" spans="2:11" ht="13.5" x14ac:dyDescent="0.25">
      <c r="B24" s="20">
        <v>6.5</v>
      </c>
      <c r="C24" s="59">
        <f>'WTG Yield Wake'!D20</f>
        <v>4.7720000000000002</v>
      </c>
      <c r="D24" s="64">
        <f t="shared" si="3"/>
        <v>5.0231578947368423</v>
      </c>
      <c r="E24" s="62">
        <f t="shared" si="7"/>
        <v>1.4560020906344813</v>
      </c>
      <c r="F24" s="57">
        <f t="shared" si="6"/>
        <v>5.8240083625379251</v>
      </c>
      <c r="G24" s="57">
        <f t="shared" si="6"/>
        <v>6.5390351318000075</v>
      </c>
      <c r="H24" s="57">
        <f t="shared" si="6"/>
        <v>5.1205142831026498</v>
      </c>
      <c r="I24" s="58">
        <f t="shared" si="4"/>
        <v>18.939559868075065</v>
      </c>
      <c r="J24" s="32">
        <f>'WTG Yield Wake'!I20*8760/100</f>
        <v>764.92319999999995</v>
      </c>
      <c r="K24" s="107">
        <f t="shared" si="5"/>
        <v>14.487308740879556</v>
      </c>
    </row>
    <row r="25" spans="2:11" ht="13.5" x14ac:dyDescent="0.25">
      <c r="B25" s="20">
        <v>7.5</v>
      </c>
      <c r="C25" s="59">
        <f>'WTG Yield Wake'!D21</f>
        <v>7.46</v>
      </c>
      <c r="D25" s="64">
        <f t="shared" si="3"/>
        <v>7.8526315789473689</v>
      </c>
      <c r="E25" s="62">
        <f t="shared" si="7"/>
        <v>3.5582690531994881</v>
      </c>
      <c r="F25" s="57">
        <f t="shared" si="6"/>
        <v>14.233076212797952</v>
      </c>
      <c r="G25" s="57">
        <f t="shared" si="6"/>
        <v>15.980503391398893</v>
      </c>
      <c r="H25" s="57">
        <f t="shared" si="6"/>
        <v>12.513833343529289</v>
      </c>
      <c r="I25" s="58">
        <f t="shared" si="4"/>
        <v>46.285682000925618</v>
      </c>
      <c r="J25" s="32">
        <f>'WTG Yield Wake'!I21*8760/100</f>
        <v>827.64480000000015</v>
      </c>
      <c r="K25" s="107">
        <f t="shared" si="5"/>
        <v>38.308104022519693</v>
      </c>
    </row>
    <row r="26" spans="2:11" ht="13.5" x14ac:dyDescent="0.25">
      <c r="B26" s="20">
        <v>8.5</v>
      </c>
      <c r="C26" s="59">
        <f>'WTG Yield Wake'!D22</f>
        <v>10.949</v>
      </c>
      <c r="D26" s="64">
        <f t="shared" si="3"/>
        <v>11.525263157894738</v>
      </c>
      <c r="E26" s="62">
        <f t="shared" si="7"/>
        <v>7.664962599768125</v>
      </c>
      <c r="F26" s="57">
        <f t="shared" si="6"/>
        <v>30.6598503990725</v>
      </c>
      <c r="G26" s="57">
        <f t="shared" si="6"/>
        <v>34.424030052027938</v>
      </c>
      <c r="H26" s="57">
        <f t="shared" si="6"/>
        <v>26.956383321164733</v>
      </c>
      <c r="I26" s="58">
        <f t="shared" si="4"/>
        <v>99.705226372033309</v>
      </c>
      <c r="J26" s="32">
        <f>'WTG Yield Wake'!I22*8760/100</f>
        <v>842.62440000000004</v>
      </c>
      <c r="K26" s="107">
        <f t="shared" si="5"/>
        <v>84.014056548598745</v>
      </c>
    </row>
    <row r="27" spans="2:11" ht="13.5" x14ac:dyDescent="0.25">
      <c r="B27" s="20">
        <v>9.5</v>
      </c>
      <c r="C27" s="59">
        <f>'WTG Yield Wake'!D23</f>
        <v>14.622999999999999</v>
      </c>
      <c r="D27" s="64">
        <f t="shared" si="3"/>
        <v>15.392631578947368</v>
      </c>
      <c r="E27" s="62">
        <f t="shared" si="7"/>
        <v>13.67206418504519</v>
      </c>
      <c r="F27" s="57">
        <f t="shared" si="6"/>
        <v>54.688256740180762</v>
      </c>
      <c r="G27" s="57">
        <f t="shared" si="6"/>
        <v>61.402458557787106</v>
      </c>
      <c r="H27" s="57">
        <f t="shared" si="6"/>
        <v>48.082348500277732</v>
      </c>
      <c r="I27" s="58">
        <f t="shared" si="4"/>
        <v>177.84512798329078</v>
      </c>
      <c r="J27" s="32">
        <f>'WTG Yield Wake'!I23*8760/100</f>
        <v>799.1748</v>
      </c>
      <c r="K27" s="107">
        <f t="shared" si="5"/>
        <v>142.1293445870208</v>
      </c>
    </row>
    <row r="28" spans="2:11" ht="13.5" x14ac:dyDescent="0.25">
      <c r="B28" s="20">
        <v>10.5</v>
      </c>
      <c r="C28" s="59">
        <f>'WTG Yield Wake'!D24</f>
        <v>17.73</v>
      </c>
      <c r="D28" s="64">
        <f t="shared" si="3"/>
        <v>18.663157894736845</v>
      </c>
      <c r="E28" s="62">
        <f t="shared" si="7"/>
        <v>20.099192042160762</v>
      </c>
      <c r="F28" s="57">
        <f t="shared" si="6"/>
        <v>80.39676816864305</v>
      </c>
      <c r="G28" s="57">
        <f t="shared" si="6"/>
        <v>90.267262478456644</v>
      </c>
      <c r="H28" s="57">
        <f t="shared" si="6"/>
        <v>70.685475379955463</v>
      </c>
      <c r="I28" s="58">
        <f t="shared" si="4"/>
        <v>261.44869806921594</v>
      </c>
      <c r="J28" s="32">
        <f>'WTG Yield Wake'!I24*8760/100</f>
        <v>717.61919999999998</v>
      </c>
      <c r="K28" s="107">
        <f t="shared" si="5"/>
        <v>187.62060554947226</v>
      </c>
    </row>
    <row r="29" spans="2:11" ht="13.5" x14ac:dyDescent="0.25">
      <c r="B29" s="20">
        <v>11.5</v>
      </c>
      <c r="C29" s="59">
        <f>'WTG Yield Wake'!D25</f>
        <v>19.442</v>
      </c>
      <c r="D29" s="64">
        <f t="shared" si="3"/>
        <v>20.465263157894739</v>
      </c>
      <c r="E29" s="62">
        <f t="shared" si="7"/>
        <v>24.168127653074908</v>
      </c>
      <c r="F29" s="57">
        <f t="shared" si="6"/>
        <v>96.672510612299632</v>
      </c>
      <c r="G29" s="57">
        <f t="shared" si="6"/>
        <v>108.54121488549282</v>
      </c>
      <c r="H29" s="57">
        <f t="shared" si="6"/>
        <v>84.995237053190152</v>
      </c>
      <c r="I29" s="58">
        <f t="shared" si="4"/>
        <v>314.37709020405748</v>
      </c>
      <c r="J29" s="32">
        <f>'WTG Yield Wake'!I25*8760/100</f>
        <v>620.38319999999999</v>
      </c>
      <c r="K29" s="107">
        <f t="shared" si="5"/>
        <v>195.03426522748185</v>
      </c>
    </row>
    <row r="30" spans="2:11" ht="13.5" x14ac:dyDescent="0.25">
      <c r="B30" s="20">
        <v>12.5</v>
      </c>
      <c r="C30" s="59">
        <f>'WTG Yield Wake'!D26</f>
        <v>19.920999999999999</v>
      </c>
      <c r="D30" s="64">
        <f t="shared" si="3"/>
        <v>20.969473684210527</v>
      </c>
      <c r="E30" s="62">
        <f t="shared" si="7"/>
        <v>25.373676556089062</v>
      </c>
      <c r="F30" s="57">
        <f t="shared" si="6"/>
        <v>101.49470622435625</v>
      </c>
      <c r="G30" s="57">
        <f t="shared" si="6"/>
        <v>113.95544243407919</v>
      </c>
      <c r="H30" s="57">
        <f t="shared" si="6"/>
        <v>89.234949630919147</v>
      </c>
      <c r="I30" s="58">
        <f t="shared" si="4"/>
        <v>330.05877484544362</v>
      </c>
      <c r="J30" s="32">
        <f>'WTG Yield Wake'!I26*8760/100</f>
        <v>510.27</v>
      </c>
      <c r="K30" s="107">
        <f t="shared" si="5"/>
        <v>168.41909104038453</v>
      </c>
    </row>
    <row r="31" spans="2:11" ht="13.5" x14ac:dyDescent="0.25">
      <c r="B31" s="20">
        <v>13.5</v>
      </c>
      <c r="C31" s="59">
        <f>'WTG Yield Wake'!D27</f>
        <v>19.991</v>
      </c>
      <c r="D31" s="64">
        <f t="shared" si="3"/>
        <v>21.043157894736844</v>
      </c>
      <c r="E31" s="62">
        <f t="shared" si="7"/>
        <v>25.552309954079252</v>
      </c>
      <c r="F31" s="57">
        <f t="shared" si="6"/>
        <v>102.20923981631701</v>
      </c>
      <c r="G31" s="57">
        <f t="shared" si="6"/>
        <v>114.75770094228071</v>
      </c>
      <c r="H31" s="57">
        <f t="shared" si="6"/>
        <v>89.863173224643077</v>
      </c>
      <c r="I31" s="58">
        <f t="shared" si="4"/>
        <v>332.38242393732003</v>
      </c>
      <c r="J31" s="32">
        <f>'WTG Yield Wake'!I27*8760/100</f>
        <v>399.2808</v>
      </c>
      <c r="K31" s="107">
        <f t="shared" si="5"/>
        <v>132.71392013563229</v>
      </c>
    </row>
    <row r="32" spans="2:11" ht="13.5" x14ac:dyDescent="0.25">
      <c r="B32" s="20">
        <v>14.5</v>
      </c>
      <c r="C32" s="59">
        <f>'WTG Yield Wake'!D28</f>
        <v>20</v>
      </c>
      <c r="D32" s="64">
        <f t="shared" si="3"/>
        <v>21.05263157894737</v>
      </c>
      <c r="E32" s="62">
        <f t="shared" si="7"/>
        <v>25.575322565385278</v>
      </c>
      <c r="F32" s="57">
        <f t="shared" si="6"/>
        <v>102.30129026154111</v>
      </c>
      <c r="G32" s="57">
        <f t="shared" si="6"/>
        <v>114.86105263028476</v>
      </c>
      <c r="H32" s="57">
        <f t="shared" si="6"/>
        <v>89.944104705196509</v>
      </c>
      <c r="I32" s="58">
        <f t="shared" si="4"/>
        <v>332.6817701624077</v>
      </c>
      <c r="J32" s="32">
        <f>'WTG Yield Wake'!I28*8760/100</f>
        <v>295.47480000000002</v>
      </c>
      <c r="K32" s="107">
        <f t="shared" si="5"/>
        <v>98.299079502383393</v>
      </c>
    </row>
    <row r="33" spans="1:13" ht="13.5" x14ac:dyDescent="0.25">
      <c r="B33" s="20">
        <v>15.5</v>
      </c>
      <c r="C33" s="59">
        <f>'WTG Yield Wake'!D29</f>
        <v>20</v>
      </c>
      <c r="D33" s="64">
        <f t="shared" si="3"/>
        <v>21.05263157894737</v>
      </c>
      <c r="E33" s="62">
        <f t="shared" si="7"/>
        <v>25.575322565385278</v>
      </c>
      <c r="F33" s="57">
        <f t="shared" si="6"/>
        <v>102.30129026154111</v>
      </c>
      <c r="G33" s="57">
        <f t="shared" si="6"/>
        <v>114.86105263028476</v>
      </c>
      <c r="H33" s="57">
        <f t="shared" si="6"/>
        <v>89.944104705196509</v>
      </c>
      <c r="I33" s="58">
        <f t="shared" si="4"/>
        <v>332.6817701624077</v>
      </c>
      <c r="J33" s="32">
        <f>'WTG Yield Wake'!I29*8760/100</f>
        <v>211.46640000000002</v>
      </c>
      <c r="K33" s="107">
        <f t="shared" si="5"/>
        <v>70.351016281871779</v>
      </c>
    </row>
    <row r="34" spans="1:13" ht="13.5" x14ac:dyDescent="0.25">
      <c r="B34" s="20">
        <v>16.5</v>
      </c>
      <c r="C34" s="59">
        <f>'WTG Yield Wake'!D30</f>
        <v>20</v>
      </c>
      <c r="D34" s="64">
        <f t="shared" si="3"/>
        <v>21.05263157894737</v>
      </c>
      <c r="E34" s="62">
        <f t="shared" si="7"/>
        <v>25.575322565385278</v>
      </c>
      <c r="F34" s="57">
        <f t="shared" si="6"/>
        <v>102.30129026154111</v>
      </c>
      <c r="G34" s="57">
        <f t="shared" si="6"/>
        <v>114.86105263028476</v>
      </c>
      <c r="H34" s="57">
        <f t="shared" si="6"/>
        <v>89.944104705196509</v>
      </c>
      <c r="I34" s="58">
        <f t="shared" si="4"/>
        <v>332.6817701624077</v>
      </c>
      <c r="J34" s="32">
        <f>'WTG Yield Wake'!I30*8760/100</f>
        <v>157.76760000000002</v>
      </c>
      <c r="K34" s="107">
        <f t="shared" si="5"/>
        <v>52.486404442274683</v>
      </c>
    </row>
    <row r="35" spans="1:13" ht="13.5" x14ac:dyDescent="0.25">
      <c r="B35" s="20">
        <v>17.5</v>
      </c>
      <c r="C35" s="59">
        <f>'WTG Yield Wake'!D31</f>
        <v>20</v>
      </c>
      <c r="D35" s="64">
        <f t="shared" si="3"/>
        <v>21.05263157894737</v>
      </c>
      <c r="E35" s="62">
        <f t="shared" si="7"/>
        <v>25.575322565385278</v>
      </c>
      <c r="F35" s="57">
        <f t="shared" si="6"/>
        <v>102.30129026154111</v>
      </c>
      <c r="G35" s="57">
        <f t="shared" si="6"/>
        <v>114.86105263028476</v>
      </c>
      <c r="H35" s="57">
        <f t="shared" si="6"/>
        <v>89.944104705196509</v>
      </c>
      <c r="I35" s="58">
        <f t="shared" si="4"/>
        <v>332.6817701624077</v>
      </c>
      <c r="J35" s="32">
        <f>'WTG Yield Wake'!I31*8760/100</f>
        <v>123.95399999999999</v>
      </c>
      <c r="K35" s="107">
        <f t="shared" si="5"/>
        <v>41.237236138711083</v>
      </c>
    </row>
    <row r="36" spans="1:13" ht="13.5" x14ac:dyDescent="0.25">
      <c r="B36" s="20">
        <v>18.5</v>
      </c>
      <c r="C36" s="59">
        <f>'WTG Yield Wake'!D32</f>
        <v>20</v>
      </c>
      <c r="D36" s="64">
        <f t="shared" si="3"/>
        <v>21.05263157894737</v>
      </c>
      <c r="E36" s="62">
        <f t="shared" si="7"/>
        <v>25.575322565385278</v>
      </c>
      <c r="F36" s="57">
        <f t="shared" si="6"/>
        <v>102.30129026154111</v>
      </c>
      <c r="G36" s="57">
        <f t="shared" si="6"/>
        <v>114.86105263028476</v>
      </c>
      <c r="H36" s="57">
        <f t="shared" si="6"/>
        <v>89.944104705196509</v>
      </c>
      <c r="I36" s="58">
        <f t="shared" si="4"/>
        <v>332.6817701624077</v>
      </c>
      <c r="J36" s="32">
        <f>'WTG Yield Wake'!I32*8760/100</f>
        <v>100.38959999999999</v>
      </c>
      <c r="K36" s="107">
        <f t="shared" si="5"/>
        <v>33.397789833896034</v>
      </c>
    </row>
    <row r="37" spans="1:13" ht="13.5" x14ac:dyDescent="0.25">
      <c r="B37" s="20">
        <v>19.5</v>
      </c>
      <c r="C37" s="59">
        <f>'WTG Yield Wake'!D33</f>
        <v>20</v>
      </c>
      <c r="D37" s="64">
        <f t="shared" si="3"/>
        <v>21.05263157894737</v>
      </c>
      <c r="E37" s="62">
        <f t="shared" si="7"/>
        <v>25.575322565385278</v>
      </c>
      <c r="F37" s="57">
        <f t="shared" si="7"/>
        <v>102.30129026154111</v>
      </c>
      <c r="G37" s="57">
        <f t="shared" si="7"/>
        <v>114.86105263028476</v>
      </c>
      <c r="H37" s="57">
        <f t="shared" si="7"/>
        <v>89.944104705196509</v>
      </c>
      <c r="I37" s="58">
        <f t="shared" si="4"/>
        <v>332.6817701624077</v>
      </c>
      <c r="J37" s="32">
        <f>'WTG Yield Wake'!I33*8760/100</f>
        <v>75.686400000000006</v>
      </c>
      <c r="K37" s="107">
        <f t="shared" si="5"/>
        <v>25.179485529220056</v>
      </c>
    </row>
    <row r="38" spans="1:13" ht="13.5" x14ac:dyDescent="0.25">
      <c r="B38" s="20">
        <v>20.5</v>
      </c>
      <c r="C38" s="59">
        <f>'WTG Yield Wake'!D34</f>
        <v>20</v>
      </c>
      <c r="D38" s="64">
        <f t="shared" si="3"/>
        <v>21.05263157894737</v>
      </c>
      <c r="E38" s="62">
        <f t="shared" si="7"/>
        <v>25.575322565385278</v>
      </c>
      <c r="F38" s="57">
        <f t="shared" si="7"/>
        <v>102.30129026154111</v>
      </c>
      <c r="G38" s="57">
        <f t="shared" si="7"/>
        <v>114.86105263028476</v>
      </c>
      <c r="H38" s="57">
        <f t="shared" si="7"/>
        <v>89.944104705196509</v>
      </c>
      <c r="I38" s="58">
        <f t="shared" si="4"/>
        <v>332.6817701624077</v>
      </c>
      <c r="J38" s="32">
        <f>'WTG Yield Wake'!I34*8760/100</f>
        <v>53.611199999999997</v>
      </c>
      <c r="K38" s="107">
        <f t="shared" si="5"/>
        <v>17.835468916530871</v>
      </c>
    </row>
    <row r="39" spans="1:13" ht="13.5" x14ac:dyDescent="0.25">
      <c r="B39" s="20">
        <v>21.5</v>
      </c>
      <c r="C39" s="59">
        <f>'WTG Yield Wake'!D35</f>
        <v>20</v>
      </c>
      <c r="D39" s="64">
        <f t="shared" si="3"/>
        <v>21.05263157894737</v>
      </c>
      <c r="E39" s="62">
        <f t="shared" si="7"/>
        <v>25.575322565385278</v>
      </c>
      <c r="F39" s="57">
        <f t="shared" si="7"/>
        <v>102.30129026154111</v>
      </c>
      <c r="G39" s="57">
        <f t="shared" si="7"/>
        <v>114.86105263028476</v>
      </c>
      <c r="H39" s="57">
        <f t="shared" si="7"/>
        <v>89.944104705196509</v>
      </c>
      <c r="I39" s="58">
        <f t="shared" si="4"/>
        <v>332.6817701624077</v>
      </c>
      <c r="J39" s="32">
        <f>'WTG Yield Wake'!I35*8760/100</f>
        <v>38.106000000000002</v>
      </c>
      <c r="K39" s="107">
        <f t="shared" si="5"/>
        <v>12.677171533808709</v>
      </c>
    </row>
    <row r="40" spans="1:13" ht="13.5" x14ac:dyDescent="0.25">
      <c r="B40" s="20">
        <v>22.5</v>
      </c>
      <c r="C40" s="59">
        <f>'WTG Yield Wake'!D36</f>
        <v>20</v>
      </c>
      <c r="D40" s="64">
        <f t="shared" si="3"/>
        <v>21.05263157894737</v>
      </c>
      <c r="E40" s="62">
        <f t="shared" si="7"/>
        <v>25.575322565385278</v>
      </c>
      <c r="F40" s="57">
        <f t="shared" si="7"/>
        <v>102.30129026154111</v>
      </c>
      <c r="G40" s="57">
        <f t="shared" si="7"/>
        <v>114.86105263028476</v>
      </c>
      <c r="H40" s="57">
        <f t="shared" si="7"/>
        <v>89.944104705196509</v>
      </c>
      <c r="I40" s="58">
        <f t="shared" si="4"/>
        <v>332.6817701624077</v>
      </c>
      <c r="J40" s="32">
        <f>'WTG Yield Wake'!I36*8760/100</f>
        <v>25.7544</v>
      </c>
      <c r="K40" s="107">
        <f t="shared" si="5"/>
        <v>8.5680193814707124</v>
      </c>
    </row>
    <row r="41" spans="1:13" ht="13.5" x14ac:dyDescent="0.25">
      <c r="B41" s="20">
        <v>23.5</v>
      </c>
      <c r="C41" s="59">
        <f>'WTG Yield Wake'!D37</f>
        <v>18.400000000000002</v>
      </c>
      <c r="D41" s="64">
        <f t="shared" si="3"/>
        <v>19.368421052631582</v>
      </c>
      <c r="E41" s="62">
        <f t="shared" si="7"/>
        <v>21.64695301934211</v>
      </c>
      <c r="F41" s="57">
        <f t="shared" si="7"/>
        <v>86.58781207736844</v>
      </c>
      <c r="G41" s="57">
        <f t="shared" si="7"/>
        <v>97.218394946273051</v>
      </c>
      <c r="H41" s="57">
        <f t="shared" si="7"/>
        <v>76.128690222478383</v>
      </c>
      <c r="I41" s="58">
        <f t="shared" si="4"/>
        <v>281.58185026546198</v>
      </c>
      <c r="J41" s="32">
        <f>'WTG Yield Wake'!I37*8760/100</f>
        <v>15.855599999999999</v>
      </c>
      <c r="K41" s="107">
        <f t="shared" si="5"/>
        <v>4.4646491850690593</v>
      </c>
    </row>
    <row r="42" spans="1:13" ht="13.5" x14ac:dyDescent="0.25">
      <c r="B42" s="20">
        <v>24.5</v>
      </c>
      <c r="C42" s="59">
        <f>'WTG Yield Wake'!D38</f>
        <v>15.200000000000001</v>
      </c>
      <c r="D42" s="64">
        <f t="shared" si="3"/>
        <v>16.000000000000004</v>
      </c>
      <c r="E42" s="62">
        <f t="shared" si="7"/>
        <v>14.772306313766547</v>
      </c>
      <c r="F42" s="57">
        <f t="shared" si="7"/>
        <v>59.089225255066189</v>
      </c>
      <c r="G42" s="57">
        <f t="shared" si="7"/>
        <v>66.343743999252538</v>
      </c>
      <c r="H42" s="57">
        <f t="shared" si="7"/>
        <v>51.95171487772155</v>
      </c>
      <c r="I42" s="58">
        <f t="shared" si="4"/>
        <v>192.1569904458068</v>
      </c>
      <c r="J42" s="32">
        <f>'WTG Yield Wake'!I38*8760/100</f>
        <v>9.5484000000000009</v>
      </c>
      <c r="K42" s="107">
        <f t="shared" si="5"/>
        <v>1.8347918075727419</v>
      </c>
    </row>
    <row r="43" spans="1:13" ht="13.5" x14ac:dyDescent="0.25">
      <c r="B43" s="20">
        <v>25.5</v>
      </c>
      <c r="C43" s="59">
        <f>'WTG Yield Wake'!D39</f>
        <v>12</v>
      </c>
      <c r="D43" s="64">
        <f t="shared" si="3"/>
        <v>12.631578947368421</v>
      </c>
      <c r="E43" s="62">
        <f t="shared" si="7"/>
        <v>9.2071161235386985</v>
      </c>
      <c r="F43" s="57">
        <f t="shared" si="7"/>
        <v>36.828464494154794</v>
      </c>
      <c r="G43" s="57">
        <f t="shared" si="7"/>
        <v>41.34997894690251</v>
      </c>
      <c r="H43" s="57">
        <f t="shared" si="7"/>
        <v>32.379877693870746</v>
      </c>
      <c r="I43" s="58">
        <f t="shared" si="4"/>
        <v>119.76543725846676</v>
      </c>
      <c r="J43" s="32">
        <f>'WTG Yield Wake'!I39*8760/100</f>
        <v>6.2195999999999989</v>
      </c>
      <c r="K43" s="107">
        <f t="shared" si="5"/>
        <v>0.74489311357275967</v>
      </c>
    </row>
    <row r="44" spans="1:13" ht="13.5" x14ac:dyDescent="0.25">
      <c r="B44" s="20">
        <v>26.5</v>
      </c>
      <c r="C44" s="59">
        <f>'WTG Yield Wake'!D40</f>
        <v>8.7999999999999989</v>
      </c>
      <c r="D44" s="64">
        <f t="shared" si="3"/>
        <v>9.2631578947368407</v>
      </c>
      <c r="E44" s="62">
        <f t="shared" si="7"/>
        <v>4.9513824486585882</v>
      </c>
      <c r="F44" s="57">
        <f t="shared" si="7"/>
        <v>19.805529794634353</v>
      </c>
      <c r="G44" s="57">
        <f t="shared" si="7"/>
        <v>22.237099789223123</v>
      </c>
      <c r="H44" s="57">
        <f t="shared" si="7"/>
        <v>17.41317867092604</v>
      </c>
      <c r="I44" s="58">
        <f t="shared" si="4"/>
        <v>64.407190703442112</v>
      </c>
      <c r="J44" s="32">
        <f>'WTG Yield Wake'!I40*8760/100</f>
        <v>3.4163999999999999</v>
      </c>
      <c r="K44" s="107">
        <f t="shared" si="5"/>
        <v>0.2200407263192396</v>
      </c>
    </row>
    <row r="45" spans="1:13" ht="13.5" x14ac:dyDescent="0.25">
      <c r="B45" s="20">
        <v>27.5</v>
      </c>
      <c r="C45" s="59">
        <f>'WTG Yield Wake'!D41</f>
        <v>5.6</v>
      </c>
      <c r="D45" s="64">
        <f t="shared" si="3"/>
        <v>5.8947368421052628</v>
      </c>
      <c r="E45" s="62">
        <f t="shared" si="7"/>
        <v>2.0051052891262056</v>
      </c>
      <c r="F45" s="57">
        <f t="shared" si="7"/>
        <v>8.0204211565048222</v>
      </c>
      <c r="G45" s="57">
        <f t="shared" si="7"/>
        <v>9.0051065262143251</v>
      </c>
      <c r="H45" s="57">
        <f t="shared" si="7"/>
        <v>7.0516178088874071</v>
      </c>
      <c r="I45" s="58">
        <f t="shared" si="4"/>
        <v>26.08225078073276</v>
      </c>
      <c r="J45" s="32">
        <f>'WTG Yield Wake'!I41*8760/100</f>
        <v>2.3652000000000002</v>
      </c>
      <c r="K45" s="107">
        <f t="shared" si="5"/>
        <v>6.1689739546589129E-2</v>
      </c>
    </row>
    <row r="46" spans="1:13" ht="14.25" thickBot="1" x14ac:dyDescent="0.3">
      <c r="B46" s="25">
        <v>28.5</v>
      </c>
      <c r="C46" s="60">
        <f>'WTG Yield Wake'!D42</f>
        <v>0</v>
      </c>
      <c r="D46" s="65">
        <f>C46/0.95</f>
        <v>0</v>
      </c>
      <c r="E46" s="73">
        <f t="shared" si="7"/>
        <v>0</v>
      </c>
      <c r="F46" s="74">
        <f t="shared" si="7"/>
        <v>0</v>
      </c>
      <c r="G46" s="74">
        <f t="shared" si="7"/>
        <v>0</v>
      </c>
      <c r="H46" s="74">
        <f t="shared" si="7"/>
        <v>0</v>
      </c>
      <c r="I46" s="53">
        <f t="shared" si="4"/>
        <v>0</v>
      </c>
      <c r="J46" s="37">
        <v>1</v>
      </c>
      <c r="K46" s="108">
        <f t="shared" si="5"/>
        <v>0</v>
      </c>
    </row>
    <row r="47" spans="1:13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79">
        <f>SUM(J18:J46)</f>
        <v>8759.3080000000009</v>
      </c>
      <c r="K47" s="76"/>
      <c r="L47" s="3" t="s">
        <v>55</v>
      </c>
    </row>
    <row r="48" spans="1:13" ht="14.25" thickBot="1" x14ac:dyDescent="0.3">
      <c r="A48" s="9"/>
      <c r="B48" s="3" t="s">
        <v>60</v>
      </c>
      <c r="C48" s="3"/>
      <c r="D48" s="3"/>
      <c r="E48" s="3"/>
      <c r="F48" s="3"/>
      <c r="G48" s="3"/>
      <c r="H48" s="3"/>
      <c r="I48" s="3"/>
      <c r="J48" s="77"/>
      <c r="K48" s="78">
        <f>SUM(K18:K47)</f>
        <v>1335.5622965137259</v>
      </c>
      <c r="L48" s="3" t="s">
        <v>28</v>
      </c>
      <c r="M48" s="1"/>
    </row>
    <row r="49" spans="1:13" ht="13.5" x14ac:dyDescent="0.25">
      <c r="A49" s="9"/>
      <c r="B49" s="3" t="s">
        <v>61</v>
      </c>
      <c r="C49" s="3"/>
      <c r="D49" s="3"/>
      <c r="E49" s="3"/>
      <c r="F49" s="3"/>
      <c r="G49" s="3"/>
      <c r="H49" s="3"/>
      <c r="I49" s="3"/>
      <c r="J49" s="77"/>
      <c r="K49" s="84">
        <f>'WTG Yield Wake'!J43*4</f>
        <v>395260.31275559997</v>
      </c>
      <c r="L49" s="3" t="s">
        <v>28</v>
      </c>
      <c r="M49" s="1"/>
    </row>
    <row r="50" spans="1:13" ht="14.25" thickBot="1" x14ac:dyDescent="0.3">
      <c r="A50" s="9"/>
      <c r="B50" s="3" t="s">
        <v>64</v>
      </c>
      <c r="C50" s="3"/>
      <c r="D50" s="3"/>
      <c r="E50" s="3"/>
      <c r="F50" s="3"/>
      <c r="G50" s="3"/>
      <c r="H50" s="3"/>
      <c r="I50" s="3"/>
      <c r="J50" s="77"/>
      <c r="K50" s="85">
        <f>(K48/K49)</f>
        <v>3.3789435807574735E-3</v>
      </c>
      <c r="L50" s="3" t="s">
        <v>51</v>
      </c>
    </row>
    <row r="51" spans="1:13" x14ac:dyDescent="0.2">
      <c r="J51" s="33"/>
    </row>
  </sheetData>
  <phoneticPr fontId="0" type="noConversion"/>
  <pageMargins left="0.75" right="0.75" top="1" bottom="1" header="0.5" footer="0.5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076-A385-45E2-A837-6F7B692C868C}">
  <dimension ref="A1:O67"/>
  <sheetViews>
    <sheetView tabSelected="1" topLeftCell="A25" workbookViewId="0">
      <selection activeCell="Q41" sqref="Q41"/>
    </sheetView>
  </sheetViews>
  <sheetFormatPr defaultRowHeight="12.75" x14ac:dyDescent="0.2"/>
  <sheetData>
    <row r="1" spans="2:15" ht="13.5" x14ac:dyDescent="0.25">
      <c r="B1" s="9"/>
      <c r="C1" s="9"/>
      <c r="D1" s="9"/>
      <c r="E1" s="9"/>
      <c r="F1" s="9"/>
      <c r="G1" s="9"/>
      <c r="J1" s="28"/>
    </row>
    <row r="2" spans="2:15" ht="13.5" x14ac:dyDescent="0.25">
      <c r="B2" s="75" t="s">
        <v>34</v>
      </c>
      <c r="C2" s="75"/>
      <c r="D2" s="75"/>
      <c r="E2" s="75" t="s">
        <v>35</v>
      </c>
      <c r="F2" s="75">
        <v>0.10100000000000001</v>
      </c>
      <c r="G2" s="75" t="s">
        <v>41</v>
      </c>
      <c r="J2" s="28"/>
    </row>
    <row r="3" spans="2:15" ht="13.5" x14ac:dyDescent="0.25">
      <c r="B3" s="75" t="s">
        <v>36</v>
      </c>
      <c r="C3" s="75"/>
      <c r="D3" s="75"/>
      <c r="E3" s="75" t="s">
        <v>37</v>
      </c>
      <c r="F3" s="75">
        <v>6.3E-2</v>
      </c>
      <c r="G3" s="75" t="s">
        <v>41</v>
      </c>
      <c r="J3" s="28"/>
    </row>
    <row r="4" spans="2:15" ht="13.5" x14ac:dyDescent="0.25">
      <c r="B4" s="75" t="s">
        <v>38</v>
      </c>
      <c r="C4" s="75"/>
      <c r="D4" s="75"/>
      <c r="E4" s="75" t="s">
        <v>39</v>
      </c>
      <c r="F4" s="75">
        <v>3.6999999999999998E-2</v>
      </c>
      <c r="G4" s="75" t="s">
        <v>41</v>
      </c>
      <c r="J4" s="28"/>
    </row>
    <row r="5" spans="2:15" x14ac:dyDescent="0.2">
      <c r="J5" s="28"/>
    </row>
    <row r="6" spans="2:15" ht="13.5" x14ac:dyDescent="0.25">
      <c r="B6" s="2"/>
      <c r="C6" s="2"/>
      <c r="D6" s="2"/>
      <c r="E6" s="16"/>
      <c r="F6" s="16"/>
      <c r="G6" s="16"/>
      <c r="H6" s="16"/>
      <c r="I6" s="16"/>
      <c r="J6" s="16"/>
      <c r="K6" s="9"/>
    </row>
    <row r="7" spans="2:15" ht="14.25" thickBot="1" x14ac:dyDescent="0.3">
      <c r="B7" s="2"/>
      <c r="C7" s="2"/>
      <c r="D7" s="2"/>
      <c r="E7" s="16" t="s">
        <v>11</v>
      </c>
      <c r="F7" s="16" t="s">
        <v>12</v>
      </c>
      <c r="G7" s="16" t="s">
        <v>13</v>
      </c>
      <c r="H7" s="16" t="s">
        <v>14</v>
      </c>
      <c r="J7" s="16"/>
      <c r="K7" s="56"/>
    </row>
    <row r="8" spans="2:15" ht="13.5" x14ac:dyDescent="0.25">
      <c r="B8" s="111" t="s">
        <v>68</v>
      </c>
      <c r="C8" s="70"/>
      <c r="D8" s="70"/>
      <c r="E8" s="112">
        <v>21.1</v>
      </c>
      <c r="F8" s="112">
        <v>21.1</v>
      </c>
      <c r="G8" s="112">
        <v>21.1</v>
      </c>
      <c r="H8" s="112">
        <v>21.1</v>
      </c>
      <c r="I8" s="22"/>
      <c r="J8" s="29"/>
      <c r="K8" s="4"/>
    </row>
    <row r="9" spans="2:15" ht="13.5" x14ac:dyDescent="0.25">
      <c r="B9" s="90" t="s">
        <v>45</v>
      </c>
      <c r="C9" s="68"/>
      <c r="D9" s="68"/>
      <c r="E9" s="31">
        <v>66</v>
      </c>
      <c r="F9" s="110">
        <f t="shared" ref="F9:H9" si="0">E9</f>
        <v>66</v>
      </c>
      <c r="G9" s="110">
        <f t="shared" si="0"/>
        <v>66</v>
      </c>
      <c r="H9" s="110">
        <f t="shared" si="0"/>
        <v>66</v>
      </c>
      <c r="I9" s="23"/>
      <c r="J9" s="30"/>
      <c r="K9" s="5"/>
    </row>
    <row r="10" spans="2:15" ht="14.25" thickBot="1" x14ac:dyDescent="0.3">
      <c r="B10" s="26" t="s">
        <v>67</v>
      </c>
      <c r="C10" s="6"/>
      <c r="D10" s="6"/>
      <c r="E10" s="23">
        <v>1</v>
      </c>
      <c r="F10" s="23">
        <v>2</v>
      </c>
      <c r="G10" s="23">
        <v>3</v>
      </c>
      <c r="H10" s="23">
        <v>4</v>
      </c>
      <c r="I10" s="23"/>
      <c r="J10" s="30"/>
      <c r="K10" s="5"/>
    </row>
    <row r="11" spans="2:15" ht="13.5" x14ac:dyDescent="0.25">
      <c r="B11" s="90" t="s">
        <v>66</v>
      </c>
      <c r="C11" s="27"/>
      <c r="D11" s="86"/>
      <c r="E11" s="87">
        <v>92.1</v>
      </c>
      <c r="F11" s="71">
        <f>F10*$E$11</f>
        <v>184.2</v>
      </c>
      <c r="G11" s="71">
        <f>G10*$E$11</f>
        <v>276.29999999999995</v>
      </c>
      <c r="H11" s="71">
        <f>H10*$E$11</f>
        <v>368.4</v>
      </c>
      <c r="I11" s="66"/>
      <c r="J11" s="30"/>
      <c r="K11" s="5"/>
    </row>
    <row r="12" spans="2:15" ht="13.5" x14ac:dyDescent="0.25">
      <c r="B12" s="90" t="s">
        <v>65</v>
      </c>
      <c r="C12" s="27"/>
      <c r="D12" s="86"/>
      <c r="E12" s="88">
        <v>1</v>
      </c>
      <c r="F12" s="82">
        <v>1</v>
      </c>
      <c r="G12" s="82">
        <v>1</v>
      </c>
      <c r="H12" s="83">
        <v>1</v>
      </c>
      <c r="I12" s="66"/>
      <c r="J12" s="30"/>
      <c r="K12" s="5"/>
    </row>
    <row r="13" spans="2:15" ht="14.25" thickBot="1" x14ac:dyDescent="0.3">
      <c r="B13" s="113" t="s">
        <v>50</v>
      </c>
      <c r="C13" s="72"/>
      <c r="D13" s="114"/>
      <c r="E13" s="89">
        <v>0.10100000000000001</v>
      </c>
      <c r="F13" s="67">
        <v>0.10100000000000001</v>
      </c>
      <c r="G13" s="67">
        <v>0.10100000000000001</v>
      </c>
      <c r="H13" s="67">
        <v>0.10100000000000001</v>
      </c>
      <c r="I13" s="115"/>
      <c r="J13" s="94"/>
      <c r="K13" s="95"/>
    </row>
    <row r="14" spans="2:15" ht="13.5" x14ac:dyDescent="0.25">
      <c r="B14" s="21"/>
      <c r="C14" s="69"/>
      <c r="D14" s="69"/>
      <c r="E14" s="100" t="s">
        <v>40</v>
      </c>
      <c r="F14" s="100" t="s">
        <v>40</v>
      </c>
      <c r="G14" s="100" t="s">
        <v>40</v>
      </c>
      <c r="H14" s="100" t="s">
        <v>40</v>
      </c>
      <c r="I14" s="23"/>
      <c r="J14" s="30"/>
      <c r="K14" s="5"/>
    </row>
    <row r="15" spans="2:15" ht="14.25" thickBot="1" x14ac:dyDescent="0.3">
      <c r="B15" s="91" t="s">
        <v>46</v>
      </c>
      <c r="C15" s="92"/>
      <c r="D15" s="92"/>
      <c r="E15" s="93">
        <v>2.5</v>
      </c>
      <c r="F15" s="93">
        <v>2.5</v>
      </c>
      <c r="G15" s="93">
        <v>2</v>
      </c>
      <c r="H15" s="93">
        <v>1.5</v>
      </c>
      <c r="I15" s="93"/>
      <c r="J15" s="94"/>
      <c r="K15" s="95"/>
    </row>
    <row r="16" spans="2:15" ht="14.25" thickBot="1" x14ac:dyDescent="0.3">
      <c r="B16" s="97" t="s">
        <v>62</v>
      </c>
      <c r="C16" s="96" t="s">
        <v>63</v>
      </c>
      <c r="D16" s="76"/>
      <c r="E16" s="29"/>
      <c r="F16" s="23"/>
      <c r="G16" s="23"/>
      <c r="H16" s="23"/>
      <c r="I16" s="101" t="s">
        <v>15</v>
      </c>
      <c r="J16" s="102" t="s">
        <v>0</v>
      </c>
      <c r="K16" s="103" t="s">
        <v>44</v>
      </c>
      <c r="O16" s="109"/>
    </row>
    <row r="17" spans="2:11" ht="13.5" x14ac:dyDescent="0.25">
      <c r="B17" s="98" t="s">
        <v>1</v>
      </c>
      <c r="C17" s="99" t="s">
        <v>43</v>
      </c>
      <c r="D17" s="63" t="s">
        <v>49</v>
      </c>
      <c r="E17" s="61"/>
      <c r="F17" s="24"/>
      <c r="G17" s="24"/>
      <c r="H17" s="24"/>
      <c r="I17" s="104" t="s">
        <v>47</v>
      </c>
      <c r="J17" s="105"/>
      <c r="K17" s="106" t="s">
        <v>48</v>
      </c>
    </row>
    <row r="18" spans="2:11" ht="13.5" x14ac:dyDescent="0.25">
      <c r="B18" s="20">
        <v>0.5</v>
      </c>
      <c r="C18" s="59">
        <f>'WTG Yield Wake'!D14</f>
        <v>0</v>
      </c>
      <c r="D18" s="64">
        <f>C18/0.95</f>
        <v>0</v>
      </c>
      <c r="E18" s="62">
        <v>0</v>
      </c>
      <c r="F18" s="57">
        <v>0</v>
      </c>
      <c r="G18" s="57">
        <v>0</v>
      </c>
      <c r="H18" s="57">
        <v>0</v>
      </c>
      <c r="I18" s="58">
        <f>SUM(E18:H18)</f>
        <v>0</v>
      </c>
      <c r="J18" s="32">
        <v>57</v>
      </c>
      <c r="K18" s="107">
        <f>I18*J18/1000</f>
        <v>0</v>
      </c>
    </row>
    <row r="19" spans="2:11" ht="13.5" x14ac:dyDescent="0.25">
      <c r="B19" s="20">
        <v>1.5</v>
      </c>
      <c r="C19" s="59">
        <f>'WTG Yield Wake'!D15</f>
        <v>0</v>
      </c>
      <c r="D19" s="64">
        <f t="shared" ref="D19:D45" si="1">C19/0.95</f>
        <v>0</v>
      </c>
      <c r="E19" s="62">
        <v>0</v>
      </c>
      <c r="F19" s="57">
        <v>0</v>
      </c>
      <c r="G19" s="57">
        <v>0</v>
      </c>
      <c r="H19" s="57">
        <v>0</v>
      </c>
      <c r="I19" s="58">
        <f t="shared" ref="I19:I46" si="2">SUM(E19:H19)</f>
        <v>0</v>
      </c>
      <c r="J19" s="32">
        <f>'WTG Yield Wake'!I15*8760/100</f>
        <v>151.98599999999999</v>
      </c>
      <c r="K19" s="107">
        <f t="shared" ref="K19:K46" si="3">I19*J19/1000</f>
        <v>0</v>
      </c>
    </row>
    <row r="20" spans="2:11" ht="13.5" x14ac:dyDescent="0.25">
      <c r="B20" s="20">
        <v>2.5</v>
      </c>
      <c r="C20" s="59">
        <f>'WTG Yield Wake'!D16</f>
        <v>0</v>
      </c>
      <c r="D20" s="64">
        <f t="shared" si="1"/>
        <v>0</v>
      </c>
      <c r="E20" s="62">
        <v>0</v>
      </c>
      <c r="F20" s="57">
        <v>0</v>
      </c>
      <c r="G20" s="57">
        <v>0</v>
      </c>
      <c r="H20" s="57">
        <v>0</v>
      </c>
      <c r="I20" s="58">
        <f t="shared" si="2"/>
        <v>0</v>
      </c>
      <c r="J20" s="32">
        <f>'WTG Yield Wake'!I16*8760/100</f>
        <v>293.98559999999998</v>
      </c>
      <c r="K20" s="107">
        <f t="shared" si="3"/>
        <v>0</v>
      </c>
    </row>
    <row r="21" spans="2:11" ht="13.5" x14ac:dyDescent="0.25">
      <c r="B21" s="20">
        <v>3.5</v>
      </c>
      <c r="C21" s="59">
        <f>'WTG Yield Wake'!D17</f>
        <v>0.437</v>
      </c>
      <c r="D21" s="64">
        <f t="shared" si="1"/>
        <v>0.46</v>
      </c>
      <c r="E21" s="62">
        <f>3*($D21/E$8*E$11)^2*E$13*E$15/1000</f>
        <v>3.0538847996900331E-3</v>
      </c>
      <c r="F21" s="57">
        <f t="shared" ref="F21:H36" si="4">3*($D21/F$8*F$11)^2*F$13*F$15/1000</f>
        <v>1.2215539198760133E-2</v>
      </c>
      <c r="G21" s="57">
        <f t="shared" si="4"/>
        <v>2.1987970557768237E-2</v>
      </c>
      <c r="H21" s="57">
        <f t="shared" si="4"/>
        <v>2.9317294077024318E-2</v>
      </c>
      <c r="I21" s="58">
        <f t="shared" si="2"/>
        <v>6.6574688633242729E-2</v>
      </c>
      <c r="J21" s="32">
        <f>'WTG Yield Wake'!I17*8760/100</f>
        <v>423.28320000000002</v>
      </c>
      <c r="K21" s="107">
        <f t="shared" si="3"/>
        <v>2.8179947243682609E-2</v>
      </c>
    </row>
    <row r="22" spans="2:11" ht="13.5" x14ac:dyDescent="0.25">
      <c r="B22" s="20">
        <v>4.5</v>
      </c>
      <c r="C22" s="59">
        <f>'WTG Yield Wake'!D18</f>
        <v>1.423</v>
      </c>
      <c r="D22" s="64">
        <f t="shared" si="1"/>
        <v>1.4978947368421054</v>
      </c>
      <c r="E22" s="62">
        <f t="shared" ref="E22:H46" si="5">3*($D22/E$8*E$11)^2*E$13*E$15/1000</f>
        <v>3.2381694901012947E-2</v>
      </c>
      <c r="F22" s="57">
        <f t="shared" si="4"/>
        <v>0.12952677960405179</v>
      </c>
      <c r="G22" s="57">
        <f t="shared" si="4"/>
        <v>0.23314820328729319</v>
      </c>
      <c r="H22" s="57">
        <f t="shared" si="4"/>
        <v>0.31086427104972431</v>
      </c>
      <c r="I22" s="58">
        <f t="shared" si="2"/>
        <v>0.70592094884208223</v>
      </c>
      <c r="J22" s="32">
        <f>'WTG Yield Wake'!I18*8760/100</f>
        <v>559.7639999999999</v>
      </c>
      <c r="K22" s="107">
        <f t="shared" si="3"/>
        <v>0.39514913400763924</v>
      </c>
    </row>
    <row r="23" spans="2:11" ht="13.5" x14ac:dyDescent="0.25">
      <c r="B23" s="20">
        <v>5.5</v>
      </c>
      <c r="C23" s="59">
        <f>'WTG Yield Wake'!D19</f>
        <v>2.83</v>
      </c>
      <c r="D23" s="64">
        <f t="shared" si="1"/>
        <v>2.978947368421053</v>
      </c>
      <c r="E23" s="62">
        <f t="shared" si="5"/>
        <v>0.12807449362062695</v>
      </c>
      <c r="F23" s="57">
        <f t="shared" si="4"/>
        <v>0.5122979744825078</v>
      </c>
      <c r="G23" s="57">
        <f t="shared" si="4"/>
        <v>0.9221363540685138</v>
      </c>
      <c r="H23" s="57">
        <f t="shared" si="4"/>
        <v>1.2295151387580188</v>
      </c>
      <c r="I23" s="58">
        <f t="shared" si="2"/>
        <v>2.7920239609296673</v>
      </c>
      <c r="J23" s="32">
        <f>'WTG Yield Wake'!I19*8760/100</f>
        <v>670.75320000000011</v>
      </c>
      <c r="K23" s="107">
        <f t="shared" si="3"/>
        <v>1.8727590062702495</v>
      </c>
    </row>
    <row r="24" spans="2:11" ht="13.5" x14ac:dyDescent="0.25">
      <c r="B24" s="20">
        <v>6.5</v>
      </c>
      <c r="C24" s="59">
        <f>'WTG Yield Wake'!D20</f>
        <v>4.7720000000000002</v>
      </c>
      <c r="D24" s="64">
        <f t="shared" si="1"/>
        <v>5.0231578947368423</v>
      </c>
      <c r="E24" s="62">
        <f t="shared" si="5"/>
        <v>0.36415866342906261</v>
      </c>
      <c r="F24" s="57">
        <f t="shared" si="4"/>
        <v>1.4566346537162504</v>
      </c>
      <c r="G24" s="57">
        <f t="shared" si="4"/>
        <v>2.6219423766892498</v>
      </c>
      <c r="H24" s="57">
        <f t="shared" si="4"/>
        <v>3.4959231689190005</v>
      </c>
      <c r="I24" s="58">
        <f t="shared" si="2"/>
        <v>7.938658862753563</v>
      </c>
      <c r="J24" s="32">
        <f>'WTG Yield Wake'!I20*8760/100</f>
        <v>764.92319999999995</v>
      </c>
      <c r="K24" s="107">
        <f t="shared" si="3"/>
        <v>6.0724643410058157</v>
      </c>
    </row>
    <row r="25" spans="2:11" ht="13.5" x14ac:dyDescent="0.25">
      <c r="B25" s="20">
        <v>7.5</v>
      </c>
      <c r="C25" s="59">
        <f>'WTG Yield Wake'!D21</f>
        <v>7.46</v>
      </c>
      <c r="D25" s="64">
        <f t="shared" si="1"/>
        <v>7.8526315789473689</v>
      </c>
      <c r="E25" s="62">
        <f t="shared" si="5"/>
        <v>0.88995373761411489</v>
      </c>
      <c r="F25" s="57">
        <f t="shared" si="4"/>
        <v>3.5598149504564596</v>
      </c>
      <c r="G25" s="57">
        <f t="shared" si="4"/>
        <v>6.4076669108216251</v>
      </c>
      <c r="H25" s="57">
        <f t="shared" si="4"/>
        <v>8.5435558810955019</v>
      </c>
      <c r="I25" s="58">
        <f t="shared" si="2"/>
        <v>19.400991479987702</v>
      </c>
      <c r="J25" s="32">
        <f>'WTG Yield Wake'!I21*8760/100</f>
        <v>827.64480000000015</v>
      </c>
      <c r="K25" s="107">
        <f t="shared" si="3"/>
        <v>16.057129713256128</v>
      </c>
    </row>
    <row r="26" spans="2:11" ht="13.5" x14ac:dyDescent="0.25">
      <c r="B26" s="20">
        <v>8.5</v>
      </c>
      <c r="C26" s="59">
        <f>'WTG Yield Wake'!D22</f>
        <v>10.949</v>
      </c>
      <c r="D26" s="64">
        <f t="shared" si="1"/>
        <v>11.525263157894738</v>
      </c>
      <c r="E26" s="62">
        <f t="shared" si="5"/>
        <v>1.9170731646058048</v>
      </c>
      <c r="F26" s="57">
        <f t="shared" si="4"/>
        <v>7.6682926584232192</v>
      </c>
      <c r="G26" s="57">
        <f t="shared" si="4"/>
        <v>13.802926785161793</v>
      </c>
      <c r="H26" s="57">
        <f t="shared" si="4"/>
        <v>18.403902380215726</v>
      </c>
      <c r="I26" s="58">
        <f t="shared" si="2"/>
        <v>41.792194988406543</v>
      </c>
      <c r="J26" s="32">
        <f>'WTG Yield Wake'!I22*8760/100</f>
        <v>842.62440000000004</v>
      </c>
      <c r="K26" s="107">
        <f t="shared" si="3"/>
        <v>35.215123226789075</v>
      </c>
    </row>
    <row r="27" spans="2:11" ht="13.5" x14ac:dyDescent="0.25">
      <c r="B27" s="20">
        <v>9.5</v>
      </c>
      <c r="C27" s="59">
        <f>'WTG Yield Wake'!D23</f>
        <v>14.622999999999999</v>
      </c>
      <c r="D27" s="64">
        <f t="shared" si="1"/>
        <v>15.392631578947368</v>
      </c>
      <c r="E27" s="62">
        <f t="shared" si="5"/>
        <v>3.4195010103129735</v>
      </c>
      <c r="F27" s="57">
        <f t="shared" si="4"/>
        <v>13.678004041251894</v>
      </c>
      <c r="G27" s="57">
        <f t="shared" si="4"/>
        <v>24.620407274253413</v>
      </c>
      <c r="H27" s="57">
        <f t="shared" si="4"/>
        <v>32.827209699004541</v>
      </c>
      <c r="I27" s="58">
        <f t="shared" si="2"/>
        <v>74.545122024822817</v>
      </c>
      <c r="J27" s="32">
        <f>'WTG Yield Wake'!I23*8760/100</f>
        <v>799.1748</v>
      </c>
      <c r="K27" s="107">
        <f t="shared" si="3"/>
        <v>59.574582985163367</v>
      </c>
    </row>
    <row r="28" spans="2:11" ht="13.5" x14ac:dyDescent="0.25">
      <c r="B28" s="20">
        <v>10.5</v>
      </c>
      <c r="C28" s="59">
        <f>'WTG Yield Wake'!D24</f>
        <v>17.73</v>
      </c>
      <c r="D28" s="64">
        <f t="shared" si="1"/>
        <v>18.663157894736845</v>
      </c>
      <c r="E28" s="62">
        <f t="shared" si="5"/>
        <v>5.0269810442976697</v>
      </c>
      <c r="F28" s="57">
        <f t="shared" si="4"/>
        <v>20.107924177190679</v>
      </c>
      <c r="G28" s="57">
        <f t="shared" si="4"/>
        <v>36.194263518943202</v>
      </c>
      <c r="H28" s="57">
        <f t="shared" si="4"/>
        <v>48.259018025257625</v>
      </c>
      <c r="I28" s="58">
        <f t="shared" si="2"/>
        <v>109.58818676568919</v>
      </c>
      <c r="J28" s="32">
        <f>'WTG Yield Wake'!I24*8760/100</f>
        <v>717.61919999999998</v>
      </c>
      <c r="K28" s="107">
        <f t="shared" si="3"/>
        <v>78.642586916244454</v>
      </c>
    </row>
    <row r="29" spans="2:11" ht="13.5" x14ac:dyDescent="0.25">
      <c r="B29" s="20">
        <v>11.5</v>
      </c>
      <c r="C29" s="59">
        <f>'WTG Yield Wake'!D25</f>
        <v>19.442</v>
      </c>
      <c r="D29" s="64">
        <f t="shared" si="1"/>
        <v>20.465263157894739</v>
      </c>
      <c r="E29" s="62">
        <f t="shared" si="5"/>
        <v>6.044656886372672</v>
      </c>
      <c r="F29" s="57">
        <f t="shared" si="4"/>
        <v>24.178627545490688</v>
      </c>
      <c r="G29" s="57">
        <f t="shared" si="4"/>
        <v>43.521529581883208</v>
      </c>
      <c r="H29" s="57">
        <f t="shared" si="4"/>
        <v>58.028706109177641</v>
      </c>
      <c r="I29" s="58">
        <f t="shared" si="2"/>
        <v>131.7735201229242</v>
      </c>
      <c r="J29" s="32">
        <f>'WTG Yield Wake'!I25*8760/100</f>
        <v>620.38319999999999</v>
      </c>
      <c r="K29" s="107">
        <f t="shared" si="3"/>
        <v>81.750078089124102</v>
      </c>
    </row>
    <row r="30" spans="2:11" ht="13.5" x14ac:dyDescent="0.25">
      <c r="B30" s="20">
        <v>12.5</v>
      </c>
      <c r="C30" s="59">
        <f>'WTG Yield Wake'!D26</f>
        <v>19.920999999999999</v>
      </c>
      <c r="D30" s="64">
        <f t="shared" si="1"/>
        <v>20.969473684210527</v>
      </c>
      <c r="E30" s="62">
        <f t="shared" si="5"/>
        <v>6.3461750504219419</v>
      </c>
      <c r="F30" s="57">
        <f t="shared" si="4"/>
        <v>25.384700201687767</v>
      </c>
      <c r="G30" s="57">
        <f t="shared" si="4"/>
        <v>45.692460363037981</v>
      </c>
      <c r="H30" s="57">
        <f t="shared" si="4"/>
        <v>60.923280484050636</v>
      </c>
      <c r="I30" s="58">
        <f t="shared" si="2"/>
        <v>138.34661609919834</v>
      </c>
      <c r="J30" s="32">
        <f>'WTG Yield Wake'!I26*8760/100</f>
        <v>510.27</v>
      </c>
      <c r="K30" s="107">
        <f t="shared" si="3"/>
        <v>70.594127796937926</v>
      </c>
    </row>
    <row r="31" spans="2:11" ht="13.5" x14ac:dyDescent="0.25">
      <c r="B31" s="20">
        <v>13.5</v>
      </c>
      <c r="C31" s="59">
        <f>'WTG Yield Wake'!D27</f>
        <v>19.991</v>
      </c>
      <c r="D31" s="64">
        <f t="shared" si="1"/>
        <v>21.043157894736844</v>
      </c>
      <c r="E31" s="62">
        <f t="shared" si="5"/>
        <v>6.3908528018306328</v>
      </c>
      <c r="F31" s="57">
        <f t="shared" si="4"/>
        <v>25.563411207322531</v>
      </c>
      <c r="G31" s="57">
        <f t="shared" si="4"/>
        <v>46.014140173180529</v>
      </c>
      <c r="H31" s="57">
        <f t="shared" si="4"/>
        <v>61.352186897574065</v>
      </c>
      <c r="I31" s="58">
        <f t="shared" si="2"/>
        <v>139.32059107990776</v>
      </c>
      <c r="J31" s="32">
        <f>'WTG Yield Wake'!I27*8760/100</f>
        <v>399.2808</v>
      </c>
      <c r="K31" s="107">
        <f t="shared" si="3"/>
        <v>55.628037062858432</v>
      </c>
    </row>
    <row r="32" spans="2:11" ht="13.5" x14ac:dyDescent="0.25">
      <c r="B32" s="20">
        <v>14.5</v>
      </c>
      <c r="C32" s="59">
        <f>'WTG Yield Wake'!D28</f>
        <v>20</v>
      </c>
      <c r="D32" s="64">
        <f t="shared" si="1"/>
        <v>21.05263157894737</v>
      </c>
      <c r="E32" s="62">
        <f t="shared" si="5"/>
        <v>6.3966084541261319</v>
      </c>
      <c r="F32" s="57">
        <f t="shared" si="4"/>
        <v>25.586433816504528</v>
      </c>
      <c r="G32" s="57">
        <f t="shared" si="4"/>
        <v>46.055580869708152</v>
      </c>
      <c r="H32" s="57">
        <f t="shared" si="4"/>
        <v>61.407441159610869</v>
      </c>
      <c r="I32" s="58">
        <f t="shared" si="2"/>
        <v>139.44606429994968</v>
      </c>
      <c r="J32" s="32">
        <f>'WTG Yield Wake'!I28*8760/100</f>
        <v>295.47480000000002</v>
      </c>
      <c r="K32" s="107">
        <f t="shared" si="3"/>
        <v>41.202797959814774</v>
      </c>
    </row>
    <row r="33" spans="1:13" ht="13.5" x14ac:dyDescent="0.25">
      <c r="B33" s="20">
        <v>15.5</v>
      </c>
      <c r="C33" s="59">
        <f>'WTG Yield Wake'!D29</f>
        <v>20</v>
      </c>
      <c r="D33" s="64">
        <f t="shared" si="1"/>
        <v>21.05263157894737</v>
      </c>
      <c r="E33" s="62">
        <f t="shared" si="5"/>
        <v>6.3966084541261319</v>
      </c>
      <c r="F33" s="57">
        <f t="shared" si="4"/>
        <v>25.586433816504528</v>
      </c>
      <c r="G33" s="57">
        <f t="shared" si="4"/>
        <v>46.055580869708152</v>
      </c>
      <c r="H33" s="57">
        <f t="shared" si="4"/>
        <v>61.407441159610869</v>
      </c>
      <c r="I33" s="58">
        <f t="shared" si="2"/>
        <v>139.44606429994968</v>
      </c>
      <c r="J33" s="32">
        <f>'WTG Yield Wake'!I29*8760/100</f>
        <v>211.46640000000002</v>
      </c>
      <c r="K33" s="107">
        <f t="shared" si="3"/>
        <v>29.488157211678882</v>
      </c>
    </row>
    <row r="34" spans="1:13" ht="13.5" x14ac:dyDescent="0.25">
      <c r="B34" s="20">
        <v>16.5</v>
      </c>
      <c r="C34" s="59">
        <f>'WTG Yield Wake'!D30</f>
        <v>20</v>
      </c>
      <c r="D34" s="64">
        <f t="shared" si="1"/>
        <v>21.05263157894737</v>
      </c>
      <c r="E34" s="62">
        <f t="shared" si="5"/>
        <v>6.3966084541261319</v>
      </c>
      <c r="F34" s="57">
        <f t="shared" si="4"/>
        <v>25.586433816504528</v>
      </c>
      <c r="G34" s="57">
        <f t="shared" si="4"/>
        <v>46.055580869708152</v>
      </c>
      <c r="H34" s="57">
        <f t="shared" si="4"/>
        <v>61.407441159610869</v>
      </c>
      <c r="I34" s="58">
        <f t="shared" si="2"/>
        <v>139.44606429994968</v>
      </c>
      <c r="J34" s="32">
        <f>'WTG Yield Wake'!I30*8760/100</f>
        <v>157.76760000000002</v>
      </c>
      <c r="K34" s="107">
        <f t="shared" si="3"/>
        <v>22.000070894048743</v>
      </c>
    </row>
    <row r="35" spans="1:13" ht="13.5" x14ac:dyDescent="0.25">
      <c r="B35" s="20">
        <v>17.5</v>
      </c>
      <c r="C35" s="59">
        <f>'WTG Yield Wake'!D31</f>
        <v>20</v>
      </c>
      <c r="D35" s="64">
        <f t="shared" si="1"/>
        <v>21.05263157894737</v>
      </c>
      <c r="E35" s="62">
        <f t="shared" si="5"/>
        <v>6.3966084541261319</v>
      </c>
      <c r="F35" s="57">
        <f t="shared" si="4"/>
        <v>25.586433816504528</v>
      </c>
      <c r="G35" s="57">
        <f t="shared" si="4"/>
        <v>46.055580869708152</v>
      </c>
      <c r="H35" s="57">
        <f t="shared" si="4"/>
        <v>61.407441159610869</v>
      </c>
      <c r="I35" s="58">
        <f t="shared" si="2"/>
        <v>139.44606429994968</v>
      </c>
      <c r="J35" s="32">
        <f>'WTG Yield Wake'!I31*8760/100</f>
        <v>123.95399999999999</v>
      </c>
      <c r="K35" s="107">
        <f t="shared" si="3"/>
        <v>17.28489745423596</v>
      </c>
    </row>
    <row r="36" spans="1:13" ht="13.5" x14ac:dyDescent="0.25">
      <c r="B36" s="20">
        <v>18.5</v>
      </c>
      <c r="C36" s="59">
        <f>'WTG Yield Wake'!D32</f>
        <v>20</v>
      </c>
      <c r="D36" s="64">
        <f t="shared" si="1"/>
        <v>21.05263157894737</v>
      </c>
      <c r="E36" s="62">
        <f t="shared" si="5"/>
        <v>6.3966084541261319</v>
      </c>
      <c r="F36" s="57">
        <f t="shared" si="4"/>
        <v>25.586433816504528</v>
      </c>
      <c r="G36" s="57">
        <f t="shared" si="4"/>
        <v>46.055580869708152</v>
      </c>
      <c r="H36" s="57">
        <f t="shared" si="4"/>
        <v>61.407441159610869</v>
      </c>
      <c r="I36" s="58">
        <f t="shared" si="2"/>
        <v>139.44606429994968</v>
      </c>
      <c r="J36" s="32">
        <f>'WTG Yield Wake'!I32*8760/100</f>
        <v>100.38959999999999</v>
      </c>
      <c r="K36" s="107">
        <f t="shared" si="3"/>
        <v>13.998934616646228</v>
      </c>
    </row>
    <row r="37" spans="1:13" ht="13.5" x14ac:dyDescent="0.25">
      <c r="B37" s="20">
        <v>19.5</v>
      </c>
      <c r="C37" s="59">
        <f>'WTG Yield Wake'!D33</f>
        <v>20</v>
      </c>
      <c r="D37" s="64">
        <f t="shared" si="1"/>
        <v>21.05263157894737</v>
      </c>
      <c r="E37" s="62">
        <f t="shared" si="5"/>
        <v>6.3966084541261319</v>
      </c>
      <c r="F37" s="57">
        <f t="shared" si="5"/>
        <v>25.586433816504528</v>
      </c>
      <c r="G37" s="57">
        <f t="shared" si="5"/>
        <v>46.055580869708152</v>
      </c>
      <c r="H37" s="57">
        <f t="shared" si="5"/>
        <v>61.407441159610869</v>
      </c>
      <c r="I37" s="58">
        <f t="shared" si="2"/>
        <v>139.44606429994968</v>
      </c>
      <c r="J37" s="32">
        <f>'WTG Yield Wake'!I33*8760/100</f>
        <v>75.686400000000006</v>
      </c>
      <c r="K37" s="107">
        <f t="shared" si="3"/>
        <v>10.554170601031712</v>
      </c>
    </row>
    <row r="38" spans="1:13" ht="13.5" x14ac:dyDescent="0.25">
      <c r="B38" s="20">
        <v>20.5</v>
      </c>
      <c r="C38" s="59">
        <f>'WTG Yield Wake'!D34</f>
        <v>20</v>
      </c>
      <c r="D38" s="64">
        <f t="shared" si="1"/>
        <v>21.05263157894737</v>
      </c>
      <c r="E38" s="62">
        <f t="shared" si="5"/>
        <v>6.3966084541261319</v>
      </c>
      <c r="F38" s="57">
        <f t="shared" si="5"/>
        <v>25.586433816504528</v>
      </c>
      <c r="G38" s="57">
        <f t="shared" si="5"/>
        <v>46.055580869708152</v>
      </c>
      <c r="H38" s="57">
        <f t="shared" si="5"/>
        <v>61.407441159610869</v>
      </c>
      <c r="I38" s="58">
        <f t="shared" si="2"/>
        <v>139.44606429994968</v>
      </c>
      <c r="J38" s="32">
        <f>'WTG Yield Wake'!I34*8760/100</f>
        <v>53.611199999999997</v>
      </c>
      <c r="K38" s="107">
        <f t="shared" si="3"/>
        <v>7.4758708423974625</v>
      </c>
    </row>
    <row r="39" spans="1:13" ht="13.5" x14ac:dyDescent="0.25">
      <c r="B39" s="20">
        <v>21.5</v>
      </c>
      <c r="C39" s="59">
        <f>'WTG Yield Wake'!D35</f>
        <v>20</v>
      </c>
      <c r="D39" s="64">
        <f t="shared" si="1"/>
        <v>21.05263157894737</v>
      </c>
      <c r="E39" s="62">
        <f t="shared" si="5"/>
        <v>6.3966084541261319</v>
      </c>
      <c r="F39" s="57">
        <f t="shared" si="5"/>
        <v>25.586433816504528</v>
      </c>
      <c r="G39" s="57">
        <f t="shared" si="5"/>
        <v>46.055580869708152</v>
      </c>
      <c r="H39" s="57">
        <f t="shared" si="5"/>
        <v>61.407441159610869</v>
      </c>
      <c r="I39" s="58">
        <f t="shared" si="2"/>
        <v>139.44606429994968</v>
      </c>
      <c r="J39" s="32">
        <f>'WTG Yield Wake'!I35*8760/100</f>
        <v>38.106000000000002</v>
      </c>
      <c r="K39" s="107">
        <f t="shared" si="3"/>
        <v>5.3137317262138835</v>
      </c>
    </row>
    <row r="40" spans="1:13" ht="13.5" x14ac:dyDescent="0.25">
      <c r="B40" s="20">
        <v>22.5</v>
      </c>
      <c r="C40" s="59">
        <f>'WTG Yield Wake'!D36</f>
        <v>20</v>
      </c>
      <c r="D40" s="64">
        <f t="shared" si="1"/>
        <v>21.05263157894737</v>
      </c>
      <c r="E40" s="62">
        <f t="shared" si="5"/>
        <v>6.3966084541261319</v>
      </c>
      <c r="F40" s="57">
        <f t="shared" si="5"/>
        <v>25.586433816504528</v>
      </c>
      <c r="G40" s="57">
        <f t="shared" si="5"/>
        <v>46.055580869708152</v>
      </c>
      <c r="H40" s="57">
        <f t="shared" si="5"/>
        <v>61.407441159610869</v>
      </c>
      <c r="I40" s="58">
        <f t="shared" si="2"/>
        <v>139.44606429994968</v>
      </c>
      <c r="J40" s="32">
        <f>'WTG Yield Wake'!I36*8760/100</f>
        <v>25.7544</v>
      </c>
      <c r="K40" s="107">
        <f t="shared" si="3"/>
        <v>3.5913497184066241</v>
      </c>
    </row>
    <row r="41" spans="1:13" ht="13.5" x14ac:dyDescent="0.25">
      <c r="B41" s="20">
        <v>23.5</v>
      </c>
      <c r="C41" s="59">
        <f>'WTG Yield Wake'!D37</f>
        <v>18.400000000000002</v>
      </c>
      <c r="D41" s="64">
        <f t="shared" si="1"/>
        <v>19.368421052631582</v>
      </c>
      <c r="E41" s="62">
        <f t="shared" si="5"/>
        <v>5.4140893955723595</v>
      </c>
      <c r="F41" s="57">
        <f t="shared" si="5"/>
        <v>21.656357582289438</v>
      </c>
      <c r="G41" s="57">
        <f t="shared" si="5"/>
        <v>38.981443648120987</v>
      </c>
      <c r="H41" s="57">
        <f t="shared" si="5"/>
        <v>51.975258197494654</v>
      </c>
      <c r="I41" s="58">
        <f t="shared" si="2"/>
        <v>118.02714882347745</v>
      </c>
      <c r="J41" s="32">
        <f>'WTG Yield Wake'!I37*8760/100</f>
        <v>15.855599999999999</v>
      </c>
      <c r="K41" s="107">
        <f t="shared" si="3"/>
        <v>1.871391260885529</v>
      </c>
    </row>
    <row r="42" spans="1:13" ht="13.5" x14ac:dyDescent="0.25">
      <c r="B42" s="20">
        <v>24.5</v>
      </c>
      <c r="C42" s="59">
        <f>'WTG Yield Wake'!D38</f>
        <v>15.200000000000001</v>
      </c>
      <c r="D42" s="64">
        <f t="shared" si="1"/>
        <v>16.000000000000004</v>
      </c>
      <c r="E42" s="62">
        <f t="shared" si="5"/>
        <v>3.6946810431032562</v>
      </c>
      <c r="F42" s="57">
        <f t="shared" si="5"/>
        <v>14.778724172413025</v>
      </c>
      <c r="G42" s="57">
        <f t="shared" si="5"/>
        <v>26.601703510343444</v>
      </c>
      <c r="H42" s="57">
        <f t="shared" si="5"/>
        <v>35.468938013791266</v>
      </c>
      <c r="I42" s="58">
        <f t="shared" si="2"/>
        <v>80.54404673965098</v>
      </c>
      <c r="J42" s="32">
        <f>'WTG Yield Wake'!I38*8760/100</f>
        <v>9.5484000000000009</v>
      </c>
      <c r="K42" s="107">
        <f t="shared" si="3"/>
        <v>0.7690667758888835</v>
      </c>
    </row>
    <row r="43" spans="1:13" ht="13.5" x14ac:dyDescent="0.25">
      <c r="B43" s="20">
        <v>25.5</v>
      </c>
      <c r="C43" s="59">
        <f>'WTG Yield Wake'!D39</f>
        <v>12</v>
      </c>
      <c r="D43" s="64">
        <f t="shared" si="1"/>
        <v>12.631578947368421</v>
      </c>
      <c r="E43" s="62">
        <f t="shared" si="5"/>
        <v>2.3027790434854074</v>
      </c>
      <c r="F43" s="57">
        <f t="shared" si="5"/>
        <v>9.2111161739416296</v>
      </c>
      <c r="G43" s="57">
        <f t="shared" si="5"/>
        <v>16.580009113094931</v>
      </c>
      <c r="H43" s="57">
        <f t="shared" si="5"/>
        <v>22.106678817459912</v>
      </c>
      <c r="I43" s="58">
        <f t="shared" si="2"/>
        <v>50.200583147981881</v>
      </c>
      <c r="J43" s="32">
        <f>'WTG Yield Wake'!I39*8760/100</f>
        <v>6.2195999999999989</v>
      </c>
      <c r="K43" s="107">
        <f t="shared" si="3"/>
        <v>0.31222754694718807</v>
      </c>
    </row>
    <row r="44" spans="1:13" ht="13.5" x14ac:dyDescent="0.25">
      <c r="B44" s="20">
        <v>26.5</v>
      </c>
      <c r="C44" s="59">
        <f>'WTG Yield Wake'!D40</f>
        <v>8.7999999999999989</v>
      </c>
      <c r="D44" s="64">
        <f t="shared" si="1"/>
        <v>9.2631578947368407</v>
      </c>
      <c r="E44" s="62">
        <f t="shared" si="5"/>
        <v>1.2383833967188189</v>
      </c>
      <c r="F44" s="57">
        <f t="shared" si="5"/>
        <v>4.9535335868752757</v>
      </c>
      <c r="G44" s="57">
        <f t="shared" si="5"/>
        <v>8.9163604563754948</v>
      </c>
      <c r="H44" s="57">
        <f t="shared" si="5"/>
        <v>11.888480608500663</v>
      </c>
      <c r="I44" s="58">
        <f t="shared" si="2"/>
        <v>26.996758048470252</v>
      </c>
      <c r="J44" s="32">
        <f>'WTG Yield Wake'!I40*8760/100</f>
        <v>3.4163999999999999</v>
      </c>
      <c r="K44" s="107">
        <f t="shared" si="3"/>
        <v>9.2231724196793763E-2</v>
      </c>
    </row>
    <row r="45" spans="1:13" ht="13.5" x14ac:dyDescent="0.25">
      <c r="B45" s="20">
        <v>27.5</v>
      </c>
      <c r="C45" s="59">
        <f>'WTG Yield Wake'!D41</f>
        <v>5.6</v>
      </c>
      <c r="D45" s="64">
        <f t="shared" si="1"/>
        <v>5.8947368421052628</v>
      </c>
      <c r="E45" s="62">
        <f t="shared" si="5"/>
        <v>0.50149410280348861</v>
      </c>
      <c r="F45" s="57">
        <f t="shared" si="5"/>
        <v>2.0059764112139544</v>
      </c>
      <c r="G45" s="57">
        <f t="shared" si="5"/>
        <v>3.6107575401851175</v>
      </c>
      <c r="H45" s="57">
        <f t="shared" si="5"/>
        <v>4.8143433869134915</v>
      </c>
      <c r="I45" s="58">
        <f t="shared" si="2"/>
        <v>10.932571441116053</v>
      </c>
      <c r="J45" s="32">
        <f>'WTG Yield Wake'!I41*8760/100</f>
        <v>2.3652000000000002</v>
      </c>
      <c r="K45" s="107">
        <f t="shared" si="3"/>
        <v>2.5857717972527693E-2</v>
      </c>
    </row>
    <row r="46" spans="1:13" ht="14.25" thickBot="1" x14ac:dyDescent="0.3">
      <c r="B46" s="25">
        <v>28.5</v>
      </c>
      <c r="C46" s="60">
        <f>'WTG Yield Wake'!D42</f>
        <v>0</v>
      </c>
      <c r="D46" s="65">
        <f>C46/0.95</f>
        <v>0</v>
      </c>
      <c r="E46" s="73">
        <f t="shared" si="5"/>
        <v>0</v>
      </c>
      <c r="F46" s="74">
        <f t="shared" si="5"/>
        <v>0</v>
      </c>
      <c r="G46" s="74">
        <f t="shared" si="5"/>
        <v>0</v>
      </c>
      <c r="H46" s="74">
        <f t="shared" si="5"/>
        <v>0</v>
      </c>
      <c r="I46" s="53">
        <f t="shared" si="2"/>
        <v>0</v>
      </c>
      <c r="J46" s="37">
        <v>1</v>
      </c>
      <c r="K46" s="108">
        <f t="shared" si="3"/>
        <v>0</v>
      </c>
    </row>
    <row r="47" spans="1:13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79">
        <f>SUM(J18:J46)</f>
        <v>8759.3080000000009</v>
      </c>
      <c r="K47" s="76"/>
      <c r="L47" s="3" t="s">
        <v>55</v>
      </c>
    </row>
    <row r="48" spans="1:13" ht="14.25" thickBot="1" x14ac:dyDescent="0.3">
      <c r="A48" s="9"/>
      <c r="B48" s="3" t="s">
        <v>60</v>
      </c>
      <c r="C48" s="3"/>
      <c r="D48" s="3"/>
      <c r="E48" s="3"/>
      <c r="F48" s="3"/>
      <c r="G48" s="3"/>
      <c r="H48" s="3"/>
      <c r="I48" s="3"/>
      <c r="J48" s="77"/>
      <c r="K48" s="78">
        <f>SUM(K18:K47)</f>
        <v>559.81097426926601</v>
      </c>
      <c r="L48" s="3" t="s">
        <v>28</v>
      </c>
      <c r="M48" s="1"/>
    </row>
    <row r="49" spans="1:13" ht="13.5" x14ac:dyDescent="0.25">
      <c r="A49" s="9"/>
      <c r="B49" s="3" t="s">
        <v>61</v>
      </c>
      <c r="C49" s="3"/>
      <c r="D49" s="3"/>
      <c r="E49" s="3"/>
      <c r="F49" s="3"/>
      <c r="G49" s="3"/>
      <c r="H49" s="3"/>
      <c r="I49" s="3"/>
      <c r="J49" s="77"/>
      <c r="K49" s="84">
        <f>'WTG Yield Wake'!J43*4</f>
        <v>395260.31275559997</v>
      </c>
      <c r="L49" s="3" t="s">
        <v>28</v>
      </c>
      <c r="M49" s="1"/>
    </row>
    <row r="50" spans="1:13" ht="14.25" thickBot="1" x14ac:dyDescent="0.3">
      <c r="A50" s="9"/>
      <c r="B50" s="3" t="s">
        <v>64</v>
      </c>
      <c r="C50" s="3"/>
      <c r="D50" s="3"/>
      <c r="E50" s="3"/>
      <c r="F50" s="3"/>
      <c r="G50" s="3"/>
      <c r="H50" s="3"/>
      <c r="I50" s="3"/>
      <c r="J50" s="77"/>
      <c r="K50" s="85">
        <f>(K48/K49)</f>
        <v>1.4163095970007294E-3</v>
      </c>
      <c r="L50" s="3" t="s">
        <v>51</v>
      </c>
    </row>
    <row r="51" spans="1:13" x14ac:dyDescent="0.2">
      <c r="J51" s="33"/>
    </row>
    <row r="52" spans="1:13" x14ac:dyDescent="0.2">
      <c r="J52" s="28"/>
    </row>
    <row r="53" spans="1:13" x14ac:dyDescent="0.2">
      <c r="J53" s="28"/>
    </row>
    <row r="54" spans="1:13" x14ac:dyDescent="0.2">
      <c r="J54" s="28"/>
    </row>
    <row r="55" spans="1:13" x14ac:dyDescent="0.2">
      <c r="J55" s="28"/>
    </row>
    <row r="56" spans="1:13" x14ac:dyDescent="0.2">
      <c r="J56" s="28"/>
    </row>
    <row r="57" spans="1:13" x14ac:dyDescent="0.2">
      <c r="J57" s="28"/>
    </row>
    <row r="58" spans="1:13" x14ac:dyDescent="0.2">
      <c r="J58" s="28"/>
    </row>
    <row r="59" spans="1:13" x14ac:dyDescent="0.2">
      <c r="J59" s="28"/>
    </row>
    <row r="60" spans="1:13" x14ac:dyDescent="0.2">
      <c r="J60" s="28"/>
    </row>
    <row r="61" spans="1:13" x14ac:dyDescent="0.2">
      <c r="J61" s="28"/>
    </row>
    <row r="62" spans="1:13" x14ac:dyDescent="0.2">
      <c r="J62" s="28"/>
    </row>
    <row r="63" spans="1:13" x14ac:dyDescent="0.2">
      <c r="J63" s="28"/>
    </row>
    <row r="64" spans="1:13" x14ac:dyDescent="0.2">
      <c r="J64" s="28"/>
    </row>
    <row r="65" spans="10:10" x14ac:dyDescent="0.2">
      <c r="J65" s="28"/>
    </row>
    <row r="66" spans="10:10" x14ac:dyDescent="0.2">
      <c r="J66" s="28"/>
    </row>
    <row r="67" spans="10:10" x14ac:dyDescent="0.2">
      <c r="J67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WTG Yield Wake</vt:lpstr>
      <vt:lpstr>IAC</vt:lpstr>
      <vt:lpstr>IAC_2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Gibescu</dc:creator>
  <cp:lastModifiedBy>Alami</cp:lastModifiedBy>
  <dcterms:created xsi:type="dcterms:W3CDTF">2006-12-21T22:03:18Z</dcterms:created>
  <dcterms:modified xsi:type="dcterms:W3CDTF">2025-10-15T19:33:01Z</dcterms:modified>
</cp:coreProperties>
</file>