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cts\Aqualinc\projects\APP\Auto-groundwater-data-processor\"/>
    </mc:Choice>
  </mc:AlternateContent>
  <xr:revisionPtr revIDLastSave="0" documentId="13_ncr:1_{D648B838-A52A-429A-ADFA-D0CC235790B2}" xr6:coauthVersionLast="45" xr6:coauthVersionMax="45" xr10:uidLastSave="{00000000-0000-0000-0000-000000000000}"/>
  <bookViews>
    <workbookView xWindow="-18585" yWindow="4365" windowWidth="17280" windowHeight="8970" xr2:uid="{00000000-000D-0000-FFFF-FFFF00000000}"/>
  </bookViews>
  <sheets>
    <sheet name="TIM K" sheetId="12" r:id="rId1"/>
    <sheet name="APP2020" sheetId="9" r:id="rId2"/>
    <sheet name="Notes" sheetId="10" r:id="rId3"/>
  </sheets>
  <definedNames>
    <definedName name="_xlnm._FilterDatabase" localSheetId="1" hidden="1">'APP2020'!$B$1:$AB$1</definedName>
    <definedName name="_xlnm._FilterDatabase" localSheetId="0" hidden="1">'TIM K'!$B$1:$AB$1</definedName>
    <definedName name="_xlnm.Print_Titles" localSheetId="1">'APP2020'!$1:$1</definedName>
    <definedName name="_xlnm.Print_Titles" localSheetId="0">'TIM K'!$1:$1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0" i="12" l="1"/>
  <c r="M239" i="12"/>
  <c r="L239" i="12"/>
  <c r="M237" i="12"/>
  <c r="L237" i="12"/>
  <c r="M236" i="12"/>
  <c r="L236" i="12"/>
  <c r="M235" i="12"/>
  <c r="L235" i="12"/>
  <c r="M234" i="12"/>
  <c r="L234" i="12"/>
  <c r="M230" i="12"/>
  <c r="L230" i="12"/>
  <c r="M220" i="12"/>
  <c r="L220" i="12"/>
  <c r="M211" i="12"/>
  <c r="L211" i="12"/>
  <c r="M207" i="12"/>
  <c r="L207" i="12"/>
  <c r="M205" i="12"/>
  <c r="L205" i="12"/>
  <c r="M204" i="12"/>
  <c r="L204" i="12"/>
  <c r="M203" i="12"/>
  <c r="L203" i="12"/>
  <c r="M199" i="12"/>
  <c r="L199" i="12"/>
  <c r="M196" i="12"/>
  <c r="L196" i="12"/>
  <c r="M195" i="12"/>
  <c r="L195" i="12"/>
  <c r="M194" i="12"/>
  <c r="L194" i="12"/>
  <c r="M190" i="12"/>
  <c r="L190" i="12"/>
  <c r="M189" i="12"/>
  <c r="L189" i="12"/>
  <c r="M187" i="12"/>
  <c r="L187" i="12"/>
  <c r="M186" i="12"/>
  <c r="L186" i="12"/>
  <c r="M184" i="12"/>
  <c r="L184" i="12"/>
  <c r="M176" i="12"/>
  <c r="L176" i="12"/>
  <c r="M172" i="12"/>
  <c r="L172" i="12"/>
  <c r="M171" i="12"/>
  <c r="M169" i="12"/>
  <c r="L169" i="12"/>
  <c r="M167" i="12"/>
  <c r="L167" i="12"/>
  <c r="M163" i="12"/>
  <c r="L163" i="12"/>
  <c r="M162" i="12"/>
  <c r="L162" i="12"/>
  <c r="M160" i="12"/>
  <c r="L160" i="12"/>
  <c r="M157" i="12"/>
  <c r="L157" i="12"/>
  <c r="A157" i="12"/>
  <c r="M156" i="12"/>
  <c r="L156" i="12"/>
  <c r="M154" i="12"/>
  <c r="L154" i="12"/>
  <c r="M146" i="12"/>
  <c r="L146" i="12"/>
  <c r="M143" i="12"/>
  <c r="L143" i="12"/>
  <c r="M140" i="12"/>
  <c r="L140" i="12"/>
  <c r="M130" i="12"/>
  <c r="L130" i="12"/>
  <c r="M128" i="12"/>
  <c r="L128" i="12"/>
  <c r="M126" i="12"/>
  <c r="L126" i="12"/>
  <c r="M124" i="12"/>
  <c r="L124" i="12"/>
  <c r="M122" i="12"/>
  <c r="L122" i="12"/>
  <c r="M121" i="12"/>
  <c r="L121" i="12"/>
  <c r="M108" i="12"/>
  <c r="L108" i="12"/>
  <c r="M106" i="12"/>
  <c r="L106" i="12"/>
  <c r="M105" i="12"/>
  <c r="L105" i="12"/>
  <c r="M103" i="12"/>
  <c r="L103" i="12"/>
  <c r="M94" i="12"/>
  <c r="L94" i="12"/>
  <c r="M93" i="12"/>
  <c r="L93" i="12"/>
  <c r="M89" i="12"/>
  <c r="L89" i="12"/>
  <c r="L85" i="12"/>
  <c r="M80" i="12"/>
  <c r="L80" i="12"/>
  <c r="M76" i="12"/>
  <c r="L76" i="12"/>
  <c r="M73" i="12"/>
  <c r="L73" i="12"/>
  <c r="M72" i="12"/>
  <c r="L72" i="12"/>
  <c r="M63" i="12"/>
  <c r="L63" i="12"/>
  <c r="M57" i="12"/>
  <c r="L57" i="12"/>
  <c r="M55" i="12"/>
  <c r="L55" i="12"/>
  <c r="M54" i="12"/>
  <c r="L54" i="12"/>
  <c r="M50" i="12"/>
  <c r="L50" i="12"/>
  <c r="M47" i="12"/>
  <c r="L47" i="12"/>
  <c r="M46" i="12"/>
  <c r="L46" i="12"/>
  <c r="M45" i="12"/>
  <c r="L45" i="12"/>
  <c r="M42" i="12"/>
  <c r="L42" i="12"/>
  <c r="M41" i="12"/>
  <c r="L41" i="12"/>
  <c r="M40" i="12"/>
  <c r="L40" i="12"/>
  <c r="M39" i="12"/>
  <c r="L39" i="12"/>
  <c r="M38" i="12"/>
  <c r="L38" i="12"/>
  <c r="M35" i="12"/>
  <c r="L35" i="12"/>
  <c r="M34" i="12"/>
  <c r="L34" i="12"/>
  <c r="A34" i="12"/>
  <c r="M30" i="12"/>
  <c r="L30" i="12"/>
  <c r="M29" i="12"/>
  <c r="L29" i="12"/>
  <c r="M28" i="12"/>
  <c r="L28" i="12"/>
  <c r="M26" i="12"/>
  <c r="L26" i="12"/>
  <c r="M25" i="12"/>
  <c r="L25" i="12"/>
  <c r="M24" i="12"/>
  <c r="L24" i="12"/>
  <c r="M22" i="12"/>
  <c r="L22" i="12"/>
  <c r="M16" i="12"/>
  <c r="L16" i="12"/>
  <c r="M14" i="12"/>
  <c r="L14" i="12"/>
  <c r="M2" i="12"/>
  <c r="L2" i="12"/>
  <c r="B3" i="10" l="1"/>
  <c r="M128" i="9" l="1"/>
  <c r="L128" i="9"/>
  <c r="M50" i="9"/>
  <c r="L50" i="9"/>
  <c r="M45" i="9"/>
  <c r="L45" i="9"/>
  <c r="M162" i="9"/>
  <c r="L162" i="9"/>
  <c r="M184" i="9"/>
  <c r="L184" i="9"/>
  <c r="M203" i="9"/>
  <c r="L203" i="9"/>
  <c r="M2" i="9"/>
  <c r="L2" i="9"/>
  <c r="M220" i="9"/>
  <c r="L220" i="9"/>
  <c r="M121" i="9"/>
  <c r="L121" i="9"/>
  <c r="M204" i="9"/>
  <c r="L204" i="9"/>
  <c r="L124" i="9"/>
  <c r="M124" i="9"/>
  <c r="M29" i="9"/>
  <c r="L29" i="9"/>
  <c r="M143" i="9"/>
  <c r="L143" i="9"/>
  <c r="M57" i="9"/>
  <c r="L57" i="9"/>
  <c r="M207" i="9" l="1"/>
  <c r="L207" i="9"/>
  <c r="M42" i="9"/>
  <c r="L42" i="9"/>
  <c r="M26" i="9"/>
  <c r="L26" i="9"/>
  <c r="M25" i="9"/>
  <c r="L25" i="9"/>
  <c r="M54" i="9"/>
  <c r="L54" i="9"/>
  <c r="M24" i="9"/>
  <c r="L24" i="9"/>
  <c r="M80" i="9"/>
  <c r="L80" i="9"/>
  <c r="M167" i="9"/>
  <c r="L167" i="9"/>
  <c r="M189" i="9"/>
  <c r="L189" i="9"/>
  <c r="M72" i="9"/>
  <c r="M73" i="9"/>
  <c r="L72" i="9"/>
  <c r="M105" i="9"/>
  <c r="L105" i="9"/>
  <c r="M230" i="9"/>
  <c r="L230" i="9"/>
  <c r="L73" i="9"/>
  <c r="M35" i="9"/>
  <c r="L35" i="9"/>
  <c r="M34" i="9"/>
  <c r="L34" i="9"/>
  <c r="M190" i="9"/>
  <c r="L190" i="9"/>
  <c r="M146" i="9"/>
  <c r="L146" i="9"/>
  <c r="M239" i="9"/>
  <c r="L239" i="9"/>
  <c r="M93" i="9"/>
  <c r="L93" i="9"/>
  <c r="M94" i="9"/>
  <c r="L94" i="9"/>
  <c r="M236" i="9"/>
  <c r="L236" i="9"/>
  <c r="M237" i="9"/>
  <c r="L237" i="9"/>
  <c r="M169" i="9"/>
  <c r="L169" i="9"/>
  <c r="M211" i="9"/>
  <c r="L211" i="9"/>
  <c r="M103" i="9"/>
  <c r="L103" i="9"/>
  <c r="M196" i="9" l="1"/>
  <c r="L196" i="9"/>
  <c r="M130" i="9"/>
  <c r="L130" i="9"/>
  <c r="M16" i="9"/>
  <c r="L16" i="9"/>
  <c r="M122" i="9"/>
  <c r="L122" i="9"/>
  <c r="M14" i="9"/>
  <c r="L14" i="9"/>
  <c r="M39" i="9"/>
  <c r="L39" i="9"/>
  <c r="M205" i="9"/>
  <c r="L205" i="9"/>
  <c r="M163" i="9"/>
  <c r="L163" i="9"/>
  <c r="M199" i="9"/>
  <c r="L199" i="9"/>
  <c r="M38" i="9"/>
  <c r="L38" i="9"/>
  <c r="M63" i="9"/>
  <c r="L63" i="9"/>
  <c r="M235" i="9"/>
  <c r="L235" i="9"/>
  <c r="M40" i="9"/>
  <c r="L40" i="9"/>
  <c r="M89" i="9"/>
  <c r="L89" i="9"/>
  <c r="M187" i="9"/>
  <c r="L187" i="9"/>
  <c r="M30" i="9"/>
  <c r="L30" i="9"/>
  <c r="M171" i="9"/>
  <c r="M76" i="9"/>
  <c r="L76" i="9"/>
  <c r="M41" i="9" l="1"/>
  <c r="L41" i="9"/>
  <c r="M46" i="9"/>
  <c r="L46" i="9"/>
  <c r="M140" i="9"/>
  <c r="L140" i="9"/>
  <c r="M22" i="9"/>
  <c r="L22" i="9"/>
  <c r="M157" i="9"/>
  <c r="L157" i="9"/>
  <c r="M176" i="9"/>
  <c r="L176" i="9"/>
  <c r="M108" i="9"/>
  <c r="L108" i="9"/>
  <c r="M186" i="9"/>
  <c r="L186" i="9"/>
  <c r="M234" i="9"/>
  <c r="L234" i="9"/>
  <c r="M172" i="9"/>
  <c r="L172" i="9"/>
  <c r="M106" i="9"/>
  <c r="L106" i="9"/>
  <c r="M154" i="9"/>
  <c r="L154" i="9"/>
  <c r="M156" i="9"/>
  <c r="L156" i="9"/>
  <c r="M126" i="9"/>
  <c r="L126" i="9"/>
  <c r="M195" i="9"/>
  <c r="L195" i="9"/>
  <c r="M160" i="9"/>
  <c r="L160" i="9"/>
  <c r="M47" i="9"/>
  <c r="L47" i="9"/>
  <c r="M194" i="9"/>
  <c r="L194" i="9"/>
  <c r="M28" i="9"/>
  <c r="L28" i="9"/>
  <c r="M55" i="9" l="1"/>
  <c r="L55" i="9"/>
  <c r="H270" i="9" l="1"/>
  <c r="L85" i="9" l="1"/>
  <c r="A157" i="9" l="1"/>
  <c r="A34" i="9"/>
</calcChain>
</file>

<file path=xl/sharedStrings.xml><?xml version="1.0" encoding="utf-8"?>
<sst xmlns="http://schemas.openxmlformats.org/spreadsheetml/2006/main" count="4626" uniqueCount="1217">
  <si>
    <t>Date</t>
  </si>
  <si>
    <t>Condition</t>
  </si>
  <si>
    <t>INST_TT61077</t>
  </si>
  <si>
    <t>TT903_SPN-POD03-BH001</t>
  </si>
  <si>
    <t>Good</t>
  </si>
  <si>
    <t>Poor</t>
  </si>
  <si>
    <t>Average</t>
  </si>
  <si>
    <t>INST_TT10074</t>
  </si>
  <si>
    <t>TT886_RCH-POD03-BH003</t>
  </si>
  <si>
    <t>INST_TT1740</t>
  </si>
  <si>
    <t>TT727_BH-CBD-07</t>
  </si>
  <si>
    <t>Destroyed</t>
  </si>
  <si>
    <t>APP No.</t>
  </si>
  <si>
    <t>LL serial no.</t>
  </si>
  <si>
    <t>Zone</t>
  </si>
  <si>
    <t>Address</t>
  </si>
  <si>
    <t>Battery Level</t>
  </si>
  <si>
    <t>0032062915</t>
  </si>
  <si>
    <t>Zone 1</t>
  </si>
  <si>
    <t>In berm outside 9 Quantock Place</t>
  </si>
  <si>
    <t>0032063861</t>
  </si>
  <si>
    <t>In reserve next to 127 Bridge Street</t>
  </si>
  <si>
    <t>0032063319</t>
  </si>
  <si>
    <t>In berm outside 11 Cuffs Road</t>
  </si>
  <si>
    <t>0032063873</t>
  </si>
  <si>
    <t>In berm outside 410 Bower Avenue</t>
  </si>
  <si>
    <t>0032062741</t>
  </si>
  <si>
    <t>In berm outside 43 Riley Crescent</t>
  </si>
  <si>
    <t>0032063294</t>
  </si>
  <si>
    <t>Zone 2</t>
  </si>
  <si>
    <t>In berm outside 16 Holmwood Road</t>
  </si>
  <si>
    <t>0032063831</t>
  </si>
  <si>
    <t>In berm cnr Garden Rd &amp; Wairarapa Tce</t>
  </si>
  <si>
    <t>0032063308</t>
  </si>
  <si>
    <t>In berm outside 57 Blue Gum Place</t>
  </si>
  <si>
    <t>0032061377</t>
  </si>
  <si>
    <t>In berm outside 16 Sandy Avenue</t>
  </si>
  <si>
    <t>0032061856</t>
  </si>
  <si>
    <t>In berm opposite 108a Retreat Road</t>
  </si>
  <si>
    <t>0032063829</t>
  </si>
  <si>
    <t>In berm outside 37 Strowan Road</t>
  </si>
  <si>
    <t>0032061845</t>
  </si>
  <si>
    <t>Next to Avon River opposite Parkbridge Apartments</t>
  </si>
  <si>
    <t>0032062039</t>
  </si>
  <si>
    <t>In berm outside 7 Harvey Terrace</t>
  </si>
  <si>
    <t>0032062060</t>
  </si>
  <si>
    <t>Kilmore Street side of Cranmore square</t>
  </si>
  <si>
    <t>0032062042</t>
  </si>
  <si>
    <t>Corner Kilmore Street and Barbados Street</t>
  </si>
  <si>
    <t>0032063812</t>
  </si>
  <si>
    <t>In berm opposite 54b Rolleston Avenue</t>
  </si>
  <si>
    <t>Destroyed prior to Feb 2017 Data Harvest</t>
  </si>
  <si>
    <t>0032032747</t>
  </si>
  <si>
    <t>Burke St. Opposite Trade Tools, in garden.</t>
  </si>
  <si>
    <t>0032022058</t>
  </si>
  <si>
    <t>0032063303</t>
  </si>
  <si>
    <t>Outside 8 Barnabas Lane</t>
  </si>
  <si>
    <t>0032061851</t>
  </si>
  <si>
    <t>Opposite 123 Eastern Tce, in berm</t>
  </si>
  <si>
    <t>toby full of peat, peat odour</t>
  </si>
  <si>
    <t>0032063291</t>
  </si>
  <si>
    <t>In berm opposite 70 Quinns Rd</t>
  </si>
  <si>
    <t>0032063860</t>
  </si>
  <si>
    <t>In berm outside 12a Lamorna Road</t>
  </si>
  <si>
    <t>0032063816</t>
  </si>
  <si>
    <t>In berm outside 70 Broadhaven Drive</t>
  </si>
  <si>
    <t>0032063856</t>
  </si>
  <si>
    <t>In shoulder outside 3 Croft Lane</t>
  </si>
  <si>
    <t>0032063857</t>
  </si>
  <si>
    <t>In shoulder outside 9 Queenspark Drive</t>
  </si>
  <si>
    <t>0032063880</t>
  </si>
  <si>
    <t>In shoulder outside 22a Ingrid Street</t>
  </si>
  <si>
    <t>0032062026</t>
  </si>
  <si>
    <t>In berm outside 41 Donnington Street</t>
  </si>
  <si>
    <t>0032061842</t>
  </si>
  <si>
    <t>NO LEVEL LOGGER</t>
  </si>
  <si>
    <t>0032063292</t>
  </si>
  <si>
    <t>In shoulder outside 12A Spurway Pl</t>
  </si>
  <si>
    <t>0032063817</t>
  </si>
  <si>
    <t>In berm outside 4 Huron Street</t>
  </si>
  <si>
    <t>0032063297</t>
  </si>
  <si>
    <t>In berm outside 84 Mersey St</t>
  </si>
  <si>
    <t>0032062732</t>
  </si>
  <si>
    <t>In berm outside 70 Purchas Street</t>
  </si>
  <si>
    <t>artisian? Immediate area around toby is very boggy</t>
  </si>
  <si>
    <t>0032061840</t>
  </si>
  <si>
    <t>In berm outside 36 Geraldine Street</t>
  </si>
  <si>
    <t>003206726</t>
  </si>
  <si>
    <t>In footpath outside 435 Barbados St</t>
  </si>
  <si>
    <t>0032062903</t>
  </si>
  <si>
    <t>In shoulder outside 36 Briarmont Street</t>
  </si>
  <si>
    <t>0032063846</t>
  </si>
  <si>
    <t>In shoulder outside 96 Bickerton Street</t>
  </si>
  <si>
    <t>Data downloaded from 10/09 to 2/11 but not deleted/restarted</t>
  </si>
  <si>
    <t>0032062744</t>
  </si>
  <si>
    <t>In shoulder outside 8 Poulton Ave</t>
  </si>
  <si>
    <t>0032062706</t>
  </si>
  <si>
    <t>In berm outside 45 Heywood Terrace</t>
  </si>
  <si>
    <t>0032062735</t>
  </si>
  <si>
    <t>In berm outside 51 Dudley Street</t>
  </si>
  <si>
    <t>Found and data harvested 28/6/2019</t>
  </si>
  <si>
    <t>0032063825</t>
  </si>
  <si>
    <t>In berm outside 82 Riselaw St</t>
  </si>
  <si>
    <t>0032063867</t>
  </si>
  <si>
    <t>In shoulder outside 18 Branksome Place</t>
  </si>
  <si>
    <t>0032062023</t>
  </si>
  <si>
    <t>In shoulder outside 25 Royal Park Drive</t>
  </si>
  <si>
    <t>0032063850</t>
  </si>
  <si>
    <t>In shoulder outside 1 Puhara Avenue</t>
  </si>
  <si>
    <t>0032063868</t>
  </si>
  <si>
    <t>In shoulder outside 77 Travis County Drive</t>
  </si>
  <si>
    <t>0032063843</t>
  </si>
  <si>
    <t>In berm outside 64 Emmett St</t>
  </si>
  <si>
    <t>0032063813</t>
  </si>
  <si>
    <t>In shoulder outside 7 Netley Place</t>
  </si>
  <si>
    <t>0032063814</t>
  </si>
  <si>
    <t>In shoulder outside 12 Binstead Place</t>
  </si>
  <si>
    <t>0032062898</t>
  </si>
  <si>
    <t>In berm outside 6 Winnipeg Place</t>
  </si>
  <si>
    <t>0032063883</t>
  </si>
  <si>
    <t>In carpark outside 3 Heriott Place</t>
  </si>
  <si>
    <t>0032063284</t>
  </si>
  <si>
    <t>In berm outside 106 Totara St</t>
  </si>
  <si>
    <t>0032063821</t>
  </si>
  <si>
    <t>In footpath outside 40 Somme Street</t>
  </si>
  <si>
    <t>0032063288</t>
  </si>
  <si>
    <t>In footpath outside 12 Coles Place</t>
  </si>
  <si>
    <t>0032063872</t>
  </si>
  <si>
    <t>In shoulder outside 61 Forest Drive</t>
  </si>
  <si>
    <t>0032063844</t>
  </si>
  <si>
    <t>In berm outside 150 Beach Road</t>
  </si>
  <si>
    <t>0032062705</t>
  </si>
  <si>
    <t>In footpath outside 39 Cumnor Terrace</t>
  </si>
  <si>
    <t>0032062948</t>
  </si>
  <si>
    <t>In shoulder outside 197 Weston Road</t>
  </si>
  <si>
    <t>Listed as destroyed prior to Aug 2018, but data retrieved in July 2019</t>
  </si>
  <si>
    <t>0032062984</t>
  </si>
  <si>
    <t>In berm outside 118 Knowles Street</t>
  </si>
  <si>
    <t>0032063321</t>
  </si>
  <si>
    <t>In shoulder outside 52 Mersey St</t>
  </si>
  <si>
    <t>0032063878</t>
  </si>
  <si>
    <t>In shoulder outside 4 Chardale Street</t>
  </si>
  <si>
    <t>0032063858</t>
  </si>
  <si>
    <t>In shoulder outside 7 Carlsen Street</t>
  </si>
  <si>
    <t>0032062734</t>
  </si>
  <si>
    <t>In shoulder outside 1 Slater Street</t>
  </si>
  <si>
    <t>partially sealed overn needs repair, photo taken</t>
  </si>
  <si>
    <t>0032062985</t>
  </si>
  <si>
    <t>In berm outside 100 Warden St</t>
  </si>
  <si>
    <t>0032063809</t>
  </si>
  <si>
    <t>In shoulder outside 68 Grafton Street</t>
  </si>
  <si>
    <t>0032063318</t>
  </si>
  <si>
    <t>In shoulder outside 8 Coopers Rd</t>
  </si>
  <si>
    <t>0032063317</t>
  </si>
  <si>
    <t>In shoulder outside 59 Fendalton Rd</t>
  </si>
  <si>
    <t>0032062923</t>
  </si>
  <si>
    <t>In shoulder outside Rockinghorse Road</t>
  </si>
  <si>
    <t>0032063806</t>
  </si>
  <si>
    <t>In shoulder outside 69 Stevens Street</t>
  </si>
  <si>
    <t>0032062936</t>
  </si>
  <si>
    <t>In berm outside 27 Kotare St</t>
  </si>
  <si>
    <t>0032063281</t>
  </si>
  <si>
    <t>In berm outside 40 Clissold Street</t>
  </si>
  <si>
    <t>0032063852</t>
  </si>
  <si>
    <t>In shoulder outside 1a Vivian Street</t>
  </si>
  <si>
    <t>comunication error. No direct read cable attached(attached by wire). Try optical reader</t>
  </si>
  <si>
    <t>0032063855</t>
  </si>
  <si>
    <t>Zone 3</t>
  </si>
  <si>
    <t>In shoulder outside 36 Feldwick Drive</t>
  </si>
  <si>
    <t>0032062913</t>
  </si>
  <si>
    <t>In shoulder outside 72a Wesley Street</t>
  </si>
  <si>
    <t>0032063845</t>
  </si>
  <si>
    <t>In shoulder outside 16 Barnes Road</t>
  </si>
  <si>
    <t>In live lane. Will need TC. Toby lid appears jammed on, may need sledge hammer to break off, bring spear lid (trianlge)</t>
  </si>
  <si>
    <t>0032062716</t>
  </si>
  <si>
    <t>In berm outside 73 St martins Rd</t>
  </si>
  <si>
    <t>0032063298</t>
  </si>
  <si>
    <t>In driveway of 46 Mayfield St</t>
  </si>
  <si>
    <t>0032062901</t>
  </si>
  <si>
    <t>In shoulder outside 7 Newport Street</t>
  </si>
  <si>
    <t>0032063847</t>
  </si>
  <si>
    <t>In shoulder outside 4 Colac Street</t>
  </si>
  <si>
    <t>0032063871</t>
  </si>
  <si>
    <t>In berm outside 46 Orrick Crescent</t>
  </si>
  <si>
    <t>0032063874</t>
  </si>
  <si>
    <t>In shoulder outside 6 Forest Drive</t>
  </si>
  <si>
    <t>0032062047</t>
  </si>
  <si>
    <t>In shoulder outside 32 Riley Crescent</t>
  </si>
  <si>
    <t>0032062718</t>
  </si>
  <si>
    <t>In berm outside Kowhai Tce</t>
  </si>
  <si>
    <t>0032062937</t>
  </si>
  <si>
    <t>In shoulder outside 20 St Lukes Street</t>
  </si>
  <si>
    <t>0032063886</t>
  </si>
  <si>
    <t>In berm outside 34 Bottle Lake Drive</t>
  </si>
  <si>
    <t>0032063842</t>
  </si>
  <si>
    <t>In footpath cnr Wroxton Tce &amp; Clifford Ave</t>
  </si>
  <si>
    <t>0032063835</t>
  </si>
  <si>
    <t>In footpath outside 15 St Andrews Square</t>
  </si>
  <si>
    <t>0032062935</t>
  </si>
  <si>
    <t>In berm outside 6 Claymore Street</t>
  </si>
  <si>
    <t>0032062918</t>
  </si>
  <si>
    <t>Driveway in front of 89 Halswell Rd</t>
  </si>
  <si>
    <t>0032062728</t>
  </si>
  <si>
    <t>In shoulder outside 16 Chancellor Street</t>
  </si>
  <si>
    <t>003206271</t>
  </si>
  <si>
    <t>In should outside 18 Watford Street</t>
  </si>
  <si>
    <t>003262739</t>
  </si>
  <si>
    <t>In berm outside Leinster Road</t>
  </si>
  <si>
    <t>0032061849</t>
  </si>
  <si>
    <t>11 Cecil Place, in road</t>
  </si>
  <si>
    <t>0032063854</t>
  </si>
  <si>
    <t>In shoulder outside 37 Cornwall Street</t>
  </si>
  <si>
    <t>0032063305</t>
  </si>
  <si>
    <t>In shoulder outside 27 Oxley St</t>
  </si>
  <si>
    <t>0032063840</t>
  </si>
  <si>
    <t>In shoulder outside 80 Andover St</t>
  </si>
  <si>
    <t>0032063320</t>
  </si>
  <si>
    <t>In shoulder outside 77 Winchester Street</t>
  </si>
  <si>
    <t>0032062740</t>
  </si>
  <si>
    <t>In shoulder outside 31b Merivale Lane</t>
  </si>
  <si>
    <t>0032063807</t>
  </si>
  <si>
    <t>In shoulder outside 144 Kerrs Road</t>
  </si>
  <si>
    <t>0032061850</t>
  </si>
  <si>
    <t>10 Goldsmith Place, in footpath</t>
  </si>
  <si>
    <t>0032063822</t>
  </si>
  <si>
    <t>In berm outside 36 Helmores Lane</t>
  </si>
  <si>
    <t>0032063302</t>
  </si>
  <si>
    <t>In shoulder outside 34 Rydal St</t>
  </si>
  <si>
    <t>003063810</t>
  </si>
  <si>
    <t>In shoulder outside 79a Gardiners Road</t>
  </si>
  <si>
    <t>0032061839</t>
  </si>
  <si>
    <t>In berm outside 14 Avalon St</t>
  </si>
  <si>
    <t>0032061858</t>
  </si>
  <si>
    <t>In berm outside 74 Patten Street</t>
  </si>
  <si>
    <t>memory full</t>
  </si>
  <si>
    <t>0032063848</t>
  </si>
  <si>
    <t>Inshoulder outside 26 Cass Street</t>
  </si>
  <si>
    <t>0032063830</t>
  </si>
  <si>
    <t>In shoulder outside 37 Tenby Place</t>
  </si>
  <si>
    <t>0032063296</t>
  </si>
  <si>
    <t>In berm outside 129 Mays Road - Tovendale Place side</t>
  </si>
  <si>
    <t>0032063833</t>
  </si>
  <si>
    <t>In shoulder outside 15 Bampton St</t>
  </si>
  <si>
    <t>needs toby lid, triangle</t>
  </si>
  <si>
    <t>0032063310</t>
  </si>
  <si>
    <t>In shoulder outside 13 Woodford Tce</t>
  </si>
  <si>
    <t>0032062719</t>
  </si>
  <si>
    <t>In shoulder outside 1a Earnlea Tce</t>
  </si>
  <si>
    <t>0032063853</t>
  </si>
  <si>
    <t>In berm outside 32a Prestons Road</t>
  </si>
  <si>
    <t>0032063797</t>
  </si>
  <si>
    <t>In shoulder outside 5 Aztec Place</t>
  </si>
  <si>
    <t>0032063823</t>
  </si>
  <si>
    <t>In footpath outside 30 Wyn St</t>
  </si>
  <si>
    <t>0032063881</t>
  </si>
  <si>
    <t>In shoulder outside 102 Barbour Street</t>
  </si>
  <si>
    <t>003062021</t>
  </si>
  <si>
    <t>In shoulder outside 22 Aintree Street</t>
  </si>
  <si>
    <t>0032063837</t>
  </si>
  <si>
    <t>In footpath outside 30 Patten Street</t>
  </si>
  <si>
    <t>0032063803</t>
  </si>
  <si>
    <t>In shoulder outside 12a Manuel Place</t>
  </si>
  <si>
    <t>0032063826</t>
  </si>
  <si>
    <t>In shoulder outside 14 Weston Road</t>
  </si>
  <si>
    <t>needs new toby lid (triangle)</t>
  </si>
  <si>
    <t>0032063832</t>
  </si>
  <si>
    <t>In berm outside 1 Upland Rd</t>
  </si>
  <si>
    <t>0032061855</t>
  </si>
  <si>
    <t>In shoulder outside 13 Manning Place</t>
  </si>
  <si>
    <t>0032063869</t>
  </si>
  <si>
    <t>In shoulder outside Chester Street East</t>
  </si>
  <si>
    <t>0032062037</t>
  </si>
  <si>
    <t>In berm corner of Hanmer Street &amp; Avonside Drive</t>
  </si>
  <si>
    <t>0032063887</t>
  </si>
  <si>
    <t>In shoulder outside 16 Englefield Road</t>
  </si>
  <si>
    <t>0032062933</t>
  </si>
  <si>
    <t>In shoulder opposite 361 Cambridge Terrace</t>
  </si>
  <si>
    <t>0032061848</t>
  </si>
  <si>
    <t>11 Austin St, in driveway</t>
  </si>
  <si>
    <t>0032063890</t>
  </si>
  <si>
    <t>In shoulder outside 169 Breezes Road</t>
  </si>
  <si>
    <t>0032063864</t>
  </si>
  <si>
    <t>In shoulder outside 8 Royal Court</t>
  </si>
  <si>
    <t>0032063819</t>
  </si>
  <si>
    <t>In shoulder outside 3 Snelling Place</t>
  </si>
  <si>
    <t>0032061844</t>
  </si>
  <si>
    <t>In shoulder outside 13 Salisbury Street</t>
  </si>
  <si>
    <t>0032062738</t>
  </si>
  <si>
    <t>In shoulder outside 325 Barbados Street</t>
  </si>
  <si>
    <t>0032063313</t>
  </si>
  <si>
    <t>In shoulder outside 13 Nutfield Lane</t>
  </si>
  <si>
    <t>0032063295</t>
  </si>
  <si>
    <t>In shoulder outside 29b Idris Road</t>
  </si>
  <si>
    <t>0032063289</t>
  </si>
  <si>
    <t>In road outside 12 Girvan St</t>
  </si>
  <si>
    <t>0032063293</t>
  </si>
  <si>
    <t>In shoulder outside 5 Northaw St</t>
  </si>
  <si>
    <t>0032063287</t>
  </si>
  <si>
    <t>In berm outside Waiwetu St</t>
  </si>
  <si>
    <t>0032062742</t>
  </si>
  <si>
    <t>In shoulder outside 44 Andover Street</t>
  </si>
  <si>
    <t>0032062979</t>
  </si>
  <si>
    <t>In shoulder outside Chapter Street</t>
  </si>
  <si>
    <t>0032063315</t>
  </si>
  <si>
    <t>In berm opposite 2 Bretts Rd</t>
  </si>
  <si>
    <t>0032062978</t>
  </si>
  <si>
    <t>In shoulder outside 28 McFaddens Road - Ketton Place side</t>
  </si>
  <si>
    <t>0032063875</t>
  </si>
  <si>
    <t>In shoulder outside 18 Emmett Street</t>
  </si>
  <si>
    <t>0032062056</t>
  </si>
  <si>
    <t>In shoulder outside 89 Barrington St</t>
  </si>
  <si>
    <t>0032063283</t>
  </si>
  <si>
    <t>In footpath outside 5 Yeovil Place</t>
  </si>
  <si>
    <t>0032062019</t>
  </si>
  <si>
    <t>In shoulder outside 240 Springfield Road</t>
  </si>
  <si>
    <t>Parked car</t>
  </si>
  <si>
    <t>0032063311</t>
  </si>
  <si>
    <t>In shoulder outside  61 Mayfield Ave</t>
  </si>
  <si>
    <t>0032063280</t>
  </si>
  <si>
    <t>In shoulder outside 248 Westminster St</t>
  </si>
  <si>
    <t>Artesian</t>
  </si>
  <si>
    <t>0032062972</t>
  </si>
  <si>
    <t>In shoulder outside 88 Sherborne St</t>
  </si>
  <si>
    <t>0032062731</t>
  </si>
  <si>
    <t xml:space="preserve">In shoulder on Purchas St outside 46 Sherborne St </t>
  </si>
  <si>
    <t>0032063828</t>
  </si>
  <si>
    <t>In berm outside 25 Plynlimon Rd</t>
  </si>
  <si>
    <t>0032063299</t>
  </si>
  <si>
    <t>In berm outside 12 Brookside Tce</t>
  </si>
  <si>
    <t>0032062905</t>
  </si>
  <si>
    <t>In shoulder outside Wai-Iti Tce</t>
  </si>
  <si>
    <t>0032062743</t>
  </si>
  <si>
    <t>In shoulder outside 112 Winchester Street</t>
  </si>
  <si>
    <t>0032063877</t>
  </si>
  <si>
    <t>Barrington Park</t>
  </si>
  <si>
    <t>0032062912</t>
  </si>
  <si>
    <t>In shoulder outside 74 Glandovey Rd</t>
  </si>
  <si>
    <t>needs toby lid (triangle), wasn't restarted last time</t>
  </si>
  <si>
    <t>0032062061</t>
  </si>
  <si>
    <t>Avondale Playground</t>
  </si>
  <si>
    <t>0032062045</t>
  </si>
  <si>
    <t>Ti Rakau Reserve</t>
  </si>
  <si>
    <t>0032063891</t>
  </si>
  <si>
    <t>Avondale Park</t>
  </si>
  <si>
    <t>0032063820</t>
  </si>
  <si>
    <t>Sabina Playground (45 Sabina St)</t>
  </si>
  <si>
    <t>0032063882</t>
  </si>
  <si>
    <t>In berm opposite 22 Rowan Avenue</t>
  </si>
  <si>
    <t>0032063876</t>
  </si>
  <si>
    <t>In berm outside 102 Rowses Road (Guernsey Street)</t>
  </si>
  <si>
    <t>brown sludge coming out of toby</t>
  </si>
  <si>
    <t>0032063796</t>
  </si>
  <si>
    <t>In berm outside 10 Winchfield Street</t>
  </si>
  <si>
    <t>0032063789</t>
  </si>
  <si>
    <t>In berm outside 108 Harris Crescent</t>
  </si>
  <si>
    <t>0032063802</t>
  </si>
  <si>
    <t>Clarevale Reserve</t>
  </si>
  <si>
    <t>0032062044</t>
  </si>
  <si>
    <t>In berm outside 66 Vogel Street</t>
  </si>
  <si>
    <t>0032062902</t>
  </si>
  <si>
    <t>In berm outdside Woodhurst Drive</t>
  </si>
  <si>
    <t>0032063818</t>
  </si>
  <si>
    <t>In berm outside 84 Dunbarton St</t>
  </si>
  <si>
    <t>0032062750</t>
  </si>
  <si>
    <t>Bridge Reserve at end of Falcon Street</t>
  </si>
  <si>
    <t>0032063800</t>
  </si>
  <si>
    <t>Seafield Park (11 Nautilus Place)</t>
  </si>
  <si>
    <t>0032062748</t>
  </si>
  <si>
    <t>In berm opposite 1 Mermaid Place</t>
  </si>
  <si>
    <t>0032063322</t>
  </si>
  <si>
    <t>Champion Reserve (134 Champion Street)</t>
  </si>
  <si>
    <t>0032062708</t>
  </si>
  <si>
    <t>Adj 32 McDougall Avenue</t>
  </si>
  <si>
    <t>0032063314</t>
  </si>
  <si>
    <t>In berm outside 3 Francis Ave</t>
  </si>
  <si>
    <t>Could not locate</t>
  </si>
  <si>
    <t>0032063888</t>
  </si>
  <si>
    <t>In berm opposite 934a Avonside Drive</t>
  </si>
  <si>
    <t>0032062064</t>
  </si>
  <si>
    <t>In berm outside 4 Florance Place</t>
  </si>
  <si>
    <t>Piezo gone - new curb. Photo taken</t>
  </si>
  <si>
    <t>0032063865</t>
  </si>
  <si>
    <t>In berm outside 57 Grampian Street</t>
  </si>
  <si>
    <t>0032062032</t>
  </si>
  <si>
    <t>Moyna Playground (15 Moyna Avenue)</t>
  </si>
  <si>
    <t>0032063316</t>
  </si>
  <si>
    <t>Burwood Park opposite 64a Cresswell Avenue</t>
  </si>
  <si>
    <t>0032063834</t>
  </si>
  <si>
    <t>Westbrooke Park (18 Birdling Place)</t>
  </si>
  <si>
    <t>0032063879</t>
  </si>
  <si>
    <t>In berm outside 4 Thurso Place</t>
  </si>
  <si>
    <t>0032062030</t>
  </si>
  <si>
    <t>In berm outside 20 Gresham Terrace</t>
  </si>
  <si>
    <t>0032061859</t>
  </si>
  <si>
    <t>In berm outside 145 Baker Street</t>
  </si>
  <si>
    <t>0032063801</t>
  </si>
  <si>
    <t>QEII Park (adj Dick Taylor Drive)</t>
  </si>
  <si>
    <t>0032063884</t>
  </si>
  <si>
    <t>Sea Eagles Reserve (33 Sea Eagles Place)</t>
  </si>
  <si>
    <t>Not communicating with cable</t>
  </si>
  <si>
    <t>0032061852</t>
  </si>
  <si>
    <t>Heathcote Riverbank True Right South</t>
  </si>
  <si>
    <t>0032063885</t>
  </si>
  <si>
    <t>In berm outside 24 Allstone Place</t>
  </si>
  <si>
    <t>0032061854</t>
  </si>
  <si>
    <t>In berm outside 46 Hopkins Street</t>
  </si>
  <si>
    <t>0032063824</t>
  </si>
  <si>
    <t>Richmond Park (43 Medway Street)</t>
  </si>
  <si>
    <t>0032062736</t>
  </si>
  <si>
    <t>In berm outside 52 Woodville St</t>
  </si>
  <si>
    <t>0032062942</t>
  </si>
  <si>
    <t>In berm outside 41 Blake Street</t>
  </si>
  <si>
    <t>0032062020</t>
  </si>
  <si>
    <t>In berm outside 360 Lower Styx Road</t>
  </si>
  <si>
    <t>0032062730</t>
  </si>
  <si>
    <t>Packe Reserve (129 Packe Street)</t>
  </si>
  <si>
    <t>0032061853</t>
  </si>
  <si>
    <t>Monroe Playground (112 Garlands Road)</t>
  </si>
  <si>
    <t>0032063307</t>
  </si>
  <si>
    <t>Viceroy Reserve (14 Viceroy Place)</t>
  </si>
  <si>
    <t>0032062028</t>
  </si>
  <si>
    <t>Cnr Owles and Collingwood (adj to 55 Collingwood)</t>
  </si>
  <si>
    <t>0032063808</t>
  </si>
  <si>
    <t>In berm outside 15 Esk Place</t>
  </si>
  <si>
    <t>0032063862</t>
  </si>
  <si>
    <t>In berm outside 39 Meon Street</t>
  </si>
  <si>
    <t>0032061841</t>
  </si>
  <si>
    <t>In berm outside 179a Peterborough Street</t>
  </si>
  <si>
    <t>0032063799</t>
  </si>
  <si>
    <t>Delmare Park (85 St Heliers Crescent)</t>
  </si>
  <si>
    <t>0032062934</t>
  </si>
  <si>
    <t xml:space="preserve">Kotuku Reserve </t>
  </si>
  <si>
    <t>0032063309</t>
  </si>
  <si>
    <t>Grass area cnr of Medway Street &amp; North Parade</t>
  </si>
  <si>
    <t>0032062036</t>
  </si>
  <si>
    <t>In berm outside 19 Linwood Avenue</t>
  </si>
  <si>
    <t>0032062034</t>
  </si>
  <si>
    <t>In berm outside 34 Landy Street</t>
  </si>
  <si>
    <t>0032061846</t>
  </si>
  <si>
    <t>Adj 34 Barbour Street</t>
  </si>
  <si>
    <t>0032063866</t>
  </si>
  <si>
    <t>Clare Park (19A Greenhaven Drive)</t>
  </si>
  <si>
    <t>0032061843</t>
  </si>
  <si>
    <t>Moa Reserve (20 Melrose Place)</t>
  </si>
  <si>
    <t>0032062041</t>
  </si>
  <si>
    <t>In berm outside 25 Swanns Road</t>
  </si>
  <si>
    <t>0032063859</t>
  </si>
  <si>
    <t>In berm outside 124 Avondale Road</t>
  </si>
  <si>
    <t>0032063870</t>
  </si>
  <si>
    <t>Curzon Reserve (17 Curzon Place)</t>
  </si>
  <si>
    <t>0032062018</t>
  </si>
  <si>
    <t>Bexley Park (Adj to 568 Pages Road)</t>
  </si>
  <si>
    <t>0032062752</t>
  </si>
  <si>
    <t>In berm outside Malta Crescent</t>
  </si>
  <si>
    <t>0032062749</t>
  </si>
  <si>
    <t>In berm outside 8 Plover Street</t>
  </si>
  <si>
    <t>0032063290</t>
  </si>
  <si>
    <t>In berm on Gresford St outside 86 Geraldine Street</t>
  </si>
  <si>
    <t>003063805</t>
  </si>
  <si>
    <t>In berm, middle of Cam Place cul de sac</t>
  </si>
  <si>
    <t>003063804</t>
  </si>
  <si>
    <t>Stretton Reserve (10B Stretton Street)</t>
  </si>
  <si>
    <t>0032063811</t>
  </si>
  <si>
    <t>Murchison Park (46 Lowry Avenue)</t>
  </si>
  <si>
    <t>0032062973</t>
  </si>
  <si>
    <t>St James Park</t>
  </si>
  <si>
    <t>0032063300</t>
  </si>
  <si>
    <t>Lewisham Reserve (45 Lewisham Park)</t>
  </si>
  <si>
    <t>0032063827</t>
  </si>
  <si>
    <t>Pitcairn Playground (31 Pitcairn Crescent)</t>
  </si>
  <si>
    <t>0032062908</t>
  </si>
  <si>
    <t>In berm outside 5 Sequoia Place</t>
  </si>
  <si>
    <t>0032062911</t>
  </si>
  <si>
    <t>Westminster Park (16 Fernbrook Place)</t>
  </si>
  <si>
    <t>0032063849</t>
  </si>
  <si>
    <t>Reserve at cnr Cossar Street &amp; Glenconnor Place</t>
  </si>
  <si>
    <t>0032063889</t>
  </si>
  <si>
    <t>In berm outside 1 Inverell Place (Philomel Street)</t>
  </si>
  <si>
    <t>0032061837</t>
  </si>
  <si>
    <t>Aranui Plaground (13 Merrington Crescent)</t>
  </si>
  <si>
    <t>Barrologger</t>
  </si>
  <si>
    <t>0032062909</t>
  </si>
  <si>
    <t>Adj 32 Hoon Hay Road (on Upland Road)</t>
  </si>
  <si>
    <t>0032061836</t>
  </si>
  <si>
    <t>Simeon Park (178 Simeon Street)</t>
  </si>
  <si>
    <t>0032062746</t>
  </si>
  <si>
    <t>Braddon Reserve (24 Braddon Street)</t>
  </si>
  <si>
    <t>0032062745</t>
  </si>
  <si>
    <t>Bradford Park (190 Milton Street)</t>
  </si>
  <si>
    <t>0032062723</t>
  </si>
  <si>
    <t>Thorrington Reserve (20 Thorrington Road)</t>
  </si>
  <si>
    <t>003206214</t>
  </si>
  <si>
    <t>Hansen Park cnr Hawford Rd &amp; Butler St</t>
  </si>
  <si>
    <t>0032063282</t>
  </si>
  <si>
    <t>In berm outside 43 Blackwell Crescent (Bracebridge Street)</t>
  </si>
  <si>
    <t>Destroyed - new footpath, photo taken</t>
  </si>
  <si>
    <t>0032063815</t>
  </si>
  <si>
    <t>In berm outside 130 Otaki Street</t>
  </si>
  <si>
    <t>Northwood Park (42 Northwood Boulevard)</t>
  </si>
  <si>
    <t>0032062712</t>
  </si>
  <si>
    <t>In berm outside 13 Derrett Pl</t>
  </si>
  <si>
    <t>0032061857</t>
  </si>
  <si>
    <t>Woodham Park (157 Woodham Road)</t>
  </si>
  <si>
    <t>0032062031</t>
  </si>
  <si>
    <t>In berm opposite 68 Dallington Terrace</t>
  </si>
  <si>
    <t>0032063839</t>
  </si>
  <si>
    <t>In berm outside 21 Stapletons Road</t>
  </si>
  <si>
    <t>0032062733</t>
  </si>
  <si>
    <t>St Albans Park (638 Barbadoes Street)</t>
  </si>
  <si>
    <t>0032062737</t>
  </si>
  <si>
    <t>In berm outside 186 Petrie Street</t>
  </si>
  <si>
    <t>0032062910</t>
  </si>
  <si>
    <t>In berm outside 44 Tomes Road</t>
  </si>
  <si>
    <t>0032062710</t>
  </si>
  <si>
    <t>Abberley Park (23 Abberley Crescent)</t>
  </si>
  <si>
    <t>0032061847</t>
  </si>
  <si>
    <t>0032062714</t>
  </si>
  <si>
    <t>In berm outside 84 Wilsons Rd</t>
  </si>
  <si>
    <t>0032062715</t>
  </si>
  <si>
    <t>In berm opposite 21 Wades Ave</t>
  </si>
  <si>
    <t>0032063851</t>
  </si>
  <si>
    <t>MARBLEWOOD RESERVE</t>
  </si>
  <si>
    <t>0032062035</t>
  </si>
  <si>
    <t>Next to basketball court, Harrington Park</t>
  </si>
  <si>
    <t>0032062907</t>
  </si>
  <si>
    <t>COBRA RESERVE</t>
  </si>
  <si>
    <t>0032063312</t>
  </si>
  <si>
    <t>KAIWARA RESERVE</t>
  </si>
  <si>
    <t>0032062029</t>
  </si>
  <si>
    <t>Rawhiti Domain</t>
  </si>
  <si>
    <t>0032063285</t>
  </si>
  <si>
    <t>Car Park, St Teresa's School</t>
  </si>
  <si>
    <t>Upstand missing, shallow standpipe</t>
  </si>
  <si>
    <t>9 month data expiry</t>
  </si>
  <si>
    <t>TT595_CPT-BUR-95</t>
  </si>
  <si>
    <t>TT685_CPT-SNB-07</t>
  </si>
  <si>
    <t>TT621_CPT-WAI-79</t>
  </si>
  <si>
    <t>TT466_CPT-WQP-01</t>
  </si>
  <si>
    <t>TT380_CPT-WSW-35</t>
  </si>
  <si>
    <t>TT218_CPT-FND-02</t>
  </si>
  <si>
    <t>TT220_CPT-FND-04</t>
  </si>
  <si>
    <t>TT662_CPT-NBT-15</t>
  </si>
  <si>
    <t>TT664_CPT-NBT-17</t>
  </si>
  <si>
    <t>TT553_BH-AVS-09</t>
  </si>
  <si>
    <t>TT271_BH-BYR-01</t>
  </si>
  <si>
    <t>TT729_BH-CBD-09a</t>
  </si>
  <si>
    <t>TT732_BH-CBD-12</t>
  </si>
  <si>
    <t>TT733_BH-CBD-13</t>
  </si>
  <si>
    <t>TT758_BH-CBD-38</t>
  </si>
  <si>
    <t>TT761_BH-CBD-41</t>
  </si>
  <si>
    <t>TT229_BH-FND-01</t>
  </si>
  <si>
    <t>TT1069_BH-OPA-01</t>
  </si>
  <si>
    <t>TT465_BH-SHY-02</t>
  </si>
  <si>
    <t>TT490_BH-WQP-02</t>
  </si>
  <si>
    <t>TT491_BH-WQP-03</t>
  </si>
  <si>
    <t>TT961_WQP-POD14-BH001</t>
  </si>
  <si>
    <t>TT965_WQP-POD15-BH004</t>
  </si>
  <si>
    <t>TT957_WQP-POD10-BH001</t>
  </si>
  <si>
    <t>TT964_WQP-POD15-BH001</t>
  </si>
  <si>
    <t>TT917_STA-POD12-BH003</t>
  </si>
  <si>
    <t>TT948_WAI-POD13-BH001</t>
  </si>
  <si>
    <t>TT914_STA-POD09-BH004</t>
  </si>
  <si>
    <t>TT929_STA-POD20-BH003</t>
  </si>
  <si>
    <t>TT928_STA-POD20-BH002</t>
  </si>
  <si>
    <t>TT927_STA-POD20-BH001</t>
  </si>
  <si>
    <t>TT789_AVD-POD07-BH001</t>
  </si>
  <si>
    <t>TT947_WAI-POD11-BH002</t>
  </si>
  <si>
    <t>TT888_RCH-POD04-BH007</t>
  </si>
  <si>
    <t>TT881_RCH-POD01-BH002</t>
  </si>
  <si>
    <t>TT890_RCH-POD05-BH001</t>
  </si>
  <si>
    <t>TT898_SHY-POD05-BH002</t>
  </si>
  <si>
    <t>TT876_PRK-POD03-BH007</t>
  </si>
  <si>
    <t>TT875_PRK-POD02-BH004</t>
  </si>
  <si>
    <t>TT873_PRK-POD01-BH004</t>
  </si>
  <si>
    <t>TT804_BUR-POD03-BH006</t>
  </si>
  <si>
    <t>TT895_SHY-POD03-BH001</t>
  </si>
  <si>
    <t>TT769_ARA-POD07-BH002</t>
  </si>
  <si>
    <t>TT786_AVD-POD06-BH001</t>
  </si>
  <si>
    <t>TT949_WAI-POD13-BH003</t>
  </si>
  <si>
    <t>TT806_BUR-POD05-BH003</t>
  </si>
  <si>
    <t>TT833_FND-POD08-BH024</t>
  </si>
  <si>
    <t>TT910_STA-POD06-BH001</t>
  </si>
  <si>
    <t>TT911_STA-POD08-BH001</t>
  </si>
  <si>
    <t>TT956_WQP-POD07-BH004</t>
  </si>
  <si>
    <t>TT966_WQP-POD15-BH006</t>
  </si>
  <si>
    <t>TT986_WST-POD08-BH002</t>
  </si>
  <si>
    <t>TT907_STA-POD02-BH002</t>
  </si>
  <si>
    <t>TT908_STA-POD03-BH001</t>
  </si>
  <si>
    <t>TT913_STA-POD09-BH003</t>
  </si>
  <si>
    <t>TT784_AVD-POD05-BH002</t>
  </si>
  <si>
    <t>TT807_BUR-POD06-BH002</t>
  </si>
  <si>
    <t>TT893_RCH-POD07-BH004</t>
  </si>
  <si>
    <t>TT972_WTM-POD02-BH002</t>
  </si>
  <si>
    <t>TT827_DAL-POD06-BH004</t>
  </si>
  <si>
    <t>TT836_FND-POD13-BH031</t>
  </si>
  <si>
    <t>TT901_SSH-POD05-BH002</t>
  </si>
  <si>
    <t>TT970_WTM-POD01-BH002</t>
  </si>
  <si>
    <t>TT832_FND-POD08-BH022</t>
  </si>
  <si>
    <t>TT859_MER-POD05-BH002</t>
  </si>
  <si>
    <t>TT805_BUR-POD04-BH002</t>
  </si>
  <si>
    <t>TT851_KAI-POD01-BH001</t>
  </si>
  <si>
    <t>TT854_KAI-POD04-BH001</t>
  </si>
  <si>
    <t>TT880_RED-POD02-BH001</t>
  </si>
  <si>
    <t>TT931_STM-POD05-BH005</t>
  </si>
  <si>
    <t>TT915_STA-POD10-BH002</t>
  </si>
  <si>
    <t>TT941_WAI-POD03-BH003</t>
  </si>
  <si>
    <t>TT791_AVD-POD08-BH001</t>
  </si>
  <si>
    <t>TT787_AVD-POD06-BH003</t>
  </si>
  <si>
    <t>TT954_WQP-POD06-BH001</t>
  </si>
  <si>
    <t>TT989_WST-POD08-BH006</t>
  </si>
  <si>
    <t>TT930_STM-POD05-BH001</t>
  </si>
  <si>
    <t>TT983_WST-POD06-BH003</t>
  </si>
  <si>
    <t>TT960_WQP-POD13-BH004</t>
  </si>
  <si>
    <t>TT828_FND-POD04-BH011</t>
  </si>
  <si>
    <t>TT937_STR-POD03-BH002</t>
  </si>
  <si>
    <t>TT839_HNH-POD02-BH002</t>
  </si>
  <si>
    <t>TT891_RCH-POD05-BH006</t>
  </si>
  <si>
    <t>TT939_STR-POD04-BH006</t>
  </si>
  <si>
    <t>TT934_STR-POD02-BH001</t>
  </si>
  <si>
    <t>TT974_WTM-POD05-BH001</t>
  </si>
  <si>
    <t>TT919_STA-POD13-BH001</t>
  </si>
  <si>
    <t>TT923_STA-POD14-BH005</t>
  </si>
  <si>
    <t>TT858_MER-POD04-BH002</t>
  </si>
  <si>
    <t>TT861_MER-POD06-BH002</t>
  </si>
  <si>
    <t>TT855_MER-POD02-BH001</t>
  </si>
  <si>
    <t>TT953_WAI-POD16-BH002</t>
  </si>
  <si>
    <t>TT975_WTM-POD05-BH002</t>
  </si>
  <si>
    <t>TT837_FND-POD15-CPT011</t>
  </si>
  <si>
    <t>TT844_HNH-POD06-BH003</t>
  </si>
  <si>
    <t>TT801_BIS-POD01-BH003</t>
  </si>
  <si>
    <t>TT885_RCH-POD03-BH002</t>
  </si>
  <si>
    <t>TT793_AVS-POD03-BH002</t>
  </si>
  <si>
    <t>TT853_KAI-POD03-BH001</t>
  </si>
  <si>
    <t>TT942_WAI-POD03-BH004</t>
  </si>
  <si>
    <t>TT871_PAP-POD06-BH002</t>
  </si>
  <si>
    <t>TT826_DAL-POD06-BH002</t>
  </si>
  <si>
    <t>TT845_ILA-POD01-BH002</t>
  </si>
  <si>
    <t>TT810_CHM-POD01-BH001</t>
  </si>
  <si>
    <t>TT878_RED-POD01-BH002</t>
  </si>
  <si>
    <t>TT877_RED-POD01-BH001</t>
  </si>
  <si>
    <t>TT842_HNH-POD05-BH002</t>
  </si>
  <si>
    <t>TT971_WTM-POD02-BH001</t>
  </si>
  <si>
    <t>TT800_BIS-POD01-BH001</t>
  </si>
  <si>
    <t>TT795_AVS-POD04-BH002</t>
  </si>
  <si>
    <t>TT802_BIS-POD01-BH004</t>
  </si>
  <si>
    <t>TT868_PAP-POD03-BH003</t>
  </si>
  <si>
    <t>TT841_HNH-POD04-BH004</t>
  </si>
  <si>
    <t>TT991_WST-POD09-BH003</t>
  </si>
  <si>
    <t>TT819_CCC-POD03-BH006</t>
  </si>
  <si>
    <t>TT820_CCC-POD03-BH009</t>
  </si>
  <si>
    <t>TT798_BEL-POD01-BH001</t>
  </si>
  <si>
    <t>TT821_CCC-POD04-BH001</t>
  </si>
  <si>
    <t>TT940_SYD-POD01-BH001</t>
  </si>
  <si>
    <t>TT944_WAI-POD05-BH002</t>
  </si>
  <si>
    <t>TT799_BEL-POD03-BH002</t>
  </si>
  <si>
    <t>TT808_BUR-POD02-BH005</t>
  </si>
  <si>
    <t>TT812_CCC-POD01-BH001</t>
  </si>
  <si>
    <t>TT818_CCC-POD03-BH004</t>
  </si>
  <si>
    <t>TT811_CHM-POD01-BH002</t>
  </si>
  <si>
    <t>TT831_FND-POD07-BH019</t>
  </si>
  <si>
    <t>TT834_FND-POD09-BH025</t>
  </si>
  <si>
    <t>TT843_HNH-POD06-BH001</t>
  </si>
  <si>
    <t>TT857_MER-POD04-BH001</t>
  </si>
  <si>
    <t>TT866_PAP-POD01-BH001</t>
  </si>
  <si>
    <t>TT869_PAP-POD04-BH002</t>
  </si>
  <si>
    <t>TT872_PAP-POD07-BH004</t>
  </si>
  <si>
    <t>TT899_SHY-POD06-BH003</t>
  </si>
  <si>
    <t>TT905_SPN-POD04-BH002</t>
  </si>
  <si>
    <t>TT906_STA-POD01-BH002</t>
  </si>
  <si>
    <t>TT912_STA-POD08-BH003</t>
  </si>
  <si>
    <t>TT916_STA-POD10-BH003</t>
  </si>
  <si>
    <t>TT918_STA-POD12-BH004</t>
  </si>
  <si>
    <t>TT925_STA-POD17-BH006</t>
  </si>
  <si>
    <t>TT926_STA-POD17-BH007</t>
  </si>
  <si>
    <t>TT936_STR-POD01-BH006</t>
  </si>
  <si>
    <t>TT848_ILA-POD02-BH002</t>
  </si>
  <si>
    <t>TT849_ILA-POD02-BH003</t>
  </si>
  <si>
    <t>TT860_MER-POD06-BH001</t>
  </si>
  <si>
    <t>TT932_STR-POD01-BH003</t>
  </si>
  <si>
    <t>TT1093_Site 01 piezometer</t>
  </si>
  <si>
    <t>TT1094_Site 67 piezometer</t>
  </si>
  <si>
    <t>TT1085_Site 69 piezometer</t>
  </si>
  <si>
    <t>TT1086_Site 100 piezometer</t>
  </si>
  <si>
    <t>APP 166</t>
  </si>
  <si>
    <t>TT1087_Site W9 piezometer</t>
  </si>
  <si>
    <t>TT1091_Site 32 piezometer</t>
  </si>
  <si>
    <t>TT1092_Site 38B piezometer</t>
  </si>
  <si>
    <t>TT1089_Site 59 piezometer</t>
  </si>
  <si>
    <t>TT1088_Site 87 piezometer</t>
  </si>
  <si>
    <t>TT1090_Site 94 piezometer</t>
  </si>
  <si>
    <t>INST_TT346</t>
  </si>
  <si>
    <t>INST_TT663</t>
  </si>
  <si>
    <t>INST_TT900</t>
  </si>
  <si>
    <t>INST_TT911</t>
  </si>
  <si>
    <t>INST_TT966</t>
  </si>
  <si>
    <t>INST_TT1141</t>
  </si>
  <si>
    <t>INST_TT1143</t>
  </si>
  <si>
    <t>INST_TT1429</t>
  </si>
  <si>
    <t>INST_TT1431</t>
  </si>
  <si>
    <t>INST_TT1700</t>
  </si>
  <si>
    <t>INST_TT1732</t>
  </si>
  <si>
    <t>INST_TT1742</t>
  </si>
  <si>
    <t>INST_TT1745</t>
  </si>
  <si>
    <t>INST_TT1746</t>
  </si>
  <si>
    <t>INST_TT1771</t>
  </si>
  <si>
    <t>INST_TT1774</t>
  </si>
  <si>
    <t>INST_TT1793</t>
  </si>
  <si>
    <t>INST_TT1830</t>
  </si>
  <si>
    <t>INST_TT1845</t>
  </si>
  <si>
    <t>INST_TT1884</t>
  </si>
  <si>
    <t>INST_TT1885</t>
  </si>
  <si>
    <t>INST_TT4952</t>
  </si>
  <si>
    <t>INST_TT4953</t>
  </si>
  <si>
    <t>INST_TT5200</t>
  </si>
  <si>
    <t>INST_TT5204</t>
  </si>
  <si>
    <t>INST_TT5983</t>
  </si>
  <si>
    <t>INST_TT6052</t>
  </si>
  <si>
    <t>INST_TT6056</t>
  </si>
  <si>
    <t>INST_TT6057</t>
  </si>
  <si>
    <t>INST_TT6058</t>
  </si>
  <si>
    <t>INST_TT6093</t>
  </si>
  <si>
    <t>INST_TT6095</t>
  </si>
  <si>
    <t>INST_TT6100</t>
  </si>
  <si>
    <t>INST_TT6102</t>
  </si>
  <si>
    <t>INST_TT6235</t>
  </si>
  <si>
    <t>INST_TT6239</t>
  </si>
  <si>
    <t>INST_TT6503</t>
  </si>
  <si>
    <t>INST_TT6504</t>
  </si>
  <si>
    <t>INST_TT6506</t>
  </si>
  <si>
    <t>INST_TT6515</t>
  </si>
  <si>
    <t>INST_TT7505</t>
  </si>
  <si>
    <t>INST_TT7514</t>
  </si>
  <si>
    <t>INST_TT13680</t>
  </si>
  <si>
    <t>INST_TT9001</t>
  </si>
  <si>
    <t>INST_TT9488</t>
  </si>
  <si>
    <t>INST_TT9496</t>
  </si>
  <si>
    <t>INST_TT9502</t>
  </si>
  <si>
    <t>INST_TT9503</t>
  </si>
  <si>
    <t>INST_TT9510</t>
  </si>
  <si>
    <t>INST_TT9512</t>
  </si>
  <si>
    <t>INST_TT9521</t>
  </si>
  <si>
    <t>INST_TT9966</t>
  </si>
  <si>
    <t>INST_TT9967</t>
  </si>
  <si>
    <t>INST_TT9968</t>
  </si>
  <si>
    <t>INST_TT10061</t>
  </si>
  <si>
    <t>INST_TT10068</t>
  </si>
  <si>
    <t>INST_TT10078</t>
  </si>
  <si>
    <t>INST_TT10087</t>
  </si>
  <si>
    <t>INST_TT10376</t>
  </si>
  <si>
    <t>INST_TT10388</t>
  </si>
  <si>
    <t>INST_TT12867</t>
  </si>
  <si>
    <t>INST_TT12872</t>
  </si>
  <si>
    <t>INST_TT13044</t>
  </si>
  <si>
    <t>INST_TT13067</t>
  </si>
  <si>
    <t>INST_TT13077</t>
  </si>
  <si>
    <t>INST_TT13118</t>
  </si>
  <si>
    <t>INST_TT13257</t>
  </si>
  <si>
    <t>INST_TT13269</t>
  </si>
  <si>
    <t>INST_TT13307</t>
  </si>
  <si>
    <t>INST_TT13519</t>
  </si>
  <si>
    <t>INST_TT13671</t>
  </si>
  <si>
    <t>INST_TT13678</t>
  </si>
  <si>
    <t>INST_TT13679</t>
  </si>
  <si>
    <t>INST_TT13698</t>
  </si>
  <si>
    <t>INST_TT13699</t>
  </si>
  <si>
    <t>INST_TT13970</t>
  </si>
  <si>
    <t>INST_TT14118</t>
  </si>
  <si>
    <t>INST_TT14121</t>
  </si>
  <si>
    <t>INST_TT14124</t>
  </si>
  <si>
    <t>INST_TT14127</t>
  </si>
  <si>
    <t>INST_TT74921</t>
  </si>
  <si>
    <t>INST_TT14271</t>
  </si>
  <si>
    <t>INST_TT14273</t>
  </si>
  <si>
    <t>INST_TT14274</t>
  </si>
  <si>
    <t>INST_TT14276</t>
  </si>
  <si>
    <t>INST_TT14845</t>
  </si>
  <si>
    <t>INST_TT14849</t>
  </si>
  <si>
    <t>INST_TT14850</t>
  </si>
  <si>
    <t>INST_TT14974</t>
  </si>
  <si>
    <t>INST_TT14975</t>
  </si>
  <si>
    <t>INST_TT14985</t>
  </si>
  <si>
    <t>INST_TT15050</t>
  </si>
  <si>
    <t>INST_TT15053</t>
  </si>
  <si>
    <t>INST_TT15345</t>
  </si>
  <si>
    <t>INST_TT15436</t>
  </si>
  <si>
    <t>INST_TT15441</t>
  </si>
  <si>
    <t>INST_TT15462</t>
  </si>
  <si>
    <t>INST_TT15471</t>
  </si>
  <si>
    <t>INST_TT16131</t>
  </si>
  <si>
    <t>INST_TT16159</t>
  </si>
  <si>
    <t>INST_TT16163</t>
  </si>
  <si>
    <t>INST_TT16248</t>
  </si>
  <si>
    <t>INST_TT16407</t>
  </si>
  <si>
    <t>INST_TT16412</t>
  </si>
  <si>
    <t>INST_TT16449</t>
  </si>
  <si>
    <t>INST_TT16451</t>
  </si>
  <si>
    <t>INST_TT16496</t>
  </si>
  <si>
    <t>INST_TT16958</t>
  </si>
  <si>
    <t>INST_TT17003</t>
  </si>
  <si>
    <t>INST_TT17380</t>
  </si>
  <si>
    <t>INST_TT17405</t>
  </si>
  <si>
    <t>INST_TT17437</t>
  </si>
  <si>
    <t>INST_TT17441</t>
  </si>
  <si>
    <t>INST_TT17487</t>
  </si>
  <si>
    <t>INST_TT17499</t>
  </si>
  <si>
    <t>INST_TT17512</t>
  </si>
  <si>
    <t>INST_TT17514</t>
  </si>
  <si>
    <t>INST_TT17535</t>
  </si>
  <si>
    <t>INST_TT17538</t>
  </si>
  <si>
    <t>INST_TT17773</t>
  </si>
  <si>
    <t>INST_TT17924</t>
  </si>
  <si>
    <t>INST_TT17954</t>
  </si>
  <si>
    <t>INST_TT17972</t>
  </si>
  <si>
    <t>INST_TT17983</t>
  </si>
  <si>
    <t>INST_TT17990</t>
  </si>
  <si>
    <t>INST_TT18037</t>
  </si>
  <si>
    <t>INST_TT18048</t>
  </si>
  <si>
    <t>INST_TT18099</t>
  </si>
  <si>
    <t>INST_TT18108</t>
  </si>
  <si>
    <t>INST_TT18135</t>
  </si>
  <si>
    <t>INST_TT18179</t>
  </si>
  <si>
    <t>INST_TT18187</t>
  </si>
  <si>
    <t>INST_TT18194</t>
  </si>
  <si>
    <t>INST_TT18272</t>
  </si>
  <si>
    <t>INST_TT18282</t>
  </si>
  <si>
    <t>INST_TT18283</t>
  </si>
  <si>
    <t>INST_TT18296</t>
  </si>
  <si>
    <t>INST_TT18316</t>
  </si>
  <si>
    <t>INST_TT18321</t>
  </si>
  <si>
    <t>INST_TT18352</t>
  </si>
  <si>
    <t>INST_TT18353</t>
  </si>
  <si>
    <t>INST_TT18432</t>
  </si>
  <si>
    <t>INST_TT61079</t>
  </si>
  <si>
    <t>INST_TT61080</t>
  </si>
  <si>
    <t>INST_TT61076</t>
  </si>
  <si>
    <t>INST_TT61091</t>
  </si>
  <si>
    <t>INST_TT57414</t>
  </si>
  <si>
    <t>INST_TT57429</t>
  </si>
  <si>
    <t>INST_TT57430</t>
  </si>
  <si>
    <t>INST_TT56586</t>
  </si>
  <si>
    <t>INST_TT74013</t>
  </si>
  <si>
    <t>INST_TT74015</t>
  </si>
  <si>
    <t>INST_TT74076</t>
  </si>
  <si>
    <t>INST_TT65474</t>
  </si>
  <si>
    <t>INST_TT65226</t>
  </si>
  <si>
    <t>INST_TT65506</t>
  </si>
  <si>
    <t>INST_TT65436</t>
  </si>
  <si>
    <t>INST_TT65437</t>
  </si>
  <si>
    <t>INST_TT65227</t>
  </si>
  <si>
    <t>INST_TT65151</t>
  </si>
  <si>
    <t>INST_TT74892</t>
  </si>
  <si>
    <t>INST_TT65190</t>
  </si>
  <si>
    <t>INST_TT65480</t>
  </si>
  <si>
    <t>INST_TT65475</t>
  </si>
  <si>
    <t>INST_TT65191</t>
  </si>
  <si>
    <t>INST_TT74893</t>
  </si>
  <si>
    <t>INST_TT74457</t>
  </si>
  <si>
    <t>INST_TT65192</t>
  </si>
  <si>
    <t>INST_TT65288</t>
  </si>
  <si>
    <t>INST_TT65159</t>
  </si>
  <si>
    <t>INST_TT74009</t>
  </si>
  <si>
    <t>INST_TT74011</t>
  </si>
  <si>
    <t>INST_TT74014</t>
  </si>
  <si>
    <t>INST_TT65505</t>
  </si>
  <si>
    <t>INST_TT65193</t>
  </si>
  <si>
    <t>INST_TT65293</t>
  </si>
  <si>
    <t>INST_TT65516</t>
  </si>
  <si>
    <t>INST_TT74078</t>
  </si>
  <si>
    <t>INST_TT65194</t>
  </si>
  <si>
    <t>INST_TT65476</t>
  </si>
  <si>
    <t>INST_TT74894</t>
  </si>
  <si>
    <t>INST_TT74086</t>
  </si>
  <si>
    <t>INST_TT65200</t>
  </si>
  <si>
    <t>INST_TT65337</t>
  </si>
  <si>
    <t>INST_TT65180</t>
  </si>
  <si>
    <t>INST_TT74010</t>
  </si>
  <si>
    <t>INST_TT74488</t>
  </si>
  <si>
    <t>INST_TT74077</t>
  </si>
  <si>
    <t>INST_TT65477</t>
  </si>
  <si>
    <t>INST_TT65338</t>
  </si>
  <si>
    <t>INST_TT65228</t>
  </si>
  <si>
    <t>INST_TT74841</t>
  </si>
  <si>
    <t>INST_TT65513</t>
  </si>
  <si>
    <t>INST_TT65511</t>
  </si>
  <si>
    <t>INST_TT74082</t>
  </si>
  <si>
    <t>INST_TT65289</t>
  </si>
  <si>
    <t>INST_TT65202</t>
  </si>
  <si>
    <t>INST_TT65514</t>
  </si>
  <si>
    <t>INST_TT65512</t>
  </si>
  <si>
    <t>INST_TT65229</t>
  </si>
  <si>
    <t>INST_TT65339</t>
  </si>
  <si>
    <t>INST_TT74895</t>
  </si>
  <si>
    <t>INST_TT67637</t>
  </si>
  <si>
    <t>INST_TT65504</t>
  </si>
  <si>
    <t>INST_TT65435</t>
  </si>
  <si>
    <t>INST_TT65181</t>
  </si>
  <si>
    <t>INST_TT65182</t>
  </si>
  <si>
    <t>INST_TT65183</t>
  </si>
  <si>
    <t>INST_TT65184</t>
  </si>
  <si>
    <t>INST_TT65185</t>
  </si>
  <si>
    <t>INST_TT67638</t>
  </si>
  <si>
    <t>INST_TT65290</t>
  </si>
  <si>
    <t>INST_TT65230</t>
  </si>
  <si>
    <t>INST_TT74458</t>
  </si>
  <si>
    <t>INST_TT65231</t>
  </si>
  <si>
    <t>INST_TT74456</t>
  </si>
  <si>
    <t>INST_TT65502</t>
  </si>
  <si>
    <t>INST_TT65186</t>
  </si>
  <si>
    <t>INST_TT65336</t>
  </si>
  <si>
    <t>INST_TT65294</t>
  </si>
  <si>
    <t>INST_TT65335</t>
  </si>
  <si>
    <t>INST_TT74088</t>
  </si>
  <si>
    <t>INST_TT74087</t>
  </si>
  <si>
    <t>INST_TT65292</t>
  </si>
  <si>
    <t>INST_TT74083</t>
  </si>
  <si>
    <t>INST_TT65203</t>
  </si>
  <si>
    <t>INST_TT65515</t>
  </si>
  <si>
    <t>INST_TT65478</t>
  </si>
  <si>
    <t>INST_TT65291</t>
  </si>
  <si>
    <t>INST_TT65479</t>
  </si>
  <si>
    <t>INST_TT65503</t>
  </si>
  <si>
    <t>INST_TT65204</t>
  </si>
  <si>
    <t>INST_TT74084</t>
  </si>
  <si>
    <t>INST_TT74459</t>
  </si>
  <si>
    <t>INST_TT74460</t>
  </si>
  <si>
    <t>INST_TT57417</t>
  </si>
  <si>
    <t>INST_TT57418</t>
  </si>
  <si>
    <t>INST_TT57420</t>
  </si>
  <si>
    <t>INST_TT57425</t>
  </si>
  <si>
    <t>INST_TT57433</t>
  </si>
  <si>
    <t>INST_TT57434</t>
  </si>
  <si>
    <t>INST_TT1734</t>
  </si>
  <si>
    <t>TT721_BH-CBD-01</t>
  </si>
  <si>
    <t>INST_TT14117</t>
  </si>
  <si>
    <t>TT921_STA-POD14-BH003</t>
  </si>
  <si>
    <t>APP Installation  comment</t>
  </si>
  <si>
    <t>Replacement</t>
  </si>
  <si>
    <t>New</t>
  </si>
  <si>
    <t>Comments from 2019</t>
  </si>
  <si>
    <t>toby needs repair</t>
  </si>
  <si>
    <t>needs repair, artesian</t>
  </si>
  <si>
    <t>Existing</t>
  </si>
  <si>
    <t>INST_TT5995</t>
  </si>
  <si>
    <t>Original Reference</t>
  </si>
  <si>
    <t>NZGD ID</t>
  </si>
  <si>
    <t>TT_Instrument_ID</t>
  </si>
  <si>
    <t>N/A New Install</t>
  </si>
  <si>
    <t>N/A Destroyed</t>
  </si>
  <si>
    <t>N/A Replacement install</t>
  </si>
  <si>
    <t>N/A</t>
  </si>
  <si>
    <t>2018 Comment: was not restarted last round</t>
  </si>
  <si>
    <t>Destroyed - new roadway</t>
  </si>
  <si>
    <t>Initial visit - Could not locate - (new landscaping?) Found and data harvested 28/6/2019</t>
  </si>
  <si>
    <t>LOCATED, previously though to be destroyed  - found using metal detector in August 2019, restarted 21/08/2019</t>
  </si>
  <si>
    <t xml:space="preserve"> </t>
  </si>
  <si>
    <t>N/A (Existing)</t>
  </si>
  <si>
    <t>Standpipe depth (replacement and new standpipes)</t>
  </si>
  <si>
    <t>Possible erroneous standpipe depth measurment in Sept 2016?</t>
  </si>
  <si>
    <t>Measured Standpipe Depth 2019 (m)</t>
  </si>
  <si>
    <t>Measured Standpipe depth Sept 2016 (m)</t>
  </si>
  <si>
    <t>Standpipe Depth (Original recorded) (m)</t>
  </si>
  <si>
    <t>Silt Accumulation Sept 2016 to 2019 (m)</t>
  </si>
  <si>
    <t>SP DEPTH difference (original recorded to 2019) (m)</t>
  </si>
  <si>
    <t>Repaired August 2019</t>
  </si>
  <si>
    <t>LL Moved from "In shoulder outside 599 Madras Street" to Lindsey Street piezo in 2017. Address updated 2/9/2019</t>
  </si>
  <si>
    <t>In footpath outside 28 Lindsey Street</t>
  </si>
  <si>
    <t>Dipped water level 2019 (m)2</t>
  </si>
  <si>
    <t>Dipped water level 2020 (m)</t>
  </si>
  <si>
    <t>Time</t>
  </si>
  <si>
    <t>Standpipe depth (m)</t>
  </si>
  <si>
    <t>ARL 2020</t>
  </si>
  <si>
    <t>Measuring point height below GL (m bgl)</t>
  </si>
  <si>
    <t>Measuring point description</t>
  </si>
  <si>
    <t>Resart time</t>
  </si>
  <si>
    <t>Comments from 2020</t>
  </si>
  <si>
    <t>O-ring seal on direct read cable needs replacing</t>
  </si>
  <si>
    <t>9:36:00a.m.</t>
  </si>
  <si>
    <t>09:40:00a.m.</t>
  </si>
  <si>
    <t>Appears to be some silt build up in the bottom; photo recorded</t>
  </si>
  <si>
    <t>Top of cap wet</t>
  </si>
  <si>
    <t>damp on inside toby box - needs new o-ring</t>
  </si>
  <si>
    <t>dusty in toby, silty down hole</t>
  </si>
  <si>
    <t>really silty</t>
  </si>
  <si>
    <t>1:25:00pm</t>
  </si>
  <si>
    <t>12:55:00pm</t>
  </si>
  <si>
    <t>1:48:00p.m.</t>
  </si>
  <si>
    <t>Baro time out by 4 mins</t>
  </si>
  <si>
    <t>2:34:00p.m</t>
  </si>
  <si>
    <t>9:40:00a.m</t>
  </si>
  <si>
    <t>silty</t>
  </si>
  <si>
    <t>A lot of silt</t>
  </si>
  <si>
    <t>10:37:00a.m.</t>
  </si>
  <si>
    <t>No red cap, needs replacement</t>
  </si>
  <si>
    <t>9:50:00a.m.</t>
  </si>
  <si>
    <t>10:30a.m.</t>
  </si>
  <si>
    <t>10:50:00a.m</t>
  </si>
  <si>
    <t>`</t>
  </si>
  <si>
    <t>12:42:00p.m</t>
  </si>
  <si>
    <t>12:50:00p.m.</t>
  </si>
  <si>
    <t>Toby is very dirty/ full of dirt; missing red dipper cap also</t>
  </si>
  <si>
    <t xml:space="preserve"> Unstable connection. Revisited and data downloaded </t>
  </si>
  <si>
    <t>1:35:00 p.m</t>
  </si>
  <si>
    <t>1:50:00 p.m</t>
  </si>
  <si>
    <t>1:56:00 p.m</t>
  </si>
  <si>
    <t>Toby box is full of water. No bolts for lid/ cap</t>
  </si>
  <si>
    <t>2:21:00 p.m</t>
  </si>
  <si>
    <t>Missing red cap</t>
  </si>
  <si>
    <t>2:40:00 p.m</t>
  </si>
  <si>
    <t>Appears to have been paved over</t>
  </si>
  <si>
    <t>1:10:00p.m.</t>
  </si>
  <si>
    <t>1:20:00p.m.</t>
  </si>
  <si>
    <t>1:30:00p.m.</t>
  </si>
  <si>
    <t>Direct read will not connect, optical doc used</t>
  </si>
  <si>
    <t>3:15:00p.m.</t>
  </si>
  <si>
    <t>toby box full of water, no red cap</t>
  </si>
  <si>
    <t>No red cap, needs replacement. Time out by 4 ish mins</t>
  </si>
  <si>
    <t>9:20:00a.m.</t>
  </si>
  <si>
    <t>9:10:00a.m.</t>
  </si>
  <si>
    <t>9:25:00a.m</t>
  </si>
  <si>
    <t>9:40:00a.m.</t>
  </si>
  <si>
    <t>9:48:00a.m</t>
  </si>
  <si>
    <t>cap resting on top of tube</t>
  </si>
  <si>
    <t>10:00:00a.m</t>
  </si>
  <si>
    <t>10:01:00a.m</t>
  </si>
  <si>
    <t>10:28:00a.m</t>
  </si>
  <si>
    <t>10:40:00a.m</t>
  </si>
  <si>
    <t>full of dirt, no lid. Get a cap or decom. Cap is above ground level.</t>
  </si>
  <si>
    <t>10:42:00a.m</t>
  </si>
  <si>
    <t>12:05:00p.m</t>
  </si>
  <si>
    <t xml:space="preserve">  </t>
  </si>
  <si>
    <t>12:34:00p.m.</t>
  </si>
  <si>
    <t>temperature  flat line</t>
  </si>
  <si>
    <t>water in toby box</t>
  </si>
  <si>
    <t>1:33:00p.m.</t>
  </si>
  <si>
    <t>1:40:00p.m.</t>
  </si>
  <si>
    <t>1:40;00P.M.</t>
  </si>
  <si>
    <t>2:10:00P.M.</t>
  </si>
  <si>
    <t>cable not working, optic port used</t>
  </si>
  <si>
    <t>2:15:00p.m.</t>
  </si>
  <si>
    <t>3:30:00p.m.</t>
  </si>
  <si>
    <t>22mins out</t>
  </si>
  <si>
    <t>Safety key</t>
  </si>
  <si>
    <t>On the road</t>
  </si>
  <si>
    <t>Data logger was 4 minutes off</t>
  </si>
  <si>
    <t>10:10:00A.M.</t>
  </si>
  <si>
    <t>10:23:00a.m</t>
  </si>
  <si>
    <t>next</t>
  </si>
  <si>
    <t>cap not fitted, on road next to construction site, special key required.</t>
  </si>
  <si>
    <t>Water in logger seal. Had to also use optic cable</t>
  </si>
  <si>
    <t>Potential water amenity service within 1m</t>
  </si>
  <si>
    <t>12:25:00p.m</t>
  </si>
  <si>
    <t>red cap off</t>
  </si>
  <si>
    <t>12:47:00p.m.</t>
  </si>
  <si>
    <t>full of water, special star key needed.</t>
  </si>
  <si>
    <t>1:00:00p.m.</t>
  </si>
  <si>
    <t>Rosebery st no logger, Barrington parkno logger.</t>
  </si>
  <si>
    <t>Piezo lid is displaced/ not fitted. Hole is very silty</t>
  </si>
  <si>
    <t>No nuts to screw down toby box lid</t>
  </si>
  <si>
    <t>2:10:00p.m.</t>
  </si>
  <si>
    <t>toby box doesn’t have a lid, but peio has a cap.  Peizo is around 20cm down toby box  hole.</t>
  </si>
  <si>
    <t>2:20:00p.m.</t>
  </si>
  <si>
    <t>Toby box is full of water. no bolts for toby box lid</t>
  </si>
  <si>
    <t>address on map doesn’t match address on spreadseet (On MacBeath Ave). We also had to use the optic cable, the direct cable did not work</t>
  </si>
  <si>
    <t>full of water, special star key needed. Drain to the west, culveted under road.</t>
  </si>
  <si>
    <t>9:24:00a.m</t>
  </si>
  <si>
    <t>noisy temp data</t>
  </si>
  <si>
    <t>silty in piezo. storm drain on road adjacent</t>
  </si>
  <si>
    <t>storm drain on road adjacent</t>
  </si>
  <si>
    <t>full of water, muddy at surface, subsided? Cap resting on top of piezo</t>
  </si>
  <si>
    <t>cap resting on top of piezo</t>
  </si>
  <si>
    <t>no comms on diret read, used optical dock, deep puddle on roadside near piezo</t>
  </si>
  <si>
    <t>located next to a planted (flax) storm drain overflow pond</t>
  </si>
  <si>
    <t>car parked over it?, come back</t>
  </si>
  <si>
    <t>security key. Temp drops out</t>
  </si>
  <si>
    <t>SPECIAL KEY, cap resting on top of tube</t>
  </si>
  <si>
    <t>logger out by 5 mins</t>
  </si>
  <si>
    <t>10:57:00a.m.</t>
  </si>
  <si>
    <t>11:10:00a.m</t>
  </si>
  <si>
    <t>under car, need to go back</t>
  </si>
  <si>
    <t>wter in toby box, mould</t>
  </si>
  <si>
    <t>1:30:00p.m</t>
  </si>
  <si>
    <t>nearby stormdrain</t>
  </si>
  <si>
    <t>1:38:00p.m</t>
  </si>
  <si>
    <t>Missing toby box lid, needs t be replaced</t>
  </si>
  <si>
    <t>2:05:00p.m.</t>
  </si>
  <si>
    <t>2:35:00p.m.</t>
  </si>
  <si>
    <t>2:50:00a.m.</t>
  </si>
  <si>
    <t>2:59:00p.m.</t>
  </si>
  <si>
    <t>No nuts on toby box lid</t>
  </si>
  <si>
    <t>5 min delay on logger from past 6 months</t>
  </si>
  <si>
    <t>Water pooling in gutter 50cm away, also missing red cap</t>
  </si>
  <si>
    <t>Had to use optic cable</t>
  </si>
  <si>
    <t>Padlocked</t>
  </si>
  <si>
    <t>1:00:00 p.m</t>
  </si>
  <si>
    <t>Very silty</t>
  </si>
  <si>
    <t>1:30:00 p.m</t>
  </si>
  <si>
    <t>Had to use optic cable. Oil or black material seems to be in toby box. No nuts on toby box, also 5 min delay on logger</t>
  </si>
  <si>
    <t>No black lid on logger cable</t>
  </si>
  <si>
    <t>.</t>
  </si>
  <si>
    <t>No red cap in toy box</t>
  </si>
  <si>
    <t>12:20:00p.m.</t>
  </si>
  <si>
    <t>12:25:00p.m.</t>
  </si>
  <si>
    <t>toby box full of sand</t>
  </si>
  <si>
    <t>12:40:00p.m.</t>
  </si>
  <si>
    <t>12:42:00p.m.</t>
  </si>
  <si>
    <t>12:48:00p.m.</t>
  </si>
  <si>
    <t>1:03:00p.m.</t>
  </si>
  <si>
    <t>logger out by 7 mins</t>
  </si>
  <si>
    <t>2:50:00 p.m</t>
  </si>
  <si>
    <t>Sprinkler and water feature within 1 m of toby box</t>
  </si>
  <si>
    <t>1:38:00p.m.</t>
  </si>
  <si>
    <t>1:50:00p.m.</t>
  </si>
  <si>
    <t>Temperature fluctuates, and has no seasonality</t>
  </si>
  <si>
    <t>peizo  cap not fitted</t>
  </si>
  <si>
    <t>Toby box displaced</t>
  </si>
  <si>
    <t>googe earth address is wrong-at Harrington Park</t>
  </si>
  <si>
    <t>Actually at 106 Puriri Street</t>
  </si>
  <si>
    <t>Toby box is full of water</t>
  </si>
  <si>
    <t>Coudn'tfind- new layer of soil and grass over top</t>
  </si>
  <si>
    <t>Toby box is full of water. Missing nut for lid. Actually #11</t>
  </si>
  <si>
    <t>Was #85</t>
  </si>
  <si>
    <t>Storm drain right next to toby box</t>
  </si>
  <si>
    <t>1:31:00 p.m</t>
  </si>
  <si>
    <t>1:40:00 p.m</t>
  </si>
  <si>
    <t>2:01:00p.m.</t>
  </si>
  <si>
    <t>No red cap</t>
  </si>
  <si>
    <t>2:20:00 p.m</t>
  </si>
  <si>
    <t>2:13:00 p.m</t>
  </si>
  <si>
    <t>Toby box ful of water</t>
  </si>
  <si>
    <t xml:space="preserve">Car parked over it </t>
  </si>
  <si>
    <t>Paved over</t>
  </si>
  <si>
    <t>2:43:00 p.m</t>
  </si>
  <si>
    <t>10:00:00a.m.</t>
  </si>
  <si>
    <t>Next to a storm drain</t>
  </si>
  <si>
    <t>10:20:00a.m.</t>
  </si>
  <si>
    <t>10:24:00a.m.</t>
  </si>
  <si>
    <t>total depth different to T&amp;T</t>
  </si>
  <si>
    <t>10:40:00a.m.</t>
  </si>
  <si>
    <t>10:48:00a.m.</t>
  </si>
  <si>
    <t>peizo lid sitting loose on tube</t>
  </si>
  <si>
    <t>11:00:00a.m.</t>
  </si>
  <si>
    <t>11:10:00a.m.</t>
  </si>
  <si>
    <t>11:20:00a.m.</t>
  </si>
  <si>
    <t>11:34:00a.m.</t>
  </si>
  <si>
    <t>11:50:00a.m.</t>
  </si>
  <si>
    <t>12:45:00a.m.</t>
  </si>
  <si>
    <t>New Dipper offset from this point on</t>
  </si>
  <si>
    <t>1:05:00p.m.</t>
  </si>
  <si>
    <t>cap of peizo is loose, sitting on a funcky angle</t>
  </si>
  <si>
    <t>1:36:00a.m.</t>
  </si>
  <si>
    <t>2:07:00p.m.</t>
  </si>
  <si>
    <t>Bexley Reserve/ old dipper used</t>
  </si>
  <si>
    <t>2:20:00a.m.</t>
  </si>
  <si>
    <t>2:40:00p.m.</t>
  </si>
  <si>
    <t>toby contains water</t>
  </si>
  <si>
    <t>2:42:00p.m.</t>
  </si>
  <si>
    <t>2:58:00p.m.</t>
  </si>
  <si>
    <t>Needed metal detector- barrologger had ca but other logger did not</t>
  </si>
  <si>
    <t>Found with metal detector</t>
  </si>
  <si>
    <t>located with metal detector. Hole is in depression under rubble</t>
  </si>
  <si>
    <t>12:31 p.m</t>
  </si>
  <si>
    <t>Collar a little broken- sitting on funny angle. Logger 4.5 minutes out</t>
  </si>
  <si>
    <t>1:10:00 p.m</t>
  </si>
  <si>
    <t>1:23:00 p.m</t>
  </si>
  <si>
    <t xml:space="preserve">Missing entire toby box lid, but lid would not fit as the logger is too high in toby box. No red cap </t>
  </si>
  <si>
    <t>Black piezo cap is loose</t>
  </si>
  <si>
    <t>LOCATED</t>
  </si>
  <si>
    <t>No black cap or collar on logger. Had to use optic (directory cable not in good condition)</t>
  </si>
  <si>
    <t>Data logger was 4 minutes out</t>
  </si>
  <si>
    <t xml:space="preserve">Needs metal dector- toby box was ~10cm below dirt. Logger had 3.5 minute lag </t>
  </si>
  <si>
    <t>1:03:00 p.m</t>
  </si>
  <si>
    <t>Quesionable reading- logger would not go beyond 3m</t>
  </si>
  <si>
    <t>3:00 p.m</t>
  </si>
  <si>
    <t>Toby box full of water. No black cap on direct read cable</t>
  </si>
  <si>
    <t>In berm opposite 186 petrie rd, google map address is wrong</t>
  </si>
  <si>
    <t>1:08:00 p.m</t>
  </si>
  <si>
    <t>2:00:00 p.m</t>
  </si>
  <si>
    <t>Could not be found with metal detector- new grass aswell</t>
  </si>
  <si>
    <t>2:48:00 p.m</t>
  </si>
  <si>
    <t>3:10:00 p.m</t>
  </si>
  <si>
    <t>9:54:00a.m.</t>
  </si>
  <si>
    <t>10:10:00a.m.</t>
  </si>
  <si>
    <t>3 mins beind, silty</t>
  </si>
  <si>
    <t>10:34:00a.m.</t>
  </si>
  <si>
    <t>10:49:00a.m.</t>
  </si>
  <si>
    <t>11:45:00a.m.</t>
  </si>
  <si>
    <t>12:00:00p.m</t>
  </si>
  <si>
    <t>Best access from Seabrook Pace</t>
  </si>
  <si>
    <t>1:26:00p.m.</t>
  </si>
  <si>
    <t>1:54:00 p.m</t>
  </si>
  <si>
    <t>2:08:00 p.m</t>
  </si>
  <si>
    <t>Data logger 5 minutes out</t>
  </si>
  <si>
    <t>2:27:00p.m</t>
  </si>
  <si>
    <t>data logger 5 mins out</t>
  </si>
  <si>
    <t>Toby box full of water. Had to use optic cable</t>
  </si>
  <si>
    <t>right next to storm drain</t>
  </si>
  <si>
    <t>12:35:00 p.m</t>
  </si>
  <si>
    <t>comm error- optic cable did not work</t>
  </si>
  <si>
    <t>1:40:00 :p.m</t>
  </si>
  <si>
    <t>2:10:00 p.m,</t>
  </si>
  <si>
    <t>2:51:00 p.m</t>
  </si>
  <si>
    <t>3:00:00 p.m</t>
  </si>
  <si>
    <t>Couldn’t find after 2 visits</t>
  </si>
  <si>
    <t>baro files</t>
  </si>
  <si>
    <t xml:space="preserve"> =for same logger, so -1</t>
  </si>
  <si>
    <t>paved over</t>
  </si>
  <si>
    <t>padlocked</t>
  </si>
  <si>
    <t>landscaped? New soil and grassed over</t>
  </si>
  <si>
    <t>comm error - could not dl</t>
  </si>
  <si>
    <t>not downloaded</t>
  </si>
  <si>
    <t>logger files dl in 2020</t>
  </si>
  <si>
    <t>piezo loggers dl in 2020</t>
  </si>
  <si>
    <t>site FOUND! 170 (+1)</t>
  </si>
  <si>
    <t>dips taken in 2019 stocktake</t>
  </si>
  <si>
    <t>Hagley - couldn’t find after 2 visits</t>
  </si>
  <si>
    <t>under a car</t>
  </si>
  <si>
    <t>12:31:00 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</si>
</sst>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400]h:mm:ss\ AM/PM"/>
    <numFmt numFmtId="165" formatCode="[$-1409]hh:mm:ss\ AM/PM;@"/>
    <numFmt numFmtId="166" formatCode="d/mm/yyyy;@"/>
    <numFmt numFmtId="167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19" fillId="34" borderId="10" xfId="7" applyFont="1" applyFill="1" applyBorder="1" applyAlignment="1">
      <alignment horizontal="center"/>
    </xf>
    <xf numFmtId="0" fontId="0" fillId="33" borderId="10" xfId="0" applyFont="1" applyFill="1" applyBorder="1"/>
    <xf numFmtId="166" fontId="0" fillId="33" borderId="10" xfId="44" applyNumberFormat="1" applyFont="1" applyFill="1" applyBorder="1" applyAlignment="1">
      <alignment horizontal="right" vertical="center" wrapText="1"/>
    </xf>
    <xf numFmtId="9" fontId="0" fillId="33" borderId="10" xfId="0" applyNumberFormat="1" applyFont="1" applyFill="1" applyBorder="1" applyAlignment="1">
      <alignment horizontal="right"/>
    </xf>
    <xf numFmtId="0" fontId="0" fillId="33" borderId="10" xfId="0" applyFont="1" applyFill="1" applyBorder="1" applyAlignment="1">
      <alignment horizontal="center" vertical="center"/>
    </xf>
    <xf numFmtId="0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left" wrapText="1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ont="1" applyFill="1" applyBorder="1"/>
    <xf numFmtId="166" fontId="0" fillId="34" borderId="10" xfId="44" applyNumberFormat="1" applyFont="1" applyFill="1" applyBorder="1" applyAlignment="1">
      <alignment horizontal="right" vertical="center" wrapText="1"/>
    </xf>
    <xf numFmtId="9" fontId="0" fillId="34" borderId="10" xfId="0" applyNumberFormat="1" applyFont="1" applyFill="1" applyBorder="1" applyAlignment="1">
      <alignment horizontal="right"/>
    </xf>
    <xf numFmtId="165" fontId="0" fillId="33" borderId="10" xfId="0" applyNumberFormat="1" applyFont="1" applyFill="1" applyBorder="1" applyAlignment="1">
      <alignment horizontal="center" vertical="center"/>
    </xf>
    <xf numFmtId="165" fontId="0" fillId="33" borderId="10" xfId="0" applyNumberFormat="1" applyFont="1" applyFill="1" applyBorder="1"/>
    <xf numFmtId="9" fontId="0" fillId="33" borderId="10" xfId="0" applyNumberFormat="1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0" fillId="34" borderId="10" xfId="0" applyFont="1" applyFill="1" applyBorder="1" applyAlignment="1">
      <alignment horizontal="center"/>
    </xf>
    <xf numFmtId="0" fontId="0" fillId="34" borderId="10" xfId="0" applyNumberFormat="1" applyFont="1" applyFill="1" applyBorder="1" applyAlignment="1">
      <alignment horizontal="center"/>
    </xf>
    <xf numFmtId="0" fontId="0" fillId="34" borderId="10" xfId="0" applyFont="1" applyFill="1" applyBorder="1" applyAlignment="1">
      <alignment horizontal="left"/>
    </xf>
    <xf numFmtId="0" fontId="13" fillId="36" borderId="13" xfId="0" applyFont="1" applyFill="1" applyBorder="1" applyAlignment="1">
      <alignment horizontal="center" vertical="top" wrapText="1"/>
    </xf>
    <xf numFmtId="0" fontId="13" fillId="36" borderId="14" xfId="0" applyNumberFormat="1" applyFont="1" applyFill="1" applyBorder="1" applyAlignment="1">
      <alignment horizontal="center" vertical="top" wrapText="1"/>
    </xf>
    <xf numFmtId="0" fontId="13" fillId="36" borderId="14" xfId="0" applyFont="1" applyFill="1" applyBorder="1" applyAlignment="1">
      <alignment horizontal="center" vertical="top" wrapText="1"/>
    </xf>
    <xf numFmtId="166" fontId="13" fillId="36" borderId="14" xfId="0" applyNumberFormat="1" applyFont="1" applyFill="1" applyBorder="1" applyAlignment="1">
      <alignment horizontal="center" vertical="top" wrapText="1"/>
    </xf>
    <xf numFmtId="164" fontId="13" fillId="36" borderId="14" xfId="0" applyNumberFormat="1" applyFont="1" applyFill="1" applyBorder="1" applyAlignment="1">
      <alignment horizontal="center" vertical="top" wrapText="1"/>
    </xf>
    <xf numFmtId="0" fontId="20" fillId="35" borderId="14" xfId="0" applyFont="1" applyFill="1" applyBorder="1" applyAlignment="1">
      <alignment horizontal="center" vertical="top" wrapText="1"/>
    </xf>
    <xf numFmtId="0" fontId="13" fillId="36" borderId="15" xfId="0" applyFont="1" applyFill="1" applyBorder="1" applyAlignment="1">
      <alignment horizontal="center" vertical="top" wrapText="1"/>
    </xf>
    <xf numFmtId="0" fontId="13" fillId="36" borderId="16" xfId="0" applyFont="1" applyFill="1" applyBorder="1" applyAlignment="1">
      <alignment horizontal="center" vertical="top" wrapText="1"/>
    </xf>
    <xf numFmtId="0" fontId="0" fillId="0" borderId="10" xfId="42" applyNumberFormat="1" applyFont="1" applyFill="1" applyBorder="1" applyAlignment="1">
      <alignment horizontal="center"/>
    </xf>
    <xf numFmtId="0" fontId="0" fillId="0" borderId="10" xfId="43" applyNumberFormat="1" applyFont="1" applyFill="1" applyBorder="1" applyAlignment="1">
      <alignment horizontal="center" vertical="center" wrapText="1"/>
    </xf>
    <xf numFmtId="165" fontId="0" fillId="0" borderId="10" xfId="43" applyNumberFormat="1" applyFont="1" applyFill="1" applyBorder="1" applyAlignment="1">
      <alignment horizontal="center" vertical="center"/>
    </xf>
    <xf numFmtId="165" fontId="0" fillId="0" borderId="10" xfId="44" applyNumberFormat="1" applyFont="1" applyFill="1" applyBorder="1" applyAlignment="1">
      <alignment horizontal="left" wrapText="1"/>
    </xf>
    <xf numFmtId="166" fontId="0" fillId="0" borderId="10" xfId="44" applyNumberFormat="1" applyFont="1" applyFill="1" applyBorder="1" applyAlignment="1">
      <alignment horizontal="right" vertical="center" wrapText="1"/>
    </xf>
    <xf numFmtId="0" fontId="0" fillId="0" borderId="10" xfId="0" applyFont="1" applyFill="1" applyBorder="1"/>
    <xf numFmtId="9" fontId="0" fillId="0" borderId="1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/>
    </xf>
    <xf numFmtId="9" fontId="0" fillId="0" borderId="10" xfId="0" applyNumberFormat="1" applyFont="1" applyFill="1" applyBorder="1" applyAlignment="1">
      <alignment horizontal="right" wrapText="1"/>
    </xf>
    <xf numFmtId="0" fontId="0" fillId="0" borderId="10" xfId="0" applyFont="1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42" applyNumberFormat="1" applyFont="1" applyFill="1" applyBorder="1" applyAlignment="1">
      <alignment horizontal="center" vertical="center" wrapText="1"/>
    </xf>
    <xf numFmtId="165" fontId="0" fillId="0" borderId="10" xfId="43" applyNumberFormat="1" applyFont="1" applyFill="1" applyBorder="1" applyAlignment="1">
      <alignment horizontal="center" vertical="center" wrapText="1"/>
    </xf>
    <xf numFmtId="49" fontId="0" fillId="0" borderId="10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165" fontId="0" fillId="0" borderId="10" xfId="0" applyNumberFormat="1" applyFont="1" applyFill="1" applyBorder="1" applyAlignment="1">
      <alignment horizontal="center" vertical="center" wrapText="1"/>
    </xf>
    <xf numFmtId="165" fontId="0" fillId="0" borderId="10" xfId="0" applyNumberFormat="1" applyFont="1" applyFill="1" applyBorder="1" applyAlignment="1">
      <alignment horizontal="left" wrapText="1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/>
    <xf numFmtId="0" fontId="0" fillId="0" borderId="10" xfId="44" applyNumberFormat="1" applyFont="1" applyFill="1" applyBorder="1" applyAlignment="1">
      <alignment wrapText="1"/>
    </xf>
    <xf numFmtId="0" fontId="0" fillId="0" borderId="10" xfId="0" applyFont="1" applyFill="1" applyBorder="1" applyAlignment="1">
      <alignment wrapText="1"/>
    </xf>
    <xf numFmtId="0" fontId="18" fillId="0" borderId="10" xfId="0" applyFont="1" applyFill="1" applyBorder="1"/>
    <xf numFmtId="0" fontId="19" fillId="0" borderId="10" xfId="0" applyFont="1" applyFill="1" applyBorder="1"/>
    <xf numFmtId="49" fontId="0" fillId="0" borderId="10" xfId="0" applyNumberFormat="1" applyFont="1" applyFill="1" applyBorder="1" applyAlignment="1">
      <alignment horizontal="center"/>
    </xf>
    <xf numFmtId="0" fontId="0" fillId="0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0" fillId="0" borderId="12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" xfId="42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/>
    </xf>
    <xf numFmtId="49" fontId="19" fillId="0" borderId="10" xfId="0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/>
    </xf>
    <xf numFmtId="0" fontId="19" fillId="34" borderId="10" xfId="42" applyNumberFormat="1" applyFont="1" applyFill="1" applyBorder="1" applyAlignment="1">
      <alignment horizontal="center" vertical="center" wrapText="1"/>
    </xf>
    <xf numFmtId="0" fontId="19" fillId="33" borderId="10" xfId="42" applyNumberFormat="1" applyFont="1" applyFill="1" applyBorder="1" applyAlignment="1">
      <alignment horizontal="center" vertical="center" wrapText="1"/>
    </xf>
    <xf numFmtId="49" fontId="19" fillId="34" borderId="10" xfId="0" applyNumberFormat="1" applyFont="1" applyFill="1" applyBorder="1" applyAlignment="1">
      <alignment horizontal="center" vertical="center" wrapText="1"/>
    </xf>
    <xf numFmtId="0" fontId="7" fillId="3" borderId="10" xfId="7" applyBorder="1" applyAlignment="1">
      <alignment horizontal="center"/>
    </xf>
    <xf numFmtId="0" fontId="7" fillId="3" borderId="10" xfId="7" applyNumberFormat="1" applyBorder="1" applyAlignment="1">
      <alignment horizontal="center"/>
    </xf>
    <xf numFmtId="0" fontId="7" fillId="3" borderId="10" xfId="7" applyBorder="1" applyAlignment="1">
      <alignment horizontal="center" vertical="center"/>
    </xf>
    <xf numFmtId="0" fontId="7" fillId="3" borderId="10" xfId="7" applyBorder="1"/>
    <xf numFmtId="166" fontId="7" fillId="3" borderId="10" xfId="7" applyNumberFormat="1" applyBorder="1" applyAlignment="1">
      <alignment horizontal="right" vertical="center" wrapText="1"/>
    </xf>
    <xf numFmtId="9" fontId="7" fillId="3" borderId="10" xfId="7" applyNumberFormat="1" applyBorder="1" applyAlignment="1">
      <alignment horizontal="right"/>
    </xf>
    <xf numFmtId="0" fontId="7" fillId="3" borderId="10" xfId="7" applyBorder="1" applyAlignment="1">
      <alignment horizontal="left" wrapText="1"/>
    </xf>
    <xf numFmtId="0" fontId="19" fillId="0" borderId="10" xfId="7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166" fontId="19" fillId="0" borderId="10" xfId="44" applyNumberFormat="1" applyFont="1" applyFill="1" applyBorder="1" applyAlignment="1">
      <alignment horizontal="right" vertical="center" wrapText="1"/>
    </xf>
    <xf numFmtId="9" fontId="19" fillId="0" borderId="10" xfId="0" applyNumberFormat="1" applyFont="1" applyFill="1" applyBorder="1" applyAlignment="1">
      <alignment horizontal="right"/>
    </xf>
    <xf numFmtId="0" fontId="19" fillId="0" borderId="10" xfId="0" applyFont="1" applyFill="1" applyBorder="1" applyAlignment="1">
      <alignment horizontal="left" wrapText="1"/>
    </xf>
    <xf numFmtId="0" fontId="0" fillId="34" borderId="10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33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0" fillId="0" borderId="10" xfId="0" applyNumberFormat="1" applyFont="1" applyFill="1" applyBorder="1" applyAlignment="1">
      <alignment horizontal="right" wrapText="1"/>
    </xf>
    <xf numFmtId="0" fontId="7" fillId="3" borderId="10" xfId="7" applyBorder="1" applyAlignment="1">
      <alignment horizontal="right"/>
    </xf>
    <xf numFmtId="14" fontId="0" fillId="34" borderId="10" xfId="0" applyNumberFormat="1" applyFont="1" applyFill="1" applyBorder="1" applyAlignment="1">
      <alignment horizontal="right"/>
    </xf>
    <xf numFmtId="164" fontId="0" fillId="34" borderId="10" xfId="0" applyNumberFormat="1" applyFont="1" applyFill="1" applyBorder="1" applyAlignment="1">
      <alignment horizontal="right"/>
    </xf>
    <xf numFmtId="164" fontId="0" fillId="33" borderId="10" xfId="0" applyNumberFormat="1" applyFont="1" applyFill="1" applyBorder="1" applyAlignment="1">
      <alignment horizontal="right"/>
    </xf>
    <xf numFmtId="14" fontId="0" fillId="0" borderId="10" xfId="0" applyNumberFormat="1" applyFont="1" applyFill="1" applyBorder="1" applyAlignment="1">
      <alignment horizontal="right"/>
    </xf>
    <xf numFmtId="164" fontId="0" fillId="0" borderId="10" xfId="0" applyNumberFormat="1" applyFont="1" applyFill="1" applyBorder="1" applyAlignment="1">
      <alignment horizontal="right"/>
    </xf>
    <xf numFmtId="14" fontId="0" fillId="33" borderId="10" xfId="0" applyNumberFormat="1" applyFont="1" applyFill="1" applyBorder="1" applyAlignment="1">
      <alignment horizontal="right"/>
    </xf>
    <xf numFmtId="164" fontId="0" fillId="0" borderId="10" xfId="0" applyNumberFormat="1" applyFont="1" applyFill="1" applyBorder="1" applyAlignment="1">
      <alignment horizontal="right" wrapText="1"/>
    </xf>
    <xf numFmtId="0" fontId="0" fillId="0" borderId="10" xfId="0" applyNumberFormat="1" applyFont="1" applyFill="1" applyBorder="1" applyAlignment="1">
      <alignment horizontal="right"/>
    </xf>
    <xf numFmtId="16" fontId="0" fillId="0" borderId="10" xfId="0" applyNumberFormat="1" applyFont="1" applyFill="1" applyBorder="1" applyAlignment="1">
      <alignment horizontal="right"/>
    </xf>
    <xf numFmtId="14" fontId="7" fillId="3" borderId="10" xfId="7" applyNumberFormat="1" applyBorder="1" applyAlignment="1">
      <alignment horizontal="right"/>
    </xf>
    <xf numFmtId="164" fontId="7" fillId="3" borderId="10" xfId="7" applyNumberFormat="1" applyBorder="1" applyAlignment="1">
      <alignment horizontal="right"/>
    </xf>
    <xf numFmtId="14" fontId="19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37" borderId="10" xfId="0" applyFont="1" applyFill="1" applyBorder="1" applyAlignment="1">
      <alignment horizontal="right"/>
    </xf>
    <xf numFmtId="0" fontId="0" fillId="38" borderId="0" xfId="0" applyFill="1"/>
    <xf numFmtId="0" fontId="19" fillId="38" borderId="10" xfId="0" applyFont="1" applyFill="1" applyBorder="1" applyAlignment="1">
      <alignment horizontal="center"/>
    </xf>
    <xf numFmtId="0" fontId="19" fillId="38" borderId="10" xfId="42" applyNumberFormat="1" applyFont="1" applyFill="1" applyBorder="1" applyAlignment="1">
      <alignment horizontal="center" vertical="center" wrapText="1"/>
    </xf>
    <xf numFmtId="0" fontId="0" fillId="38" borderId="10" xfId="43" applyNumberFormat="1" applyFont="1" applyFill="1" applyBorder="1" applyAlignment="1">
      <alignment horizontal="center" vertical="center" wrapText="1"/>
    </xf>
    <xf numFmtId="165" fontId="0" fillId="38" borderId="10" xfId="43" applyNumberFormat="1" applyFont="1" applyFill="1" applyBorder="1" applyAlignment="1">
      <alignment horizontal="center" vertical="center" wrapText="1"/>
    </xf>
    <xf numFmtId="166" fontId="0" fillId="38" borderId="10" xfId="44" applyNumberFormat="1" applyFont="1" applyFill="1" applyBorder="1" applyAlignment="1">
      <alignment horizontal="right" vertical="center" wrapText="1"/>
    </xf>
    <xf numFmtId="14" fontId="0" fillId="38" borderId="10" xfId="0" applyNumberFormat="1" applyFont="1" applyFill="1" applyBorder="1" applyAlignment="1">
      <alignment horizontal="right"/>
    </xf>
    <xf numFmtId="164" fontId="0" fillId="38" borderId="10" xfId="0" applyNumberFormat="1" applyFont="1" applyFill="1" applyBorder="1" applyAlignment="1">
      <alignment horizontal="right"/>
    </xf>
    <xf numFmtId="0" fontId="0" fillId="38" borderId="10" xfId="0" applyFont="1" applyFill="1" applyBorder="1" applyAlignment="1">
      <alignment horizontal="right"/>
    </xf>
    <xf numFmtId="9" fontId="0" fillId="38" borderId="10" xfId="0" applyNumberFormat="1" applyFont="1" applyFill="1" applyBorder="1" applyAlignment="1">
      <alignment horizontal="right"/>
    </xf>
    <xf numFmtId="0" fontId="0" fillId="38" borderId="10" xfId="0" applyFont="1" applyFill="1" applyBorder="1" applyAlignment="1">
      <alignment horizontal="left" wrapText="1"/>
    </xf>
    <xf numFmtId="0" fontId="0" fillId="0" borderId="0" xfId="0" applyFill="1"/>
    <xf numFmtId="0" fontId="0" fillId="33" borderId="17" xfId="0" applyNumberFormat="1" applyFont="1" applyFill="1" applyBorder="1" applyAlignment="1">
      <alignment horizontal="center"/>
    </xf>
    <xf numFmtId="0" fontId="0" fillId="33" borderId="17" xfId="0" applyFont="1" applyFill="1" applyBorder="1" applyAlignment="1">
      <alignment horizontal="center"/>
    </xf>
    <xf numFmtId="0" fontId="0" fillId="34" borderId="17" xfId="0" applyFont="1" applyFill="1" applyBorder="1" applyAlignment="1">
      <alignment horizontal="center"/>
    </xf>
    <xf numFmtId="0" fontId="0" fillId="0" borderId="17" xfId="42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42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/>
    </xf>
    <xf numFmtId="0" fontId="0" fillId="38" borderId="17" xfId="42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/>
    </xf>
    <xf numFmtId="0" fontId="7" fillId="3" borderId="17" xfId="7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13" fillId="36" borderId="10" xfId="0" applyFont="1" applyFill="1" applyBorder="1" applyAlignment="1">
      <alignment horizontal="center" vertical="top" wrapText="1"/>
    </xf>
    <xf numFmtId="0" fontId="0" fillId="0" borderId="10" xfId="0" applyBorder="1"/>
    <xf numFmtId="167" fontId="0" fillId="33" borderId="10" xfId="0" applyNumberFormat="1" applyFont="1" applyFill="1" applyBorder="1" applyAlignment="1">
      <alignment horizontal="right"/>
    </xf>
    <xf numFmtId="167" fontId="0" fillId="34" borderId="10" xfId="0" applyNumberFormat="1" applyFont="1" applyFill="1" applyBorder="1" applyAlignment="1">
      <alignment horizontal="right"/>
    </xf>
    <xf numFmtId="167" fontId="0" fillId="0" borderId="10" xfId="0" applyNumberFormat="1" applyFont="1" applyFill="1" applyBorder="1" applyAlignment="1">
      <alignment horizontal="right"/>
    </xf>
    <xf numFmtId="167" fontId="0" fillId="0" borderId="10" xfId="0" applyNumberFormat="1" applyFont="1" applyFill="1" applyBorder="1" applyAlignment="1">
      <alignment horizontal="right" wrapText="1"/>
    </xf>
    <xf numFmtId="167" fontId="0" fillId="38" borderId="10" xfId="0" applyNumberFormat="1" applyFont="1" applyFill="1" applyBorder="1" applyAlignment="1">
      <alignment horizontal="right"/>
    </xf>
    <xf numFmtId="167" fontId="7" fillId="3" borderId="10" xfId="7" applyNumberFormat="1" applyBorder="1" applyAlignment="1">
      <alignment horizontal="right"/>
    </xf>
    <xf numFmtId="167" fontId="19" fillId="0" borderId="10" xfId="0" applyNumberFormat="1" applyFont="1" applyFill="1" applyBorder="1" applyAlignment="1">
      <alignment horizontal="right"/>
    </xf>
    <xf numFmtId="2" fontId="0" fillId="0" borderId="10" xfId="0" applyNumberFormat="1" applyFont="1" applyFill="1" applyBorder="1" applyAlignment="1">
      <alignment horizontal="right"/>
    </xf>
    <xf numFmtId="2" fontId="0" fillId="33" borderId="10" xfId="0" applyNumberFormat="1" applyFont="1" applyFill="1" applyBorder="1" applyAlignment="1">
      <alignment horizontal="right"/>
    </xf>
    <xf numFmtId="2" fontId="0" fillId="34" borderId="10" xfId="0" applyNumberFormat="1" applyFont="1" applyFill="1" applyBorder="1" applyAlignment="1">
      <alignment horizontal="right"/>
    </xf>
    <xf numFmtId="2" fontId="0" fillId="38" borderId="10" xfId="0" applyNumberFormat="1" applyFont="1" applyFill="1" applyBorder="1" applyAlignment="1">
      <alignment horizontal="right"/>
    </xf>
    <xf numFmtId="2" fontId="7" fillId="3" borderId="10" xfId="7" applyNumberFormat="1" applyBorder="1" applyAlignment="1">
      <alignment horizontal="right"/>
    </xf>
    <xf numFmtId="2" fontId="19" fillId="0" borderId="10" xfId="0" applyNumberFormat="1" applyFont="1" applyFill="1" applyBorder="1" applyAlignment="1">
      <alignment horizontal="right"/>
    </xf>
    <xf numFmtId="2" fontId="0" fillId="0" borderId="0" xfId="0" applyNumberFormat="1"/>
    <xf numFmtId="0" fontId="0" fillId="0" borderId="10" xfId="0" applyFill="1" applyBorder="1"/>
    <xf numFmtId="0" fontId="0" fillId="37" borderId="10" xfId="0" applyFill="1" applyBorder="1"/>
    <xf numFmtId="0" fontId="0" fillId="37" borderId="17" xfId="0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/>
    </xf>
    <xf numFmtId="0" fontId="0" fillId="37" borderId="10" xfId="0" applyNumberFormat="1" applyFont="1" applyFill="1" applyBorder="1" applyAlignment="1">
      <alignment horizontal="center"/>
    </xf>
    <xf numFmtId="0" fontId="0" fillId="37" borderId="10" xfId="0" applyFont="1" applyFill="1" applyBorder="1" applyAlignment="1">
      <alignment horizontal="center" vertical="center"/>
    </xf>
    <xf numFmtId="0" fontId="0" fillId="37" borderId="10" xfId="0" applyFont="1" applyFill="1" applyBorder="1"/>
    <xf numFmtId="166" fontId="0" fillId="37" borderId="10" xfId="44" applyNumberFormat="1" applyFont="1" applyFill="1" applyBorder="1" applyAlignment="1">
      <alignment horizontal="right" vertical="center" wrapText="1"/>
    </xf>
    <xf numFmtId="14" fontId="0" fillId="37" borderId="10" xfId="0" applyNumberFormat="1" applyFont="1" applyFill="1" applyBorder="1" applyAlignment="1">
      <alignment horizontal="right"/>
    </xf>
    <xf numFmtId="164" fontId="0" fillId="37" borderId="10" xfId="0" applyNumberFormat="1" applyFont="1" applyFill="1" applyBorder="1" applyAlignment="1">
      <alignment horizontal="right"/>
    </xf>
    <xf numFmtId="167" fontId="0" fillId="37" borderId="10" xfId="0" applyNumberFormat="1" applyFont="1" applyFill="1" applyBorder="1" applyAlignment="1">
      <alignment horizontal="right"/>
    </xf>
    <xf numFmtId="2" fontId="0" fillId="37" borderId="10" xfId="0" applyNumberFormat="1" applyFont="1" applyFill="1" applyBorder="1" applyAlignment="1">
      <alignment horizontal="right"/>
    </xf>
    <xf numFmtId="9" fontId="0" fillId="37" borderId="10" xfId="0" applyNumberFormat="1" applyFont="1" applyFill="1" applyBorder="1" applyAlignment="1">
      <alignment horizontal="right"/>
    </xf>
    <xf numFmtId="0" fontId="0" fillId="37" borderId="10" xfId="0" applyFont="1" applyFill="1" applyBorder="1" applyAlignment="1">
      <alignment horizontal="left" wrapText="1"/>
    </xf>
    <xf numFmtId="14" fontId="21" fillId="0" borderId="10" xfId="0" applyNumberFormat="1" applyFont="1" applyFill="1" applyBorder="1" applyAlignment="1">
      <alignment horizontal="right"/>
    </xf>
    <xf numFmtId="164" fontId="21" fillId="0" borderId="10" xfId="0" applyNumberFormat="1" applyFont="1" applyFill="1" applyBorder="1" applyAlignment="1">
      <alignment horizontal="right"/>
    </xf>
    <xf numFmtId="167" fontId="21" fillId="0" borderId="10" xfId="0" applyNumberFormat="1" applyFont="1" applyFill="1" applyBorder="1" applyAlignment="1">
      <alignment horizontal="right"/>
    </xf>
    <xf numFmtId="2" fontId="21" fillId="0" borderId="10" xfId="0" applyNumberFormat="1" applyFont="1" applyFill="1" applyBorder="1" applyAlignment="1">
      <alignment horizontal="right"/>
    </xf>
    <xf numFmtId="0" fontId="0" fillId="38" borderId="10" xfId="0" applyFill="1" applyBorder="1"/>
    <xf numFmtId="0" fontId="0" fillId="38" borderId="17" xfId="0" applyFont="1" applyFill="1" applyBorder="1" applyAlignment="1">
      <alignment horizontal="center"/>
    </xf>
    <xf numFmtId="0" fontId="0" fillId="38" borderId="10" xfId="0" applyNumberFormat="1" applyFont="1" applyFill="1" applyBorder="1" applyAlignment="1">
      <alignment horizontal="center"/>
    </xf>
    <xf numFmtId="0" fontId="0" fillId="38" borderId="10" xfId="0" applyFont="1" applyFill="1" applyBorder="1" applyAlignment="1">
      <alignment horizontal="center" vertical="center"/>
    </xf>
    <xf numFmtId="0" fontId="0" fillId="38" borderId="10" xfId="0" applyFont="1" applyFill="1" applyBorder="1"/>
    <xf numFmtId="165" fontId="0" fillId="38" borderId="10" xfId="44" applyNumberFormat="1" applyFont="1" applyFill="1" applyBorder="1" applyAlignment="1">
      <alignment horizontal="left" wrapText="1"/>
    </xf>
    <xf numFmtId="9" fontId="0" fillId="38" borderId="10" xfId="0" applyNumberFormat="1" applyFont="1" applyFill="1" applyBorder="1" applyAlignment="1">
      <alignment horizontal="left" wrapText="1"/>
    </xf>
    <xf numFmtId="0" fontId="0" fillId="38" borderId="10" xfId="0" applyFont="1" applyFill="1" applyBorder="1" applyAlignment="1">
      <alignment horizontal="center"/>
    </xf>
    <xf numFmtId="14" fontId="21" fillId="38" borderId="10" xfId="0" applyNumberFormat="1" applyFont="1" applyFill="1" applyBorder="1" applyAlignment="1">
      <alignment horizontal="right"/>
    </xf>
    <xf numFmtId="164" fontId="21" fillId="38" borderId="10" xfId="0" applyNumberFormat="1" applyFont="1" applyFill="1" applyBorder="1" applyAlignment="1">
      <alignment horizontal="right"/>
    </xf>
    <xf numFmtId="167" fontId="21" fillId="38" borderId="10" xfId="0" applyNumberFormat="1" applyFont="1" applyFill="1" applyBorder="1" applyAlignment="1">
      <alignment horizontal="right"/>
    </xf>
    <xf numFmtId="2" fontId="21" fillId="38" borderId="10" xfId="0" applyNumberFormat="1" applyFont="1" applyFill="1" applyBorder="1" applyAlignment="1">
      <alignment horizontal="right"/>
    </xf>
    <xf numFmtId="0" fontId="0" fillId="37" borderId="10" xfId="0" applyFont="1" applyFill="1" applyBorder="1" applyAlignment="1">
      <alignment horizontal="left"/>
    </xf>
    <xf numFmtId="165" fontId="19" fillId="0" borderId="10" xfId="43" applyNumberFormat="1" applyFont="1" applyFill="1" applyBorder="1" applyAlignment="1">
      <alignment horizontal="center" vertical="center" wrapText="1"/>
    </xf>
    <xf numFmtId="165" fontId="19" fillId="0" borderId="10" xfId="44" applyNumberFormat="1" applyFont="1" applyFill="1" applyBorder="1" applyAlignment="1">
      <alignment horizontal="left" wrapText="1"/>
    </xf>
    <xf numFmtId="164" fontId="19" fillId="0" borderId="10" xfId="0" applyNumberFormat="1" applyFont="1" applyFill="1" applyBorder="1" applyAlignment="1">
      <alignment horizontal="right" wrapText="1"/>
    </xf>
    <xf numFmtId="167" fontId="19" fillId="0" borderId="10" xfId="0" applyNumberFormat="1" applyFont="1" applyFill="1" applyBorder="1" applyAlignment="1">
      <alignment horizontal="right" wrapText="1"/>
    </xf>
    <xf numFmtId="2" fontId="19" fillId="0" borderId="10" xfId="0" applyNumberFormat="1" applyFont="1" applyFill="1" applyBorder="1" applyAlignment="1">
      <alignment horizontal="right" wrapText="1"/>
    </xf>
    <xf numFmtId="9" fontId="19" fillId="0" borderId="10" xfId="0" applyNumberFormat="1" applyFont="1" applyFill="1" applyBorder="1" applyAlignment="1">
      <alignment horizontal="right" wrapText="1"/>
    </xf>
    <xf numFmtId="19" fontId="0" fillId="0" borderId="10" xfId="0" applyNumberFormat="1" applyFont="1" applyFill="1" applyBorder="1" applyAlignment="1">
      <alignment horizontal="right"/>
    </xf>
    <xf numFmtId="14" fontId="22" fillId="0" borderId="10" xfId="0" applyNumberFormat="1" applyFont="1" applyFill="1" applyBorder="1" applyAlignment="1">
      <alignment horizontal="right"/>
    </xf>
    <xf numFmtId="0" fontId="0" fillId="39" borderId="10" xfId="0" applyFill="1" applyBorder="1"/>
    <xf numFmtId="0" fontId="0" fillId="39" borderId="17" xfId="0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0" fontId="0" fillId="39" borderId="10" xfId="0" applyNumberFormat="1" applyFont="1" applyFill="1" applyBorder="1" applyAlignment="1">
      <alignment horizontal="center"/>
    </xf>
    <xf numFmtId="0" fontId="0" fillId="39" borderId="10" xfId="0" applyFont="1" applyFill="1" applyBorder="1" applyAlignment="1">
      <alignment horizontal="center" vertical="center"/>
    </xf>
    <xf numFmtId="0" fontId="0" fillId="39" borderId="10" xfId="0" applyFont="1" applyFill="1" applyBorder="1"/>
    <xf numFmtId="166" fontId="0" fillId="39" borderId="10" xfId="44" applyNumberFormat="1" applyFont="1" applyFill="1" applyBorder="1" applyAlignment="1">
      <alignment horizontal="right" vertical="center" wrapText="1"/>
    </xf>
    <xf numFmtId="14" fontId="0" fillId="39" borderId="10" xfId="0" applyNumberFormat="1" applyFont="1" applyFill="1" applyBorder="1" applyAlignment="1">
      <alignment horizontal="right"/>
    </xf>
    <xf numFmtId="164" fontId="0" fillId="39" borderId="10" xfId="0" applyNumberFormat="1" applyFont="1" applyFill="1" applyBorder="1" applyAlignment="1">
      <alignment horizontal="right"/>
    </xf>
    <xf numFmtId="167" fontId="0" fillId="39" borderId="10" xfId="0" applyNumberFormat="1" applyFont="1" applyFill="1" applyBorder="1" applyAlignment="1">
      <alignment horizontal="right"/>
    </xf>
    <xf numFmtId="2" fontId="0" fillId="39" borderId="10" xfId="0" applyNumberFormat="1" applyFont="1" applyFill="1" applyBorder="1" applyAlignment="1">
      <alignment horizontal="right"/>
    </xf>
    <xf numFmtId="0" fontId="0" fillId="39" borderId="10" xfId="0" applyFont="1" applyFill="1" applyBorder="1" applyAlignment="1">
      <alignment horizontal="right"/>
    </xf>
    <xf numFmtId="9" fontId="0" fillId="39" borderId="10" xfId="0" applyNumberFormat="1" applyFont="1" applyFill="1" applyBorder="1" applyAlignment="1">
      <alignment horizontal="right"/>
    </xf>
    <xf numFmtId="0" fontId="0" fillId="39" borderId="10" xfId="0" applyFont="1" applyFill="1" applyBorder="1" applyAlignment="1">
      <alignment horizontal="left" wrapText="1"/>
    </xf>
    <xf numFmtId="0" fontId="0" fillId="39" borderId="0" xfId="0" applyFill="1"/>
    <xf numFmtId="0" fontId="0" fillId="38" borderId="10" xfId="42" applyNumberFormat="1" applyFont="1" applyFill="1" applyBorder="1" applyAlignment="1">
      <alignment horizontal="center" vertical="center" wrapText="1"/>
    </xf>
    <xf numFmtId="0" fontId="14" fillId="40" borderId="10" xfId="0" applyFont="1" applyFill="1" applyBorder="1"/>
    <xf numFmtId="0" fontId="14" fillId="40" borderId="17" xfId="42" applyNumberFormat="1" applyFont="1" applyFill="1" applyBorder="1" applyAlignment="1">
      <alignment horizontal="center" vertical="center" wrapText="1"/>
    </xf>
    <xf numFmtId="0" fontId="14" fillId="40" borderId="10" xfId="0" applyFont="1" applyFill="1" applyBorder="1" applyAlignment="1">
      <alignment horizontal="center"/>
    </xf>
    <xf numFmtId="0" fontId="14" fillId="40" borderId="10" xfId="43" applyNumberFormat="1" applyFont="1" applyFill="1" applyBorder="1" applyAlignment="1">
      <alignment horizontal="center" vertical="center" wrapText="1"/>
    </xf>
    <xf numFmtId="165" fontId="14" fillId="40" borderId="10" xfId="43" applyNumberFormat="1" applyFont="1" applyFill="1" applyBorder="1" applyAlignment="1">
      <alignment horizontal="center" vertical="center" wrapText="1"/>
    </xf>
    <xf numFmtId="165" fontId="14" fillId="40" borderId="10" xfId="44" applyNumberFormat="1" applyFont="1" applyFill="1" applyBorder="1" applyAlignment="1">
      <alignment horizontal="left" wrapText="1"/>
    </xf>
    <xf numFmtId="166" fontId="14" fillId="40" borderId="10" xfId="44" applyNumberFormat="1" applyFont="1" applyFill="1" applyBorder="1" applyAlignment="1">
      <alignment horizontal="right" vertical="center" wrapText="1"/>
    </xf>
    <xf numFmtId="14" fontId="14" fillId="40" borderId="10" xfId="0" applyNumberFormat="1" applyFont="1" applyFill="1" applyBorder="1" applyAlignment="1">
      <alignment horizontal="right"/>
    </xf>
    <xf numFmtId="164" fontId="14" fillId="40" borderId="10" xfId="0" applyNumberFormat="1" applyFont="1" applyFill="1" applyBorder="1" applyAlignment="1">
      <alignment horizontal="right"/>
    </xf>
    <xf numFmtId="167" fontId="14" fillId="40" borderId="10" xfId="0" applyNumberFormat="1" applyFont="1" applyFill="1" applyBorder="1" applyAlignment="1">
      <alignment horizontal="right"/>
    </xf>
    <xf numFmtId="2" fontId="14" fillId="40" borderId="10" xfId="0" applyNumberFormat="1" applyFont="1" applyFill="1" applyBorder="1" applyAlignment="1">
      <alignment horizontal="right"/>
    </xf>
    <xf numFmtId="0" fontId="14" fillId="40" borderId="10" xfId="0" applyFont="1" applyFill="1" applyBorder="1" applyAlignment="1">
      <alignment horizontal="right"/>
    </xf>
    <xf numFmtId="9" fontId="14" fillId="40" borderId="10" xfId="0" applyNumberFormat="1" applyFont="1" applyFill="1" applyBorder="1" applyAlignment="1">
      <alignment horizontal="right"/>
    </xf>
    <xf numFmtId="0" fontId="14" fillId="40" borderId="10" xfId="0" applyFont="1" applyFill="1" applyBorder="1" applyAlignment="1">
      <alignment horizontal="left" wrapText="1"/>
    </xf>
    <xf numFmtId="0" fontId="14" fillId="40" borderId="0" xfId="0" applyFont="1" applyFill="1"/>
    <xf numFmtId="0" fontId="0" fillId="40" borderId="10" xfId="0" applyFill="1" applyBorder="1"/>
    <xf numFmtId="0" fontId="0" fillId="40" borderId="17" xfId="42" applyNumberFormat="1" applyFont="1" applyFill="1" applyBorder="1" applyAlignment="1">
      <alignment horizontal="center" vertical="center" wrapText="1"/>
    </xf>
    <xf numFmtId="0" fontId="0" fillId="40" borderId="10" xfId="0" applyFont="1" applyFill="1" applyBorder="1" applyAlignment="1">
      <alignment horizontal="center"/>
    </xf>
    <xf numFmtId="0" fontId="0" fillId="40" borderId="10" xfId="43" applyNumberFormat="1" applyFont="1" applyFill="1" applyBorder="1" applyAlignment="1">
      <alignment horizontal="center" vertical="center" wrapText="1"/>
    </xf>
    <xf numFmtId="165" fontId="0" fillId="40" borderId="10" xfId="43" applyNumberFormat="1" applyFont="1" applyFill="1" applyBorder="1" applyAlignment="1">
      <alignment horizontal="center" vertical="center" wrapText="1"/>
    </xf>
    <xf numFmtId="165" fontId="0" fillId="40" borderId="10" xfId="44" applyNumberFormat="1" applyFont="1" applyFill="1" applyBorder="1" applyAlignment="1">
      <alignment horizontal="left" wrapText="1"/>
    </xf>
    <xf numFmtId="166" fontId="0" fillId="40" borderId="10" xfId="44" applyNumberFormat="1" applyFont="1" applyFill="1" applyBorder="1" applyAlignment="1">
      <alignment horizontal="right" vertical="center" wrapText="1"/>
    </xf>
    <xf numFmtId="14" fontId="0" fillId="40" borderId="10" xfId="0" applyNumberFormat="1" applyFont="1" applyFill="1" applyBorder="1" applyAlignment="1">
      <alignment horizontal="right"/>
    </xf>
    <xf numFmtId="164" fontId="0" fillId="40" borderId="10" xfId="0" applyNumberFormat="1" applyFont="1" applyFill="1" applyBorder="1" applyAlignment="1">
      <alignment horizontal="right"/>
    </xf>
    <xf numFmtId="167" fontId="0" fillId="40" borderId="10" xfId="0" applyNumberFormat="1" applyFont="1" applyFill="1" applyBorder="1" applyAlignment="1">
      <alignment horizontal="right"/>
    </xf>
    <xf numFmtId="2" fontId="0" fillId="40" borderId="10" xfId="0" applyNumberFormat="1" applyFont="1" applyFill="1" applyBorder="1" applyAlignment="1">
      <alignment horizontal="right"/>
    </xf>
    <xf numFmtId="0" fontId="0" fillId="40" borderId="10" xfId="0" applyFont="1" applyFill="1" applyBorder="1" applyAlignment="1">
      <alignment horizontal="right"/>
    </xf>
    <xf numFmtId="9" fontId="0" fillId="40" borderId="10" xfId="0" applyNumberFormat="1" applyFont="1" applyFill="1" applyBorder="1" applyAlignment="1">
      <alignment horizontal="right"/>
    </xf>
    <xf numFmtId="0" fontId="0" fillId="40" borderId="10" xfId="0" applyFont="1" applyFill="1" applyBorder="1" applyAlignment="1">
      <alignment horizontal="left" wrapText="1"/>
    </xf>
    <xf numFmtId="0" fontId="0" fillId="40" borderId="0" xfId="0" applyFill="1"/>
    <xf numFmtId="0" fontId="19" fillId="40" borderId="10" xfId="42" applyNumberFormat="1" applyFont="1" applyFill="1" applyBorder="1" applyAlignment="1">
      <alignment horizontal="center" vertical="center" wrapText="1"/>
    </xf>
    <xf numFmtId="0" fontId="0" fillId="38" borderId="10" xfId="0" applyFont="1" applyFill="1" applyBorder="1" applyAlignment="1">
      <alignment wrapText="1"/>
    </xf>
    <xf numFmtId="9" fontId="0" fillId="0" borderId="0" xfId="45" applyFont="1"/>
    <xf numFmtId="2" fontId="22" fillId="0" borderId="10" xfId="0" applyNumberFormat="1" applyFont="1" applyFill="1" applyBorder="1" applyAlignment="1">
      <alignment horizontal="right"/>
    </xf>
    <xf numFmtId="0" fontId="0" fillId="37" borderId="0" xfId="0" applyFill="1"/>
    <xf numFmtId="49" fontId="0" fillId="38" borderId="17" xfId="0" applyNumberFormat="1" applyFont="1" applyFill="1" applyBorder="1" applyAlignment="1">
      <alignment horizontal="center" vertical="center" wrapText="1"/>
    </xf>
    <xf numFmtId="0" fontId="0" fillId="38" borderId="10" xfId="0" applyNumberFormat="1" applyFont="1" applyFill="1" applyBorder="1" applyAlignment="1">
      <alignment horizontal="center" vertical="center" wrapText="1"/>
    </xf>
    <xf numFmtId="165" fontId="0" fillId="38" borderId="10" xfId="0" applyNumberFormat="1" applyFont="1" applyFill="1" applyBorder="1" applyAlignment="1">
      <alignment horizontal="center" vertical="center" wrapText="1"/>
    </xf>
    <xf numFmtId="0" fontId="0" fillId="38" borderId="17" xfId="42" applyNumberFormat="1" applyFont="1" applyFill="1" applyBorder="1" applyAlignment="1">
      <alignment horizontal="center"/>
    </xf>
    <xf numFmtId="0" fontId="0" fillId="38" borderId="10" xfId="42" applyNumberFormat="1" applyFont="1" applyFill="1" applyBorder="1" applyAlignment="1">
      <alignment horizontal="center"/>
    </xf>
    <xf numFmtId="165" fontId="0" fillId="38" borderId="10" xfId="43" applyNumberFormat="1" applyFont="1" applyFill="1" applyBorder="1" applyAlignment="1">
      <alignment horizontal="center" vertical="center"/>
    </xf>
    <xf numFmtId="0" fontId="19" fillId="38" borderId="10" xfId="42" applyNumberFormat="1" applyFont="1" applyFill="1" applyBorder="1" applyAlignment="1">
      <alignment horizontal="center"/>
    </xf>
    <xf numFmtId="0" fontId="19" fillId="38" borderId="11" xfId="0" applyFont="1" applyFill="1" applyBorder="1" applyAlignment="1">
      <alignment horizontal="center"/>
    </xf>
    <xf numFmtId="0" fontId="14" fillId="0" borderId="0" xfId="0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2" xr:uid="{00000000-0005-0000-0000-000025000000}"/>
    <cellStyle name="Normal 6" xfId="43" xr:uid="{00000000-0005-0000-0000-000026000000}"/>
    <cellStyle name="Normal 7" xfId="44" xr:uid="{00000000-0005-0000-0000-000027000000}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/mm/yyyy;@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top style="thin">
          <color rgb="FF000000"/>
        </top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F400]h:mm:ss\ AM/PM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/d/yyyy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/mm/yyyy;@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top style="thin">
          <color rgb="FF000000"/>
        </top>
      </border>
    </dxf>
    <dxf>
      <border outline="0">
        <top style="medium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225" displayName="Table225" ref="B1:AB248" totalsRowShown="0" headerRowDxfId="63" dataDxfId="61" headerRowBorderDxfId="62" tableBorderDxfId="60" totalsRowBorderDxfId="59">
  <autoFilter ref="B1:AB248" xr:uid="{00000000-0009-0000-0100-000004000000}"/>
  <sortState xmlns:xlrd2="http://schemas.microsoft.com/office/spreadsheetml/2017/richdata2" ref="B2:AB248">
    <sortCondition ref="B1:B248"/>
  </sortState>
  <tableColumns count="27">
    <tableColumn id="1" xr3:uid="{00000000-0010-0000-0000-000001000000}" name="APP No." dataDxfId="58"/>
    <tableColumn id="2" xr3:uid="{00000000-0010-0000-0000-000002000000}" name="Original Reference" dataDxfId="57"/>
    <tableColumn id="3" xr3:uid="{00000000-0010-0000-0000-000003000000}" name="NZGD ID" dataDxfId="56"/>
    <tableColumn id="4" xr3:uid="{00000000-0010-0000-0000-000004000000}" name="TT_Instrument_ID" dataDxfId="55"/>
    <tableColumn id="5" xr3:uid="{00000000-0010-0000-0000-000005000000}" name="LL serial no." dataDxfId="54"/>
    <tableColumn id="6" xr3:uid="{00000000-0010-0000-0000-000006000000}" name="Zone" dataDxfId="53"/>
    <tableColumn id="7" xr3:uid="{00000000-0010-0000-0000-000007000000}" name="Address" dataDxfId="52"/>
    <tableColumn id="8" xr3:uid="{00000000-0010-0000-0000-000008000000}" name="9 month data expiry" dataDxfId="51" dataCellStyle="Normal 7"/>
    <tableColumn id="9" xr3:uid="{00000000-0010-0000-0000-000009000000}" name="Date" dataDxfId="50"/>
    <tableColumn id="10" xr3:uid="{00000000-0010-0000-0000-00000A000000}" name="Time" dataDxfId="49"/>
    <tableColumn id="21" xr3:uid="{00000000-0010-0000-0000-000015000000}" name="Dipped water level 2020 (m)" dataDxfId="48"/>
    <tableColumn id="24" xr3:uid="{00000000-0010-0000-0000-000018000000}" name="Standpipe depth (m)" dataDxfId="47"/>
    <tableColumn id="22" xr3:uid="{00000000-0010-0000-0000-000016000000}" name="Measuring point height below GL (m bgl)" dataDxfId="46"/>
    <tableColumn id="25" xr3:uid="{00000000-0010-0000-0000-000019000000}" name="Measuring point description" dataDxfId="45"/>
    <tableColumn id="26" xr3:uid="{00000000-0010-0000-0000-00001A000000}" name="Resart time" dataDxfId="44"/>
    <tableColumn id="11" xr3:uid="{00000000-0010-0000-0000-00000B000000}" name="Dipped water level 2019 (m)2" dataDxfId="43"/>
    <tableColumn id="12" xr3:uid="{00000000-0010-0000-0000-00000C000000}" name="Measured Standpipe Depth 2019 (m)" dataDxfId="42"/>
    <tableColumn id="13" xr3:uid="{00000000-0010-0000-0000-00000D000000}" name="Measured Standpipe depth Sept 2016 (m)" dataDxfId="41"/>
    <tableColumn id="14" xr3:uid="{00000000-0010-0000-0000-00000E000000}" name="Standpipe Depth (Original recorded) (m)" dataDxfId="40"/>
    <tableColumn id="17" xr3:uid="{00000000-0010-0000-0000-000011000000}" name="Standpipe depth (replacement and new standpipes)" dataDxfId="39"/>
    <tableColumn id="15" xr3:uid="{00000000-0010-0000-0000-00000F000000}" name="Silt Accumulation Sept 2016 to 2019 (m)" dataDxfId="38"/>
    <tableColumn id="16" xr3:uid="{00000000-0010-0000-0000-000010000000}" name="SP DEPTH difference (original recorded to 2019) (m)" dataDxfId="37"/>
    <tableColumn id="18" xr3:uid="{00000000-0010-0000-0000-000012000000}" name="Battery Level" dataDxfId="36"/>
    <tableColumn id="19" xr3:uid="{00000000-0010-0000-0000-000013000000}" name="Condition" dataDxfId="35"/>
    <tableColumn id="20" xr3:uid="{00000000-0010-0000-0000-000014000000}" name="APP Installation  comment" dataDxfId="34"/>
    <tableColumn id="27" xr3:uid="{00000000-0010-0000-0000-00001B000000}" name="Comments from 2020" dataDxfId="33"/>
    <tableColumn id="23" xr3:uid="{00000000-0010-0000-0000-000017000000}" name="Comments from 2019" dataDxfId="3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B1:AB248" totalsRowShown="0" headerRowDxfId="31" dataDxfId="29" headerRowBorderDxfId="30" tableBorderDxfId="28" totalsRowBorderDxfId="27">
  <autoFilter ref="B1:AB248" xr:uid="{00000000-0009-0000-0100-000001000000}"/>
  <sortState xmlns:xlrd2="http://schemas.microsoft.com/office/spreadsheetml/2017/richdata2" ref="B2:AB248">
    <sortCondition ref="B1:B248"/>
  </sortState>
  <tableColumns count="27">
    <tableColumn id="1" xr3:uid="{00000000-0010-0000-0100-000001000000}" name="APP No." dataDxfId="26"/>
    <tableColumn id="2" xr3:uid="{00000000-0010-0000-0100-000002000000}" name="Original Reference" dataDxfId="25"/>
    <tableColumn id="3" xr3:uid="{00000000-0010-0000-0100-000003000000}" name="NZGD ID" dataDxfId="24"/>
    <tableColumn id="4" xr3:uid="{00000000-0010-0000-0100-000004000000}" name="TT_Instrument_ID" dataDxfId="23"/>
    <tableColumn id="5" xr3:uid="{00000000-0010-0000-0100-000005000000}" name="LL serial no." dataDxfId="22"/>
    <tableColumn id="6" xr3:uid="{00000000-0010-0000-0100-000006000000}" name="Zone" dataDxfId="21"/>
    <tableColumn id="7" xr3:uid="{00000000-0010-0000-0100-000007000000}" name="Address" dataDxfId="20"/>
    <tableColumn id="8" xr3:uid="{00000000-0010-0000-0100-000008000000}" name="9 month data expiry" dataDxfId="19" dataCellStyle="Normal 7"/>
    <tableColumn id="9" xr3:uid="{00000000-0010-0000-0100-000009000000}" name="Date" dataDxfId="18"/>
    <tableColumn id="10" xr3:uid="{00000000-0010-0000-0100-00000A000000}" name="Time" dataDxfId="17"/>
    <tableColumn id="21" xr3:uid="{00000000-0010-0000-0100-000015000000}" name="Dipped water level 2020 (m)" dataDxfId="16"/>
    <tableColumn id="24" xr3:uid="{00000000-0010-0000-0100-000018000000}" name="Standpipe depth (m)" dataDxfId="15"/>
    <tableColumn id="22" xr3:uid="{00000000-0010-0000-0100-000016000000}" name="Measuring point height below GL (m bgl)" dataDxfId="14"/>
    <tableColumn id="25" xr3:uid="{00000000-0010-0000-0100-000019000000}" name="Measuring point description" dataDxfId="13"/>
    <tableColumn id="26" xr3:uid="{00000000-0010-0000-0100-00001A000000}" name="Resart time" dataDxfId="12"/>
    <tableColumn id="11" xr3:uid="{00000000-0010-0000-0100-00000B000000}" name="Dipped water level 2019 (m)2" dataDxfId="11"/>
    <tableColumn id="12" xr3:uid="{00000000-0010-0000-0100-00000C000000}" name="Measured Standpipe Depth 2019 (m)" dataDxfId="10"/>
    <tableColumn id="13" xr3:uid="{00000000-0010-0000-0100-00000D000000}" name="Measured Standpipe depth Sept 2016 (m)" dataDxfId="9"/>
    <tableColumn id="14" xr3:uid="{00000000-0010-0000-0100-00000E000000}" name="Standpipe Depth (Original recorded) (m)" dataDxfId="8"/>
    <tableColumn id="17" xr3:uid="{00000000-0010-0000-0100-000011000000}" name="Standpipe depth (replacement and new standpipes)" dataDxfId="7"/>
    <tableColumn id="15" xr3:uid="{00000000-0010-0000-0100-00000F000000}" name="Silt Accumulation Sept 2016 to 2019 (m)" dataDxfId="6"/>
    <tableColumn id="16" xr3:uid="{00000000-0010-0000-0100-000010000000}" name="SP DEPTH difference (original recorded to 2019) (m)" dataDxfId="5"/>
    <tableColumn id="18" xr3:uid="{00000000-0010-0000-0100-000012000000}" name="Battery Level" dataDxfId="4"/>
    <tableColumn id="19" xr3:uid="{00000000-0010-0000-0100-000013000000}" name="Condition" dataDxfId="3"/>
    <tableColumn id="20" xr3:uid="{00000000-0010-0000-0100-000014000000}" name="APP Installation  comment" dataDxfId="2"/>
    <tableColumn id="27" xr3:uid="{00000000-0010-0000-0100-00001B000000}" name="Comments from 2020" dataDxfId="1"/>
    <tableColumn id="23" xr3:uid="{00000000-0010-0000-0100-000017000000}" name="Comments from 2019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70"/>
  <sheetViews>
    <sheetView tabSelected="1" topLeftCell="A169" zoomScale="70" zoomScaleNormal="70" workbookViewId="0">
      <pane xSplit="1" topLeftCell="B1" activePane="topRight" state="frozen"/>
      <selection pane="topRight" activeCell="K187" sqref="K187"/>
    </sheetView>
  </sheetViews>
  <sheetFormatPr defaultColWidth="9.109375" defaultRowHeight="14.4" x14ac:dyDescent="0.3"/>
  <cols>
    <col min="1" max="1" width="8" hidden="1" customWidth="1"/>
    <col min="2" max="2" width="10" customWidth="1"/>
    <col min="3" max="3" width="30" hidden="1" customWidth="1"/>
    <col min="4" max="5" width="17.6640625" hidden="1" customWidth="1"/>
    <col min="6" max="6" width="20.6640625" hidden="1" customWidth="1"/>
    <col min="7" max="7" width="13.109375" hidden="1" customWidth="1"/>
    <col min="8" max="8" width="52.33203125" hidden="1" customWidth="1"/>
    <col min="9" max="9" width="20.6640625" hidden="1" customWidth="1"/>
    <col min="10" max="10" width="19.5546875" customWidth="1"/>
    <col min="11" max="11" width="17.44140625" customWidth="1"/>
    <col min="12" max="12" width="17.109375" customWidth="1"/>
    <col min="13" max="13" width="13.5546875" style="138" customWidth="1"/>
    <col min="14" max="16" width="20.109375" hidden="1" customWidth="1"/>
    <col min="17" max="17" width="15.6640625" customWidth="1"/>
    <col min="18" max="18" width="21" customWidth="1"/>
    <col min="19" max="19" width="25.6640625" hidden="1" customWidth="1"/>
    <col min="20" max="20" width="25.33203125" customWidth="1"/>
    <col min="21" max="21" width="28.88671875" hidden="1" customWidth="1"/>
    <col min="22" max="22" width="23.88671875" hidden="1" customWidth="1"/>
    <col min="23" max="23" width="27.44140625" hidden="1" customWidth="1"/>
    <col min="24" max="24" width="16.44140625" hidden="1" customWidth="1"/>
    <col min="25" max="25" width="19.109375" hidden="1" customWidth="1"/>
    <col min="26" max="26" width="43" hidden="1" customWidth="1"/>
    <col min="27" max="27" width="43" customWidth="1"/>
    <col min="28" max="28" width="51" customWidth="1"/>
    <col min="29" max="29" width="24.33203125" style="109" customWidth="1"/>
    <col min="30" max="16384" width="9.109375" style="109"/>
  </cols>
  <sheetData>
    <row r="1" spans="1:28" ht="43.2" x14ac:dyDescent="0.3">
      <c r="A1" s="123" t="s">
        <v>970</v>
      </c>
      <c r="B1" s="20" t="s">
        <v>12</v>
      </c>
      <c r="C1" s="20" t="s">
        <v>943</v>
      </c>
      <c r="D1" s="20" t="s">
        <v>944</v>
      </c>
      <c r="E1" s="20" t="s">
        <v>945</v>
      </c>
      <c r="F1" s="21" t="s">
        <v>13</v>
      </c>
      <c r="G1" s="22" t="s">
        <v>14</v>
      </c>
      <c r="H1" s="22" t="s">
        <v>15</v>
      </c>
      <c r="I1" s="23" t="s">
        <v>533</v>
      </c>
      <c r="J1" s="22" t="s">
        <v>0</v>
      </c>
      <c r="K1" s="24" t="s">
        <v>968</v>
      </c>
      <c r="L1" s="22" t="s">
        <v>967</v>
      </c>
      <c r="M1" s="22" t="s">
        <v>969</v>
      </c>
      <c r="N1" s="22" t="s">
        <v>971</v>
      </c>
      <c r="O1" s="22" t="s">
        <v>972</v>
      </c>
      <c r="P1" s="22" t="s">
        <v>973</v>
      </c>
      <c r="Q1" s="22" t="s">
        <v>966</v>
      </c>
      <c r="R1" s="22" t="s">
        <v>958</v>
      </c>
      <c r="S1" s="22" t="s">
        <v>959</v>
      </c>
      <c r="T1" s="22" t="s">
        <v>960</v>
      </c>
      <c r="U1" s="22" t="s">
        <v>956</v>
      </c>
      <c r="V1" s="25" t="s">
        <v>961</v>
      </c>
      <c r="W1" s="25" t="s">
        <v>962</v>
      </c>
      <c r="X1" s="22" t="s">
        <v>16</v>
      </c>
      <c r="Y1" s="26" t="s">
        <v>1</v>
      </c>
      <c r="Z1" s="26" t="s">
        <v>935</v>
      </c>
      <c r="AA1" s="27" t="s">
        <v>974</v>
      </c>
      <c r="AB1" s="27" t="s">
        <v>938</v>
      </c>
    </row>
    <row r="2" spans="1:28" x14ac:dyDescent="0.3">
      <c r="A2" s="124"/>
      <c r="B2" s="113">
        <v>1</v>
      </c>
      <c r="C2" s="28" t="s">
        <v>534</v>
      </c>
      <c r="D2" s="28">
        <v>346</v>
      </c>
      <c r="E2" s="28" t="s">
        <v>690</v>
      </c>
      <c r="F2" s="29" t="s">
        <v>17</v>
      </c>
      <c r="G2" s="30" t="s">
        <v>18</v>
      </c>
      <c r="H2" s="31" t="s">
        <v>19</v>
      </c>
      <c r="I2" s="32">
        <v>43907</v>
      </c>
      <c r="J2" s="87">
        <v>43882</v>
      </c>
      <c r="K2" s="88">
        <v>0.54375000000000007</v>
      </c>
      <c r="L2" s="127">
        <f>58.879-57.912</f>
        <v>0.96699999999999875</v>
      </c>
      <c r="M2" s="132">
        <f>(61.721-57.912)+0.086</f>
        <v>3.8949999999999974</v>
      </c>
      <c r="N2" s="88"/>
      <c r="O2" s="88"/>
      <c r="P2" s="88">
        <v>0.54861111111111105</v>
      </c>
      <c r="Q2" s="79">
        <v>0.92</v>
      </c>
      <c r="R2" s="79">
        <v>3.83</v>
      </c>
      <c r="S2" s="82">
        <v>3.91</v>
      </c>
      <c r="T2" s="79">
        <v>3.95</v>
      </c>
      <c r="U2" s="79" t="s">
        <v>955</v>
      </c>
      <c r="V2" s="82">
        <v>0.08</v>
      </c>
      <c r="W2" s="82">
        <v>0.12</v>
      </c>
      <c r="X2" s="34">
        <v>1</v>
      </c>
      <c r="Y2" s="34" t="s">
        <v>4</v>
      </c>
      <c r="Z2" s="34" t="s">
        <v>941</v>
      </c>
      <c r="AA2" s="34"/>
      <c r="AB2" s="35"/>
    </row>
    <row r="3" spans="1:28" x14ac:dyDescent="0.3">
      <c r="A3" s="124"/>
      <c r="B3" s="232">
        <v>2</v>
      </c>
      <c r="C3" s="233" t="s">
        <v>535</v>
      </c>
      <c r="D3" s="233">
        <v>663</v>
      </c>
      <c r="E3" s="233" t="s">
        <v>691</v>
      </c>
      <c r="F3" s="101" t="s">
        <v>20</v>
      </c>
      <c r="G3" s="234" t="s">
        <v>18</v>
      </c>
      <c r="H3" s="162" t="s">
        <v>21</v>
      </c>
      <c r="I3" s="103">
        <v>43907</v>
      </c>
      <c r="J3" s="104"/>
      <c r="K3" s="105"/>
      <c r="L3" s="129"/>
      <c r="M3" s="135"/>
      <c r="N3" s="105"/>
      <c r="O3" s="105"/>
      <c r="P3" s="105"/>
      <c r="Q3" s="106">
        <v>0.73</v>
      </c>
      <c r="R3" s="106">
        <v>1.1299999999999999</v>
      </c>
      <c r="S3" s="106">
        <v>7.08</v>
      </c>
      <c r="T3" s="106">
        <v>7.33</v>
      </c>
      <c r="U3" s="106" t="s">
        <v>955</v>
      </c>
      <c r="V3" s="106">
        <v>5.95</v>
      </c>
      <c r="W3" s="106">
        <v>6.2</v>
      </c>
      <c r="X3" s="107"/>
      <c r="Y3" s="107" t="s">
        <v>6</v>
      </c>
      <c r="Z3" s="107" t="s">
        <v>941</v>
      </c>
      <c r="AA3" s="107" t="s">
        <v>1092</v>
      </c>
      <c r="AB3" s="108" t="s">
        <v>532</v>
      </c>
    </row>
    <row r="4" spans="1:28" x14ac:dyDescent="0.3">
      <c r="A4" s="124"/>
      <c r="B4" s="113">
        <v>3</v>
      </c>
      <c r="C4" s="28" t="s">
        <v>536</v>
      </c>
      <c r="D4" s="28">
        <v>900</v>
      </c>
      <c r="E4" s="28" t="s">
        <v>692</v>
      </c>
      <c r="F4" s="29" t="s">
        <v>22</v>
      </c>
      <c r="G4" s="30" t="s">
        <v>18</v>
      </c>
      <c r="H4" s="31" t="s">
        <v>23</v>
      </c>
      <c r="I4" s="32">
        <v>43904</v>
      </c>
      <c r="J4" s="87">
        <v>43861</v>
      </c>
      <c r="K4" s="90">
        <v>0.46875</v>
      </c>
      <c r="L4" s="128">
        <v>1.925</v>
      </c>
      <c r="M4" s="82">
        <v>3.88</v>
      </c>
      <c r="N4" s="90"/>
      <c r="O4" s="90"/>
      <c r="P4" s="90">
        <v>0.47222222222222227</v>
      </c>
      <c r="Q4" s="82">
        <v>1.77</v>
      </c>
      <c r="R4" s="82">
        <v>3.86</v>
      </c>
      <c r="S4" s="82">
        <v>3.94</v>
      </c>
      <c r="T4" s="79">
        <v>3.95</v>
      </c>
      <c r="U4" s="79" t="s">
        <v>955</v>
      </c>
      <c r="V4" s="82">
        <v>0.08</v>
      </c>
      <c r="W4" s="82">
        <v>0.09</v>
      </c>
      <c r="X4" s="37">
        <v>1</v>
      </c>
      <c r="Y4" s="34" t="s">
        <v>4</v>
      </c>
      <c r="Z4" s="34" t="s">
        <v>941</v>
      </c>
      <c r="AA4" s="34"/>
      <c r="AB4" s="35"/>
    </row>
    <row r="5" spans="1:28" x14ac:dyDescent="0.3">
      <c r="A5" s="124"/>
      <c r="B5" s="114">
        <v>4</v>
      </c>
      <c r="C5" s="38" t="s">
        <v>537</v>
      </c>
      <c r="D5" s="38">
        <v>911</v>
      </c>
      <c r="E5" s="38" t="s">
        <v>693</v>
      </c>
      <c r="F5" s="39" t="s">
        <v>24</v>
      </c>
      <c r="G5" s="40" t="s">
        <v>18</v>
      </c>
      <c r="H5" s="33" t="s">
        <v>25</v>
      </c>
      <c r="I5" s="32">
        <v>43908</v>
      </c>
      <c r="J5" s="87">
        <v>43858</v>
      </c>
      <c r="K5" s="88">
        <v>0.42152777777777778</v>
      </c>
      <c r="L5" s="127">
        <v>1.4059999999999999</v>
      </c>
      <c r="M5" s="132">
        <v>6.5529999999999999</v>
      </c>
      <c r="N5" s="88"/>
      <c r="O5" s="88"/>
      <c r="P5" s="88">
        <v>0.43055555555555558</v>
      </c>
      <c r="Q5" s="79">
        <v>1.32</v>
      </c>
      <c r="R5" s="79">
        <v>6.59</v>
      </c>
      <c r="S5" s="79">
        <v>6.61</v>
      </c>
      <c r="T5" s="79">
        <v>6.65</v>
      </c>
      <c r="U5" s="79" t="s">
        <v>955</v>
      </c>
      <c r="V5" s="79">
        <v>0.02</v>
      </c>
      <c r="W5" s="79">
        <v>0.06</v>
      </c>
      <c r="X5" s="34">
        <v>1</v>
      </c>
      <c r="Y5" s="34" t="s">
        <v>4</v>
      </c>
      <c r="Z5" s="34" t="s">
        <v>941</v>
      </c>
      <c r="AA5" s="34"/>
      <c r="AB5" s="35"/>
    </row>
    <row r="6" spans="1:28" x14ac:dyDescent="0.3">
      <c r="A6" s="124"/>
      <c r="B6" s="115">
        <v>5</v>
      </c>
      <c r="C6" s="41" t="s">
        <v>538</v>
      </c>
      <c r="D6" s="41">
        <v>966</v>
      </c>
      <c r="E6" s="41" t="s">
        <v>694</v>
      </c>
      <c r="F6" s="29" t="s">
        <v>26</v>
      </c>
      <c r="G6" s="42" t="s">
        <v>18</v>
      </c>
      <c r="H6" s="31" t="s">
        <v>27</v>
      </c>
      <c r="I6" s="32">
        <v>43903</v>
      </c>
      <c r="J6" s="153">
        <v>43857</v>
      </c>
      <c r="K6" s="154">
        <v>0.52430555555555558</v>
      </c>
      <c r="L6" s="128">
        <v>2.8130000000000002</v>
      </c>
      <c r="M6" s="82">
        <v>7.7220000000000004</v>
      </c>
      <c r="N6" s="90"/>
      <c r="O6" s="90"/>
      <c r="P6" s="90">
        <v>0.53472222222222221</v>
      </c>
      <c r="Q6" s="82">
        <v>1.75</v>
      </c>
      <c r="R6" s="82">
        <v>6.7</v>
      </c>
      <c r="S6" s="82">
        <v>6.8</v>
      </c>
      <c r="T6" s="79">
        <v>6.88</v>
      </c>
      <c r="U6" s="79" t="s">
        <v>955</v>
      </c>
      <c r="V6" s="82">
        <v>0.1</v>
      </c>
      <c r="W6" s="82">
        <v>0.18</v>
      </c>
      <c r="X6" s="37">
        <v>1</v>
      </c>
      <c r="Y6" s="34" t="s">
        <v>4</v>
      </c>
      <c r="Z6" s="34" t="s">
        <v>941</v>
      </c>
      <c r="AA6" s="34" t="s">
        <v>1079</v>
      </c>
      <c r="AB6" s="35"/>
    </row>
    <row r="7" spans="1:28" x14ac:dyDescent="0.3">
      <c r="A7" s="124"/>
      <c r="B7" s="115">
        <v>6</v>
      </c>
      <c r="C7" s="41" t="s">
        <v>539</v>
      </c>
      <c r="D7" s="41">
        <v>1141</v>
      </c>
      <c r="E7" s="41" t="s">
        <v>695</v>
      </c>
      <c r="F7" s="29" t="s">
        <v>28</v>
      </c>
      <c r="G7" s="42" t="s">
        <v>29</v>
      </c>
      <c r="H7" s="31" t="s">
        <v>30</v>
      </c>
      <c r="I7" s="32">
        <v>43911</v>
      </c>
      <c r="J7" s="87">
        <v>43852</v>
      </c>
      <c r="K7" s="90" t="s">
        <v>1017</v>
      </c>
      <c r="L7" s="127">
        <v>0.50900000000000001</v>
      </c>
      <c r="M7" s="132">
        <v>7.0069999999999997</v>
      </c>
      <c r="N7" s="88"/>
      <c r="O7" s="88"/>
      <c r="P7" s="88" t="s">
        <v>1016</v>
      </c>
      <c r="Q7" s="79">
        <v>0.48</v>
      </c>
      <c r="R7" s="79">
        <v>6.98</v>
      </c>
      <c r="S7" s="79">
        <v>7.07</v>
      </c>
      <c r="T7" s="79">
        <v>7.04</v>
      </c>
      <c r="U7" s="79" t="s">
        <v>955</v>
      </c>
      <c r="V7" s="79">
        <v>0.09</v>
      </c>
      <c r="W7" s="79">
        <v>0.06</v>
      </c>
      <c r="X7" s="34">
        <v>1</v>
      </c>
      <c r="Y7" s="34" t="s">
        <v>4</v>
      </c>
      <c r="Z7" s="34" t="s">
        <v>941</v>
      </c>
      <c r="AA7" s="34"/>
      <c r="AB7" s="35"/>
    </row>
    <row r="8" spans="1:28" x14ac:dyDescent="0.3">
      <c r="A8" s="157"/>
      <c r="B8" s="118">
        <v>7</v>
      </c>
      <c r="C8" s="193" t="s">
        <v>540</v>
      </c>
      <c r="D8" s="193">
        <v>1143</v>
      </c>
      <c r="E8" s="193" t="s">
        <v>696</v>
      </c>
      <c r="F8" s="101" t="s">
        <v>31</v>
      </c>
      <c r="G8" s="102" t="s">
        <v>29</v>
      </c>
      <c r="H8" s="162" t="s">
        <v>32</v>
      </c>
      <c r="I8" s="103">
        <v>43911</v>
      </c>
      <c r="J8" s="104"/>
      <c r="K8" s="105"/>
      <c r="L8" s="129"/>
      <c r="M8" s="135"/>
      <c r="N8" s="105"/>
      <c r="O8" s="105"/>
      <c r="P8" s="105"/>
      <c r="Q8" s="106">
        <v>1.56</v>
      </c>
      <c r="R8" s="106">
        <v>4.43</v>
      </c>
      <c r="S8" s="106">
        <v>4.3099999999999996</v>
      </c>
      <c r="T8" s="106">
        <v>5.45</v>
      </c>
      <c r="U8" s="106" t="s">
        <v>955</v>
      </c>
      <c r="V8" s="106">
        <v>-0.12</v>
      </c>
      <c r="W8" s="106">
        <v>1.02</v>
      </c>
      <c r="X8" s="107"/>
      <c r="Y8" s="107" t="s">
        <v>4</v>
      </c>
      <c r="Z8" s="107" t="s">
        <v>941</v>
      </c>
      <c r="AA8" s="107" t="s">
        <v>1118</v>
      </c>
      <c r="AB8" s="108"/>
    </row>
    <row r="9" spans="1:28" x14ac:dyDescent="0.3">
      <c r="A9" s="124"/>
      <c r="B9" s="113">
        <v>8</v>
      </c>
      <c r="C9" s="28" t="s">
        <v>541</v>
      </c>
      <c r="D9" s="28">
        <v>1429</v>
      </c>
      <c r="E9" s="28" t="s">
        <v>697</v>
      </c>
      <c r="F9" s="29" t="s">
        <v>33</v>
      </c>
      <c r="G9" s="30" t="s">
        <v>18</v>
      </c>
      <c r="H9" s="31" t="s">
        <v>34</v>
      </c>
      <c r="I9" s="32">
        <v>43903</v>
      </c>
      <c r="J9" s="87">
        <v>43871</v>
      </c>
      <c r="K9" s="88" t="s">
        <v>1141</v>
      </c>
      <c r="L9" s="127">
        <v>0.93400000000000005</v>
      </c>
      <c r="M9" s="132">
        <v>3.7149999999999999</v>
      </c>
      <c r="N9" s="88"/>
      <c r="O9" s="88"/>
      <c r="P9" s="88" t="s">
        <v>1142</v>
      </c>
      <c r="Q9" s="91">
        <v>0.67</v>
      </c>
      <c r="R9" s="79">
        <v>3.7</v>
      </c>
      <c r="S9" s="79">
        <v>3.78</v>
      </c>
      <c r="T9" s="79">
        <v>4</v>
      </c>
      <c r="U9" s="79" t="s">
        <v>955</v>
      </c>
      <c r="V9" s="79">
        <v>0.08</v>
      </c>
      <c r="W9" s="79">
        <v>0.3</v>
      </c>
      <c r="X9" s="34">
        <v>1</v>
      </c>
      <c r="Y9" s="34" t="s">
        <v>4</v>
      </c>
      <c r="Z9" s="34" t="s">
        <v>941</v>
      </c>
      <c r="AA9" s="34"/>
      <c r="AB9" s="35"/>
    </row>
    <row r="10" spans="1:28" x14ac:dyDescent="0.3">
      <c r="A10" s="124"/>
      <c r="B10" s="114">
        <v>9</v>
      </c>
      <c r="C10" s="58" t="s">
        <v>542</v>
      </c>
      <c r="D10" s="58">
        <v>1431</v>
      </c>
      <c r="E10" s="58" t="s">
        <v>698</v>
      </c>
      <c r="F10" s="39" t="s">
        <v>35</v>
      </c>
      <c r="G10" s="40" t="s">
        <v>18</v>
      </c>
      <c r="H10" s="33" t="s">
        <v>36</v>
      </c>
      <c r="I10" s="32">
        <v>43903</v>
      </c>
      <c r="J10" s="87">
        <v>43871</v>
      </c>
      <c r="K10" s="88" t="s">
        <v>1138</v>
      </c>
      <c r="L10" s="127">
        <v>0.89500000000000002</v>
      </c>
      <c r="M10" s="132">
        <v>3.88</v>
      </c>
      <c r="N10" s="88"/>
      <c r="O10" s="88"/>
      <c r="P10" s="88" t="s">
        <v>1140</v>
      </c>
      <c r="Q10" s="79">
        <v>0.59</v>
      </c>
      <c r="R10" s="79">
        <v>3.9</v>
      </c>
      <c r="S10" s="79">
        <v>3.99</v>
      </c>
      <c r="T10" s="79">
        <v>4.0199999999999996</v>
      </c>
      <c r="U10" s="79" t="s">
        <v>955</v>
      </c>
      <c r="V10" s="79">
        <v>0.09</v>
      </c>
      <c r="W10" s="79">
        <v>0.12</v>
      </c>
      <c r="X10" s="34">
        <v>1</v>
      </c>
      <c r="Y10" s="34" t="s">
        <v>4</v>
      </c>
      <c r="Z10" s="34" t="s">
        <v>941</v>
      </c>
      <c r="AA10" s="34" t="s">
        <v>1139</v>
      </c>
      <c r="AB10" s="35"/>
    </row>
    <row r="11" spans="1:28" x14ac:dyDescent="0.3">
      <c r="A11" s="124"/>
      <c r="B11" s="114">
        <v>10</v>
      </c>
      <c r="C11" s="58" t="s">
        <v>543</v>
      </c>
      <c r="D11" s="58">
        <v>1700</v>
      </c>
      <c r="E11" s="58" t="s">
        <v>699</v>
      </c>
      <c r="F11" s="39" t="s">
        <v>37</v>
      </c>
      <c r="G11" s="40" t="s">
        <v>18</v>
      </c>
      <c r="H11" s="33" t="s">
        <v>38</v>
      </c>
      <c r="I11" s="32">
        <v>43902</v>
      </c>
      <c r="J11" s="87">
        <v>43861</v>
      </c>
      <c r="K11" s="88" t="s">
        <v>1106</v>
      </c>
      <c r="L11" s="127">
        <v>1.8660000000000001</v>
      </c>
      <c r="M11" s="132">
        <v>7.032</v>
      </c>
      <c r="N11" s="88"/>
      <c r="O11" s="88"/>
      <c r="P11" s="88" t="s">
        <v>1009</v>
      </c>
      <c r="Q11" s="79">
        <v>1.68</v>
      </c>
      <c r="R11" s="79">
        <v>6.98</v>
      </c>
      <c r="S11" s="79">
        <v>7.02</v>
      </c>
      <c r="T11" s="79">
        <v>6.5</v>
      </c>
      <c r="U11" s="79" t="s">
        <v>955</v>
      </c>
      <c r="V11" s="79">
        <v>0.04</v>
      </c>
      <c r="W11" s="79">
        <v>-0.48</v>
      </c>
      <c r="X11" s="34">
        <v>1</v>
      </c>
      <c r="Y11" s="34" t="s">
        <v>4</v>
      </c>
      <c r="Z11" s="34" t="s">
        <v>941</v>
      </c>
      <c r="AA11" s="34" t="s">
        <v>1107</v>
      </c>
      <c r="AB11" s="35"/>
    </row>
    <row r="12" spans="1:28" x14ac:dyDescent="0.3">
      <c r="A12" s="124"/>
      <c r="B12" s="210">
        <v>11</v>
      </c>
      <c r="C12" s="224" t="s">
        <v>544</v>
      </c>
      <c r="D12" s="224">
        <v>1732</v>
      </c>
      <c r="E12" s="224" t="s">
        <v>700</v>
      </c>
      <c r="F12" s="212" t="s">
        <v>39</v>
      </c>
      <c r="G12" s="213" t="s">
        <v>29</v>
      </c>
      <c r="H12" s="214" t="s">
        <v>40</v>
      </c>
      <c r="I12" s="215">
        <v>43911</v>
      </c>
      <c r="J12" s="216">
        <v>43868</v>
      </c>
      <c r="K12" s="217">
        <v>0.4604166666666667</v>
      </c>
      <c r="L12" s="218">
        <v>0.85099999999999909</v>
      </c>
      <c r="M12" s="219">
        <v>7</v>
      </c>
      <c r="N12" s="217"/>
      <c r="O12" s="217"/>
      <c r="P12" s="217">
        <v>0.46527777777777773</v>
      </c>
      <c r="Q12" s="220">
        <v>0.83</v>
      </c>
      <c r="R12" s="220">
        <v>6.98</v>
      </c>
      <c r="S12" s="220">
        <v>7.05</v>
      </c>
      <c r="T12" s="220">
        <v>7.03</v>
      </c>
      <c r="U12" s="220" t="s">
        <v>955</v>
      </c>
      <c r="V12" s="220">
        <v>7.0000000000000007E-2</v>
      </c>
      <c r="W12" s="220">
        <v>0.05</v>
      </c>
      <c r="X12" s="221">
        <v>1</v>
      </c>
      <c r="Y12" s="221" t="s">
        <v>4</v>
      </c>
      <c r="Z12" s="221" t="s">
        <v>941</v>
      </c>
      <c r="AA12" s="221" t="s">
        <v>1120</v>
      </c>
      <c r="AB12" s="222"/>
    </row>
    <row r="13" spans="1:28" x14ac:dyDescent="0.3">
      <c r="A13" s="11" t="s">
        <v>949</v>
      </c>
      <c r="B13" s="118">
        <v>12</v>
      </c>
      <c r="C13" s="99" t="s">
        <v>932</v>
      </c>
      <c r="D13" s="236">
        <v>1734</v>
      </c>
      <c r="E13" s="100" t="s">
        <v>931</v>
      </c>
      <c r="F13" s="101" t="s">
        <v>41</v>
      </c>
      <c r="G13" s="102" t="s">
        <v>29</v>
      </c>
      <c r="H13" s="162" t="s">
        <v>42</v>
      </c>
      <c r="I13" s="103">
        <v>43911</v>
      </c>
      <c r="J13" s="104"/>
      <c r="K13" s="105"/>
      <c r="L13" s="129"/>
      <c r="M13" s="135"/>
      <c r="N13" s="105"/>
      <c r="O13" s="105"/>
      <c r="P13" s="105"/>
      <c r="Q13" s="106">
        <v>0.4</v>
      </c>
      <c r="R13" s="106">
        <v>6.92</v>
      </c>
      <c r="S13" s="106">
        <v>7.01</v>
      </c>
      <c r="T13" s="106">
        <v>7.05</v>
      </c>
      <c r="U13" s="106" t="s">
        <v>955</v>
      </c>
      <c r="V13" s="106">
        <v>0.09</v>
      </c>
      <c r="W13" s="106">
        <v>0.13</v>
      </c>
      <c r="X13" s="107"/>
      <c r="Y13" s="107" t="s">
        <v>4</v>
      </c>
      <c r="Z13" s="107" t="s">
        <v>941</v>
      </c>
      <c r="AA13" s="107" t="s">
        <v>1202</v>
      </c>
      <c r="AB13" s="163"/>
    </row>
    <row r="14" spans="1:28" x14ac:dyDescent="0.3">
      <c r="A14" s="11" t="s">
        <v>949</v>
      </c>
      <c r="B14" s="115">
        <v>13</v>
      </c>
      <c r="C14" s="59" t="s">
        <v>10</v>
      </c>
      <c r="D14" s="59">
        <v>1740</v>
      </c>
      <c r="E14" s="59" t="s">
        <v>9</v>
      </c>
      <c r="F14" s="29" t="s">
        <v>43</v>
      </c>
      <c r="G14" s="42" t="s">
        <v>29</v>
      </c>
      <c r="H14" s="31" t="s">
        <v>44</v>
      </c>
      <c r="I14" s="32">
        <v>43911</v>
      </c>
      <c r="J14" s="87">
        <v>43873</v>
      </c>
      <c r="K14" s="88">
        <v>4.6527777777777779E-2</v>
      </c>
      <c r="L14" s="127">
        <f>60.611-57.912</f>
        <v>2.6989999999999981</v>
      </c>
      <c r="M14" s="132">
        <f>(64.271-57.912)+0.086</f>
        <v>6.4450000000000021</v>
      </c>
      <c r="N14" s="88"/>
      <c r="O14" s="88"/>
      <c r="P14" s="88">
        <v>0.55555555555555558</v>
      </c>
      <c r="Q14" s="79">
        <v>2.61</v>
      </c>
      <c r="R14" s="79">
        <v>6.74</v>
      </c>
      <c r="S14" s="79">
        <v>6.86</v>
      </c>
      <c r="T14" s="79">
        <v>5</v>
      </c>
      <c r="U14" s="79" t="s">
        <v>955</v>
      </c>
      <c r="V14" s="79">
        <v>0.12</v>
      </c>
      <c r="W14" s="79">
        <v>-1.74</v>
      </c>
      <c r="X14" s="34">
        <v>1</v>
      </c>
      <c r="Y14" s="34" t="s">
        <v>4</v>
      </c>
      <c r="Z14" s="34" t="s">
        <v>941</v>
      </c>
      <c r="AA14" s="34"/>
      <c r="AB14" s="35"/>
    </row>
    <row r="15" spans="1:28" x14ac:dyDescent="0.3">
      <c r="A15" s="11" t="s">
        <v>949</v>
      </c>
      <c r="B15" s="114">
        <v>14</v>
      </c>
      <c r="C15" s="59" t="s">
        <v>545</v>
      </c>
      <c r="D15" s="59">
        <v>1742</v>
      </c>
      <c r="E15" s="59" t="s">
        <v>701</v>
      </c>
      <c r="F15" s="39" t="s">
        <v>45</v>
      </c>
      <c r="G15" s="40" t="s">
        <v>29</v>
      </c>
      <c r="H15" s="33" t="s">
        <v>46</v>
      </c>
      <c r="I15" s="32">
        <v>43911</v>
      </c>
      <c r="J15" s="153">
        <v>43852</v>
      </c>
      <c r="K15" s="88" t="s">
        <v>1030</v>
      </c>
      <c r="L15" s="155">
        <v>0.95299999999999996</v>
      </c>
      <c r="M15" s="156">
        <v>6.7949999999999999</v>
      </c>
      <c r="N15" s="154"/>
      <c r="O15" s="154"/>
      <c r="P15" s="88" t="s">
        <v>998</v>
      </c>
      <c r="Q15" s="79">
        <v>0.92</v>
      </c>
      <c r="R15" s="79">
        <v>6.78</v>
      </c>
      <c r="S15" s="79">
        <v>6.87</v>
      </c>
      <c r="T15" s="79">
        <v>6.95</v>
      </c>
      <c r="U15" s="79" t="s">
        <v>955</v>
      </c>
      <c r="V15" s="79">
        <v>0.09</v>
      </c>
      <c r="W15" s="79">
        <v>0.17</v>
      </c>
      <c r="X15" s="34">
        <v>1</v>
      </c>
      <c r="Y15" s="34" t="s">
        <v>4</v>
      </c>
      <c r="Z15" s="34" t="s">
        <v>941</v>
      </c>
      <c r="AA15" s="34" t="s">
        <v>1031</v>
      </c>
      <c r="AB15" s="35"/>
    </row>
    <row r="16" spans="1:28" x14ac:dyDescent="0.3">
      <c r="A16" s="11" t="s">
        <v>949</v>
      </c>
      <c r="B16" s="116">
        <v>15</v>
      </c>
      <c r="C16" s="58" t="s">
        <v>546</v>
      </c>
      <c r="D16" s="58">
        <v>1745</v>
      </c>
      <c r="E16" s="58" t="s">
        <v>702</v>
      </c>
      <c r="F16" s="44" t="s">
        <v>47</v>
      </c>
      <c r="G16" s="45" t="s">
        <v>29</v>
      </c>
      <c r="H16" s="46" t="s">
        <v>48</v>
      </c>
      <c r="I16" s="32">
        <v>43911</v>
      </c>
      <c r="J16" s="87">
        <v>43873</v>
      </c>
      <c r="K16" s="88" t="s">
        <v>1170</v>
      </c>
      <c r="L16" s="127">
        <f>60.03-57.912</f>
        <v>2.1180000000000021</v>
      </c>
      <c r="M16" s="132">
        <f>(60.083-57.912)+0.086</f>
        <v>2.2569999999999992</v>
      </c>
      <c r="N16" s="88"/>
      <c r="O16" s="88"/>
      <c r="P16" s="88">
        <v>9.7222222222222224E-2</v>
      </c>
      <c r="Q16" s="79">
        <v>1.99</v>
      </c>
      <c r="R16" s="79">
        <v>6.71</v>
      </c>
      <c r="S16" s="79">
        <v>6.8</v>
      </c>
      <c r="T16" s="79">
        <v>6.86</v>
      </c>
      <c r="U16" s="79" t="s">
        <v>955</v>
      </c>
      <c r="V16" s="79">
        <v>0.09</v>
      </c>
      <c r="W16" s="79">
        <v>0.15</v>
      </c>
      <c r="X16" s="34">
        <v>1</v>
      </c>
      <c r="Y16" s="34" t="s">
        <v>4</v>
      </c>
      <c r="Z16" s="34" t="s">
        <v>941</v>
      </c>
      <c r="AA16" s="34" t="s">
        <v>1171</v>
      </c>
      <c r="AB16" s="35"/>
    </row>
    <row r="17" spans="1:28" x14ac:dyDescent="0.3">
      <c r="A17" s="11" t="s">
        <v>949</v>
      </c>
      <c r="B17" s="112">
        <v>16</v>
      </c>
      <c r="C17" s="65" t="s">
        <v>547</v>
      </c>
      <c r="D17" s="65">
        <v>1746</v>
      </c>
      <c r="E17" s="65" t="s">
        <v>703</v>
      </c>
      <c r="F17" s="18" t="s">
        <v>49</v>
      </c>
      <c r="G17" s="9" t="s">
        <v>29</v>
      </c>
      <c r="H17" s="10" t="s">
        <v>50</v>
      </c>
      <c r="I17" s="11" t="s">
        <v>949</v>
      </c>
      <c r="J17" s="84"/>
      <c r="K17" s="85"/>
      <c r="L17" s="126"/>
      <c r="M17" s="134"/>
      <c r="N17" s="85"/>
      <c r="O17" s="85"/>
      <c r="P17" s="85"/>
      <c r="Q17" s="78" t="s">
        <v>949</v>
      </c>
      <c r="R17" s="78" t="s">
        <v>949</v>
      </c>
      <c r="S17" s="78">
        <v>6.32</v>
      </c>
      <c r="T17" s="78">
        <v>6.3</v>
      </c>
      <c r="U17" s="78" t="s">
        <v>955</v>
      </c>
      <c r="V17" s="78" t="s">
        <v>947</v>
      </c>
      <c r="W17" s="78" t="s">
        <v>947</v>
      </c>
      <c r="X17" s="12" t="s">
        <v>949</v>
      </c>
      <c r="Y17" s="12" t="s">
        <v>11</v>
      </c>
      <c r="Z17" s="12" t="s">
        <v>941</v>
      </c>
      <c r="AA17" s="12"/>
      <c r="AB17" s="10" t="s">
        <v>51</v>
      </c>
    </row>
    <row r="18" spans="1:28" x14ac:dyDescent="0.3">
      <c r="A18" s="11" t="s">
        <v>949</v>
      </c>
      <c r="B18" s="113">
        <v>17</v>
      </c>
      <c r="C18" s="58" t="s">
        <v>548</v>
      </c>
      <c r="D18" s="58">
        <v>1771</v>
      </c>
      <c r="E18" s="58" t="s">
        <v>704</v>
      </c>
      <c r="F18" s="29" t="s">
        <v>52</v>
      </c>
      <c r="G18" s="30" t="s">
        <v>29</v>
      </c>
      <c r="H18" s="31" t="s">
        <v>53</v>
      </c>
      <c r="I18" s="32">
        <v>43909</v>
      </c>
      <c r="J18" s="87">
        <v>43852</v>
      </c>
      <c r="K18" s="88" t="s">
        <v>1035</v>
      </c>
      <c r="L18" s="127">
        <v>1.1839999999999999</v>
      </c>
      <c r="M18" s="132">
        <v>6.67</v>
      </c>
      <c r="N18" s="88"/>
      <c r="O18" s="88"/>
      <c r="P18" s="88" t="s">
        <v>1036</v>
      </c>
      <c r="Q18" s="79">
        <v>0.78</v>
      </c>
      <c r="R18" s="79">
        <v>6.56</v>
      </c>
      <c r="S18" s="79">
        <v>6.75</v>
      </c>
      <c r="T18" s="79">
        <v>7.25</v>
      </c>
      <c r="U18" s="79" t="s">
        <v>955</v>
      </c>
      <c r="V18" s="79">
        <v>0.19</v>
      </c>
      <c r="W18" s="79">
        <v>0.69</v>
      </c>
      <c r="X18" s="34">
        <v>1</v>
      </c>
      <c r="Y18" s="34" t="s">
        <v>4</v>
      </c>
      <c r="Z18" s="34" t="s">
        <v>941</v>
      </c>
      <c r="AA18" s="34" t="s">
        <v>1037</v>
      </c>
      <c r="AB18" s="35"/>
    </row>
    <row r="19" spans="1:28" x14ac:dyDescent="0.3">
      <c r="A19" s="124"/>
      <c r="B19" s="158">
        <v>18</v>
      </c>
      <c r="C19" s="235" t="s">
        <v>549</v>
      </c>
      <c r="D19" s="235">
        <v>1774</v>
      </c>
      <c r="E19" s="235" t="s">
        <v>705</v>
      </c>
      <c r="F19" s="159" t="s">
        <v>54</v>
      </c>
      <c r="G19" s="160" t="s">
        <v>29</v>
      </c>
      <c r="H19" s="162" t="s">
        <v>53</v>
      </c>
      <c r="I19" s="103" t="s">
        <v>949</v>
      </c>
      <c r="J19" s="104"/>
      <c r="K19" s="105"/>
      <c r="L19" s="129"/>
      <c r="M19" s="135"/>
      <c r="N19" s="105"/>
      <c r="O19" s="105"/>
      <c r="P19" s="105"/>
      <c r="Q19" s="106" t="s">
        <v>949</v>
      </c>
      <c r="R19" s="106" t="s">
        <v>949</v>
      </c>
      <c r="S19" s="106">
        <v>6.91</v>
      </c>
      <c r="T19" s="106">
        <v>5.74</v>
      </c>
      <c r="U19" s="106" t="s">
        <v>955</v>
      </c>
      <c r="V19" s="106" t="s">
        <v>949</v>
      </c>
      <c r="W19" s="106" t="s">
        <v>949</v>
      </c>
      <c r="X19" s="107" t="s">
        <v>949</v>
      </c>
      <c r="Y19" s="107" t="s">
        <v>4</v>
      </c>
      <c r="Z19" s="107" t="s">
        <v>941</v>
      </c>
      <c r="AA19" s="107"/>
      <c r="AB19" s="108" t="s">
        <v>75</v>
      </c>
    </row>
    <row r="20" spans="1:28" x14ac:dyDescent="0.3">
      <c r="A20" s="124"/>
      <c r="B20" s="115">
        <v>19</v>
      </c>
      <c r="C20" s="58" t="s">
        <v>550</v>
      </c>
      <c r="D20" s="58">
        <v>1793</v>
      </c>
      <c r="E20" s="58" t="s">
        <v>706</v>
      </c>
      <c r="F20" s="29" t="s">
        <v>55</v>
      </c>
      <c r="G20" s="42" t="s">
        <v>29</v>
      </c>
      <c r="H20" s="31" t="s">
        <v>56</v>
      </c>
      <c r="I20" s="32">
        <v>43910</v>
      </c>
      <c r="J20" s="87">
        <v>43851</v>
      </c>
      <c r="K20" s="88" t="s">
        <v>1013</v>
      </c>
      <c r="L20" s="127">
        <v>7.0000000000000007E-2</v>
      </c>
      <c r="M20" s="132">
        <v>4.194</v>
      </c>
      <c r="N20" s="88"/>
      <c r="O20" s="88"/>
      <c r="P20" s="88"/>
      <c r="Q20" s="79">
        <v>0.02</v>
      </c>
      <c r="R20" s="79">
        <v>3.16</v>
      </c>
      <c r="S20" s="79">
        <v>4.24</v>
      </c>
      <c r="T20" s="79">
        <v>4.25</v>
      </c>
      <c r="U20" s="79" t="s">
        <v>955</v>
      </c>
      <c r="V20" s="79">
        <v>1.08</v>
      </c>
      <c r="W20" s="79">
        <v>1.0900000000000001</v>
      </c>
      <c r="X20" s="34">
        <v>1</v>
      </c>
      <c r="Y20" s="34" t="s">
        <v>4</v>
      </c>
      <c r="Z20" s="34" t="s">
        <v>941</v>
      </c>
      <c r="AA20" s="34"/>
      <c r="AB20" s="35" t="s">
        <v>1014</v>
      </c>
    </row>
    <row r="21" spans="1:28" x14ac:dyDescent="0.3">
      <c r="A21" s="124"/>
      <c r="B21" s="110">
        <v>20</v>
      </c>
      <c r="C21" s="64" t="s">
        <v>551</v>
      </c>
      <c r="D21" s="64">
        <v>1830</v>
      </c>
      <c r="E21" s="64" t="s">
        <v>707</v>
      </c>
      <c r="F21" s="6" t="s">
        <v>57</v>
      </c>
      <c r="G21" s="13" t="s">
        <v>29</v>
      </c>
      <c r="H21" s="14" t="s">
        <v>58</v>
      </c>
      <c r="I21" s="3">
        <v>43909</v>
      </c>
      <c r="J21" s="89">
        <v>43854</v>
      </c>
      <c r="K21" s="86">
        <v>0.4909722222222222</v>
      </c>
      <c r="L21" s="125">
        <v>0.02</v>
      </c>
      <c r="M21" s="133">
        <v>14.68</v>
      </c>
      <c r="N21" s="86"/>
      <c r="O21" s="86"/>
      <c r="P21" s="86">
        <v>0.5</v>
      </c>
      <c r="Q21" s="80">
        <v>0.01</v>
      </c>
      <c r="R21" s="80">
        <v>14.68</v>
      </c>
      <c r="S21" s="80">
        <v>14.95</v>
      </c>
      <c r="T21" s="80">
        <v>15.26</v>
      </c>
      <c r="U21" s="80" t="s">
        <v>955</v>
      </c>
      <c r="V21" s="80">
        <v>0.27</v>
      </c>
      <c r="W21" s="80">
        <v>0.57999999999999996</v>
      </c>
      <c r="X21" s="4">
        <v>1</v>
      </c>
      <c r="Y21" s="4" t="s">
        <v>6</v>
      </c>
      <c r="Z21" s="4" t="s">
        <v>941</v>
      </c>
      <c r="AA21" s="4" t="s">
        <v>1068</v>
      </c>
      <c r="AB21" s="16" t="s">
        <v>59</v>
      </c>
    </row>
    <row r="22" spans="1:28" x14ac:dyDescent="0.3">
      <c r="A22" s="124"/>
      <c r="B22" s="117">
        <v>21</v>
      </c>
      <c r="C22" s="62" t="s">
        <v>552</v>
      </c>
      <c r="D22" s="62">
        <v>1845</v>
      </c>
      <c r="E22" s="62" t="s">
        <v>708</v>
      </c>
      <c r="F22" s="39" t="s">
        <v>60</v>
      </c>
      <c r="G22" s="47" t="s">
        <v>29</v>
      </c>
      <c r="H22" s="48" t="s">
        <v>61</v>
      </c>
      <c r="I22" s="32">
        <v>43908</v>
      </c>
      <c r="J22" s="87">
        <v>43872</v>
      </c>
      <c r="K22" s="88">
        <v>0.58402777777777781</v>
      </c>
      <c r="L22" s="127">
        <f>60.121-57.912</f>
        <v>2.2090000000000032</v>
      </c>
      <c r="M22" s="132">
        <f>(64.269-57.912)+0.086</f>
        <v>6.4430000000000067</v>
      </c>
      <c r="N22" s="88"/>
      <c r="O22" s="88"/>
      <c r="P22" s="88">
        <v>0.59027777777777779</v>
      </c>
      <c r="Q22" s="79">
        <v>1.82</v>
      </c>
      <c r="R22" s="79">
        <v>6.42</v>
      </c>
      <c r="S22" s="79">
        <v>6.45</v>
      </c>
      <c r="T22" s="79">
        <v>6.53</v>
      </c>
      <c r="U22" s="79" t="s">
        <v>955</v>
      </c>
      <c r="V22" s="79">
        <v>0.03</v>
      </c>
      <c r="W22" s="79">
        <v>0.11</v>
      </c>
      <c r="X22" s="34">
        <v>1</v>
      </c>
      <c r="Y22" s="34" t="s">
        <v>4</v>
      </c>
      <c r="Z22" s="34" t="s">
        <v>941</v>
      </c>
      <c r="AA22" s="34"/>
      <c r="AB22" s="36" t="s">
        <v>950</v>
      </c>
    </row>
    <row r="23" spans="1:28" x14ac:dyDescent="0.3">
      <c r="A23" s="124"/>
      <c r="B23" s="114">
        <v>22</v>
      </c>
      <c r="C23" s="62" t="s">
        <v>553</v>
      </c>
      <c r="D23" s="62">
        <v>1884</v>
      </c>
      <c r="E23" s="62" t="s">
        <v>709</v>
      </c>
      <c r="F23" s="39" t="s">
        <v>62</v>
      </c>
      <c r="G23" s="40" t="s">
        <v>18</v>
      </c>
      <c r="H23" s="33" t="s">
        <v>63</v>
      </c>
      <c r="I23" s="32">
        <v>43907</v>
      </c>
      <c r="J23" s="87">
        <v>43858</v>
      </c>
      <c r="K23" s="88">
        <v>0.40833333333333338</v>
      </c>
      <c r="L23" s="127">
        <v>0.86299999999999999</v>
      </c>
      <c r="M23" s="132">
        <v>6.6619999999999999</v>
      </c>
      <c r="N23" s="88"/>
      <c r="O23" s="88"/>
      <c r="P23" s="88">
        <v>0.41666666666666669</v>
      </c>
      <c r="Q23" s="79">
        <v>0.75</v>
      </c>
      <c r="R23" s="79">
        <v>6.66</v>
      </c>
      <c r="S23" s="79">
        <v>6.74</v>
      </c>
      <c r="T23" s="79">
        <v>6.88</v>
      </c>
      <c r="U23" s="79" t="s">
        <v>955</v>
      </c>
      <c r="V23" s="79">
        <v>0.08</v>
      </c>
      <c r="W23" s="79">
        <v>0.22</v>
      </c>
      <c r="X23" s="34">
        <v>1</v>
      </c>
      <c r="Y23" s="34" t="s">
        <v>4</v>
      </c>
      <c r="Z23" s="34" t="s">
        <v>941</v>
      </c>
      <c r="AA23" s="34"/>
      <c r="AB23" s="35"/>
    </row>
    <row r="24" spans="1:28" x14ac:dyDescent="0.3">
      <c r="A24" s="157"/>
      <c r="B24" s="114">
        <v>23</v>
      </c>
      <c r="C24" s="58" t="s">
        <v>554</v>
      </c>
      <c r="D24" s="58">
        <v>1885</v>
      </c>
      <c r="E24" s="58" t="s">
        <v>710</v>
      </c>
      <c r="F24" s="39" t="s">
        <v>64</v>
      </c>
      <c r="G24" s="40" t="s">
        <v>18</v>
      </c>
      <c r="H24" s="33" t="s">
        <v>65</v>
      </c>
      <c r="I24" s="32">
        <v>43907</v>
      </c>
      <c r="J24" s="87">
        <v>43875</v>
      </c>
      <c r="K24" s="88">
        <v>0.54652777777777783</v>
      </c>
      <c r="L24" s="127">
        <f>59.087-57.912</f>
        <v>1.1750000000000043</v>
      </c>
      <c r="M24" s="132">
        <f>(64.742-57.912)+0.086</f>
        <v>6.9160000000000057</v>
      </c>
      <c r="N24" s="88"/>
      <c r="O24" s="88"/>
      <c r="P24" s="88" t="s">
        <v>1010</v>
      </c>
      <c r="Q24" s="79">
        <v>1.18</v>
      </c>
      <c r="R24" s="79">
        <v>6.85</v>
      </c>
      <c r="S24" s="79">
        <v>6.98</v>
      </c>
      <c r="T24" s="79">
        <v>7.15</v>
      </c>
      <c r="U24" s="79" t="s">
        <v>955</v>
      </c>
      <c r="V24" s="79">
        <v>0.13</v>
      </c>
      <c r="W24" s="79">
        <v>0.3</v>
      </c>
      <c r="X24" s="34">
        <v>1</v>
      </c>
      <c r="Y24" s="34" t="s">
        <v>4</v>
      </c>
      <c r="Z24" s="34" t="s">
        <v>941</v>
      </c>
      <c r="AA24" s="34"/>
      <c r="AB24" s="35"/>
    </row>
    <row r="25" spans="1:28" x14ac:dyDescent="0.3">
      <c r="A25" s="124"/>
      <c r="B25" s="114">
        <v>24</v>
      </c>
      <c r="C25" s="58" t="s">
        <v>555</v>
      </c>
      <c r="D25" s="58">
        <v>4952</v>
      </c>
      <c r="E25" s="58" t="s">
        <v>711</v>
      </c>
      <c r="F25" s="39" t="s">
        <v>66</v>
      </c>
      <c r="G25" s="40" t="s">
        <v>18</v>
      </c>
      <c r="H25" s="33" t="s">
        <v>67</v>
      </c>
      <c r="I25" s="32">
        <v>43907</v>
      </c>
      <c r="J25" s="87">
        <v>43875</v>
      </c>
      <c r="K25" s="88" t="s">
        <v>1110</v>
      </c>
      <c r="L25" s="127">
        <f>59.257-57.912</f>
        <v>1.3449999999999989</v>
      </c>
      <c r="M25" s="132">
        <f>(65.863-57.912)+0.086</f>
        <v>8.0370000000000008</v>
      </c>
      <c r="N25" s="88"/>
      <c r="O25" s="88"/>
      <c r="P25" s="88" t="s">
        <v>1111</v>
      </c>
      <c r="Q25" s="79">
        <v>1.25</v>
      </c>
      <c r="R25" s="79">
        <v>7.93</v>
      </c>
      <c r="S25" s="79">
        <v>8.0299999999999994</v>
      </c>
      <c r="T25" s="79">
        <v>8.06</v>
      </c>
      <c r="U25" s="79" t="s">
        <v>955</v>
      </c>
      <c r="V25" s="79">
        <v>0.1</v>
      </c>
      <c r="W25" s="79">
        <v>0.13</v>
      </c>
      <c r="X25" s="34">
        <v>1</v>
      </c>
      <c r="Y25" s="34" t="s">
        <v>4</v>
      </c>
      <c r="Z25" s="34" t="s">
        <v>941</v>
      </c>
      <c r="AA25" s="34"/>
      <c r="AB25" s="35"/>
    </row>
    <row r="26" spans="1:28" x14ac:dyDescent="0.3">
      <c r="A26" s="124"/>
      <c r="B26" s="114">
        <v>25</v>
      </c>
      <c r="C26" s="58" t="s">
        <v>556</v>
      </c>
      <c r="D26" s="58">
        <v>4953</v>
      </c>
      <c r="E26" s="58" t="s">
        <v>712</v>
      </c>
      <c r="F26" s="39" t="s">
        <v>68</v>
      </c>
      <c r="G26" s="40" t="s">
        <v>18</v>
      </c>
      <c r="H26" s="33" t="s">
        <v>69</v>
      </c>
      <c r="I26" s="32">
        <v>43999</v>
      </c>
      <c r="J26" s="87">
        <v>43875</v>
      </c>
      <c r="K26" s="88" t="s">
        <v>1189</v>
      </c>
      <c r="L26" s="127">
        <f>58.705-57.912</f>
        <v>0.79299999999999926</v>
      </c>
      <c r="M26" s="132">
        <f>(64.022-57.912)+0.086</f>
        <v>6.1960000000000068</v>
      </c>
      <c r="N26" s="88"/>
      <c r="O26" s="88"/>
      <c r="P26" s="88" t="s">
        <v>1176</v>
      </c>
      <c r="Q26" s="79">
        <v>0.69</v>
      </c>
      <c r="R26" s="79">
        <v>6.1</v>
      </c>
      <c r="S26" s="79">
        <v>6.35</v>
      </c>
      <c r="T26" s="79">
        <v>6.49</v>
      </c>
      <c r="U26" s="79" t="s">
        <v>955</v>
      </c>
      <c r="V26" s="79">
        <v>0.25</v>
      </c>
      <c r="W26" s="79">
        <v>0.39</v>
      </c>
      <c r="X26" s="34">
        <v>1</v>
      </c>
      <c r="Y26" s="34" t="s">
        <v>4</v>
      </c>
      <c r="Z26" s="34" t="s">
        <v>941</v>
      </c>
      <c r="AA26" s="34"/>
      <c r="AB26" s="35"/>
    </row>
    <row r="27" spans="1:28" x14ac:dyDescent="0.3">
      <c r="A27" s="124"/>
      <c r="B27" s="114">
        <v>26</v>
      </c>
      <c r="C27" s="58" t="s">
        <v>557</v>
      </c>
      <c r="D27" s="58">
        <v>5200</v>
      </c>
      <c r="E27" s="58" t="s">
        <v>713</v>
      </c>
      <c r="F27" s="39" t="s">
        <v>70</v>
      </c>
      <c r="G27" s="40" t="s">
        <v>18</v>
      </c>
      <c r="H27" s="33" t="s">
        <v>71</v>
      </c>
      <c r="I27" s="32">
        <v>43907</v>
      </c>
      <c r="J27" s="87">
        <v>43858</v>
      </c>
      <c r="K27" s="88">
        <v>0.38055555555555554</v>
      </c>
      <c r="L27" s="127">
        <v>0.91400000000000003</v>
      </c>
      <c r="M27" s="132">
        <v>7.1459999999999999</v>
      </c>
      <c r="N27" s="88"/>
      <c r="O27" s="88"/>
      <c r="P27" s="88">
        <v>0.3888888888888889</v>
      </c>
      <c r="Q27" s="79">
        <v>0.84</v>
      </c>
      <c r="R27" s="79">
        <v>7.04</v>
      </c>
      <c r="S27" s="79">
        <v>7.22</v>
      </c>
      <c r="T27" s="79">
        <v>7.06</v>
      </c>
      <c r="U27" s="79" t="s">
        <v>955</v>
      </c>
      <c r="V27" s="79">
        <v>0.18</v>
      </c>
      <c r="W27" s="79">
        <v>0.02</v>
      </c>
      <c r="X27" s="34">
        <v>1</v>
      </c>
      <c r="Y27" s="34" t="s">
        <v>4</v>
      </c>
      <c r="Z27" s="34" t="s">
        <v>941</v>
      </c>
      <c r="AA27" s="34" t="s">
        <v>1090</v>
      </c>
      <c r="AB27" s="35"/>
    </row>
    <row r="28" spans="1:28" x14ac:dyDescent="0.3">
      <c r="A28" s="209"/>
      <c r="B28" s="114">
        <v>27</v>
      </c>
      <c r="C28" s="58" t="s">
        <v>558</v>
      </c>
      <c r="D28" s="58">
        <v>5204</v>
      </c>
      <c r="E28" s="58" t="s">
        <v>714</v>
      </c>
      <c r="F28" s="39" t="s">
        <v>72</v>
      </c>
      <c r="G28" s="40" t="s">
        <v>18</v>
      </c>
      <c r="H28" s="33" t="s">
        <v>73</v>
      </c>
      <c r="I28" s="32">
        <v>43918</v>
      </c>
      <c r="J28" s="87">
        <v>43871</v>
      </c>
      <c r="K28" s="88" t="s">
        <v>1147</v>
      </c>
      <c r="L28" s="127">
        <f>58.91 - 57.912</f>
        <v>0.99799999999999756</v>
      </c>
      <c r="M28" s="132">
        <f>64.89 - 57.912</f>
        <v>6.9780000000000015</v>
      </c>
      <c r="N28" s="88"/>
      <c r="O28" s="88"/>
      <c r="P28" s="88" t="s">
        <v>1010</v>
      </c>
      <c r="Q28" s="79">
        <v>0.93</v>
      </c>
      <c r="R28" s="79">
        <v>6.99</v>
      </c>
      <c r="S28" s="79">
        <v>7.09</v>
      </c>
      <c r="T28" s="79">
        <v>6.79</v>
      </c>
      <c r="U28" s="79" t="s">
        <v>955</v>
      </c>
      <c r="V28" s="79">
        <v>0.1</v>
      </c>
      <c r="W28" s="79">
        <v>-0.2</v>
      </c>
      <c r="X28" s="34">
        <v>1</v>
      </c>
      <c r="Y28" s="34" t="s">
        <v>4</v>
      </c>
      <c r="Z28" s="34" t="s">
        <v>941</v>
      </c>
      <c r="AA28" s="34" t="s">
        <v>1148</v>
      </c>
      <c r="AB28" s="35"/>
    </row>
    <row r="29" spans="1:28" ht="28.8" x14ac:dyDescent="0.3">
      <c r="A29" s="157"/>
      <c r="B29" s="115">
        <v>28</v>
      </c>
      <c r="C29" s="58" t="s">
        <v>934</v>
      </c>
      <c r="D29" s="60">
        <v>14117</v>
      </c>
      <c r="E29" s="59" t="s">
        <v>933</v>
      </c>
      <c r="F29" s="29" t="s">
        <v>74</v>
      </c>
      <c r="G29" s="42" t="s">
        <v>29</v>
      </c>
      <c r="H29" s="49" t="s">
        <v>965</v>
      </c>
      <c r="I29" s="32">
        <v>43918</v>
      </c>
      <c r="J29" s="87">
        <v>43882</v>
      </c>
      <c r="K29" s="88">
        <v>0.41111111111111115</v>
      </c>
      <c r="L29" s="127">
        <f>58.292-57.912</f>
        <v>0.38000000000000256</v>
      </c>
      <c r="M29" s="132">
        <f>(64.107-57.912)+0.086</f>
        <v>6.2810000000000006</v>
      </c>
      <c r="N29" s="88"/>
      <c r="O29" s="88"/>
      <c r="P29" s="88">
        <v>0.41666666666666669</v>
      </c>
      <c r="Q29" s="79">
        <v>0.25</v>
      </c>
      <c r="R29" s="79">
        <v>6.2</v>
      </c>
      <c r="S29" s="79">
        <v>7.1</v>
      </c>
      <c r="T29" s="79">
        <v>6.6</v>
      </c>
      <c r="U29" s="79" t="s">
        <v>955</v>
      </c>
      <c r="V29" s="79">
        <v>0.9</v>
      </c>
      <c r="W29" s="79">
        <v>0.4</v>
      </c>
      <c r="X29" s="34">
        <v>1</v>
      </c>
      <c r="Y29" s="34" t="s">
        <v>4</v>
      </c>
      <c r="Z29" s="34" t="s">
        <v>941</v>
      </c>
      <c r="AA29" s="34"/>
      <c r="AB29" s="35" t="s">
        <v>964</v>
      </c>
    </row>
    <row r="30" spans="1:28" x14ac:dyDescent="0.3">
      <c r="A30" s="124"/>
      <c r="B30" s="115">
        <v>29</v>
      </c>
      <c r="C30" s="58" t="s">
        <v>559</v>
      </c>
      <c r="D30" s="58">
        <v>5983</v>
      </c>
      <c r="E30" s="58" t="s">
        <v>715</v>
      </c>
      <c r="F30" s="29" t="s">
        <v>76</v>
      </c>
      <c r="G30" s="42" t="s">
        <v>29</v>
      </c>
      <c r="H30" s="31" t="s">
        <v>77</v>
      </c>
      <c r="I30" s="32">
        <v>43910</v>
      </c>
      <c r="J30" s="87">
        <v>43873</v>
      </c>
      <c r="K30" s="88">
        <v>0.38958333333333334</v>
      </c>
      <c r="L30" s="127">
        <f>58.94-57.912</f>
        <v>1.0279999999999987</v>
      </c>
      <c r="M30" s="132">
        <f>(64.692-57.912)+0.086</f>
        <v>6.8659999999999943</v>
      </c>
      <c r="N30" s="88"/>
      <c r="O30" s="88"/>
      <c r="P30" s="88">
        <v>0.39583333333333331</v>
      </c>
      <c r="Q30" s="79">
        <v>0.7</v>
      </c>
      <c r="R30" s="79">
        <v>6.84</v>
      </c>
      <c r="S30" s="79">
        <v>6.86</v>
      </c>
      <c r="T30" s="79">
        <v>6.93</v>
      </c>
      <c r="U30" s="79" t="s">
        <v>955</v>
      </c>
      <c r="V30" s="79">
        <v>0.02</v>
      </c>
      <c r="W30" s="79">
        <v>0.09</v>
      </c>
      <c r="X30" s="34">
        <v>1</v>
      </c>
      <c r="Y30" s="34" t="s">
        <v>4</v>
      </c>
      <c r="Z30" s="34" t="s">
        <v>941</v>
      </c>
      <c r="AA30" s="34"/>
      <c r="AB30" s="36" t="s">
        <v>950</v>
      </c>
    </row>
    <row r="31" spans="1:28" x14ac:dyDescent="0.3">
      <c r="A31" s="124"/>
      <c r="B31" s="114">
        <v>30</v>
      </c>
      <c r="C31" s="59" t="s">
        <v>560</v>
      </c>
      <c r="D31" s="59">
        <v>5995</v>
      </c>
      <c r="E31" s="59" t="s">
        <v>942</v>
      </c>
      <c r="F31" s="39" t="s">
        <v>78</v>
      </c>
      <c r="G31" s="40" t="s">
        <v>18</v>
      </c>
      <c r="H31" s="33" t="s">
        <v>79</v>
      </c>
      <c r="I31" s="32">
        <v>43903</v>
      </c>
      <c r="J31" s="87">
        <v>43858</v>
      </c>
      <c r="K31" s="88">
        <v>0.58402777777777781</v>
      </c>
      <c r="L31" s="127">
        <v>1.7</v>
      </c>
      <c r="M31" s="132">
        <v>6.2</v>
      </c>
      <c r="N31" s="88"/>
      <c r="O31" s="88"/>
      <c r="P31" s="88">
        <v>0.59027777777777779</v>
      </c>
      <c r="Q31" s="79">
        <v>1.61</v>
      </c>
      <c r="R31" s="79">
        <v>6.15</v>
      </c>
      <c r="S31" s="79">
        <v>6.24</v>
      </c>
      <c r="T31" s="79">
        <v>6.31</v>
      </c>
      <c r="U31" s="79" t="s">
        <v>955</v>
      </c>
      <c r="V31" s="79">
        <v>0.09</v>
      </c>
      <c r="W31" s="79">
        <v>0.16</v>
      </c>
      <c r="X31" s="34">
        <v>1</v>
      </c>
      <c r="Y31" s="34" t="s">
        <v>4</v>
      </c>
      <c r="Z31" s="34" t="s">
        <v>941</v>
      </c>
      <c r="AA31" s="34"/>
      <c r="AB31" s="35"/>
    </row>
    <row r="32" spans="1:28" x14ac:dyDescent="0.3">
      <c r="A32" s="124"/>
      <c r="B32" s="115">
        <v>31</v>
      </c>
      <c r="C32" s="59" t="s">
        <v>561</v>
      </c>
      <c r="D32" s="59">
        <v>6052</v>
      </c>
      <c r="E32" s="59" t="s">
        <v>716</v>
      </c>
      <c r="F32" s="29" t="s">
        <v>80</v>
      </c>
      <c r="G32" s="42" t="s">
        <v>29</v>
      </c>
      <c r="H32" s="31" t="s">
        <v>81</v>
      </c>
      <c r="I32" s="32">
        <v>43910</v>
      </c>
      <c r="J32" s="87">
        <v>43868</v>
      </c>
      <c r="K32" s="88" t="s">
        <v>1127</v>
      </c>
      <c r="L32" s="127">
        <v>1.4410000000000025</v>
      </c>
      <c r="M32" s="132">
        <v>7.8719999999999999</v>
      </c>
      <c r="N32" s="88"/>
      <c r="O32" s="88"/>
      <c r="P32" s="88" t="s">
        <v>1126</v>
      </c>
      <c r="Q32" s="79">
        <v>1.24</v>
      </c>
      <c r="R32" s="79">
        <v>7.94</v>
      </c>
      <c r="S32" s="79">
        <v>7.97</v>
      </c>
      <c r="T32" s="79">
        <v>8.1300000000000008</v>
      </c>
      <c r="U32" s="79" t="s">
        <v>955</v>
      </c>
      <c r="V32" s="79">
        <v>0.03</v>
      </c>
      <c r="W32" s="79">
        <v>0.19</v>
      </c>
      <c r="X32" s="34">
        <v>1</v>
      </c>
      <c r="Y32" s="34" t="s">
        <v>4</v>
      </c>
      <c r="Z32" s="34" t="s">
        <v>941</v>
      </c>
      <c r="AA32" s="34" t="s">
        <v>1128</v>
      </c>
      <c r="AB32" s="35"/>
    </row>
    <row r="33" spans="1:29" x14ac:dyDescent="0.3">
      <c r="A33" s="124"/>
      <c r="B33" s="229">
        <v>32</v>
      </c>
      <c r="C33" s="99" t="s">
        <v>562</v>
      </c>
      <c r="D33" s="99">
        <v>6056</v>
      </c>
      <c r="E33" s="99" t="s">
        <v>717</v>
      </c>
      <c r="F33" s="230" t="s">
        <v>82</v>
      </c>
      <c r="G33" s="231" t="s">
        <v>29</v>
      </c>
      <c r="H33" s="225" t="s">
        <v>83</v>
      </c>
      <c r="I33" s="103">
        <v>43918</v>
      </c>
      <c r="J33" s="104"/>
      <c r="K33" s="105"/>
      <c r="L33" s="129"/>
      <c r="M33" s="135"/>
      <c r="N33" s="105"/>
      <c r="O33" s="105"/>
      <c r="P33" s="105"/>
      <c r="Q33" s="106">
        <v>0</v>
      </c>
      <c r="R33" s="106">
        <v>5.74</v>
      </c>
      <c r="S33" s="106">
        <v>5.91</v>
      </c>
      <c r="T33" s="106">
        <v>5.97</v>
      </c>
      <c r="U33" s="106" t="s">
        <v>955</v>
      </c>
      <c r="V33" s="106">
        <v>0.17</v>
      </c>
      <c r="W33" s="106">
        <v>0.23</v>
      </c>
      <c r="X33" s="107"/>
      <c r="Y33" s="107" t="s">
        <v>6</v>
      </c>
      <c r="Z33" s="107" t="s">
        <v>941</v>
      </c>
      <c r="AA33" s="107" t="s">
        <v>1177</v>
      </c>
      <c r="AB33" s="108" t="s">
        <v>84</v>
      </c>
    </row>
    <row r="34" spans="1:29" x14ac:dyDescent="0.3">
      <c r="A34" s="124">
        <f>Table225[[#This Row],[9 month data expiry]]</f>
        <v>44006</v>
      </c>
      <c r="B34" s="115">
        <v>33</v>
      </c>
      <c r="C34" s="59" t="s">
        <v>563</v>
      </c>
      <c r="D34" s="59">
        <v>6057</v>
      </c>
      <c r="E34" s="59" t="s">
        <v>718</v>
      </c>
      <c r="F34" s="29" t="s">
        <v>85</v>
      </c>
      <c r="G34" s="42" t="s">
        <v>29</v>
      </c>
      <c r="H34" s="31" t="s">
        <v>86</v>
      </c>
      <c r="I34" s="32">
        <v>44006</v>
      </c>
      <c r="J34" s="87">
        <v>43874</v>
      </c>
      <c r="K34" s="88" t="s">
        <v>1178</v>
      </c>
      <c r="L34" s="127">
        <f>58.292-57.912</f>
        <v>0.38000000000000256</v>
      </c>
      <c r="M34" s="132">
        <f>(65.073-57.912)+0.086</f>
        <v>7.2469999999999946</v>
      </c>
      <c r="N34" s="88"/>
      <c r="O34" s="88"/>
      <c r="P34" s="88">
        <v>0.625</v>
      </c>
      <c r="Q34" s="79">
        <v>0.27</v>
      </c>
      <c r="R34" s="79">
        <v>7.14</v>
      </c>
      <c r="S34" s="79">
        <v>7.23</v>
      </c>
      <c r="T34" s="79">
        <v>6.82</v>
      </c>
      <c r="U34" s="79" t="s">
        <v>955</v>
      </c>
      <c r="V34" s="79">
        <v>0.09</v>
      </c>
      <c r="W34" s="79">
        <v>-0.32</v>
      </c>
      <c r="X34" s="34">
        <v>1</v>
      </c>
      <c r="Y34" s="34" t="s">
        <v>4</v>
      </c>
      <c r="Z34" s="34" t="s">
        <v>941</v>
      </c>
      <c r="AA34" s="34"/>
      <c r="AB34" s="35"/>
    </row>
    <row r="35" spans="1:29" x14ac:dyDescent="0.3">
      <c r="A35" s="124"/>
      <c r="B35" s="116">
        <v>34</v>
      </c>
      <c r="C35" s="61" t="s">
        <v>564</v>
      </c>
      <c r="D35" s="61">
        <v>6058</v>
      </c>
      <c r="E35" s="61" t="s">
        <v>719</v>
      </c>
      <c r="F35" s="44" t="s">
        <v>87</v>
      </c>
      <c r="G35" s="45" t="s">
        <v>29</v>
      </c>
      <c r="H35" s="50" t="s">
        <v>88</v>
      </c>
      <c r="I35" s="32">
        <v>43914</v>
      </c>
      <c r="J35" s="87">
        <v>43874</v>
      </c>
      <c r="K35" s="88">
        <v>0.62847222222222221</v>
      </c>
      <c r="L35" s="127">
        <f>58.223-57.912</f>
        <v>0.31099999999999994</v>
      </c>
      <c r="M35" s="132">
        <f>(64.828-57.912)+0.086</f>
        <v>7.0020000000000042</v>
      </c>
      <c r="N35" s="88"/>
      <c r="O35" s="88"/>
      <c r="P35" s="88" t="s">
        <v>1179</v>
      </c>
      <c r="Q35" s="79">
        <v>0.19</v>
      </c>
      <c r="R35" s="79">
        <v>7.91</v>
      </c>
      <c r="S35" s="79">
        <v>7.01</v>
      </c>
      <c r="T35" s="79">
        <v>7.09</v>
      </c>
      <c r="U35" s="79" t="s">
        <v>955</v>
      </c>
      <c r="V35" s="79">
        <v>-0.9</v>
      </c>
      <c r="W35" s="79">
        <v>-0.82</v>
      </c>
      <c r="X35" s="34">
        <v>1</v>
      </c>
      <c r="Y35" s="34" t="s">
        <v>4</v>
      </c>
      <c r="Z35" s="34" t="s">
        <v>941</v>
      </c>
      <c r="AA35" s="34"/>
      <c r="AB35" s="35"/>
    </row>
    <row r="36" spans="1:29" x14ac:dyDescent="0.3">
      <c r="A36" s="124"/>
      <c r="B36" s="112">
        <v>35</v>
      </c>
      <c r="C36" s="63" t="s">
        <v>565</v>
      </c>
      <c r="D36" s="63">
        <v>6093</v>
      </c>
      <c r="E36" s="63" t="s">
        <v>720</v>
      </c>
      <c r="F36" s="18" t="s">
        <v>89</v>
      </c>
      <c r="G36" s="9" t="s">
        <v>18</v>
      </c>
      <c r="H36" s="10" t="s">
        <v>90</v>
      </c>
      <c r="I36" s="11" t="s">
        <v>949</v>
      </c>
      <c r="J36" s="84"/>
      <c r="K36" s="85"/>
      <c r="L36" s="126"/>
      <c r="M36" s="134"/>
      <c r="N36" s="85"/>
      <c r="O36" s="85"/>
      <c r="P36" s="85"/>
      <c r="Q36" s="78" t="s">
        <v>949</v>
      </c>
      <c r="R36" s="78" t="s">
        <v>949</v>
      </c>
      <c r="S36" s="78" t="s">
        <v>949</v>
      </c>
      <c r="T36" s="78" t="e">
        <v>#N/A</v>
      </c>
      <c r="U36" s="78">
        <v>6.63</v>
      </c>
      <c r="V36" s="78" t="s">
        <v>947</v>
      </c>
      <c r="W36" s="78" t="s">
        <v>947</v>
      </c>
      <c r="X36" s="12" t="s">
        <v>949</v>
      </c>
      <c r="Y36" s="12" t="s">
        <v>11</v>
      </c>
      <c r="Z36" s="12" t="s">
        <v>937</v>
      </c>
      <c r="AA36" s="12"/>
      <c r="AB36" s="19" t="s">
        <v>951</v>
      </c>
    </row>
    <row r="37" spans="1:29" ht="28.8" x14ac:dyDescent="0.3">
      <c r="A37" s="124"/>
      <c r="B37" s="114">
        <v>36</v>
      </c>
      <c r="C37" s="61" t="s">
        <v>566</v>
      </c>
      <c r="D37" s="61">
        <v>6095</v>
      </c>
      <c r="E37" s="61" t="s">
        <v>721</v>
      </c>
      <c r="F37" s="39" t="s">
        <v>91</v>
      </c>
      <c r="G37" s="40" t="s">
        <v>18</v>
      </c>
      <c r="H37" s="33" t="s">
        <v>92</v>
      </c>
      <c r="I37" s="32">
        <v>43903</v>
      </c>
      <c r="J37" s="87">
        <v>43858</v>
      </c>
      <c r="K37" s="88">
        <v>0.56805555555555554</v>
      </c>
      <c r="L37" s="127">
        <v>2.0609999999999999</v>
      </c>
      <c r="M37" s="132">
        <v>8.1709999999999994</v>
      </c>
      <c r="N37" s="88"/>
      <c r="O37" s="88"/>
      <c r="P37" s="88">
        <v>0.57638888888888895</v>
      </c>
      <c r="Q37" s="79">
        <v>1.94</v>
      </c>
      <c r="R37" s="79">
        <v>8.14</v>
      </c>
      <c r="S37" s="79">
        <v>8.24</v>
      </c>
      <c r="T37" s="79">
        <v>8.2200000000000006</v>
      </c>
      <c r="U37" s="79" t="s">
        <v>955</v>
      </c>
      <c r="V37" s="79">
        <v>0.1</v>
      </c>
      <c r="W37" s="79">
        <v>0.08</v>
      </c>
      <c r="X37" s="34">
        <v>1</v>
      </c>
      <c r="Y37" s="34" t="s">
        <v>4</v>
      </c>
      <c r="Z37" s="34" t="s">
        <v>941</v>
      </c>
      <c r="AA37" s="34" t="s">
        <v>1096</v>
      </c>
      <c r="AB37" s="35" t="s">
        <v>93</v>
      </c>
      <c r="AC37" s="109" t="s">
        <v>954</v>
      </c>
    </row>
    <row r="38" spans="1:29" x14ac:dyDescent="0.3">
      <c r="A38" s="124"/>
      <c r="B38" s="116">
        <v>37</v>
      </c>
      <c r="C38" s="58" t="s">
        <v>567</v>
      </c>
      <c r="D38" s="58">
        <v>6100</v>
      </c>
      <c r="E38" s="58" t="s">
        <v>722</v>
      </c>
      <c r="F38" s="44" t="s">
        <v>94</v>
      </c>
      <c r="G38" s="45" t="s">
        <v>29</v>
      </c>
      <c r="H38" s="50" t="s">
        <v>95</v>
      </c>
      <c r="I38" s="32">
        <v>43912</v>
      </c>
      <c r="J38" s="87">
        <v>43873</v>
      </c>
      <c r="K38" s="88">
        <v>0.46111111111111108</v>
      </c>
      <c r="L38" s="127">
        <f>60.241-57.912</f>
        <v>2.3290000000000006</v>
      </c>
      <c r="M38" s="132">
        <f>(64.04-57.912)+0.086</f>
        <v>6.2140000000000075</v>
      </c>
      <c r="N38" s="88"/>
      <c r="O38" s="88"/>
      <c r="P38" s="88">
        <v>0.46527777777777773</v>
      </c>
      <c r="Q38" s="79">
        <v>2.2400000000000002</v>
      </c>
      <c r="R38" s="79">
        <v>6.21</v>
      </c>
      <c r="S38" s="79">
        <v>6.23</v>
      </c>
      <c r="T38" s="79">
        <v>6.26</v>
      </c>
      <c r="U38" s="79" t="s">
        <v>955</v>
      </c>
      <c r="V38" s="79">
        <v>0.02</v>
      </c>
      <c r="W38" s="79">
        <v>0.05</v>
      </c>
      <c r="X38" s="34">
        <v>1</v>
      </c>
      <c r="Y38" s="34" t="s">
        <v>4</v>
      </c>
      <c r="Z38" s="34" t="s">
        <v>941</v>
      </c>
      <c r="AA38" s="34"/>
      <c r="AB38" s="35"/>
    </row>
    <row r="39" spans="1:29" x14ac:dyDescent="0.3">
      <c r="A39" s="124"/>
      <c r="B39" s="116">
        <v>38</v>
      </c>
      <c r="C39" s="58" t="s">
        <v>568</v>
      </c>
      <c r="D39" s="58">
        <v>6102</v>
      </c>
      <c r="E39" s="58" t="s">
        <v>723</v>
      </c>
      <c r="F39" s="44" t="s">
        <v>96</v>
      </c>
      <c r="G39" s="45" t="s">
        <v>29</v>
      </c>
      <c r="H39" s="50" t="s">
        <v>97</v>
      </c>
      <c r="I39" s="32">
        <v>43911</v>
      </c>
      <c r="J39" s="87">
        <v>43873</v>
      </c>
      <c r="K39" s="88">
        <v>0.53194444444444444</v>
      </c>
      <c r="L39" s="127">
        <f>60.235-57.912</f>
        <v>2.3230000000000004</v>
      </c>
      <c r="M39" s="132">
        <f>(64.967-57.912)+0.086</f>
        <v>7.141</v>
      </c>
      <c r="N39" s="88"/>
      <c r="O39" s="88"/>
      <c r="P39" s="88">
        <v>0.54166666666666663</v>
      </c>
      <c r="Q39" s="79">
        <v>2.27</v>
      </c>
      <c r="R39" s="79">
        <v>7.06</v>
      </c>
      <c r="S39" s="79">
        <v>7.15</v>
      </c>
      <c r="T39" s="79">
        <v>6.93</v>
      </c>
      <c r="U39" s="79" t="s">
        <v>955</v>
      </c>
      <c r="V39" s="79">
        <v>0.09</v>
      </c>
      <c r="W39" s="79">
        <v>-0.13</v>
      </c>
      <c r="X39" s="34">
        <v>1</v>
      </c>
      <c r="Y39" s="34" t="s">
        <v>4</v>
      </c>
      <c r="Z39" s="34" t="s">
        <v>941</v>
      </c>
      <c r="AA39" s="34" t="s">
        <v>1169</v>
      </c>
      <c r="AB39" s="35"/>
    </row>
    <row r="40" spans="1:29" ht="28.8" x14ac:dyDescent="0.3">
      <c r="A40" s="124"/>
      <c r="B40" s="114">
        <v>39</v>
      </c>
      <c r="C40" s="61" t="s">
        <v>569</v>
      </c>
      <c r="D40" s="61">
        <v>6235</v>
      </c>
      <c r="E40" s="61" t="s">
        <v>724</v>
      </c>
      <c r="F40" s="29" t="s">
        <v>98</v>
      </c>
      <c r="G40" s="42" t="s">
        <v>29</v>
      </c>
      <c r="H40" s="51" t="s">
        <v>99</v>
      </c>
      <c r="I40" s="32">
        <v>43918</v>
      </c>
      <c r="J40" s="87">
        <v>43873</v>
      </c>
      <c r="K40" s="88">
        <v>0.41736111111111113</v>
      </c>
      <c r="L40" s="127">
        <f>59.42-57.912</f>
        <v>1.5080000000000027</v>
      </c>
      <c r="M40" s="132">
        <f>(63.986-57.912)+0.086</f>
        <v>6.1599999999999984</v>
      </c>
      <c r="N40" s="88"/>
      <c r="O40" s="88"/>
      <c r="P40" s="88">
        <v>0.4236111111111111</v>
      </c>
      <c r="Q40" s="79">
        <v>1.31</v>
      </c>
      <c r="R40" s="79">
        <v>6.07</v>
      </c>
      <c r="S40" s="79">
        <v>4.2300000000000004</v>
      </c>
      <c r="T40" s="79">
        <v>6.3</v>
      </c>
      <c r="U40" s="79" t="s">
        <v>955</v>
      </c>
      <c r="V40" s="97">
        <v>-1.84</v>
      </c>
      <c r="W40" s="79">
        <v>0.23</v>
      </c>
      <c r="X40" s="34">
        <v>1</v>
      </c>
      <c r="Y40" s="34" t="s">
        <v>4</v>
      </c>
      <c r="Z40" s="34" t="s">
        <v>941</v>
      </c>
      <c r="AA40" s="34"/>
      <c r="AB40" s="35" t="s">
        <v>952</v>
      </c>
      <c r="AC40" s="109" t="s">
        <v>954</v>
      </c>
    </row>
    <row r="41" spans="1:29" x14ac:dyDescent="0.3">
      <c r="A41" s="124"/>
      <c r="B41" s="114">
        <v>40</v>
      </c>
      <c r="C41" s="61" t="s">
        <v>570</v>
      </c>
      <c r="D41" s="61">
        <v>6239</v>
      </c>
      <c r="E41" s="61" t="s">
        <v>725</v>
      </c>
      <c r="F41" s="29" t="s">
        <v>101</v>
      </c>
      <c r="G41" s="42" t="s">
        <v>29</v>
      </c>
      <c r="H41" s="51" t="s">
        <v>102</v>
      </c>
      <c r="I41" s="32">
        <v>43910</v>
      </c>
      <c r="J41" s="87">
        <v>43872</v>
      </c>
      <c r="K41" s="88">
        <v>0.6118055555555556</v>
      </c>
      <c r="L41" s="127">
        <f>59.032-57.912</f>
        <v>1.1199999999999974</v>
      </c>
      <c r="M41" s="132">
        <f>(64.497-57.912)+0.086</f>
        <v>6.6710000000000012</v>
      </c>
      <c r="N41" s="88"/>
      <c r="O41" s="88"/>
      <c r="P41" s="88" t="s">
        <v>1108</v>
      </c>
      <c r="Q41" s="79">
        <v>0.79</v>
      </c>
      <c r="R41" s="79">
        <v>4.1100000000000003</v>
      </c>
      <c r="S41" s="79">
        <v>4.21</v>
      </c>
      <c r="T41" s="79">
        <v>6.94</v>
      </c>
      <c r="U41" s="79" t="s">
        <v>955</v>
      </c>
      <c r="V41" s="79">
        <v>0.1</v>
      </c>
      <c r="W41" s="79">
        <v>2.83</v>
      </c>
      <c r="X41" s="34">
        <v>1</v>
      </c>
      <c r="Y41" s="34" t="s">
        <v>4</v>
      </c>
      <c r="Z41" s="34" t="s">
        <v>941</v>
      </c>
      <c r="AA41" s="34" t="s">
        <v>1165</v>
      </c>
      <c r="AB41" s="35"/>
    </row>
    <row r="42" spans="1:29" x14ac:dyDescent="0.3">
      <c r="A42" s="124"/>
      <c r="B42" s="114">
        <v>41</v>
      </c>
      <c r="C42" s="38" t="s">
        <v>571</v>
      </c>
      <c r="D42" s="38">
        <v>6503</v>
      </c>
      <c r="E42" s="38" t="s">
        <v>726</v>
      </c>
      <c r="F42" s="39" t="s">
        <v>103</v>
      </c>
      <c r="G42" s="40" t="s">
        <v>18</v>
      </c>
      <c r="H42" s="33" t="s">
        <v>104</v>
      </c>
      <c r="I42" s="32">
        <v>43907</v>
      </c>
      <c r="J42" s="87">
        <v>43875</v>
      </c>
      <c r="K42" s="88" t="s">
        <v>1190</v>
      </c>
      <c r="L42" s="127">
        <f>58.93-57.912</f>
        <v>1.0180000000000007</v>
      </c>
      <c r="M42" s="132">
        <f>(65.512-57.912)+0.086</f>
        <v>7.6860000000000017</v>
      </c>
      <c r="N42" s="88"/>
      <c r="O42" s="88"/>
      <c r="P42" s="88" t="s">
        <v>1126</v>
      </c>
      <c r="Q42" s="79">
        <v>0.94</v>
      </c>
      <c r="R42" s="79">
        <v>7.6</v>
      </c>
      <c r="S42" s="79">
        <v>7.7</v>
      </c>
      <c r="T42" s="79">
        <v>7.77</v>
      </c>
      <c r="U42" s="79" t="s">
        <v>955</v>
      </c>
      <c r="V42" s="79">
        <v>0.1</v>
      </c>
      <c r="W42" s="79">
        <v>0.17</v>
      </c>
      <c r="X42" s="34">
        <v>1</v>
      </c>
      <c r="Y42" s="34" t="s">
        <v>4</v>
      </c>
      <c r="Z42" s="34" t="s">
        <v>941</v>
      </c>
      <c r="AA42" s="34"/>
      <c r="AB42" s="35"/>
    </row>
    <row r="43" spans="1:29" x14ac:dyDescent="0.3">
      <c r="A43" s="124"/>
      <c r="B43" s="114">
        <v>42</v>
      </c>
      <c r="C43" s="38" t="s">
        <v>572</v>
      </c>
      <c r="D43" s="38">
        <v>6504</v>
      </c>
      <c r="E43" s="38" t="s">
        <v>727</v>
      </c>
      <c r="F43" s="39" t="s">
        <v>105</v>
      </c>
      <c r="G43" s="40" t="s">
        <v>18</v>
      </c>
      <c r="H43" s="33" t="s">
        <v>106</v>
      </c>
      <c r="I43" s="32">
        <v>43907</v>
      </c>
      <c r="J43" s="87">
        <v>43858</v>
      </c>
      <c r="K43" s="88">
        <v>0.35347222222222219</v>
      </c>
      <c r="L43" s="127">
        <v>1.1399999999999999</v>
      </c>
      <c r="M43" s="132">
        <v>7.4340000000000002</v>
      </c>
      <c r="N43" s="88"/>
      <c r="O43" s="88"/>
      <c r="P43" s="88"/>
      <c r="Q43" s="79">
        <v>1.06</v>
      </c>
      <c r="R43" s="79">
        <v>7.41</v>
      </c>
      <c r="S43" s="81">
        <v>4.24</v>
      </c>
      <c r="T43" s="79">
        <v>7.58</v>
      </c>
      <c r="U43" s="79" t="s">
        <v>955</v>
      </c>
      <c r="V43" s="97">
        <v>-3.17</v>
      </c>
      <c r="W43" s="79">
        <v>0.17</v>
      </c>
      <c r="X43" s="34">
        <v>1</v>
      </c>
      <c r="Y43" s="34" t="s">
        <v>4</v>
      </c>
      <c r="Z43" s="34" t="s">
        <v>941</v>
      </c>
      <c r="AA43" s="34" t="s">
        <v>1088</v>
      </c>
      <c r="AB43" s="35"/>
    </row>
    <row r="44" spans="1:29" x14ac:dyDescent="0.3">
      <c r="A44" s="124"/>
      <c r="B44" s="179">
        <v>43</v>
      </c>
      <c r="C44" s="180" t="s">
        <v>573</v>
      </c>
      <c r="D44" s="180">
        <v>6506</v>
      </c>
      <c r="E44" s="180" t="s">
        <v>728</v>
      </c>
      <c r="F44" s="181" t="s">
        <v>107</v>
      </c>
      <c r="G44" s="182" t="s">
        <v>18</v>
      </c>
      <c r="H44" s="183" t="s">
        <v>108</v>
      </c>
      <c r="I44" s="184">
        <v>43922</v>
      </c>
      <c r="J44" s="185">
        <v>43858</v>
      </c>
      <c r="K44" s="186">
        <v>0.11527777777777777</v>
      </c>
      <c r="L44" s="187">
        <v>1.345</v>
      </c>
      <c r="M44" s="188">
        <v>7.3360000000000003</v>
      </c>
      <c r="N44" s="186"/>
      <c r="O44" s="186"/>
      <c r="P44" s="186" t="s">
        <v>1060</v>
      </c>
      <c r="Q44" s="189">
        <v>1.3</v>
      </c>
      <c r="R44" s="189">
        <v>7.26</v>
      </c>
      <c r="S44" s="189">
        <v>7.49</v>
      </c>
      <c r="T44" s="189">
        <v>7.53</v>
      </c>
      <c r="U44" s="189" t="s">
        <v>955</v>
      </c>
      <c r="V44" s="189">
        <v>0.23</v>
      </c>
      <c r="W44" s="189">
        <v>0.27</v>
      </c>
      <c r="X44" s="190">
        <v>1</v>
      </c>
      <c r="Y44" s="190" t="s">
        <v>4</v>
      </c>
      <c r="Z44" s="190" t="s">
        <v>941</v>
      </c>
      <c r="AA44" s="190" t="s">
        <v>1097</v>
      </c>
      <c r="AB44" s="191"/>
    </row>
    <row r="45" spans="1:29" x14ac:dyDescent="0.3">
      <c r="A45" s="124"/>
      <c r="B45" s="114">
        <v>44</v>
      </c>
      <c r="C45" s="38" t="s">
        <v>574</v>
      </c>
      <c r="D45" s="38">
        <v>6515</v>
      </c>
      <c r="E45" s="38" t="s">
        <v>729</v>
      </c>
      <c r="F45" s="39" t="s">
        <v>109</v>
      </c>
      <c r="G45" s="40" t="s">
        <v>18</v>
      </c>
      <c r="H45" s="33" t="s">
        <v>110</v>
      </c>
      <c r="I45" s="32">
        <v>43907</v>
      </c>
      <c r="J45" s="87">
        <v>43882</v>
      </c>
      <c r="K45" s="88">
        <v>0.59305555555555556</v>
      </c>
      <c r="L45" s="127">
        <f>58.589-57.912</f>
        <v>0.6769999999999996</v>
      </c>
      <c r="M45" s="132">
        <f>(65.304-57.912)+0.086</f>
        <v>7.4780000000000033</v>
      </c>
      <c r="N45" s="88"/>
      <c r="O45" s="88"/>
      <c r="P45" s="88"/>
      <c r="Q45" s="79">
        <v>0.57999999999999996</v>
      </c>
      <c r="R45" s="79">
        <v>7.37</v>
      </c>
      <c r="S45" s="79">
        <v>7.5</v>
      </c>
      <c r="T45" s="79">
        <v>7.58</v>
      </c>
      <c r="U45" s="79" t="s">
        <v>955</v>
      </c>
      <c r="V45" s="79">
        <v>0.13</v>
      </c>
      <c r="W45" s="79">
        <v>0.21</v>
      </c>
      <c r="X45" s="34">
        <v>1</v>
      </c>
      <c r="Y45" s="34" t="s">
        <v>4</v>
      </c>
      <c r="Z45" s="34" t="s">
        <v>941</v>
      </c>
      <c r="AA45" s="34"/>
      <c r="AB45" s="35"/>
    </row>
    <row r="46" spans="1:29" x14ac:dyDescent="0.3">
      <c r="A46" s="124"/>
      <c r="B46" s="114">
        <v>45</v>
      </c>
      <c r="C46" s="38" t="s">
        <v>575</v>
      </c>
      <c r="D46" s="38">
        <v>7505</v>
      </c>
      <c r="E46" s="38" t="s">
        <v>730</v>
      </c>
      <c r="F46" s="29" t="s">
        <v>111</v>
      </c>
      <c r="G46" s="42" t="s">
        <v>29</v>
      </c>
      <c r="H46" s="51" t="s">
        <v>112</v>
      </c>
      <c r="I46" s="32">
        <v>43918</v>
      </c>
      <c r="J46" s="87">
        <v>43872</v>
      </c>
      <c r="K46" s="88">
        <v>0.60138888888888886</v>
      </c>
      <c r="L46" s="127">
        <f>58.933-57.912</f>
        <v>1.0210000000000008</v>
      </c>
      <c r="M46" s="132">
        <f>(64.397-57.912)+0.086</f>
        <v>6.5710000000000068</v>
      </c>
      <c r="N46" s="88"/>
      <c r="O46" s="88"/>
      <c r="P46" s="88">
        <v>0.61111111111111105</v>
      </c>
      <c r="Q46" s="79">
        <v>0.76</v>
      </c>
      <c r="R46" s="79">
        <v>7.49</v>
      </c>
      <c r="S46" s="81">
        <v>4.21</v>
      </c>
      <c r="T46" s="79">
        <v>6.94</v>
      </c>
      <c r="U46" s="79" t="s">
        <v>955</v>
      </c>
      <c r="V46" s="97">
        <v>-3.28</v>
      </c>
      <c r="W46" s="79">
        <v>-0.55000000000000004</v>
      </c>
      <c r="X46" s="34">
        <v>1</v>
      </c>
      <c r="Y46" s="34" t="s">
        <v>4</v>
      </c>
      <c r="Z46" s="34" t="s">
        <v>941</v>
      </c>
      <c r="AA46" s="34"/>
      <c r="AB46" s="33" t="s">
        <v>100</v>
      </c>
    </row>
    <row r="47" spans="1:29" x14ac:dyDescent="0.3">
      <c r="A47" s="124"/>
      <c r="B47" s="114">
        <v>46</v>
      </c>
      <c r="C47" s="38" t="s">
        <v>576</v>
      </c>
      <c r="D47" s="38">
        <v>7514</v>
      </c>
      <c r="E47" s="38" t="s">
        <v>731</v>
      </c>
      <c r="F47" s="39" t="s">
        <v>113</v>
      </c>
      <c r="G47" s="40" t="s">
        <v>18</v>
      </c>
      <c r="H47" s="33" t="s">
        <v>114</v>
      </c>
      <c r="I47" s="32">
        <v>43903</v>
      </c>
      <c r="J47" s="87">
        <v>43871</v>
      </c>
      <c r="K47" s="88">
        <v>0.6020833333333333</v>
      </c>
      <c r="L47" s="127">
        <f xml:space="preserve"> 59.232 - 57.912</f>
        <v>1.3200000000000003</v>
      </c>
      <c r="M47" s="132">
        <f>(65.345 - 57.912) + 0.086</f>
        <v>7.5190000000000001</v>
      </c>
      <c r="N47" s="88"/>
      <c r="O47" s="88"/>
      <c r="P47" s="88" t="s">
        <v>1153</v>
      </c>
      <c r="Q47" s="79">
        <v>1.07</v>
      </c>
      <c r="R47" s="79">
        <v>7.43</v>
      </c>
      <c r="S47" s="79">
        <v>7.54</v>
      </c>
      <c r="T47" s="79">
        <v>7.62</v>
      </c>
      <c r="U47" s="79" t="s">
        <v>955</v>
      </c>
      <c r="V47" s="79">
        <v>0.11</v>
      </c>
      <c r="W47" s="79">
        <v>0.19</v>
      </c>
      <c r="X47" s="34">
        <v>1</v>
      </c>
      <c r="Y47" s="34" t="s">
        <v>4</v>
      </c>
      <c r="Z47" s="34" t="s">
        <v>941</v>
      </c>
      <c r="AA47" s="34" t="s">
        <v>1154</v>
      </c>
      <c r="AB47" s="35"/>
    </row>
    <row r="48" spans="1:29" x14ac:dyDescent="0.3">
      <c r="A48" s="124"/>
      <c r="B48" s="114">
        <v>47</v>
      </c>
      <c r="C48" s="38" t="s">
        <v>577</v>
      </c>
      <c r="D48" s="38">
        <v>13680</v>
      </c>
      <c r="E48" s="38" t="s">
        <v>732</v>
      </c>
      <c r="F48" s="39" t="s">
        <v>115</v>
      </c>
      <c r="G48" s="40" t="s">
        <v>18</v>
      </c>
      <c r="H48" s="33" t="s">
        <v>116</v>
      </c>
      <c r="I48" s="32">
        <v>43904</v>
      </c>
      <c r="J48" s="87">
        <v>43872</v>
      </c>
      <c r="K48" s="88">
        <v>0.40763888888888888</v>
      </c>
      <c r="L48" s="127">
        <v>0.74299999999999999</v>
      </c>
      <c r="M48" s="132">
        <v>7.2619999999999996</v>
      </c>
      <c r="N48" s="88"/>
      <c r="O48" s="88"/>
      <c r="P48" s="88">
        <v>0.41666666666666669</v>
      </c>
      <c r="Q48" s="79">
        <v>0.57999999999999996</v>
      </c>
      <c r="R48" s="79">
        <v>7.23</v>
      </c>
      <c r="S48" s="79">
        <v>7.33</v>
      </c>
      <c r="T48" s="79">
        <v>7.81</v>
      </c>
      <c r="U48" s="79" t="s">
        <v>955</v>
      </c>
      <c r="V48" s="79">
        <v>0.1</v>
      </c>
      <c r="W48" s="79">
        <v>0.57999999999999996</v>
      </c>
      <c r="X48" s="34">
        <v>1</v>
      </c>
      <c r="Y48" s="34" t="s">
        <v>4</v>
      </c>
      <c r="Z48" s="34" t="s">
        <v>941</v>
      </c>
      <c r="AA48" s="34"/>
      <c r="AB48" s="35"/>
    </row>
    <row r="49" spans="1:29" x14ac:dyDescent="0.3">
      <c r="A49" s="124"/>
      <c r="B49" s="114">
        <v>48</v>
      </c>
      <c r="C49" s="38" t="s">
        <v>578</v>
      </c>
      <c r="D49" s="38">
        <v>9001</v>
      </c>
      <c r="E49" s="38" t="s">
        <v>733</v>
      </c>
      <c r="F49" s="39" t="s">
        <v>117</v>
      </c>
      <c r="G49" s="40" t="s">
        <v>18</v>
      </c>
      <c r="H49" s="33" t="s">
        <v>118</v>
      </c>
      <c r="I49" s="32">
        <v>43903</v>
      </c>
      <c r="J49" s="177">
        <v>43858</v>
      </c>
      <c r="K49" s="176">
        <v>0.59166666666666667</v>
      </c>
      <c r="L49" s="127">
        <v>1.8759999999999999</v>
      </c>
      <c r="M49" s="132">
        <v>7.8890000000000002</v>
      </c>
      <c r="N49" s="88"/>
      <c r="O49" s="88"/>
      <c r="P49" s="88">
        <v>0.59722222222222221</v>
      </c>
      <c r="Q49" s="79">
        <v>1.74</v>
      </c>
      <c r="R49" s="79">
        <v>7.84</v>
      </c>
      <c r="S49" s="79">
        <v>7.94</v>
      </c>
      <c r="T49" s="79">
        <v>7.44</v>
      </c>
      <c r="U49" s="79" t="s">
        <v>955</v>
      </c>
      <c r="V49" s="79">
        <v>0.1</v>
      </c>
      <c r="W49" s="79">
        <v>-0.4</v>
      </c>
      <c r="X49" s="34">
        <v>1</v>
      </c>
      <c r="Y49" s="34" t="s">
        <v>4</v>
      </c>
      <c r="Z49" s="34" t="s">
        <v>941</v>
      </c>
      <c r="AA49" s="34"/>
      <c r="AB49" s="35"/>
    </row>
    <row r="50" spans="1:29" x14ac:dyDescent="0.3">
      <c r="A50" s="124"/>
      <c r="B50" s="114">
        <v>49</v>
      </c>
      <c r="C50" s="38" t="s">
        <v>579</v>
      </c>
      <c r="D50" s="38">
        <v>9488</v>
      </c>
      <c r="E50" s="38" t="s">
        <v>734</v>
      </c>
      <c r="F50" s="39" t="s">
        <v>119</v>
      </c>
      <c r="G50" s="40" t="s">
        <v>18</v>
      </c>
      <c r="H50" s="33" t="s">
        <v>120</v>
      </c>
      <c r="I50" s="32">
        <v>43907</v>
      </c>
      <c r="J50" s="87">
        <v>43882</v>
      </c>
      <c r="K50" s="88">
        <v>0.60486111111111118</v>
      </c>
      <c r="L50" s="127">
        <f>59.319-57.912</f>
        <v>1.4070000000000036</v>
      </c>
      <c r="M50" s="132">
        <f>(65.486-57.912)+0.086</f>
        <v>7.6600000000000055</v>
      </c>
      <c r="N50" s="88"/>
      <c r="O50" s="88"/>
      <c r="P50" s="88" t="s">
        <v>1007</v>
      </c>
      <c r="Q50" s="79">
        <v>1.26</v>
      </c>
      <c r="R50" s="79">
        <v>7.55</v>
      </c>
      <c r="S50" s="79">
        <v>7.64</v>
      </c>
      <c r="T50" s="79">
        <v>7.71</v>
      </c>
      <c r="U50" s="79" t="s">
        <v>955</v>
      </c>
      <c r="V50" s="79">
        <v>0.09</v>
      </c>
      <c r="W50" s="79">
        <v>0.16</v>
      </c>
      <c r="X50" s="34">
        <v>1</v>
      </c>
      <c r="Y50" s="34" t="s">
        <v>4</v>
      </c>
      <c r="Z50" s="34" t="s">
        <v>941</v>
      </c>
      <c r="AA50" s="34"/>
      <c r="AB50" s="35"/>
    </row>
    <row r="51" spans="1:29" x14ac:dyDescent="0.3">
      <c r="A51" s="124"/>
      <c r="B51" s="114">
        <v>50</v>
      </c>
      <c r="C51" s="38" t="s">
        <v>580</v>
      </c>
      <c r="D51" s="38">
        <v>9496</v>
      </c>
      <c r="E51" s="38" t="s">
        <v>735</v>
      </c>
      <c r="F51" s="29" t="s">
        <v>121</v>
      </c>
      <c r="G51" s="42" t="s">
        <v>29</v>
      </c>
      <c r="H51" s="51" t="s">
        <v>122</v>
      </c>
      <c r="I51" s="32">
        <v>43910</v>
      </c>
      <c r="J51" s="87">
        <v>43868</v>
      </c>
      <c r="K51" s="88">
        <v>0.38958333333333334</v>
      </c>
      <c r="L51" s="127">
        <v>1.972</v>
      </c>
      <c r="M51" s="132">
        <v>6.3010000000000002</v>
      </c>
      <c r="N51" s="88"/>
      <c r="O51" s="88"/>
      <c r="P51" s="88">
        <v>0.39583333333333331</v>
      </c>
      <c r="Q51" s="79">
        <v>1.95</v>
      </c>
      <c r="R51" s="79">
        <v>6.25</v>
      </c>
      <c r="S51" s="79">
        <v>6.42</v>
      </c>
      <c r="T51" s="79">
        <v>6.49</v>
      </c>
      <c r="U51" s="79" t="s">
        <v>955</v>
      </c>
      <c r="V51" s="79">
        <v>0.17</v>
      </c>
      <c r="W51" s="79">
        <v>0.24</v>
      </c>
      <c r="X51" s="34">
        <v>1</v>
      </c>
      <c r="Y51" s="34" t="s">
        <v>4</v>
      </c>
      <c r="Z51" s="34" t="s">
        <v>941</v>
      </c>
      <c r="AA51" s="34" t="s">
        <v>1116</v>
      </c>
      <c r="AB51" s="35"/>
    </row>
    <row r="52" spans="1:29" x14ac:dyDescent="0.3">
      <c r="A52" s="124"/>
      <c r="B52" s="114">
        <v>51</v>
      </c>
      <c r="C52" s="38" t="s">
        <v>581</v>
      </c>
      <c r="D52" s="38">
        <v>9502</v>
      </c>
      <c r="E52" s="38" t="s">
        <v>736</v>
      </c>
      <c r="F52" s="39" t="s">
        <v>123</v>
      </c>
      <c r="G52" s="40" t="s">
        <v>29</v>
      </c>
      <c r="H52" s="33" t="s">
        <v>124</v>
      </c>
      <c r="I52" s="32">
        <v>43914</v>
      </c>
      <c r="J52" s="87">
        <v>43868</v>
      </c>
      <c r="K52" s="88">
        <v>0.53680555555555554</v>
      </c>
      <c r="L52" s="127">
        <v>1.2259999999999991</v>
      </c>
      <c r="M52" s="132">
        <v>7.3689999999999998</v>
      </c>
      <c r="N52" s="88"/>
      <c r="O52" s="88"/>
      <c r="P52" s="88" t="s">
        <v>1093</v>
      </c>
      <c r="Q52" s="79">
        <v>1.08</v>
      </c>
      <c r="R52" s="79">
        <v>7.34</v>
      </c>
      <c r="S52" s="79">
        <v>7.41</v>
      </c>
      <c r="T52" s="79">
        <v>6.7</v>
      </c>
      <c r="U52" s="79" t="s">
        <v>955</v>
      </c>
      <c r="V52" s="79">
        <v>7.0000000000000007E-2</v>
      </c>
      <c r="W52" s="79">
        <v>-0.64</v>
      </c>
      <c r="X52" s="34">
        <v>1</v>
      </c>
      <c r="Y52" s="34" t="s">
        <v>4</v>
      </c>
      <c r="Z52" s="34" t="s">
        <v>941</v>
      </c>
      <c r="AA52" s="34"/>
      <c r="AB52" s="35"/>
    </row>
    <row r="53" spans="1:29" x14ac:dyDescent="0.3">
      <c r="A53" s="124"/>
      <c r="B53" s="114">
        <v>52</v>
      </c>
      <c r="C53" s="38" t="s">
        <v>582</v>
      </c>
      <c r="D53" s="38">
        <v>9503</v>
      </c>
      <c r="E53" s="38" t="s">
        <v>737</v>
      </c>
      <c r="F53" s="39" t="s">
        <v>125</v>
      </c>
      <c r="G53" s="40" t="s">
        <v>29</v>
      </c>
      <c r="H53" s="33" t="s">
        <v>126</v>
      </c>
      <c r="I53" s="32">
        <v>43914</v>
      </c>
      <c r="J53" s="87">
        <v>43868</v>
      </c>
      <c r="K53" s="88">
        <v>0.55069444444444449</v>
      </c>
      <c r="L53" s="127">
        <v>1.5230000000000032</v>
      </c>
      <c r="M53" s="132">
        <v>4.2279999999999998</v>
      </c>
      <c r="N53" s="88"/>
      <c r="O53" s="88"/>
      <c r="P53" s="88">
        <v>0.55555555555555558</v>
      </c>
      <c r="Q53" s="79">
        <v>1.34</v>
      </c>
      <c r="R53" s="79">
        <v>4.28</v>
      </c>
      <c r="S53" s="79">
        <v>7.07</v>
      </c>
      <c r="T53" s="79">
        <v>6.71</v>
      </c>
      <c r="U53" s="79" t="s">
        <v>955</v>
      </c>
      <c r="V53" s="79">
        <v>2.79</v>
      </c>
      <c r="W53" s="79">
        <v>2.4300000000000002</v>
      </c>
      <c r="X53" s="34">
        <v>1</v>
      </c>
      <c r="Y53" s="34" t="s">
        <v>4</v>
      </c>
      <c r="Z53" s="34" t="s">
        <v>941</v>
      </c>
      <c r="AA53" s="34" t="s">
        <v>1121</v>
      </c>
      <c r="AB53" s="35"/>
    </row>
    <row r="54" spans="1:29" x14ac:dyDescent="0.3">
      <c r="A54" s="124"/>
      <c r="B54" s="114">
        <v>53</v>
      </c>
      <c r="C54" s="38" t="s">
        <v>583</v>
      </c>
      <c r="D54" s="38">
        <v>9510</v>
      </c>
      <c r="E54" s="38" t="s">
        <v>738</v>
      </c>
      <c r="F54" s="39" t="s">
        <v>127</v>
      </c>
      <c r="G54" s="40" t="s">
        <v>18</v>
      </c>
      <c r="H54" s="33" t="s">
        <v>128</v>
      </c>
      <c r="I54" s="32">
        <v>43907</v>
      </c>
      <c r="J54" s="87">
        <v>43875</v>
      </c>
      <c r="K54" s="88" t="s">
        <v>1188</v>
      </c>
      <c r="L54" s="127">
        <f>58.853-57.912</f>
        <v>0.9410000000000025</v>
      </c>
      <c r="M54" s="132">
        <f>(63.505-57.912)+0.086</f>
        <v>5.6790000000000038</v>
      </c>
      <c r="N54" s="88"/>
      <c r="O54" s="88"/>
      <c r="P54" s="88" t="s">
        <v>1011</v>
      </c>
      <c r="Q54" s="79">
        <v>0.84</v>
      </c>
      <c r="R54" s="79">
        <v>5.6</v>
      </c>
      <c r="S54" s="79">
        <v>5.69</v>
      </c>
      <c r="T54" s="79">
        <v>6.51</v>
      </c>
      <c r="U54" s="79" t="s">
        <v>955</v>
      </c>
      <c r="V54" s="79">
        <v>0.09</v>
      </c>
      <c r="W54" s="79">
        <v>0.91</v>
      </c>
      <c r="X54" s="34">
        <v>1</v>
      </c>
      <c r="Y54" s="34" t="s">
        <v>4</v>
      </c>
      <c r="Z54" s="34" t="s">
        <v>941</v>
      </c>
      <c r="AA54" s="34"/>
      <c r="AB54" s="35"/>
    </row>
    <row r="55" spans="1:29" x14ac:dyDescent="0.3">
      <c r="A55" s="124"/>
      <c r="B55" s="114">
        <v>54</v>
      </c>
      <c r="C55" s="38" t="s">
        <v>584</v>
      </c>
      <c r="D55" s="38">
        <v>9512</v>
      </c>
      <c r="E55" s="38" t="s">
        <v>739</v>
      </c>
      <c r="F55" s="39" t="s">
        <v>129</v>
      </c>
      <c r="G55" s="40" t="s">
        <v>18</v>
      </c>
      <c r="H55" s="33" t="s">
        <v>130</v>
      </c>
      <c r="I55" s="32">
        <v>43907</v>
      </c>
      <c r="J55" s="87">
        <v>43871</v>
      </c>
      <c r="K55" s="88" t="s">
        <v>1145</v>
      </c>
      <c r="L55" s="127">
        <f>59.075-57.912</f>
        <v>1.1630000000000038</v>
      </c>
      <c r="M55" s="132">
        <f>65.3 -57.912</f>
        <v>7.3879999999999981</v>
      </c>
      <c r="N55" s="88"/>
      <c r="O55" s="88"/>
      <c r="P55" s="88" t="s">
        <v>1054</v>
      </c>
      <c r="Q55" s="79">
        <v>1.02</v>
      </c>
      <c r="R55" s="79">
        <v>7.48</v>
      </c>
      <c r="S55" s="79">
        <v>7.48</v>
      </c>
      <c r="T55" s="79">
        <v>7.4</v>
      </c>
      <c r="U55" s="79" t="s">
        <v>955</v>
      </c>
      <c r="V55" s="79">
        <v>0</v>
      </c>
      <c r="W55" s="79">
        <v>-0.08</v>
      </c>
      <c r="X55" s="34">
        <v>1</v>
      </c>
      <c r="Y55" s="34" t="s">
        <v>4</v>
      </c>
      <c r="Z55" s="34" t="s">
        <v>941</v>
      </c>
      <c r="AA55" s="34" t="s">
        <v>1146</v>
      </c>
      <c r="AB55" s="35"/>
    </row>
    <row r="56" spans="1:29" x14ac:dyDescent="0.3">
      <c r="A56" s="178"/>
      <c r="B56" s="115">
        <v>55</v>
      </c>
      <c r="C56" s="38" t="s">
        <v>585</v>
      </c>
      <c r="D56" s="38">
        <v>9521</v>
      </c>
      <c r="E56" s="38" t="s">
        <v>740</v>
      </c>
      <c r="F56" s="29" t="s">
        <v>131</v>
      </c>
      <c r="G56" s="42" t="s">
        <v>18</v>
      </c>
      <c r="H56" s="31" t="s">
        <v>132</v>
      </c>
      <c r="I56" s="32">
        <v>43903</v>
      </c>
      <c r="J56" s="87">
        <v>43857</v>
      </c>
      <c r="K56" s="90">
        <v>0.47083333333333338</v>
      </c>
      <c r="L56" s="128">
        <v>2.3319999999999999</v>
      </c>
      <c r="M56" s="82">
        <v>6.3390000000000004</v>
      </c>
      <c r="N56" s="90"/>
      <c r="O56" s="90"/>
      <c r="P56" s="90">
        <v>0.47916666666666669</v>
      </c>
      <c r="Q56" s="82">
        <v>2.27</v>
      </c>
      <c r="R56" s="82">
        <v>6.3</v>
      </c>
      <c r="S56" s="82">
        <v>6.41</v>
      </c>
      <c r="T56" s="79">
        <v>6.55</v>
      </c>
      <c r="U56" s="79" t="s">
        <v>955</v>
      </c>
      <c r="V56" s="82">
        <v>0.11</v>
      </c>
      <c r="W56" s="82">
        <v>0.25</v>
      </c>
      <c r="X56" s="37">
        <v>1</v>
      </c>
      <c r="Y56" s="34" t="s">
        <v>4</v>
      </c>
      <c r="Z56" s="34" t="s">
        <v>941</v>
      </c>
      <c r="AA56" s="34"/>
      <c r="AB56" s="35"/>
    </row>
    <row r="57" spans="1:29" ht="28.8" x14ac:dyDescent="0.3">
      <c r="A57" s="124"/>
      <c r="B57" s="115">
        <v>56</v>
      </c>
      <c r="C57" s="38" t="s">
        <v>586</v>
      </c>
      <c r="D57" s="38">
        <v>9966</v>
      </c>
      <c r="E57" s="38" t="s">
        <v>741</v>
      </c>
      <c r="F57" s="29" t="s">
        <v>133</v>
      </c>
      <c r="G57" s="42" t="s">
        <v>29</v>
      </c>
      <c r="H57" s="31" t="s">
        <v>134</v>
      </c>
      <c r="I57" s="32">
        <v>43925</v>
      </c>
      <c r="J57" s="87">
        <v>43882</v>
      </c>
      <c r="K57" s="88">
        <v>0.3840277777777778</v>
      </c>
      <c r="L57" s="127">
        <f>58.464-57.912</f>
        <v>0.5519999999999996</v>
      </c>
      <c r="M57" s="132">
        <f>(64.668-57.912)+0.086</f>
        <v>6.8420000000000076</v>
      </c>
      <c r="N57" s="88"/>
      <c r="O57" s="88"/>
      <c r="P57" s="88">
        <v>0.3888888888888889</v>
      </c>
      <c r="Q57" s="79">
        <v>0.41</v>
      </c>
      <c r="R57" s="79">
        <v>6.78</v>
      </c>
      <c r="S57" s="79">
        <v>6.88</v>
      </c>
      <c r="T57" s="79">
        <v>6.91</v>
      </c>
      <c r="U57" s="79" t="s">
        <v>955</v>
      </c>
      <c r="V57" s="79">
        <v>0.1</v>
      </c>
      <c r="W57" s="79">
        <v>0.13</v>
      </c>
      <c r="X57" s="34">
        <v>1</v>
      </c>
      <c r="Y57" s="34" t="s">
        <v>4</v>
      </c>
      <c r="Z57" s="34" t="s">
        <v>941</v>
      </c>
      <c r="AA57" s="34" t="s">
        <v>1129</v>
      </c>
      <c r="AB57" s="50" t="s">
        <v>135</v>
      </c>
      <c r="AC57" s="109" t="s">
        <v>954</v>
      </c>
    </row>
    <row r="58" spans="1:29" x14ac:dyDescent="0.3">
      <c r="A58" s="124"/>
      <c r="B58" s="114">
        <v>57</v>
      </c>
      <c r="C58" s="41" t="s">
        <v>587</v>
      </c>
      <c r="D58" s="41">
        <v>9967</v>
      </c>
      <c r="E58" s="41" t="s">
        <v>742</v>
      </c>
      <c r="F58" s="39" t="s">
        <v>136</v>
      </c>
      <c r="G58" s="40" t="s">
        <v>29</v>
      </c>
      <c r="H58" s="33" t="s">
        <v>137</v>
      </c>
      <c r="I58" s="32">
        <v>43914</v>
      </c>
      <c r="J58" s="87">
        <v>43865</v>
      </c>
      <c r="K58" s="88">
        <v>0.58819444444444446</v>
      </c>
      <c r="L58" s="127">
        <v>1.363</v>
      </c>
      <c r="M58" s="132">
        <v>7.3739999999999997</v>
      </c>
      <c r="N58" s="88"/>
      <c r="O58" s="88"/>
      <c r="P58" s="88">
        <v>0.59722222222222221</v>
      </c>
      <c r="Q58" s="79">
        <v>1.1499999999999999</v>
      </c>
      <c r="R58" s="79">
        <v>7.31</v>
      </c>
      <c r="S58" s="79">
        <v>7.39</v>
      </c>
      <c r="T58" s="79">
        <v>7.46</v>
      </c>
      <c r="U58" s="79" t="s">
        <v>955</v>
      </c>
      <c r="V58" s="79">
        <v>0.08</v>
      </c>
      <c r="W58" s="79">
        <v>0.15</v>
      </c>
      <c r="X58" s="34">
        <v>1</v>
      </c>
      <c r="Y58" s="34" t="s">
        <v>4</v>
      </c>
      <c r="Z58" s="34" t="s">
        <v>941</v>
      </c>
      <c r="AA58" s="34" t="s">
        <v>1114</v>
      </c>
      <c r="AB58" s="35"/>
    </row>
    <row r="59" spans="1:29" x14ac:dyDescent="0.3">
      <c r="A59" s="124"/>
      <c r="B59" s="115">
        <v>58</v>
      </c>
      <c r="C59" s="41" t="s">
        <v>588</v>
      </c>
      <c r="D59" s="41">
        <v>9968</v>
      </c>
      <c r="E59" s="41" t="s">
        <v>743</v>
      </c>
      <c r="F59" s="29" t="s">
        <v>138</v>
      </c>
      <c r="G59" s="42" t="s">
        <v>29</v>
      </c>
      <c r="H59" s="31" t="s">
        <v>139</v>
      </c>
      <c r="I59" s="32">
        <v>43910</v>
      </c>
      <c r="J59" s="87">
        <v>43868</v>
      </c>
      <c r="K59" s="88" t="s">
        <v>1122</v>
      </c>
      <c r="L59" s="127">
        <v>1.3740000000000023</v>
      </c>
      <c r="M59" s="132">
        <v>6.9169999999999998</v>
      </c>
      <c r="N59" s="88"/>
      <c r="O59" s="88"/>
      <c r="P59" s="88" t="s">
        <v>1123</v>
      </c>
      <c r="Q59" s="79">
        <v>1.17</v>
      </c>
      <c r="R59" s="79">
        <v>6.99</v>
      </c>
      <c r="S59" s="79">
        <v>6.98</v>
      </c>
      <c r="T59" s="79">
        <v>6.91</v>
      </c>
      <c r="U59" s="79" t="s">
        <v>955</v>
      </c>
      <c r="V59" s="79">
        <v>-0.01</v>
      </c>
      <c r="W59" s="79">
        <v>-0.08</v>
      </c>
      <c r="X59" s="34">
        <v>1</v>
      </c>
      <c r="Y59" s="34" t="s">
        <v>4</v>
      </c>
      <c r="Z59" s="34" t="s">
        <v>941</v>
      </c>
      <c r="AA59" s="34"/>
      <c r="AB59" s="35"/>
    </row>
    <row r="60" spans="1:29" x14ac:dyDescent="0.3">
      <c r="A60" s="124"/>
      <c r="B60" s="114">
        <v>59</v>
      </c>
      <c r="C60" s="38" t="s">
        <v>589</v>
      </c>
      <c r="D60" s="38">
        <v>10061</v>
      </c>
      <c r="E60" s="38" t="s">
        <v>744</v>
      </c>
      <c r="F60" s="39" t="s">
        <v>140</v>
      </c>
      <c r="G60" s="40" t="s">
        <v>18</v>
      </c>
      <c r="H60" s="33" t="s">
        <v>141</v>
      </c>
      <c r="I60" s="32">
        <v>43904</v>
      </c>
      <c r="J60" s="87">
        <v>43861</v>
      </c>
      <c r="K60" s="88">
        <v>0.39444444444444443</v>
      </c>
      <c r="L60" s="127">
        <v>1.0309999999999999</v>
      </c>
      <c r="M60" s="132">
        <v>7.1070000000000002</v>
      </c>
      <c r="N60" s="88"/>
      <c r="O60" s="88"/>
      <c r="P60" s="88">
        <v>0.40277777777777773</v>
      </c>
      <c r="Q60" s="79">
        <v>0.88</v>
      </c>
      <c r="R60" s="79">
        <v>7.07</v>
      </c>
      <c r="S60" s="79">
        <v>7.18</v>
      </c>
      <c r="T60" s="79">
        <v>7.17</v>
      </c>
      <c r="U60" s="79" t="s">
        <v>955</v>
      </c>
      <c r="V60" s="79">
        <v>0.11</v>
      </c>
      <c r="W60" s="79">
        <v>0.1</v>
      </c>
      <c r="X60" s="34">
        <v>1</v>
      </c>
      <c r="Y60" s="34" t="s">
        <v>4</v>
      </c>
      <c r="Z60" s="34" t="s">
        <v>941</v>
      </c>
      <c r="AA60" s="34"/>
      <c r="AB60" s="35"/>
    </row>
    <row r="61" spans="1:29" x14ac:dyDescent="0.3">
      <c r="A61" s="124"/>
      <c r="B61" s="114">
        <v>60</v>
      </c>
      <c r="C61" s="41" t="s">
        <v>590</v>
      </c>
      <c r="D61" s="41">
        <v>10068</v>
      </c>
      <c r="E61" s="41" t="s">
        <v>745</v>
      </c>
      <c r="F61" s="39" t="s">
        <v>142</v>
      </c>
      <c r="G61" s="40" t="s">
        <v>18</v>
      </c>
      <c r="H61" s="33" t="s">
        <v>143</v>
      </c>
      <c r="I61" s="32">
        <v>43904</v>
      </c>
      <c r="J61" s="87">
        <v>43861</v>
      </c>
      <c r="K61" s="88">
        <v>0.35555555555555557</v>
      </c>
      <c r="L61" s="127">
        <v>2.0179999999999998</v>
      </c>
      <c r="M61" s="132">
        <v>6.9580000000000002</v>
      </c>
      <c r="N61" s="88"/>
      <c r="O61" s="88"/>
      <c r="P61" s="88">
        <v>0.3611111111111111</v>
      </c>
      <c r="Q61" s="79">
        <v>1.8</v>
      </c>
      <c r="R61" s="79">
        <v>6.93</v>
      </c>
      <c r="S61" s="79">
        <v>7.03</v>
      </c>
      <c r="T61" s="79">
        <v>7.12</v>
      </c>
      <c r="U61" s="79" t="s">
        <v>955</v>
      </c>
      <c r="V61" s="79">
        <v>0.1</v>
      </c>
      <c r="W61" s="79">
        <v>0.19</v>
      </c>
      <c r="X61" s="34">
        <v>1</v>
      </c>
      <c r="Y61" s="34" t="s">
        <v>4</v>
      </c>
      <c r="Z61" s="34" t="s">
        <v>941</v>
      </c>
      <c r="AA61" s="34"/>
      <c r="AB61" s="35"/>
    </row>
    <row r="62" spans="1:29" x14ac:dyDescent="0.3">
      <c r="A62" s="124"/>
      <c r="B62" s="118">
        <v>61</v>
      </c>
      <c r="C62" s="164" t="s">
        <v>8</v>
      </c>
      <c r="D62" s="164">
        <v>10074</v>
      </c>
      <c r="E62" s="164" t="s">
        <v>7</v>
      </c>
      <c r="F62" s="101" t="s">
        <v>144</v>
      </c>
      <c r="G62" s="102" t="s">
        <v>29</v>
      </c>
      <c r="H62" s="162" t="s">
        <v>145</v>
      </c>
      <c r="I62" s="103">
        <v>43918</v>
      </c>
      <c r="J62" s="104"/>
      <c r="K62" s="105"/>
      <c r="L62" s="129"/>
      <c r="M62" s="135"/>
      <c r="N62" s="105"/>
      <c r="O62" s="105"/>
      <c r="P62" s="105"/>
      <c r="Q62" s="106" t="s">
        <v>949</v>
      </c>
      <c r="R62" s="106" t="s">
        <v>949</v>
      </c>
      <c r="S62" s="106">
        <v>6.67</v>
      </c>
      <c r="T62" s="106">
        <v>6.78</v>
      </c>
      <c r="U62" s="106" t="s">
        <v>955</v>
      </c>
      <c r="V62" s="106" t="s">
        <v>949</v>
      </c>
      <c r="W62" s="106" t="s">
        <v>949</v>
      </c>
      <c r="X62" s="107" t="s">
        <v>949</v>
      </c>
      <c r="Y62" s="107" t="s">
        <v>5</v>
      </c>
      <c r="Z62" s="107" t="s">
        <v>941</v>
      </c>
      <c r="AA62" s="107" t="s">
        <v>1130</v>
      </c>
      <c r="AB62" s="108" t="s">
        <v>146</v>
      </c>
    </row>
    <row r="63" spans="1:29" x14ac:dyDescent="0.3">
      <c r="A63" s="124"/>
      <c r="B63" s="115">
        <v>62</v>
      </c>
      <c r="C63" s="38" t="s">
        <v>591</v>
      </c>
      <c r="D63" s="38">
        <v>10078</v>
      </c>
      <c r="E63" s="38" t="s">
        <v>746</v>
      </c>
      <c r="F63" s="29" t="s">
        <v>147</v>
      </c>
      <c r="G63" s="42" t="s">
        <v>29</v>
      </c>
      <c r="H63" s="31" t="s">
        <v>148</v>
      </c>
      <c r="I63" s="32">
        <v>43908</v>
      </c>
      <c r="J63" s="87">
        <v>43873</v>
      </c>
      <c r="K63" s="88">
        <v>0.45</v>
      </c>
      <c r="L63" s="127">
        <f>59.515-57.92</f>
        <v>1.5949999999999989</v>
      </c>
      <c r="M63" s="132">
        <f>(64.912-57.912)+0.086</f>
        <v>7.0860000000000074</v>
      </c>
      <c r="N63" s="88"/>
      <c r="O63" s="88"/>
      <c r="P63" s="88">
        <v>0.45833333333333331</v>
      </c>
      <c r="Q63" s="79">
        <v>1.44</v>
      </c>
      <c r="R63" s="79">
        <v>7.09</v>
      </c>
      <c r="S63" s="79">
        <v>7.08</v>
      </c>
      <c r="T63" s="79">
        <v>6.98</v>
      </c>
      <c r="U63" s="79" t="s">
        <v>955</v>
      </c>
      <c r="V63" s="79">
        <v>-0.01</v>
      </c>
      <c r="W63" s="79">
        <v>-0.11</v>
      </c>
      <c r="X63" s="34">
        <v>1</v>
      </c>
      <c r="Y63" s="34" t="s">
        <v>4</v>
      </c>
      <c r="Z63" s="34" t="s">
        <v>941</v>
      </c>
      <c r="AA63" s="34"/>
      <c r="AB63" s="35"/>
    </row>
    <row r="64" spans="1:29" x14ac:dyDescent="0.3">
      <c r="A64" s="124"/>
      <c r="B64" s="114">
        <v>63</v>
      </c>
      <c r="C64" s="41" t="s">
        <v>592</v>
      </c>
      <c r="D64" s="41">
        <v>10087</v>
      </c>
      <c r="E64" s="41" t="s">
        <v>747</v>
      </c>
      <c r="F64" s="39" t="s">
        <v>149</v>
      </c>
      <c r="G64" s="40" t="s">
        <v>29</v>
      </c>
      <c r="H64" s="33" t="s">
        <v>150</v>
      </c>
      <c r="I64" s="32">
        <v>43909</v>
      </c>
      <c r="J64" s="87">
        <v>43853</v>
      </c>
      <c r="K64" s="88" t="s">
        <v>1058</v>
      </c>
      <c r="L64" s="127">
        <v>1.8120000000000001</v>
      </c>
      <c r="M64" s="132">
        <v>7.1429999999999998</v>
      </c>
      <c r="N64" s="88"/>
      <c r="O64" s="88"/>
      <c r="P64" s="88" t="s">
        <v>1060</v>
      </c>
      <c r="Q64" s="79">
        <v>1.58</v>
      </c>
      <c r="R64" s="79">
        <v>7.13</v>
      </c>
      <c r="S64" s="79">
        <v>7.22</v>
      </c>
      <c r="T64" s="79">
        <v>6.99</v>
      </c>
      <c r="U64" s="79" t="s">
        <v>955</v>
      </c>
      <c r="V64" s="79">
        <v>0.09</v>
      </c>
      <c r="W64" s="79">
        <v>-0.14000000000000001</v>
      </c>
      <c r="X64" s="34">
        <v>1</v>
      </c>
      <c r="Y64" s="34" t="s">
        <v>4</v>
      </c>
      <c r="Z64" s="34" t="s">
        <v>941</v>
      </c>
      <c r="AA64" s="34" t="s">
        <v>1059</v>
      </c>
      <c r="AB64" s="35"/>
    </row>
    <row r="65" spans="1:29" x14ac:dyDescent="0.3">
      <c r="A65" s="124"/>
      <c r="B65" s="113">
        <v>64</v>
      </c>
      <c r="C65" s="41" t="s">
        <v>593</v>
      </c>
      <c r="D65" s="41">
        <v>10376</v>
      </c>
      <c r="E65" s="41" t="s">
        <v>748</v>
      </c>
      <c r="F65" s="29" t="s">
        <v>151</v>
      </c>
      <c r="G65" s="30" t="s">
        <v>18</v>
      </c>
      <c r="H65" s="31" t="s">
        <v>152</v>
      </c>
      <c r="I65" s="32">
        <v>43904</v>
      </c>
      <c r="J65" s="87">
        <v>43861</v>
      </c>
      <c r="K65" s="88">
        <v>0.60902777777777783</v>
      </c>
      <c r="L65" s="127">
        <v>2.8239999999999998</v>
      </c>
      <c r="M65" s="132">
        <v>6.7770000000000001</v>
      </c>
      <c r="N65" s="88"/>
      <c r="O65" s="88"/>
      <c r="P65" s="88" t="s">
        <v>1108</v>
      </c>
      <c r="Q65" s="79">
        <v>2.63</v>
      </c>
      <c r="R65" s="79">
        <v>6.76</v>
      </c>
      <c r="S65" s="79">
        <v>6.86</v>
      </c>
      <c r="T65" s="79">
        <v>6.93</v>
      </c>
      <c r="U65" s="79" t="s">
        <v>955</v>
      </c>
      <c r="V65" s="79">
        <v>0.1</v>
      </c>
      <c r="W65" s="79">
        <v>0.17</v>
      </c>
      <c r="X65" s="34">
        <v>1</v>
      </c>
      <c r="Y65" s="34" t="s">
        <v>4</v>
      </c>
      <c r="Z65" s="34" t="s">
        <v>941</v>
      </c>
      <c r="AA65" s="34"/>
      <c r="AB65" s="35"/>
    </row>
    <row r="66" spans="1:29" x14ac:dyDescent="0.3">
      <c r="A66" s="124"/>
      <c r="B66" s="115">
        <v>65</v>
      </c>
      <c r="C66" s="38" t="s">
        <v>594</v>
      </c>
      <c r="D66" s="38">
        <v>10388</v>
      </c>
      <c r="E66" s="38" t="s">
        <v>749</v>
      </c>
      <c r="F66" s="29" t="s">
        <v>153</v>
      </c>
      <c r="G66" s="42" t="s">
        <v>29</v>
      </c>
      <c r="H66" s="31" t="s">
        <v>154</v>
      </c>
      <c r="I66" s="32">
        <v>43911</v>
      </c>
      <c r="J66" s="87">
        <v>43852</v>
      </c>
      <c r="K66" s="88" t="s">
        <v>1018</v>
      </c>
      <c r="L66" s="127">
        <v>0.78700000000000003</v>
      </c>
      <c r="M66" s="132">
        <v>5.4539999999999997</v>
      </c>
      <c r="N66" s="88"/>
      <c r="O66" s="88"/>
      <c r="P66" s="88" t="s">
        <v>1019</v>
      </c>
      <c r="Q66" s="79">
        <v>0.87</v>
      </c>
      <c r="R66" s="79">
        <v>5.45</v>
      </c>
      <c r="S66" s="79">
        <v>5.56</v>
      </c>
      <c r="T66" s="79">
        <v>5.6</v>
      </c>
      <c r="U66" s="79" t="s">
        <v>955</v>
      </c>
      <c r="V66" s="79">
        <v>0.11</v>
      </c>
      <c r="W66" s="79">
        <v>0.15</v>
      </c>
      <c r="X66" s="34">
        <v>1</v>
      </c>
      <c r="Y66" s="34" t="s">
        <v>4</v>
      </c>
      <c r="Z66" s="34" t="s">
        <v>941</v>
      </c>
      <c r="AA66" s="34" t="s">
        <v>1021</v>
      </c>
      <c r="AB66" s="35"/>
    </row>
    <row r="67" spans="1:29" x14ac:dyDescent="0.3">
      <c r="A67" s="124"/>
      <c r="B67" s="114">
        <v>66</v>
      </c>
      <c r="C67" s="28" t="s">
        <v>595</v>
      </c>
      <c r="D67" s="28">
        <v>12867</v>
      </c>
      <c r="E67" s="28" t="s">
        <v>750</v>
      </c>
      <c r="F67" s="39" t="s">
        <v>155</v>
      </c>
      <c r="G67" s="40" t="s">
        <v>18</v>
      </c>
      <c r="H67" s="33" t="s">
        <v>156</v>
      </c>
      <c r="I67" s="32">
        <v>43907</v>
      </c>
      <c r="J67" s="87">
        <v>43857</v>
      </c>
      <c r="K67" s="88" t="s">
        <v>1085</v>
      </c>
      <c r="L67" s="127">
        <v>0.45300000000000001</v>
      </c>
      <c r="M67" s="132">
        <v>7.3280000000000003</v>
      </c>
      <c r="N67" s="88"/>
      <c r="O67" s="88"/>
      <c r="P67" s="88" t="s">
        <v>1086</v>
      </c>
      <c r="Q67" s="79">
        <v>0.28999999999999998</v>
      </c>
      <c r="R67" s="79">
        <v>7.3</v>
      </c>
      <c r="S67" s="79">
        <v>7.39</v>
      </c>
      <c r="T67" s="79">
        <v>7.49</v>
      </c>
      <c r="U67" s="79" t="s">
        <v>955</v>
      </c>
      <c r="V67" s="79">
        <v>0.09</v>
      </c>
      <c r="W67" s="79">
        <v>0.19</v>
      </c>
      <c r="X67" s="34">
        <v>1</v>
      </c>
      <c r="Y67" s="34" t="s">
        <v>4</v>
      </c>
      <c r="Z67" s="34" t="s">
        <v>941</v>
      </c>
      <c r="AA67" s="34"/>
      <c r="AB67" s="35"/>
    </row>
    <row r="68" spans="1:29" x14ac:dyDescent="0.3">
      <c r="A68" s="124"/>
      <c r="B68" s="114">
        <v>67</v>
      </c>
      <c r="C68" s="41" t="s">
        <v>596</v>
      </c>
      <c r="D68" s="41">
        <v>12872</v>
      </c>
      <c r="E68" s="41" t="s">
        <v>751</v>
      </c>
      <c r="F68" s="39" t="s">
        <v>157</v>
      </c>
      <c r="G68" s="40" t="s">
        <v>29</v>
      </c>
      <c r="H68" s="33" t="s">
        <v>158</v>
      </c>
      <c r="I68" s="32">
        <v>43909</v>
      </c>
      <c r="J68" s="87">
        <v>43853</v>
      </c>
      <c r="K68" s="88">
        <v>0.60486111111111118</v>
      </c>
      <c r="L68" s="127">
        <v>0.97799999999999998</v>
      </c>
      <c r="M68" s="132">
        <v>7.4119999999999999</v>
      </c>
      <c r="N68" s="88"/>
      <c r="O68" s="88"/>
      <c r="P68" s="88">
        <v>0.61111111111111105</v>
      </c>
      <c r="Q68" s="79">
        <v>0.78</v>
      </c>
      <c r="R68" s="79">
        <v>7.4</v>
      </c>
      <c r="S68" s="79">
        <v>7.47</v>
      </c>
      <c r="T68" s="79">
        <v>7.56</v>
      </c>
      <c r="U68" s="79" t="s">
        <v>955</v>
      </c>
      <c r="V68" s="79">
        <v>7.0000000000000007E-2</v>
      </c>
      <c r="W68" s="79">
        <v>0.16</v>
      </c>
      <c r="X68" s="34">
        <v>1</v>
      </c>
      <c r="Y68" s="34" t="s">
        <v>4</v>
      </c>
      <c r="Z68" s="34" t="s">
        <v>941</v>
      </c>
      <c r="AA68" s="34" t="s">
        <v>1061</v>
      </c>
      <c r="AB68" s="35"/>
    </row>
    <row r="69" spans="1:29" x14ac:dyDescent="0.3">
      <c r="A69" s="157"/>
      <c r="B69" s="115">
        <v>68</v>
      </c>
      <c r="C69" s="38" t="s">
        <v>597</v>
      </c>
      <c r="D69" s="38">
        <v>13044</v>
      </c>
      <c r="E69" s="38" t="s">
        <v>752</v>
      </c>
      <c r="F69" s="29" t="s">
        <v>159</v>
      </c>
      <c r="G69" s="42" t="s">
        <v>29</v>
      </c>
      <c r="H69" s="31" t="s">
        <v>160</v>
      </c>
      <c r="I69" s="32">
        <v>43910</v>
      </c>
      <c r="J69" s="87">
        <v>43868</v>
      </c>
      <c r="K69" s="88">
        <v>0.41180555555555554</v>
      </c>
      <c r="L69" s="127">
        <v>1.9089999999999989</v>
      </c>
      <c r="M69" s="132">
        <v>7.4139999999999997</v>
      </c>
      <c r="N69" s="88"/>
      <c r="O69" s="88"/>
      <c r="P69" s="88">
        <v>0.41666666666666669</v>
      </c>
      <c r="Q69" s="79">
        <v>1.91</v>
      </c>
      <c r="R69" s="79">
        <v>7.38</v>
      </c>
      <c r="S69" s="79">
        <v>7.48</v>
      </c>
      <c r="T69" s="79">
        <v>7.56</v>
      </c>
      <c r="U69" s="79" t="s">
        <v>955</v>
      </c>
      <c r="V69" s="79">
        <v>0.1</v>
      </c>
      <c r="W69" s="79">
        <v>0.18</v>
      </c>
      <c r="X69" s="34">
        <v>1</v>
      </c>
      <c r="Y69" s="34" t="s">
        <v>4</v>
      </c>
      <c r="Z69" s="34" t="s">
        <v>941</v>
      </c>
      <c r="AA69" s="34"/>
      <c r="AB69" s="35"/>
    </row>
    <row r="70" spans="1:29" x14ac:dyDescent="0.3">
      <c r="A70" s="124"/>
      <c r="B70" s="115">
        <v>69</v>
      </c>
      <c r="C70" s="38" t="s">
        <v>598</v>
      </c>
      <c r="D70" s="38">
        <v>13067</v>
      </c>
      <c r="E70" s="38" t="s">
        <v>753</v>
      </c>
      <c r="F70" s="29" t="s">
        <v>161</v>
      </c>
      <c r="G70" s="42" t="s">
        <v>29</v>
      </c>
      <c r="H70" s="31" t="s">
        <v>162</v>
      </c>
      <c r="I70" s="32">
        <v>43911</v>
      </c>
      <c r="J70" s="87">
        <v>43852</v>
      </c>
      <c r="K70" s="88" t="s">
        <v>1023</v>
      </c>
      <c r="L70" s="127">
        <v>1.155</v>
      </c>
      <c r="M70" s="132">
        <v>7.2160000000000002</v>
      </c>
      <c r="N70" s="88"/>
      <c r="O70" s="88"/>
      <c r="P70" s="88" t="s">
        <v>1022</v>
      </c>
      <c r="Q70" s="79">
        <v>1.1399999999999999</v>
      </c>
      <c r="R70" s="79">
        <v>7.2</v>
      </c>
      <c r="S70" s="79">
        <v>7.27</v>
      </c>
      <c r="T70" s="79">
        <v>7.62</v>
      </c>
      <c r="U70" s="79" t="s">
        <v>955</v>
      </c>
      <c r="V70" s="79">
        <v>7.0000000000000007E-2</v>
      </c>
      <c r="W70" s="79">
        <v>0.42</v>
      </c>
      <c r="X70" s="34">
        <v>1</v>
      </c>
      <c r="Y70" s="34" t="s">
        <v>4</v>
      </c>
      <c r="Z70" s="34" t="s">
        <v>941</v>
      </c>
      <c r="AA70" s="34"/>
      <c r="AB70" s="35"/>
    </row>
    <row r="71" spans="1:29" ht="28.8" x14ac:dyDescent="0.3">
      <c r="A71" s="124"/>
      <c r="B71" s="158">
        <v>70</v>
      </c>
      <c r="C71" s="193" t="s">
        <v>599</v>
      </c>
      <c r="D71" s="193">
        <v>13077</v>
      </c>
      <c r="E71" s="193" t="s">
        <v>754</v>
      </c>
      <c r="F71" s="159" t="s">
        <v>163</v>
      </c>
      <c r="G71" s="160" t="s">
        <v>18</v>
      </c>
      <c r="H71" s="161" t="s">
        <v>164</v>
      </c>
      <c r="I71" s="103">
        <v>43908</v>
      </c>
      <c r="J71" s="104">
        <v>43882</v>
      </c>
      <c r="K71" s="105">
        <v>0.53541666666666665</v>
      </c>
      <c r="L71" s="129"/>
      <c r="M71" s="135"/>
      <c r="N71" s="105"/>
      <c r="O71" s="105"/>
      <c r="P71" s="105"/>
      <c r="Q71" s="106">
        <v>1.47</v>
      </c>
      <c r="R71" s="106">
        <v>3.49</v>
      </c>
      <c r="S71" s="106">
        <v>3.91</v>
      </c>
      <c r="T71" s="106">
        <v>7.79</v>
      </c>
      <c r="U71" s="106" t="s">
        <v>955</v>
      </c>
      <c r="V71" s="106">
        <v>0.42</v>
      </c>
      <c r="W71" s="106">
        <v>4.3</v>
      </c>
      <c r="X71" s="107"/>
      <c r="Y71" s="107" t="s">
        <v>4</v>
      </c>
      <c r="Z71" s="107" t="s">
        <v>941</v>
      </c>
      <c r="AA71" s="107" t="s">
        <v>1197</v>
      </c>
      <c r="AB71" s="108" t="s">
        <v>165</v>
      </c>
      <c r="AC71" s="109" t="s">
        <v>954</v>
      </c>
    </row>
    <row r="72" spans="1:29" x14ac:dyDescent="0.3">
      <c r="A72" s="124"/>
      <c r="B72" s="114">
        <v>71</v>
      </c>
      <c r="C72" s="41" t="s">
        <v>600</v>
      </c>
      <c r="D72" s="41">
        <v>13118</v>
      </c>
      <c r="E72" s="41" t="s">
        <v>755</v>
      </c>
      <c r="F72" s="39" t="s">
        <v>166</v>
      </c>
      <c r="G72" s="40" t="s">
        <v>167</v>
      </c>
      <c r="H72" s="33" t="s">
        <v>168</v>
      </c>
      <c r="I72" s="32">
        <v>43915</v>
      </c>
      <c r="J72" s="87">
        <v>43875</v>
      </c>
      <c r="K72" s="88" t="s">
        <v>1184</v>
      </c>
      <c r="L72" s="127">
        <f>58.765-57.912</f>
        <v>0.85300000000000153</v>
      </c>
      <c r="M72" s="132">
        <f>(64.745-57.912)+0.086</f>
        <v>6.9190000000000058</v>
      </c>
      <c r="N72" s="88"/>
      <c r="O72" s="88"/>
      <c r="P72" s="88" t="s">
        <v>1140</v>
      </c>
      <c r="Q72" s="79">
        <v>0.56000000000000005</v>
      </c>
      <c r="R72" s="79">
        <v>6.78</v>
      </c>
      <c r="S72" s="79">
        <v>6.95</v>
      </c>
      <c r="T72" s="79">
        <v>7.0149999999999997</v>
      </c>
      <c r="U72" s="79" t="s">
        <v>955</v>
      </c>
      <c r="V72" s="79">
        <v>0.17</v>
      </c>
      <c r="W72" s="79">
        <v>0.23</v>
      </c>
      <c r="X72" s="34">
        <v>1</v>
      </c>
      <c r="Y72" s="34" t="s">
        <v>4</v>
      </c>
      <c r="Z72" s="34" t="s">
        <v>941</v>
      </c>
      <c r="AA72" s="34"/>
      <c r="AB72" s="35"/>
    </row>
    <row r="73" spans="1:29" x14ac:dyDescent="0.3">
      <c r="A73" s="124"/>
      <c r="B73" s="114">
        <v>72</v>
      </c>
      <c r="C73" s="38" t="s">
        <v>601</v>
      </c>
      <c r="D73" s="38">
        <v>13257</v>
      </c>
      <c r="E73" s="38" t="s">
        <v>756</v>
      </c>
      <c r="F73" s="39" t="s">
        <v>169</v>
      </c>
      <c r="G73" s="40" t="s">
        <v>167</v>
      </c>
      <c r="H73" s="33" t="s">
        <v>170</v>
      </c>
      <c r="I73" s="32">
        <v>43915</v>
      </c>
      <c r="J73" s="87">
        <v>43875</v>
      </c>
      <c r="K73" s="88" t="s">
        <v>1180</v>
      </c>
      <c r="L73" s="127">
        <f>59.924-57.912</f>
        <v>2.0120000000000005</v>
      </c>
      <c r="M73" s="132">
        <f>(64.834 - 57.912)+0.086</f>
        <v>7.0080000000000044</v>
      </c>
      <c r="N73" s="88"/>
      <c r="O73" s="88"/>
      <c r="P73" s="88" t="s">
        <v>1181</v>
      </c>
      <c r="Q73" s="79">
        <v>1.92</v>
      </c>
      <c r="R73" s="79">
        <v>6.95</v>
      </c>
      <c r="S73" s="79">
        <v>7.05</v>
      </c>
      <c r="T73" s="79">
        <v>7.09</v>
      </c>
      <c r="U73" s="79" t="s">
        <v>955</v>
      </c>
      <c r="V73" s="79">
        <v>0.1</v>
      </c>
      <c r="W73" s="79">
        <v>0.14000000000000001</v>
      </c>
      <c r="X73" s="34">
        <v>1</v>
      </c>
      <c r="Y73" s="34" t="s">
        <v>4</v>
      </c>
      <c r="Z73" s="34" t="s">
        <v>941</v>
      </c>
      <c r="AA73" s="34"/>
      <c r="AB73" s="35"/>
    </row>
    <row r="74" spans="1:29" ht="28.8" x14ac:dyDescent="0.3">
      <c r="A74" s="124"/>
      <c r="B74" s="114">
        <v>73</v>
      </c>
      <c r="C74" s="38" t="s">
        <v>602</v>
      </c>
      <c r="D74" s="38">
        <v>13269</v>
      </c>
      <c r="E74" s="38" t="s">
        <v>757</v>
      </c>
      <c r="F74" s="39" t="s">
        <v>171</v>
      </c>
      <c r="G74" s="40" t="s">
        <v>167</v>
      </c>
      <c r="H74" s="33" t="s">
        <v>172</v>
      </c>
      <c r="I74" s="32">
        <v>43922</v>
      </c>
      <c r="J74" s="87">
        <v>43847</v>
      </c>
      <c r="K74" s="88">
        <v>0.45694444444444443</v>
      </c>
      <c r="L74" s="127">
        <v>2.2999999999999998</v>
      </c>
      <c r="M74" s="132">
        <v>7.5549999999999997</v>
      </c>
      <c r="N74" s="88"/>
      <c r="O74" s="88"/>
      <c r="P74" s="88"/>
      <c r="Q74" s="79">
        <v>2.13</v>
      </c>
      <c r="R74" s="79">
        <v>7.54</v>
      </c>
      <c r="S74" s="79">
        <v>7.62</v>
      </c>
      <c r="T74" s="79">
        <v>7.08</v>
      </c>
      <c r="U74" s="79" t="s">
        <v>955</v>
      </c>
      <c r="V74" s="79">
        <v>0.08</v>
      </c>
      <c r="W74" s="79">
        <v>-0.46</v>
      </c>
      <c r="X74" s="34">
        <v>1</v>
      </c>
      <c r="Y74" s="34" t="s">
        <v>4</v>
      </c>
      <c r="Z74" s="34" t="s">
        <v>941</v>
      </c>
      <c r="AA74" s="34" t="s">
        <v>979</v>
      </c>
      <c r="AB74" s="35" t="s">
        <v>173</v>
      </c>
      <c r="AC74" s="109" t="s">
        <v>954</v>
      </c>
    </row>
    <row r="75" spans="1:29" x14ac:dyDescent="0.3">
      <c r="A75" s="124"/>
      <c r="B75" s="119">
        <v>74</v>
      </c>
      <c r="C75" s="38" t="s">
        <v>603</v>
      </c>
      <c r="D75" s="38">
        <v>13307</v>
      </c>
      <c r="E75" s="38" t="s">
        <v>758</v>
      </c>
      <c r="F75" s="44" t="s">
        <v>174</v>
      </c>
      <c r="G75" s="47" t="s">
        <v>29</v>
      </c>
      <c r="H75" s="46" t="s">
        <v>175</v>
      </c>
      <c r="I75" s="32">
        <v>43909</v>
      </c>
      <c r="J75" s="87">
        <v>43854</v>
      </c>
      <c r="K75" s="88" t="s">
        <v>1064</v>
      </c>
      <c r="L75" s="127">
        <v>2.5249999999999999</v>
      </c>
      <c r="M75" s="132">
        <v>7.0129999999999999</v>
      </c>
      <c r="N75" s="88"/>
      <c r="O75" s="88"/>
      <c r="P75" s="88" t="s">
        <v>1019</v>
      </c>
      <c r="Q75" s="79">
        <v>2.15</v>
      </c>
      <c r="R75" s="79">
        <v>7</v>
      </c>
      <c r="S75" s="79">
        <v>7.02</v>
      </c>
      <c r="T75" s="79">
        <v>7.23</v>
      </c>
      <c r="U75" s="79" t="s">
        <v>955</v>
      </c>
      <c r="V75" s="79">
        <v>0.02</v>
      </c>
      <c r="W75" s="79">
        <v>0.23</v>
      </c>
      <c r="X75" s="34">
        <v>1</v>
      </c>
      <c r="Y75" s="34" t="s">
        <v>4</v>
      </c>
      <c r="Z75" s="34" t="s">
        <v>941</v>
      </c>
      <c r="AA75" s="34" t="s">
        <v>1065</v>
      </c>
      <c r="AB75" s="35"/>
    </row>
    <row r="76" spans="1:29" x14ac:dyDescent="0.3">
      <c r="A76" s="124"/>
      <c r="B76" s="115">
        <v>75</v>
      </c>
      <c r="C76" s="38" t="s">
        <v>604</v>
      </c>
      <c r="D76" s="38">
        <v>13519</v>
      </c>
      <c r="E76" s="38" t="s">
        <v>759</v>
      </c>
      <c r="F76" s="29" t="s">
        <v>176</v>
      </c>
      <c r="G76" s="42" t="s">
        <v>29</v>
      </c>
      <c r="H76" s="31" t="s">
        <v>177</v>
      </c>
      <c r="I76" s="32">
        <v>43916</v>
      </c>
      <c r="J76" s="87">
        <v>43873</v>
      </c>
      <c r="K76" s="88">
        <v>0.36319444444444443</v>
      </c>
      <c r="L76" s="127">
        <f>58.37-57.912</f>
        <v>0.45799999999999841</v>
      </c>
      <c r="M76" s="132">
        <f>(64.91-57.912)+0.086</f>
        <v>7.0839999999999979</v>
      </c>
      <c r="N76" s="88"/>
      <c r="O76" s="88"/>
      <c r="P76" s="88">
        <v>0.36805555555555558</v>
      </c>
      <c r="Q76" s="79">
        <v>0.32</v>
      </c>
      <c r="R76" s="79">
        <v>7.08</v>
      </c>
      <c r="S76" s="79">
        <v>7.08</v>
      </c>
      <c r="T76" s="79">
        <v>7.15</v>
      </c>
      <c r="U76" s="79" t="s">
        <v>955</v>
      </c>
      <c r="V76" s="79">
        <v>0</v>
      </c>
      <c r="W76" s="79">
        <v>7.0000000000000007E-2</v>
      </c>
      <c r="X76" s="34">
        <v>1</v>
      </c>
      <c r="Y76" s="34" t="s">
        <v>4</v>
      </c>
      <c r="Z76" s="34" t="s">
        <v>941</v>
      </c>
      <c r="AA76" s="34"/>
      <c r="AB76" s="35"/>
    </row>
    <row r="77" spans="1:29" x14ac:dyDescent="0.3">
      <c r="A77" s="124"/>
      <c r="B77" s="114">
        <v>76</v>
      </c>
      <c r="C77" s="53" t="s">
        <v>605</v>
      </c>
      <c r="D77" s="53">
        <v>13671</v>
      </c>
      <c r="E77" s="53" t="s">
        <v>760</v>
      </c>
      <c r="F77" s="39" t="s">
        <v>178</v>
      </c>
      <c r="G77" s="40" t="s">
        <v>18</v>
      </c>
      <c r="H77" s="33" t="s">
        <v>179</v>
      </c>
      <c r="I77" s="32">
        <v>43904</v>
      </c>
      <c r="J77" s="87">
        <v>43861</v>
      </c>
      <c r="K77" s="88">
        <v>0.45208333333333334</v>
      </c>
      <c r="L77" s="127">
        <v>0.56599999999999995</v>
      </c>
      <c r="M77" s="132">
        <v>6.6870000000000003</v>
      </c>
      <c r="N77" s="88"/>
      <c r="O77" s="88"/>
      <c r="P77" s="88">
        <v>0.45833333333333331</v>
      </c>
      <c r="Q77" s="79">
        <v>0.41</v>
      </c>
      <c r="R77" s="79">
        <v>6.65</v>
      </c>
      <c r="S77" s="79">
        <v>6.78</v>
      </c>
      <c r="T77" s="79">
        <v>6.89</v>
      </c>
      <c r="U77" s="79" t="s">
        <v>955</v>
      </c>
      <c r="V77" s="79">
        <v>0.13</v>
      </c>
      <c r="W77" s="79">
        <v>0.24</v>
      </c>
      <c r="X77" s="34">
        <v>1</v>
      </c>
      <c r="Y77" s="34" t="s">
        <v>4</v>
      </c>
      <c r="Z77" s="34" t="s">
        <v>941</v>
      </c>
      <c r="AA77" s="34" t="s">
        <v>1099</v>
      </c>
      <c r="AB77" s="35"/>
    </row>
    <row r="78" spans="1:29" x14ac:dyDescent="0.3">
      <c r="A78" s="124"/>
      <c r="B78" s="114">
        <v>77</v>
      </c>
      <c r="C78" s="41" t="s">
        <v>606</v>
      </c>
      <c r="D78" s="41">
        <v>13678</v>
      </c>
      <c r="E78" s="41" t="s">
        <v>761</v>
      </c>
      <c r="F78" s="39" t="s">
        <v>180</v>
      </c>
      <c r="G78" s="40" t="s">
        <v>18</v>
      </c>
      <c r="H78" s="33" t="s">
        <v>181</v>
      </c>
      <c r="I78" s="32">
        <v>43904</v>
      </c>
      <c r="J78" s="87">
        <v>43861</v>
      </c>
      <c r="K78" s="88">
        <v>0.4291666666666667</v>
      </c>
      <c r="L78" s="127">
        <v>1.595</v>
      </c>
      <c r="M78" s="132">
        <v>7.3890000000000002</v>
      </c>
      <c r="N78" s="88"/>
      <c r="O78" s="88"/>
      <c r="P78" s="88">
        <v>0.4375</v>
      </c>
      <c r="Q78" s="79">
        <v>2.4300000000000002</v>
      </c>
      <c r="R78" s="79">
        <v>7.35</v>
      </c>
      <c r="S78" s="79">
        <v>7.47</v>
      </c>
      <c r="T78" s="79">
        <v>7.53</v>
      </c>
      <c r="U78" s="79" t="s">
        <v>955</v>
      </c>
      <c r="V78" s="79">
        <v>0.12</v>
      </c>
      <c r="W78" s="79">
        <v>0.18</v>
      </c>
      <c r="X78" s="34">
        <v>1</v>
      </c>
      <c r="Y78" s="34" t="s">
        <v>4</v>
      </c>
      <c r="Z78" s="34" t="s">
        <v>941</v>
      </c>
      <c r="AA78" s="34"/>
      <c r="AB78" s="35"/>
    </row>
    <row r="79" spans="1:29" x14ac:dyDescent="0.3">
      <c r="A79" s="124"/>
      <c r="B79" s="114">
        <v>78</v>
      </c>
      <c r="C79" s="38" t="s">
        <v>607</v>
      </c>
      <c r="D79" s="38">
        <v>13679</v>
      </c>
      <c r="E79" s="38" t="s">
        <v>762</v>
      </c>
      <c r="F79" s="39" t="s">
        <v>182</v>
      </c>
      <c r="G79" s="40" t="s">
        <v>18</v>
      </c>
      <c r="H79" s="33" t="s">
        <v>183</v>
      </c>
      <c r="I79" s="32">
        <v>43904</v>
      </c>
      <c r="J79" s="87">
        <v>43882</v>
      </c>
      <c r="K79" s="88">
        <v>0.41944444444444445</v>
      </c>
      <c r="L79" s="127">
        <v>0.90800000000000003</v>
      </c>
      <c r="M79" s="132">
        <v>7.1059999999999999</v>
      </c>
      <c r="N79" s="88"/>
      <c r="O79" s="88"/>
      <c r="P79" s="88">
        <v>0.4236111111111111</v>
      </c>
      <c r="Q79" s="79">
        <v>0.72</v>
      </c>
      <c r="R79" s="79">
        <v>7.08</v>
      </c>
      <c r="S79" s="79">
        <v>7.17</v>
      </c>
      <c r="T79" s="79">
        <v>6.58</v>
      </c>
      <c r="U79" s="79" t="s">
        <v>955</v>
      </c>
      <c r="V79" s="79">
        <v>0.09</v>
      </c>
      <c r="W79" s="79">
        <v>-0.5</v>
      </c>
      <c r="X79" s="34">
        <v>1</v>
      </c>
      <c r="Y79" s="34" t="s">
        <v>4</v>
      </c>
      <c r="Z79" s="34" t="s">
        <v>941</v>
      </c>
      <c r="AA79" s="34"/>
      <c r="AB79" s="35"/>
    </row>
    <row r="80" spans="1:29" x14ac:dyDescent="0.3">
      <c r="A80" s="124"/>
      <c r="B80" s="114">
        <v>79</v>
      </c>
      <c r="C80" s="38" t="s">
        <v>608</v>
      </c>
      <c r="D80" s="38">
        <v>13698</v>
      </c>
      <c r="E80" s="38" t="s">
        <v>763</v>
      </c>
      <c r="F80" s="39" t="s">
        <v>184</v>
      </c>
      <c r="G80" s="40" t="s">
        <v>18</v>
      </c>
      <c r="H80" s="33" t="s">
        <v>185</v>
      </c>
      <c r="I80" s="32">
        <v>43907</v>
      </c>
      <c r="J80" s="87">
        <v>43875</v>
      </c>
      <c r="K80" s="88">
        <v>0.53333333333333333</v>
      </c>
      <c r="L80" s="127">
        <f>58.965-57.912</f>
        <v>1.0530000000000044</v>
      </c>
      <c r="M80" s="132">
        <f>(66.05-57.912)+0.086</f>
        <v>8.2239999999999984</v>
      </c>
      <c r="N80" s="88"/>
      <c r="O80" s="88"/>
      <c r="P80" s="88" t="s">
        <v>1093</v>
      </c>
      <c r="Q80" s="79">
        <v>0.93</v>
      </c>
      <c r="R80" s="79">
        <v>8.18</v>
      </c>
      <c r="S80" s="79">
        <v>8.27</v>
      </c>
      <c r="T80" s="79">
        <v>8.2100000000000009</v>
      </c>
      <c r="U80" s="79" t="s">
        <v>955</v>
      </c>
      <c r="V80" s="79">
        <v>0.09</v>
      </c>
      <c r="W80" s="79">
        <v>0.03</v>
      </c>
      <c r="X80" s="34">
        <v>1</v>
      </c>
      <c r="Y80" s="34" t="s">
        <v>4</v>
      </c>
      <c r="Z80" s="34" t="s">
        <v>941</v>
      </c>
      <c r="AA80" s="34"/>
      <c r="AB80" s="35"/>
    </row>
    <row r="81" spans="1:28" x14ac:dyDescent="0.3">
      <c r="A81" s="124"/>
      <c r="B81" s="115">
        <v>80</v>
      </c>
      <c r="C81" s="38" t="s">
        <v>609</v>
      </c>
      <c r="D81" s="38">
        <v>13699</v>
      </c>
      <c r="E81" s="38" t="s">
        <v>764</v>
      </c>
      <c r="F81" s="29" t="s">
        <v>186</v>
      </c>
      <c r="G81" s="170" t="s">
        <v>18</v>
      </c>
      <c r="H81" s="171" t="s">
        <v>187</v>
      </c>
      <c r="I81" s="75">
        <v>43908</v>
      </c>
      <c r="J81" s="95">
        <v>43857</v>
      </c>
      <c r="K81" s="172">
        <v>0.51111111111111118</v>
      </c>
      <c r="L81" s="173">
        <v>2.0529999999999999</v>
      </c>
      <c r="M81" s="174">
        <v>7.45</v>
      </c>
      <c r="N81" s="172"/>
      <c r="O81" s="172"/>
      <c r="P81" s="172">
        <v>0.52083333333333337</v>
      </c>
      <c r="Q81" s="174">
        <v>1.95</v>
      </c>
      <c r="R81" s="174">
        <v>7.43</v>
      </c>
      <c r="S81" s="174">
        <v>7.57</v>
      </c>
      <c r="T81" s="81">
        <v>7.65</v>
      </c>
      <c r="U81" s="81" t="s">
        <v>955</v>
      </c>
      <c r="V81" s="174">
        <v>0.14000000000000001</v>
      </c>
      <c r="W81" s="174">
        <v>0.22</v>
      </c>
      <c r="X81" s="175">
        <v>1</v>
      </c>
      <c r="Y81" s="76" t="s">
        <v>4</v>
      </c>
      <c r="Z81" s="76" t="s">
        <v>941</v>
      </c>
      <c r="AA81" s="76" t="s">
        <v>1078</v>
      </c>
      <c r="AB81" s="35"/>
    </row>
    <row r="82" spans="1:28" x14ac:dyDescent="0.3">
      <c r="A82" s="124"/>
      <c r="B82" s="117">
        <v>81</v>
      </c>
      <c r="C82" s="38" t="s">
        <v>610</v>
      </c>
      <c r="D82" s="38">
        <v>13970</v>
      </c>
      <c r="E82" s="38" t="s">
        <v>765</v>
      </c>
      <c r="F82" s="39" t="s">
        <v>188</v>
      </c>
      <c r="G82" s="47" t="s">
        <v>29</v>
      </c>
      <c r="H82" s="48" t="s">
        <v>189</v>
      </c>
      <c r="I82" s="32">
        <v>43909</v>
      </c>
      <c r="J82" s="87">
        <v>43854</v>
      </c>
      <c r="K82" s="88">
        <v>0.40625</v>
      </c>
      <c r="L82" s="127">
        <v>2.165</v>
      </c>
      <c r="M82" s="132">
        <v>7.4829999999999997</v>
      </c>
      <c r="N82" s="88"/>
      <c r="O82" s="88"/>
      <c r="P82" s="88">
        <v>0.40972222222222227</v>
      </c>
      <c r="Q82" s="79">
        <v>2.11</v>
      </c>
      <c r="R82" s="79">
        <v>7.42</v>
      </c>
      <c r="S82" s="79">
        <v>7.45</v>
      </c>
      <c r="T82" s="79">
        <v>7.6</v>
      </c>
      <c r="U82" s="79" t="s">
        <v>955</v>
      </c>
      <c r="V82" s="79">
        <v>0.03</v>
      </c>
      <c r="W82" s="79">
        <v>0.18</v>
      </c>
      <c r="X82" s="34">
        <v>1</v>
      </c>
      <c r="Y82" s="34" t="s">
        <v>4</v>
      </c>
      <c r="Z82" s="34" t="s">
        <v>941</v>
      </c>
      <c r="AA82" s="34"/>
      <c r="AB82" s="35"/>
    </row>
    <row r="83" spans="1:28" x14ac:dyDescent="0.3">
      <c r="A83" s="124"/>
      <c r="B83" s="117">
        <v>82</v>
      </c>
      <c r="C83" s="41" t="s">
        <v>611</v>
      </c>
      <c r="D83" s="41">
        <v>14118</v>
      </c>
      <c r="E83" s="41" t="s">
        <v>766</v>
      </c>
      <c r="F83" s="39" t="s">
        <v>190</v>
      </c>
      <c r="G83" s="47" t="s">
        <v>18</v>
      </c>
      <c r="H83" s="48" t="s">
        <v>191</v>
      </c>
      <c r="I83" s="32">
        <v>43903</v>
      </c>
      <c r="J83" s="87">
        <v>43857</v>
      </c>
      <c r="K83" s="90">
        <v>0.55277777777777781</v>
      </c>
      <c r="L83" s="128">
        <v>0.38200000000000001</v>
      </c>
      <c r="M83" s="82">
        <v>7.05</v>
      </c>
      <c r="N83" s="90"/>
      <c r="O83" s="90"/>
      <c r="P83" s="90" t="s">
        <v>1080</v>
      </c>
      <c r="Q83" s="82">
        <v>0.1</v>
      </c>
      <c r="R83" s="82">
        <v>7</v>
      </c>
      <c r="S83" s="82">
        <v>7.13</v>
      </c>
      <c r="T83" s="79">
        <v>6.77</v>
      </c>
      <c r="U83" s="79" t="s">
        <v>955</v>
      </c>
      <c r="V83" s="82">
        <v>0.13</v>
      </c>
      <c r="W83" s="82">
        <v>-0.23</v>
      </c>
      <c r="X83" s="37">
        <v>1</v>
      </c>
      <c r="Y83" s="34" t="s">
        <v>4</v>
      </c>
      <c r="Z83" s="34" t="s">
        <v>941</v>
      </c>
      <c r="AA83" s="34" t="s">
        <v>1081</v>
      </c>
      <c r="AB83" s="35"/>
    </row>
    <row r="84" spans="1:28" x14ac:dyDescent="0.3">
      <c r="A84" s="124"/>
      <c r="B84" s="114">
        <v>83</v>
      </c>
      <c r="C84" s="39" t="s">
        <v>612</v>
      </c>
      <c r="D84" s="39">
        <v>14121</v>
      </c>
      <c r="E84" s="39" t="s">
        <v>767</v>
      </c>
      <c r="F84" s="39" t="s">
        <v>192</v>
      </c>
      <c r="G84" s="40" t="s">
        <v>18</v>
      </c>
      <c r="H84" s="33" t="s">
        <v>193</v>
      </c>
      <c r="I84" s="32">
        <v>43907</v>
      </c>
      <c r="J84" s="87">
        <v>43858</v>
      </c>
      <c r="K84" s="88">
        <v>0.39374999999999999</v>
      </c>
      <c r="L84" s="127">
        <v>0.78400000000000003</v>
      </c>
      <c r="M84" s="132">
        <v>7.4690000000000003</v>
      </c>
      <c r="N84" s="88"/>
      <c r="O84" s="88"/>
      <c r="P84" s="88">
        <v>0.40277777777777773</v>
      </c>
      <c r="Q84" s="79">
        <v>0.79</v>
      </c>
      <c r="R84" s="79">
        <v>7.34</v>
      </c>
      <c r="S84" s="79">
        <v>7.51</v>
      </c>
      <c r="T84" s="79">
        <v>7.65</v>
      </c>
      <c r="U84" s="79" t="s">
        <v>955</v>
      </c>
      <c r="V84" s="79">
        <v>0.17</v>
      </c>
      <c r="W84" s="79">
        <v>0.31</v>
      </c>
      <c r="X84" s="34">
        <v>1</v>
      </c>
      <c r="Y84" s="34" t="s">
        <v>4</v>
      </c>
      <c r="Z84" s="34" t="s">
        <v>941</v>
      </c>
      <c r="AA84" s="34"/>
      <c r="AB84" s="35"/>
    </row>
    <row r="85" spans="1:28" x14ac:dyDescent="0.3">
      <c r="A85" s="124"/>
      <c r="B85" s="115">
        <v>84</v>
      </c>
      <c r="C85" s="39" t="s">
        <v>613</v>
      </c>
      <c r="D85" s="39">
        <v>14124</v>
      </c>
      <c r="E85" s="39" t="s">
        <v>768</v>
      </c>
      <c r="F85" s="29" t="s">
        <v>194</v>
      </c>
      <c r="G85" s="42" t="s">
        <v>29</v>
      </c>
      <c r="H85" s="49" t="s">
        <v>195</v>
      </c>
      <c r="I85" s="32">
        <v>43911</v>
      </c>
      <c r="J85" s="87">
        <v>43868</v>
      </c>
      <c r="K85" s="88">
        <v>0.4381944444444445</v>
      </c>
      <c r="L85" s="127">
        <f>59.371-57.912</f>
        <v>1.4590000000000032</v>
      </c>
      <c r="M85" s="132">
        <v>7.54</v>
      </c>
      <c r="N85" s="88"/>
      <c r="O85" s="88"/>
      <c r="P85" s="88">
        <v>0.44444444444444442</v>
      </c>
      <c r="Q85" s="79">
        <v>1.4</v>
      </c>
      <c r="R85" s="79">
        <v>7.5</v>
      </c>
      <c r="S85" s="81">
        <v>4.3600000000000003</v>
      </c>
      <c r="T85" s="79">
        <v>7.66</v>
      </c>
      <c r="U85" s="79" t="s">
        <v>955</v>
      </c>
      <c r="V85" s="97">
        <v>-3.14</v>
      </c>
      <c r="W85" s="79">
        <v>0.16</v>
      </c>
      <c r="X85" s="34">
        <v>1</v>
      </c>
      <c r="Y85" s="34" t="s">
        <v>4</v>
      </c>
      <c r="Z85" s="34" t="s">
        <v>941</v>
      </c>
      <c r="AA85" s="34" t="s">
        <v>1117</v>
      </c>
      <c r="AB85" s="35"/>
    </row>
    <row r="86" spans="1:28" x14ac:dyDescent="0.3">
      <c r="A86" s="124"/>
      <c r="B86" s="210">
        <v>85</v>
      </c>
      <c r="C86" s="211" t="s">
        <v>614</v>
      </c>
      <c r="D86" s="211">
        <v>14127</v>
      </c>
      <c r="E86" s="211" t="s">
        <v>769</v>
      </c>
      <c r="F86" s="212" t="s">
        <v>196</v>
      </c>
      <c r="G86" s="213" t="s">
        <v>29</v>
      </c>
      <c r="H86" s="214" t="s">
        <v>197</v>
      </c>
      <c r="I86" s="215">
        <v>43910</v>
      </c>
      <c r="J86" s="216">
        <v>43850</v>
      </c>
      <c r="K86" s="217" t="s">
        <v>1001</v>
      </c>
      <c r="L86" s="218">
        <v>0.84</v>
      </c>
      <c r="M86" s="219">
        <v>6.98</v>
      </c>
      <c r="N86" s="217"/>
      <c r="O86" s="217"/>
      <c r="P86" s="217" t="s">
        <v>1002</v>
      </c>
      <c r="Q86" s="220">
        <v>0.93</v>
      </c>
      <c r="R86" s="220">
        <v>4.25</v>
      </c>
      <c r="S86" s="220">
        <v>7.24</v>
      </c>
      <c r="T86" s="220">
        <v>7.27</v>
      </c>
      <c r="U86" s="220" t="s">
        <v>955</v>
      </c>
      <c r="V86" s="220">
        <v>2.99</v>
      </c>
      <c r="W86" s="220">
        <v>3.02</v>
      </c>
      <c r="X86" s="221">
        <v>1</v>
      </c>
      <c r="Y86" s="221" t="s">
        <v>4</v>
      </c>
      <c r="Z86" s="221" t="s">
        <v>941</v>
      </c>
      <c r="AA86" s="221" t="s">
        <v>1119</v>
      </c>
      <c r="AB86" s="222"/>
    </row>
    <row r="87" spans="1:28" x14ac:dyDescent="0.3">
      <c r="A87" s="124"/>
      <c r="B87" s="115">
        <v>86</v>
      </c>
      <c r="C87" s="41">
        <v>86</v>
      </c>
      <c r="D87" s="41">
        <v>74921</v>
      </c>
      <c r="E87" s="41" t="s">
        <v>770</v>
      </c>
      <c r="F87" s="29" t="s">
        <v>198</v>
      </c>
      <c r="G87" s="42" t="s">
        <v>18</v>
      </c>
      <c r="H87" s="31" t="s">
        <v>199</v>
      </c>
      <c r="I87" s="32">
        <v>43903</v>
      </c>
      <c r="J87" s="87">
        <v>43857</v>
      </c>
      <c r="K87" s="90">
        <v>0.54305555555555551</v>
      </c>
      <c r="L87" s="128">
        <v>0.5</v>
      </c>
      <c r="M87" s="82">
        <v>5.9989999999999997</v>
      </c>
      <c r="N87" s="90"/>
      <c r="O87" s="90"/>
      <c r="P87" s="90"/>
      <c r="Q87" s="82">
        <v>0.2</v>
      </c>
      <c r="R87" s="82">
        <v>5.97</v>
      </c>
      <c r="S87" s="82">
        <v>6.07</v>
      </c>
      <c r="T87" s="79" t="e">
        <v>#N/A</v>
      </c>
      <c r="U87" s="79">
        <v>6.05</v>
      </c>
      <c r="V87" s="82">
        <v>0.1</v>
      </c>
      <c r="W87" s="82" t="s">
        <v>946</v>
      </c>
      <c r="X87" s="37">
        <v>1</v>
      </c>
      <c r="Y87" s="34" t="s">
        <v>4</v>
      </c>
      <c r="Z87" s="34" t="s">
        <v>937</v>
      </c>
      <c r="AA87" s="34"/>
      <c r="AB87" s="35"/>
    </row>
    <row r="88" spans="1:28" x14ac:dyDescent="0.3">
      <c r="A88" s="124"/>
      <c r="B88" s="114">
        <v>87</v>
      </c>
      <c r="C88" s="41" t="s">
        <v>615</v>
      </c>
      <c r="D88" s="41">
        <v>14271</v>
      </c>
      <c r="E88" s="41" t="s">
        <v>771</v>
      </c>
      <c r="F88" s="39" t="s">
        <v>200</v>
      </c>
      <c r="G88" s="40" t="s">
        <v>29</v>
      </c>
      <c r="H88" s="33" t="s">
        <v>201</v>
      </c>
      <c r="I88" s="32">
        <v>43908</v>
      </c>
      <c r="J88" s="87">
        <v>43857</v>
      </c>
      <c r="K88" s="88">
        <v>0.39166666666666666</v>
      </c>
      <c r="L88" s="127">
        <v>1.9</v>
      </c>
      <c r="M88" s="132">
        <v>6.7830000000000004</v>
      </c>
      <c r="N88" s="88"/>
      <c r="O88" s="88"/>
      <c r="P88" s="88">
        <v>0.39583333333333331</v>
      </c>
      <c r="Q88" s="79">
        <v>1.34</v>
      </c>
      <c r="R88" s="79">
        <v>6.74</v>
      </c>
      <c r="S88" s="79">
        <v>7</v>
      </c>
      <c r="T88" s="79">
        <v>7.06</v>
      </c>
      <c r="U88" s="79" t="s">
        <v>955</v>
      </c>
      <c r="V88" s="79">
        <v>0.26</v>
      </c>
      <c r="W88" s="79">
        <v>0.32</v>
      </c>
      <c r="X88" s="34">
        <v>1</v>
      </c>
      <c r="Y88" s="34" t="s">
        <v>4</v>
      </c>
      <c r="Z88" s="34" t="s">
        <v>941</v>
      </c>
      <c r="AA88" s="34" t="s">
        <v>1073</v>
      </c>
      <c r="AB88" s="35"/>
    </row>
    <row r="89" spans="1:28" x14ac:dyDescent="0.3">
      <c r="A89" s="124"/>
      <c r="B89" s="115">
        <v>88</v>
      </c>
      <c r="C89" s="41" t="s">
        <v>616</v>
      </c>
      <c r="D89" s="41">
        <v>14273</v>
      </c>
      <c r="E89" s="41" t="s">
        <v>772</v>
      </c>
      <c r="F89" s="29" t="s">
        <v>202</v>
      </c>
      <c r="G89" s="42" t="s">
        <v>29</v>
      </c>
      <c r="H89" s="31" t="s">
        <v>203</v>
      </c>
      <c r="I89" s="32">
        <v>43914</v>
      </c>
      <c r="J89" s="87">
        <v>43873</v>
      </c>
      <c r="K89" s="88">
        <v>0.4069444444444445</v>
      </c>
      <c r="L89" s="127">
        <f>59.706-57.912</f>
        <v>1.794000000000004</v>
      </c>
      <c r="M89" s="132">
        <f>(65.534-57.912)+0.86</f>
        <v>8.4820000000000064</v>
      </c>
      <c r="N89" s="88"/>
      <c r="O89" s="88"/>
      <c r="P89" s="88">
        <v>0.41666666666666669</v>
      </c>
      <c r="Q89" s="79">
        <v>1.65</v>
      </c>
      <c r="R89" s="79">
        <v>7.61</v>
      </c>
      <c r="S89" s="79">
        <v>7.7</v>
      </c>
      <c r="T89" s="79">
        <v>7.84</v>
      </c>
      <c r="U89" s="79" t="s">
        <v>955</v>
      </c>
      <c r="V89" s="79">
        <v>0.09</v>
      </c>
      <c r="W89" s="79">
        <v>0.23</v>
      </c>
      <c r="X89" s="34">
        <v>1</v>
      </c>
      <c r="Y89" s="34" t="s">
        <v>4</v>
      </c>
      <c r="Z89" s="34" t="s">
        <v>941</v>
      </c>
      <c r="AA89" s="34"/>
      <c r="AB89" s="35"/>
    </row>
    <row r="90" spans="1:28" x14ac:dyDescent="0.3">
      <c r="A90" s="124"/>
      <c r="B90" s="116">
        <v>89</v>
      </c>
      <c r="C90" s="38" t="s">
        <v>617</v>
      </c>
      <c r="D90" s="38">
        <v>14274</v>
      </c>
      <c r="E90" s="38" t="s">
        <v>773</v>
      </c>
      <c r="F90" s="44" t="s">
        <v>204</v>
      </c>
      <c r="G90" s="45" t="s">
        <v>29</v>
      </c>
      <c r="H90" s="50" t="s">
        <v>205</v>
      </c>
      <c r="I90" s="32">
        <v>43911</v>
      </c>
      <c r="J90" s="87">
        <v>43850</v>
      </c>
      <c r="K90" s="88" t="s">
        <v>1003</v>
      </c>
      <c r="L90" s="127">
        <v>1.36</v>
      </c>
      <c r="M90" s="132">
        <v>7.4550000000000001</v>
      </c>
      <c r="N90" s="88"/>
      <c r="O90" s="88"/>
      <c r="P90" s="88">
        <v>0.59027777777777779</v>
      </c>
      <c r="Q90" s="79">
        <v>1.25</v>
      </c>
      <c r="R90" s="79">
        <v>7.43</v>
      </c>
      <c r="S90" s="79">
        <v>7.5</v>
      </c>
      <c r="T90" s="79">
        <v>7.59</v>
      </c>
      <c r="U90" s="79" t="s">
        <v>955</v>
      </c>
      <c r="V90" s="79">
        <v>7.0000000000000007E-2</v>
      </c>
      <c r="W90" s="79">
        <v>0.16</v>
      </c>
      <c r="X90" s="34">
        <v>1</v>
      </c>
      <c r="Y90" s="34" t="s">
        <v>4</v>
      </c>
      <c r="Z90" s="34" t="s">
        <v>941</v>
      </c>
      <c r="AA90" s="34" t="s">
        <v>1004</v>
      </c>
      <c r="AB90" s="35"/>
    </row>
    <row r="91" spans="1:28" x14ac:dyDescent="0.3">
      <c r="A91" s="124"/>
      <c r="B91" s="116">
        <v>90</v>
      </c>
      <c r="C91" s="41" t="s">
        <v>618</v>
      </c>
      <c r="D91" s="41">
        <v>14276</v>
      </c>
      <c r="E91" s="41" t="s">
        <v>774</v>
      </c>
      <c r="F91" s="44" t="s">
        <v>206</v>
      </c>
      <c r="G91" s="45" t="s">
        <v>29</v>
      </c>
      <c r="H91" s="50" t="s">
        <v>207</v>
      </c>
      <c r="I91" s="32">
        <v>43910</v>
      </c>
      <c r="J91" s="87">
        <v>43868</v>
      </c>
      <c r="K91" s="88">
        <v>0.50972222222222219</v>
      </c>
      <c r="L91" s="127">
        <v>1.8190000000000026</v>
      </c>
      <c r="M91" s="132">
        <v>7.1059999999999999</v>
      </c>
      <c r="N91" s="88"/>
      <c r="O91" s="88"/>
      <c r="P91" s="88">
        <v>0.52083333333333337</v>
      </c>
      <c r="Q91" s="79">
        <v>1.75</v>
      </c>
      <c r="R91" s="79">
        <v>7.05</v>
      </c>
      <c r="S91" s="79">
        <v>7.17</v>
      </c>
      <c r="T91" s="79">
        <v>7.14</v>
      </c>
      <c r="U91" s="79" t="s">
        <v>955</v>
      </c>
      <c r="V91" s="79">
        <v>0.12</v>
      </c>
      <c r="W91" s="79">
        <v>0.09</v>
      </c>
      <c r="X91" s="34">
        <v>1</v>
      </c>
      <c r="Y91" s="34" t="s">
        <v>4</v>
      </c>
      <c r="Z91" s="34" t="s">
        <v>941</v>
      </c>
      <c r="AA91" s="34"/>
      <c r="AB91" s="35"/>
    </row>
    <row r="92" spans="1:28" x14ac:dyDescent="0.3">
      <c r="A92" s="139"/>
      <c r="B92" s="117">
        <v>91</v>
      </c>
      <c r="C92" s="43" t="s">
        <v>619</v>
      </c>
      <c r="D92" s="43">
        <v>14845</v>
      </c>
      <c r="E92" s="43" t="s">
        <v>775</v>
      </c>
      <c r="F92" s="44" t="s">
        <v>208</v>
      </c>
      <c r="G92" s="47" t="s">
        <v>29</v>
      </c>
      <c r="H92" s="50" t="s">
        <v>209</v>
      </c>
      <c r="I92" s="32">
        <v>43909</v>
      </c>
      <c r="J92" s="87">
        <v>43853</v>
      </c>
      <c r="K92" s="88" t="s">
        <v>1052</v>
      </c>
      <c r="L92" s="127">
        <v>1.7549999999999999</v>
      </c>
      <c r="M92" s="132">
        <v>6.42</v>
      </c>
      <c r="N92" s="88"/>
      <c r="O92" s="88"/>
      <c r="P92" s="88" t="s">
        <v>1054</v>
      </c>
      <c r="Q92" s="79">
        <v>1.64</v>
      </c>
      <c r="R92" s="79">
        <v>6.88</v>
      </c>
      <c r="S92" s="79">
        <v>7.09</v>
      </c>
      <c r="T92" s="79">
        <v>7.28</v>
      </c>
      <c r="U92" s="79" t="s">
        <v>955</v>
      </c>
      <c r="V92" s="79">
        <v>0.21</v>
      </c>
      <c r="W92" s="79">
        <v>0.4</v>
      </c>
      <c r="X92" s="34">
        <v>1</v>
      </c>
      <c r="Y92" s="34" t="s">
        <v>4</v>
      </c>
      <c r="Z92" s="34" t="s">
        <v>941</v>
      </c>
      <c r="AA92" s="34" t="s">
        <v>1053</v>
      </c>
      <c r="AB92" s="35"/>
    </row>
    <row r="93" spans="1:28" x14ac:dyDescent="0.3">
      <c r="A93" s="124"/>
      <c r="B93" s="114">
        <v>92</v>
      </c>
      <c r="C93" s="43" t="s">
        <v>620</v>
      </c>
      <c r="D93" s="43">
        <v>14849</v>
      </c>
      <c r="E93" s="43" t="s">
        <v>776</v>
      </c>
      <c r="F93" s="39" t="s">
        <v>210</v>
      </c>
      <c r="G93" s="40" t="s">
        <v>29</v>
      </c>
      <c r="H93" s="33" t="s">
        <v>211</v>
      </c>
      <c r="I93" s="32">
        <v>43914</v>
      </c>
      <c r="J93" s="87">
        <v>43874</v>
      </c>
      <c r="K93" s="88">
        <v>0.53263888888888888</v>
      </c>
      <c r="L93" s="127">
        <f>58.884-57.912</f>
        <v>0.97200000000000131</v>
      </c>
      <c r="M93" s="132">
        <f>(64.513-57.912)+0.086</f>
        <v>6.6870000000000065</v>
      </c>
      <c r="N93" s="88"/>
      <c r="O93" s="88"/>
      <c r="P93" s="88" t="s">
        <v>1093</v>
      </c>
      <c r="Q93" s="79">
        <v>0.83</v>
      </c>
      <c r="R93" s="79">
        <v>6.61</v>
      </c>
      <c r="S93" s="79">
        <v>6.68</v>
      </c>
      <c r="T93" s="79">
        <v>6.95</v>
      </c>
      <c r="U93" s="79" t="s">
        <v>955</v>
      </c>
      <c r="V93" s="79">
        <v>7.0000000000000007E-2</v>
      </c>
      <c r="W93" s="79">
        <v>0.34</v>
      </c>
      <c r="X93" s="34">
        <v>1</v>
      </c>
      <c r="Y93" s="34" t="s">
        <v>4</v>
      </c>
      <c r="Z93" s="34" t="s">
        <v>941</v>
      </c>
      <c r="AA93" s="34"/>
      <c r="AB93" s="35"/>
    </row>
    <row r="94" spans="1:28" x14ac:dyDescent="0.3">
      <c r="A94" s="124"/>
      <c r="B94" s="114">
        <v>93</v>
      </c>
      <c r="C94" s="39" t="s">
        <v>621</v>
      </c>
      <c r="D94" s="39">
        <v>14850</v>
      </c>
      <c r="E94" s="39" t="s">
        <v>777</v>
      </c>
      <c r="F94" s="29" t="s">
        <v>212</v>
      </c>
      <c r="G94" s="42" t="s">
        <v>29</v>
      </c>
      <c r="H94" s="51" t="s">
        <v>213</v>
      </c>
      <c r="I94" s="32">
        <v>43916</v>
      </c>
      <c r="J94" s="87">
        <v>43874</v>
      </c>
      <c r="K94" s="88">
        <v>0.52361111111111114</v>
      </c>
      <c r="L94" s="127">
        <f>58.829-57.912</f>
        <v>0.91700000000000159</v>
      </c>
      <c r="M94" s="132">
        <f>(64.803-57.912)+0.086</f>
        <v>6.9769999999999985</v>
      </c>
      <c r="N94" s="88"/>
      <c r="O94" s="88"/>
      <c r="P94" s="88">
        <v>0.52777777777777779</v>
      </c>
      <c r="Q94" s="79">
        <v>0.79</v>
      </c>
      <c r="R94" s="79">
        <v>4.13</v>
      </c>
      <c r="S94" s="79">
        <v>6.97</v>
      </c>
      <c r="T94" s="79">
        <v>6.62</v>
      </c>
      <c r="U94" s="79" t="s">
        <v>955</v>
      </c>
      <c r="V94" s="79">
        <v>2.84</v>
      </c>
      <c r="W94" s="79">
        <v>2.4900000000000002</v>
      </c>
      <c r="X94" s="34">
        <v>1</v>
      </c>
      <c r="Y94" s="34" t="s">
        <v>4</v>
      </c>
      <c r="Z94" s="34" t="s">
        <v>941</v>
      </c>
      <c r="AA94" s="34"/>
      <c r="AB94" s="35"/>
    </row>
    <row r="95" spans="1:28" x14ac:dyDescent="0.3">
      <c r="A95" s="124"/>
      <c r="B95" s="114">
        <v>94</v>
      </c>
      <c r="C95" s="38" t="s">
        <v>622</v>
      </c>
      <c r="D95" s="38">
        <v>14974</v>
      </c>
      <c r="E95" s="38" t="s">
        <v>778</v>
      </c>
      <c r="F95" s="29" t="s">
        <v>214</v>
      </c>
      <c r="G95" s="42" t="s">
        <v>29</v>
      </c>
      <c r="H95" s="51" t="s">
        <v>215</v>
      </c>
      <c r="I95" s="32">
        <v>43911</v>
      </c>
      <c r="J95" s="87">
        <v>43852</v>
      </c>
      <c r="K95" s="88" t="s">
        <v>1028</v>
      </c>
      <c r="L95" s="127">
        <v>0.99</v>
      </c>
      <c r="M95" s="132">
        <v>6.36</v>
      </c>
      <c r="N95" s="88"/>
      <c r="O95" s="88"/>
      <c r="P95" s="88"/>
      <c r="Q95" s="79">
        <v>0.92</v>
      </c>
      <c r="R95" s="79" t="s">
        <v>1029</v>
      </c>
      <c r="S95" s="79">
        <v>6.48</v>
      </c>
      <c r="T95" s="79">
        <v>6.83</v>
      </c>
      <c r="U95" s="79" t="s">
        <v>955</v>
      </c>
      <c r="V95" s="79">
        <v>0.1</v>
      </c>
      <c r="W95" s="79">
        <v>0.45</v>
      </c>
      <c r="X95" s="34">
        <v>1</v>
      </c>
      <c r="Y95" s="34" t="s">
        <v>4</v>
      </c>
      <c r="Z95" s="34" t="s">
        <v>941</v>
      </c>
      <c r="AA95" s="34"/>
      <c r="AB95" s="35"/>
    </row>
    <row r="96" spans="1:28" x14ac:dyDescent="0.3">
      <c r="A96" s="124"/>
      <c r="B96" s="111">
        <v>95</v>
      </c>
      <c r="C96" s="7" t="s">
        <v>623</v>
      </c>
      <c r="D96" s="7">
        <v>14975</v>
      </c>
      <c r="E96" s="7" t="s">
        <v>779</v>
      </c>
      <c r="F96" s="6" t="s">
        <v>216</v>
      </c>
      <c r="G96" s="5" t="s">
        <v>29</v>
      </c>
      <c r="H96" s="2" t="s">
        <v>217</v>
      </c>
      <c r="I96" s="3">
        <v>43911</v>
      </c>
      <c r="J96" s="89">
        <v>43852</v>
      </c>
      <c r="K96" s="86" t="s">
        <v>1027</v>
      </c>
      <c r="L96" s="125">
        <v>1.1459999999999999</v>
      </c>
      <c r="M96" s="133">
        <v>7.4619999999999997</v>
      </c>
      <c r="N96" s="86"/>
      <c r="O96" s="86"/>
      <c r="P96" s="86" t="s">
        <v>995</v>
      </c>
      <c r="Q96" s="80">
        <v>1.1499999999999999</v>
      </c>
      <c r="R96" s="80">
        <v>7.42</v>
      </c>
      <c r="S96" s="80">
        <v>7.54</v>
      </c>
      <c r="T96" s="80">
        <v>7.29</v>
      </c>
      <c r="U96" s="80" t="s">
        <v>955</v>
      </c>
      <c r="V96" s="80">
        <v>0.12</v>
      </c>
      <c r="W96" s="80">
        <v>-0.13</v>
      </c>
      <c r="X96" s="4">
        <v>1</v>
      </c>
      <c r="Y96" s="4" t="s">
        <v>6</v>
      </c>
      <c r="Z96" s="4" t="s">
        <v>941</v>
      </c>
      <c r="AA96" s="4"/>
      <c r="AB96" s="8" t="s">
        <v>939</v>
      </c>
    </row>
    <row r="97" spans="1:28" x14ac:dyDescent="0.3">
      <c r="A97" s="209"/>
      <c r="B97" s="114">
        <v>96</v>
      </c>
      <c r="C97" s="38" t="s">
        <v>624</v>
      </c>
      <c r="D97" s="38">
        <v>14985</v>
      </c>
      <c r="E97" s="38" t="s">
        <v>780</v>
      </c>
      <c r="F97" s="39" t="s">
        <v>218</v>
      </c>
      <c r="G97" s="40" t="s">
        <v>29</v>
      </c>
      <c r="H97" s="33" t="s">
        <v>219</v>
      </c>
      <c r="I97" s="32">
        <v>43915</v>
      </c>
      <c r="J97" s="87">
        <v>43852</v>
      </c>
      <c r="K97" s="88" t="s">
        <v>1020</v>
      </c>
      <c r="L97" s="127">
        <v>1.377</v>
      </c>
      <c r="M97" s="132">
        <v>6.64</v>
      </c>
      <c r="N97" s="88"/>
      <c r="O97" s="88"/>
      <c r="P97" s="88" t="s">
        <v>1022</v>
      </c>
      <c r="Q97" s="79">
        <v>1.32</v>
      </c>
      <c r="R97" s="79">
        <v>6.62</v>
      </c>
      <c r="S97" s="79">
        <v>6.7</v>
      </c>
      <c r="T97" s="79">
        <v>7.63</v>
      </c>
      <c r="U97" s="79" t="s">
        <v>955</v>
      </c>
      <c r="V97" s="79">
        <v>0.08</v>
      </c>
      <c r="W97" s="79">
        <v>1.01</v>
      </c>
      <c r="X97" s="34">
        <v>1</v>
      </c>
      <c r="Y97" s="34" t="s">
        <v>4</v>
      </c>
      <c r="Z97" s="34" t="s">
        <v>941</v>
      </c>
      <c r="AA97" s="34" t="s">
        <v>1021</v>
      </c>
      <c r="AB97" s="35"/>
    </row>
    <row r="98" spans="1:28" x14ac:dyDescent="0.3">
      <c r="A98" s="124"/>
      <c r="B98" s="114">
        <v>97</v>
      </c>
      <c r="C98" s="38" t="s">
        <v>625</v>
      </c>
      <c r="D98" s="38">
        <v>15050</v>
      </c>
      <c r="E98" s="38" t="s">
        <v>781</v>
      </c>
      <c r="F98" s="39" t="s">
        <v>220</v>
      </c>
      <c r="G98" s="40" t="s">
        <v>18</v>
      </c>
      <c r="H98" s="33" t="s">
        <v>221</v>
      </c>
      <c r="I98" s="32">
        <v>43904</v>
      </c>
      <c r="J98" s="87">
        <v>43861</v>
      </c>
      <c r="K98" s="88">
        <v>7.013888888888889E-2</v>
      </c>
      <c r="L98" s="127">
        <v>1.2909999999999999</v>
      </c>
      <c r="M98" s="132">
        <v>7.19</v>
      </c>
      <c r="N98" s="88"/>
      <c r="O98" s="88"/>
      <c r="P98" s="88">
        <v>0.57638888888888895</v>
      </c>
      <c r="Q98" s="79">
        <v>1.1599999999999999</v>
      </c>
      <c r="R98" s="79">
        <v>7.15</v>
      </c>
      <c r="S98" s="79">
        <v>7.25</v>
      </c>
      <c r="T98" s="79">
        <v>7.28</v>
      </c>
      <c r="U98" s="79" t="s">
        <v>955</v>
      </c>
      <c r="V98" s="79">
        <v>0.1</v>
      </c>
      <c r="W98" s="79">
        <v>0.13</v>
      </c>
      <c r="X98" s="34">
        <v>1</v>
      </c>
      <c r="Y98" s="34" t="s">
        <v>4</v>
      </c>
      <c r="Z98" s="34" t="s">
        <v>941</v>
      </c>
      <c r="AA98" s="34"/>
      <c r="AB98" s="35"/>
    </row>
    <row r="99" spans="1:28" x14ac:dyDescent="0.3">
      <c r="A99" s="139"/>
      <c r="B99" s="114">
        <v>98</v>
      </c>
      <c r="C99" s="38" t="s">
        <v>626</v>
      </c>
      <c r="D99" s="38">
        <v>15053</v>
      </c>
      <c r="E99" s="38" t="s">
        <v>782</v>
      </c>
      <c r="F99" s="39" t="s">
        <v>222</v>
      </c>
      <c r="G99" s="40" t="s">
        <v>29</v>
      </c>
      <c r="H99" s="33" t="s">
        <v>223</v>
      </c>
      <c r="I99" s="32">
        <v>43909</v>
      </c>
      <c r="J99" s="87">
        <v>43857</v>
      </c>
      <c r="K99" s="88">
        <v>0.43194444444444446</v>
      </c>
      <c r="L99" s="127">
        <v>2.444</v>
      </c>
      <c r="M99" s="132">
        <v>6.75</v>
      </c>
      <c r="N99" s="88"/>
      <c r="O99" s="88"/>
      <c r="P99" s="88">
        <v>0.4375</v>
      </c>
      <c r="Q99" s="79">
        <v>2.2999999999999998</v>
      </c>
      <c r="R99" s="79">
        <v>6.71</v>
      </c>
      <c r="S99" s="79">
        <v>6.78</v>
      </c>
      <c r="T99" s="79">
        <v>6.52</v>
      </c>
      <c r="U99" s="79" t="s">
        <v>955</v>
      </c>
      <c r="V99" s="79">
        <v>7.0000000000000007E-2</v>
      </c>
      <c r="W99" s="79">
        <v>-0.19</v>
      </c>
      <c r="X99" s="34">
        <v>1</v>
      </c>
      <c r="Y99" s="34" t="s">
        <v>4</v>
      </c>
      <c r="Z99" s="34" t="s">
        <v>941</v>
      </c>
      <c r="AA99" s="34" t="s">
        <v>1074</v>
      </c>
      <c r="AB99" s="35"/>
    </row>
    <row r="100" spans="1:28" x14ac:dyDescent="0.3">
      <c r="A100" s="124"/>
      <c r="B100" s="114">
        <v>99</v>
      </c>
      <c r="C100" s="38" t="s">
        <v>627</v>
      </c>
      <c r="D100" s="38">
        <v>15345</v>
      </c>
      <c r="E100" s="38" t="s">
        <v>783</v>
      </c>
      <c r="F100" s="39" t="s">
        <v>224</v>
      </c>
      <c r="G100" s="40" t="s">
        <v>29</v>
      </c>
      <c r="H100" s="33" t="s">
        <v>225</v>
      </c>
      <c r="I100" s="32">
        <v>43910</v>
      </c>
      <c r="J100" s="87">
        <v>43852</v>
      </c>
      <c r="K100" s="88">
        <v>0.37152777777777773</v>
      </c>
      <c r="L100" s="127">
        <v>1.6140000000000001</v>
      </c>
      <c r="M100" s="132">
        <v>6.6059999999999999</v>
      </c>
      <c r="N100" s="88"/>
      <c r="O100" s="88"/>
      <c r="P100" s="88">
        <v>0.375</v>
      </c>
      <c r="Q100" s="79">
        <v>1.55</v>
      </c>
      <c r="R100" s="79">
        <v>6.56</v>
      </c>
      <c r="S100" s="79">
        <v>6.67</v>
      </c>
      <c r="T100" s="79">
        <v>6.74</v>
      </c>
      <c r="U100" s="79" t="s">
        <v>955</v>
      </c>
      <c r="V100" s="79">
        <v>0.11</v>
      </c>
      <c r="W100" s="79">
        <v>0.18</v>
      </c>
      <c r="X100" s="34">
        <v>1</v>
      </c>
      <c r="Y100" s="34" t="s">
        <v>4</v>
      </c>
      <c r="Z100" s="34" t="s">
        <v>941</v>
      </c>
      <c r="AA100" s="34" t="s">
        <v>1015</v>
      </c>
      <c r="AB100" s="35"/>
    </row>
    <row r="101" spans="1:28" x14ac:dyDescent="0.3">
      <c r="A101" s="124"/>
      <c r="B101" s="114">
        <v>100</v>
      </c>
      <c r="C101" s="38" t="s">
        <v>628</v>
      </c>
      <c r="D101" s="38">
        <v>15436</v>
      </c>
      <c r="E101" s="38" t="s">
        <v>784</v>
      </c>
      <c r="F101" s="39" t="s">
        <v>226</v>
      </c>
      <c r="G101" s="40" t="s">
        <v>29</v>
      </c>
      <c r="H101" s="33" t="s">
        <v>227</v>
      </c>
      <c r="I101" s="32">
        <v>43908</v>
      </c>
      <c r="J101" s="87">
        <v>43857</v>
      </c>
      <c r="K101" s="88">
        <v>0.40625</v>
      </c>
      <c r="L101" s="127">
        <v>1.5760000000000001</v>
      </c>
      <c r="M101" s="132">
        <v>5.83</v>
      </c>
      <c r="N101" s="88"/>
      <c r="O101" s="88"/>
      <c r="P101" s="88">
        <v>0.375</v>
      </c>
      <c r="Q101" s="79">
        <v>0.99</v>
      </c>
      <c r="R101" s="79">
        <v>5.78</v>
      </c>
      <c r="S101" s="79">
        <v>5.78</v>
      </c>
      <c r="T101" s="79">
        <v>5.98</v>
      </c>
      <c r="U101" s="79" t="s">
        <v>955</v>
      </c>
      <c r="V101" s="79">
        <v>0</v>
      </c>
      <c r="W101" s="79">
        <v>0.2</v>
      </c>
      <c r="X101" s="34">
        <v>1</v>
      </c>
      <c r="Y101" s="34" t="s">
        <v>4</v>
      </c>
      <c r="Z101" s="34" t="s">
        <v>941</v>
      </c>
      <c r="AA101" s="34" t="s">
        <v>1041</v>
      </c>
      <c r="AB101" s="35"/>
    </row>
    <row r="102" spans="1:28" x14ac:dyDescent="0.3">
      <c r="A102" s="124"/>
      <c r="B102" s="114">
        <v>101</v>
      </c>
      <c r="C102" s="38" t="s">
        <v>629</v>
      </c>
      <c r="D102" s="38">
        <v>15441</v>
      </c>
      <c r="E102" s="38" t="s">
        <v>785</v>
      </c>
      <c r="F102" s="39" t="s">
        <v>228</v>
      </c>
      <c r="G102" s="40" t="s">
        <v>167</v>
      </c>
      <c r="H102" s="33" t="s">
        <v>229</v>
      </c>
      <c r="I102" s="32">
        <v>43916</v>
      </c>
      <c r="J102" s="87">
        <v>43847</v>
      </c>
      <c r="K102" s="88">
        <v>0.36458333333333331</v>
      </c>
      <c r="L102" s="127">
        <v>1.234</v>
      </c>
      <c r="M102" s="132"/>
      <c r="N102" s="88"/>
      <c r="O102" s="88"/>
      <c r="P102" s="88">
        <v>0.375</v>
      </c>
      <c r="Q102" s="79">
        <v>1.1200000000000001</v>
      </c>
      <c r="R102" s="79">
        <v>7.63</v>
      </c>
      <c r="S102" s="79">
        <v>7.71</v>
      </c>
      <c r="T102" s="79">
        <v>7.42</v>
      </c>
      <c r="U102" s="79" t="s">
        <v>955</v>
      </c>
      <c r="V102" s="79">
        <v>0.08</v>
      </c>
      <c r="W102" s="79">
        <v>-0.21</v>
      </c>
      <c r="X102" s="34">
        <v>1</v>
      </c>
      <c r="Y102" s="34" t="s">
        <v>4</v>
      </c>
      <c r="Z102" s="34" t="s">
        <v>941</v>
      </c>
      <c r="AA102" s="34" t="s">
        <v>975</v>
      </c>
      <c r="AB102" s="35"/>
    </row>
    <row r="103" spans="1:28" x14ac:dyDescent="0.3">
      <c r="A103" s="124"/>
      <c r="B103" s="114">
        <v>102</v>
      </c>
      <c r="C103" s="38" t="s">
        <v>630</v>
      </c>
      <c r="D103" s="38">
        <v>15462</v>
      </c>
      <c r="E103" s="38" t="s">
        <v>786</v>
      </c>
      <c r="F103" s="39" t="s">
        <v>230</v>
      </c>
      <c r="G103" s="40" t="s">
        <v>29</v>
      </c>
      <c r="H103" s="33" t="s">
        <v>231</v>
      </c>
      <c r="I103" s="32">
        <v>43911</v>
      </c>
      <c r="J103" s="87">
        <v>43874</v>
      </c>
      <c r="K103" s="88">
        <v>0.38263888888888892</v>
      </c>
      <c r="L103" s="127">
        <f>58.784-57.912</f>
        <v>0.87199999999999989</v>
      </c>
      <c r="M103" s="132">
        <f>(65.07-57.912)+0.086</f>
        <v>7.2439999999999944</v>
      </c>
      <c r="N103" s="88"/>
      <c r="O103" s="88"/>
      <c r="P103" s="88">
        <v>0.3888888888888889</v>
      </c>
      <c r="Q103" s="79">
        <v>0.71</v>
      </c>
      <c r="R103" s="79">
        <v>7.16</v>
      </c>
      <c r="S103" s="81">
        <v>4.16</v>
      </c>
      <c r="T103" s="79">
        <v>7.39</v>
      </c>
      <c r="U103" s="79" t="s">
        <v>955</v>
      </c>
      <c r="V103" s="97">
        <v>-3</v>
      </c>
      <c r="W103" s="79">
        <v>0.23</v>
      </c>
      <c r="X103" s="34">
        <v>1</v>
      </c>
      <c r="Y103" s="34" t="s">
        <v>4</v>
      </c>
      <c r="Z103" s="34" t="s">
        <v>941</v>
      </c>
      <c r="AA103" s="34" t="s">
        <v>1173</v>
      </c>
      <c r="AB103" s="35"/>
    </row>
    <row r="104" spans="1:28" x14ac:dyDescent="0.3">
      <c r="A104" s="124"/>
      <c r="B104" s="114">
        <v>103</v>
      </c>
      <c r="C104" s="38" t="s">
        <v>631</v>
      </c>
      <c r="D104" s="38">
        <v>15471</v>
      </c>
      <c r="E104" s="38" t="s">
        <v>787</v>
      </c>
      <c r="F104" s="39" t="s">
        <v>232</v>
      </c>
      <c r="G104" s="40" t="s">
        <v>18</v>
      </c>
      <c r="H104" s="33" t="s">
        <v>233</v>
      </c>
      <c r="I104" s="32">
        <v>43902</v>
      </c>
      <c r="J104" s="92">
        <v>43861</v>
      </c>
      <c r="K104" s="88" t="s">
        <v>1104</v>
      </c>
      <c r="L104" s="127">
        <v>2.859</v>
      </c>
      <c r="M104" s="132">
        <v>7.1879999999999997</v>
      </c>
      <c r="N104" s="88"/>
      <c r="O104" s="88"/>
      <c r="P104" s="88" t="s">
        <v>1105</v>
      </c>
      <c r="Q104" s="79">
        <v>2.57</v>
      </c>
      <c r="R104" s="79">
        <v>7.14</v>
      </c>
      <c r="S104" s="79">
        <v>7.25</v>
      </c>
      <c r="T104" s="79">
        <v>7.34</v>
      </c>
      <c r="U104" s="79" t="s">
        <v>955</v>
      </c>
      <c r="V104" s="79">
        <v>0.11</v>
      </c>
      <c r="W104" s="79">
        <v>0.2</v>
      </c>
      <c r="X104" s="34">
        <v>1</v>
      </c>
      <c r="Y104" s="34" t="s">
        <v>4</v>
      </c>
      <c r="Z104" s="34" t="s">
        <v>941</v>
      </c>
      <c r="AA104" s="34"/>
      <c r="AB104" s="35" t="s">
        <v>234</v>
      </c>
    </row>
    <row r="105" spans="1:28" x14ac:dyDescent="0.3">
      <c r="A105" s="124"/>
      <c r="B105" s="114">
        <v>104</v>
      </c>
      <c r="C105" s="38" t="s">
        <v>632</v>
      </c>
      <c r="D105" s="38">
        <v>16131</v>
      </c>
      <c r="E105" s="38" t="s">
        <v>788</v>
      </c>
      <c r="F105" s="39" t="s">
        <v>235</v>
      </c>
      <c r="G105" s="40" t="s">
        <v>167</v>
      </c>
      <c r="H105" s="33" t="s">
        <v>236</v>
      </c>
      <c r="I105" s="32">
        <v>43915</v>
      </c>
      <c r="J105" s="87">
        <v>43875</v>
      </c>
      <c r="K105" s="88" t="s">
        <v>1183</v>
      </c>
      <c r="L105" s="127">
        <f>58.906-57.912</f>
        <v>0.99399999999999977</v>
      </c>
      <c r="M105" s="132">
        <f>(64.64-57.912)+0.086</f>
        <v>6.8140000000000018</v>
      </c>
      <c r="N105" s="88"/>
      <c r="O105" s="88"/>
      <c r="P105" s="88" t="s">
        <v>1137</v>
      </c>
      <c r="Q105" s="79">
        <v>1.04</v>
      </c>
      <c r="R105" s="79">
        <v>6.72</v>
      </c>
      <c r="S105" s="79">
        <v>6.93</v>
      </c>
      <c r="T105" s="79">
        <v>7.01</v>
      </c>
      <c r="U105" s="79" t="s">
        <v>955</v>
      </c>
      <c r="V105" s="79">
        <v>0.21</v>
      </c>
      <c r="W105" s="79">
        <v>0.28999999999999998</v>
      </c>
      <c r="X105" s="34">
        <v>1</v>
      </c>
      <c r="Y105" s="34" t="s">
        <v>4</v>
      </c>
      <c r="Z105" s="34" t="s">
        <v>941</v>
      </c>
      <c r="AA105" s="34"/>
      <c r="AB105" s="35"/>
    </row>
    <row r="106" spans="1:28" x14ac:dyDescent="0.3">
      <c r="A106" s="124"/>
      <c r="B106" s="179">
        <v>105</v>
      </c>
      <c r="C106" s="180" t="s">
        <v>633</v>
      </c>
      <c r="D106" s="180">
        <v>16159</v>
      </c>
      <c r="E106" s="180" t="s">
        <v>789</v>
      </c>
      <c r="F106" s="181" t="s">
        <v>237</v>
      </c>
      <c r="G106" s="182" t="s">
        <v>18</v>
      </c>
      <c r="H106" s="183" t="s">
        <v>238</v>
      </c>
      <c r="I106" s="184">
        <v>43904</v>
      </c>
      <c r="J106" s="185">
        <v>43872</v>
      </c>
      <c r="K106" s="186">
        <v>0.45833333333333331</v>
      </c>
      <c r="L106" s="187">
        <f>58.615-57.912</f>
        <v>0.70300000000000296</v>
      </c>
      <c r="M106" s="188">
        <f>(60.938-57.912)+0.086</f>
        <v>3.1120000000000032</v>
      </c>
      <c r="N106" s="186"/>
      <c r="O106" s="186"/>
      <c r="P106" s="186">
        <v>0.46527777777777773</v>
      </c>
      <c r="Q106" s="189">
        <v>0.52</v>
      </c>
      <c r="R106" s="189">
        <v>3</v>
      </c>
      <c r="S106" s="189">
        <v>3.05</v>
      </c>
      <c r="T106" s="189">
        <v>3.6</v>
      </c>
      <c r="U106" s="189" t="s">
        <v>955</v>
      </c>
      <c r="V106" s="189">
        <v>0.05</v>
      </c>
      <c r="W106" s="189">
        <v>0.6</v>
      </c>
      <c r="X106" s="190">
        <v>1</v>
      </c>
      <c r="Y106" s="190" t="s">
        <v>4</v>
      </c>
      <c r="Z106" s="190" t="s">
        <v>941</v>
      </c>
      <c r="AA106" s="190"/>
      <c r="AB106" s="191"/>
    </row>
    <row r="107" spans="1:28" x14ac:dyDescent="0.3">
      <c r="A107" s="124"/>
      <c r="B107" s="114">
        <v>106</v>
      </c>
      <c r="C107" s="38" t="s">
        <v>634</v>
      </c>
      <c r="D107" s="38">
        <v>16163</v>
      </c>
      <c r="E107" s="38" t="s">
        <v>790</v>
      </c>
      <c r="F107" s="39" t="s">
        <v>239</v>
      </c>
      <c r="G107" s="40" t="s">
        <v>29</v>
      </c>
      <c r="H107" s="33" t="s">
        <v>240</v>
      </c>
      <c r="I107" s="32">
        <v>43914</v>
      </c>
      <c r="J107" s="87">
        <v>43865</v>
      </c>
      <c r="K107" s="88">
        <v>0.5444444444444444</v>
      </c>
      <c r="L107" s="127">
        <v>1.256</v>
      </c>
      <c r="M107" s="132">
        <v>7.4539999999999997</v>
      </c>
      <c r="N107" s="88"/>
      <c r="O107" s="88"/>
      <c r="P107" s="88">
        <v>0.54861111111111105</v>
      </c>
      <c r="Q107" s="79">
        <v>1.24</v>
      </c>
      <c r="R107" s="79">
        <v>7.42</v>
      </c>
      <c r="S107" s="79">
        <v>7.51</v>
      </c>
      <c r="T107" s="79">
        <v>7.61</v>
      </c>
      <c r="U107" s="79" t="s">
        <v>955</v>
      </c>
      <c r="V107" s="79">
        <v>0.09</v>
      </c>
      <c r="W107" s="79">
        <v>0.19</v>
      </c>
      <c r="X107" s="34">
        <v>1</v>
      </c>
      <c r="Y107" s="34" t="s">
        <v>4</v>
      </c>
      <c r="Z107" s="34" t="s">
        <v>941</v>
      </c>
      <c r="AA107" s="34"/>
      <c r="AB107" s="35"/>
    </row>
    <row r="108" spans="1:28" x14ac:dyDescent="0.3">
      <c r="A108" s="124"/>
      <c r="B108" s="111">
        <v>107</v>
      </c>
      <c r="C108" s="7" t="s">
        <v>635</v>
      </c>
      <c r="D108" s="7">
        <v>16248</v>
      </c>
      <c r="E108" s="7" t="s">
        <v>791</v>
      </c>
      <c r="F108" s="6" t="s">
        <v>241</v>
      </c>
      <c r="G108" s="5" t="s">
        <v>18</v>
      </c>
      <c r="H108" s="2" t="s">
        <v>242</v>
      </c>
      <c r="I108" s="3">
        <v>43904</v>
      </c>
      <c r="J108" s="89">
        <v>43872</v>
      </c>
      <c r="K108" s="86">
        <v>0.53541666666666665</v>
      </c>
      <c r="L108" s="125">
        <f>59.28-57.912</f>
        <v>1.3680000000000021</v>
      </c>
      <c r="M108" s="133">
        <f>(65.102-57.912)+0.086</f>
        <v>7.2760000000000051</v>
      </c>
      <c r="N108" s="86"/>
      <c r="O108" s="86"/>
      <c r="P108" s="86">
        <v>0.54166666666666663</v>
      </c>
      <c r="Q108" s="80">
        <v>1.1299999999999999</v>
      </c>
      <c r="R108" s="80">
        <v>7.18</v>
      </c>
      <c r="S108" s="80">
        <v>7.28</v>
      </c>
      <c r="T108" s="80">
        <v>7.34</v>
      </c>
      <c r="U108" s="80" t="s">
        <v>955</v>
      </c>
      <c r="V108" s="80">
        <v>0.1</v>
      </c>
      <c r="W108" s="80">
        <v>0.16</v>
      </c>
      <c r="X108" s="4">
        <v>1</v>
      </c>
      <c r="Y108" s="4" t="s">
        <v>6</v>
      </c>
      <c r="Z108" s="4" t="s">
        <v>941</v>
      </c>
      <c r="AA108" s="4" t="s">
        <v>1161</v>
      </c>
      <c r="AB108" s="8" t="s">
        <v>243</v>
      </c>
    </row>
    <row r="109" spans="1:28" x14ac:dyDescent="0.3">
      <c r="A109" s="139"/>
      <c r="B109" s="114">
        <v>108</v>
      </c>
      <c r="C109" s="38" t="s">
        <v>636</v>
      </c>
      <c r="D109" s="38">
        <v>16407</v>
      </c>
      <c r="E109" s="38" t="s">
        <v>792</v>
      </c>
      <c r="F109" s="39" t="s">
        <v>244</v>
      </c>
      <c r="G109" s="40" t="s">
        <v>29</v>
      </c>
      <c r="H109" s="33" t="s">
        <v>245</v>
      </c>
      <c r="I109" s="32">
        <v>43910</v>
      </c>
      <c r="J109" s="87">
        <v>43850</v>
      </c>
      <c r="K109" s="88">
        <v>0.4513888888888889</v>
      </c>
      <c r="L109" s="127">
        <v>1.1220000000000001</v>
      </c>
      <c r="M109" s="132">
        <v>7.2690000000000001</v>
      </c>
      <c r="N109" s="88"/>
      <c r="O109" s="88"/>
      <c r="P109" s="88" t="s">
        <v>995</v>
      </c>
      <c r="Q109" s="79">
        <v>1.0900000000000001</v>
      </c>
      <c r="R109" s="79">
        <v>7.27</v>
      </c>
      <c r="S109" s="79">
        <v>7.36</v>
      </c>
      <c r="T109" s="79">
        <v>7.43</v>
      </c>
      <c r="U109" s="79" t="s">
        <v>955</v>
      </c>
      <c r="V109" s="79">
        <v>0.09</v>
      </c>
      <c r="W109" s="79">
        <v>0.16</v>
      </c>
      <c r="X109" s="34">
        <v>1</v>
      </c>
      <c r="Y109" s="34" t="s">
        <v>4</v>
      </c>
      <c r="Z109" s="34" t="s">
        <v>941</v>
      </c>
      <c r="AA109" s="34"/>
      <c r="AB109" s="35"/>
    </row>
    <row r="110" spans="1:28" x14ac:dyDescent="0.3">
      <c r="A110" s="124"/>
      <c r="B110" s="114">
        <v>109</v>
      </c>
      <c r="C110" s="38" t="s">
        <v>637</v>
      </c>
      <c r="D110" s="38">
        <v>16412</v>
      </c>
      <c r="E110" s="38" t="s">
        <v>793</v>
      </c>
      <c r="F110" s="39" t="s">
        <v>246</v>
      </c>
      <c r="G110" s="40" t="s">
        <v>29</v>
      </c>
      <c r="H110" s="33" t="s">
        <v>247</v>
      </c>
      <c r="I110" s="32">
        <v>43908</v>
      </c>
      <c r="J110" s="87">
        <v>43853</v>
      </c>
      <c r="K110" s="88">
        <v>0.50486111111111109</v>
      </c>
      <c r="L110" s="127">
        <v>1.5329999999999999</v>
      </c>
      <c r="M110" s="132">
        <v>7.0609999999999999</v>
      </c>
      <c r="N110" s="88"/>
      <c r="O110" s="88"/>
      <c r="P110" s="88">
        <v>0.50694444444444442</v>
      </c>
      <c r="Q110" s="79">
        <v>1.1499999999999999</v>
      </c>
      <c r="R110" s="79">
        <v>7.03</v>
      </c>
      <c r="S110" s="79">
        <v>7.06</v>
      </c>
      <c r="T110" s="79">
        <v>7.09</v>
      </c>
      <c r="U110" s="79" t="s">
        <v>955</v>
      </c>
      <c r="V110" s="79">
        <v>0.03</v>
      </c>
      <c r="W110" s="79">
        <v>0.06</v>
      </c>
      <c r="X110" s="34">
        <v>1</v>
      </c>
      <c r="Y110" s="34" t="s">
        <v>4</v>
      </c>
      <c r="Z110" s="34" t="s">
        <v>941</v>
      </c>
      <c r="AA110" s="34"/>
      <c r="AB110" s="35"/>
    </row>
    <row r="111" spans="1:28" x14ac:dyDescent="0.3">
      <c r="A111" s="124"/>
      <c r="B111" s="114">
        <v>110</v>
      </c>
      <c r="C111" s="38" t="s">
        <v>638</v>
      </c>
      <c r="D111" s="38">
        <v>16449</v>
      </c>
      <c r="E111" s="38" t="s">
        <v>794</v>
      </c>
      <c r="F111" s="39" t="s">
        <v>248</v>
      </c>
      <c r="G111" s="40" t="s">
        <v>167</v>
      </c>
      <c r="H111" s="33" t="s">
        <v>249</v>
      </c>
      <c r="I111" s="32">
        <v>43915</v>
      </c>
      <c r="J111" s="87">
        <v>43847</v>
      </c>
      <c r="K111" s="88">
        <v>0.51180555555555551</v>
      </c>
      <c r="L111" s="127">
        <v>1.135</v>
      </c>
      <c r="M111" s="132">
        <v>7.46</v>
      </c>
      <c r="N111" s="88"/>
      <c r="O111" s="88"/>
      <c r="P111" s="88"/>
      <c r="Q111" s="79">
        <v>1.01</v>
      </c>
      <c r="R111" s="79">
        <v>7.44</v>
      </c>
      <c r="S111" s="79">
        <v>7.53</v>
      </c>
      <c r="T111" s="79">
        <v>7.6</v>
      </c>
      <c r="U111" s="79" t="s">
        <v>955</v>
      </c>
      <c r="V111" s="79">
        <v>0.09</v>
      </c>
      <c r="W111" s="79">
        <v>0.16</v>
      </c>
      <c r="X111" s="34">
        <v>1</v>
      </c>
      <c r="Y111" s="34" t="s">
        <v>4</v>
      </c>
      <c r="Z111" s="34" t="s">
        <v>941</v>
      </c>
      <c r="AA111" s="34" t="s">
        <v>980</v>
      </c>
      <c r="AB111" s="35"/>
    </row>
    <row r="112" spans="1:28" x14ac:dyDescent="0.3">
      <c r="A112" s="124"/>
      <c r="B112" s="114">
        <v>111</v>
      </c>
      <c r="C112" s="38" t="s">
        <v>639</v>
      </c>
      <c r="D112" s="38">
        <v>16451</v>
      </c>
      <c r="E112" s="38" t="s">
        <v>795</v>
      </c>
      <c r="F112" s="39" t="s">
        <v>250</v>
      </c>
      <c r="G112" s="40" t="s">
        <v>167</v>
      </c>
      <c r="H112" s="33" t="s">
        <v>251</v>
      </c>
      <c r="I112" s="32">
        <v>43915</v>
      </c>
      <c r="J112" s="87">
        <v>43847</v>
      </c>
      <c r="K112" s="88">
        <v>0.52222222222222225</v>
      </c>
      <c r="L112" s="127">
        <v>1</v>
      </c>
      <c r="M112" s="132">
        <v>7.29</v>
      </c>
      <c r="N112" s="88"/>
      <c r="O112" s="88"/>
      <c r="P112" s="88">
        <v>0.53472222222222221</v>
      </c>
      <c r="Q112" s="79">
        <v>0.9</v>
      </c>
      <c r="R112" s="79">
        <v>7.18</v>
      </c>
      <c r="S112" s="79">
        <v>7.34</v>
      </c>
      <c r="T112" s="79">
        <v>7.38</v>
      </c>
      <c r="U112" s="79" t="s">
        <v>955</v>
      </c>
      <c r="V112" s="79">
        <v>0.16</v>
      </c>
      <c r="W112" s="79">
        <v>0.2</v>
      </c>
      <c r="X112" s="34">
        <v>1</v>
      </c>
      <c r="Y112" s="34" t="s">
        <v>4</v>
      </c>
      <c r="Z112" s="34" t="s">
        <v>941</v>
      </c>
      <c r="AA112" s="34" t="s">
        <v>981</v>
      </c>
      <c r="AB112" s="35"/>
    </row>
    <row r="113" spans="1:28" x14ac:dyDescent="0.3">
      <c r="A113" s="124"/>
      <c r="B113" s="114">
        <v>112</v>
      </c>
      <c r="C113" s="38" t="s">
        <v>640</v>
      </c>
      <c r="D113" s="38">
        <v>16496</v>
      </c>
      <c r="E113" s="38" t="s">
        <v>796</v>
      </c>
      <c r="F113" s="39" t="s">
        <v>252</v>
      </c>
      <c r="G113" s="40" t="s">
        <v>29</v>
      </c>
      <c r="H113" s="33" t="s">
        <v>253</v>
      </c>
      <c r="I113" s="32">
        <v>43908</v>
      </c>
      <c r="J113" s="87">
        <v>43853</v>
      </c>
      <c r="K113" s="88">
        <v>0.39166666666666666</v>
      </c>
      <c r="L113" s="127">
        <v>0.81</v>
      </c>
      <c r="M113" s="132">
        <v>7.59</v>
      </c>
      <c r="N113" s="88"/>
      <c r="O113" s="88"/>
      <c r="P113" s="88">
        <v>0.40277777777777773</v>
      </c>
      <c r="Q113" s="79">
        <v>0.67</v>
      </c>
      <c r="R113" s="79">
        <v>7.03</v>
      </c>
      <c r="S113" s="79">
        <v>7.12</v>
      </c>
      <c r="T113" s="79">
        <v>7.16</v>
      </c>
      <c r="U113" s="79" t="s">
        <v>955</v>
      </c>
      <c r="V113" s="79">
        <v>0.09</v>
      </c>
      <c r="W113" s="79">
        <v>0.13</v>
      </c>
      <c r="X113" s="34">
        <v>1</v>
      </c>
      <c r="Y113" s="34" t="s">
        <v>4</v>
      </c>
      <c r="Z113" s="34" t="s">
        <v>941</v>
      </c>
      <c r="AA113" s="34" t="s">
        <v>1043</v>
      </c>
      <c r="AB113" s="35"/>
    </row>
    <row r="114" spans="1:28" x14ac:dyDescent="0.3">
      <c r="A114" s="124"/>
      <c r="B114" s="114">
        <v>113</v>
      </c>
      <c r="C114" s="38" t="s">
        <v>641</v>
      </c>
      <c r="D114" s="38">
        <v>16958</v>
      </c>
      <c r="E114" s="38" t="s">
        <v>797</v>
      </c>
      <c r="F114" s="39" t="s">
        <v>254</v>
      </c>
      <c r="G114" s="40" t="s">
        <v>29</v>
      </c>
      <c r="H114" s="33" t="s">
        <v>255</v>
      </c>
      <c r="I114" s="32">
        <v>43909</v>
      </c>
      <c r="J114" s="87">
        <v>43853</v>
      </c>
      <c r="K114" s="88">
        <v>0.57916666666666672</v>
      </c>
      <c r="L114" s="127">
        <v>1.33</v>
      </c>
      <c r="M114" s="132">
        <v>7.3959999999999999</v>
      </c>
      <c r="N114" s="88"/>
      <c r="O114" s="88"/>
      <c r="P114" s="88">
        <v>0.54861111111111105</v>
      </c>
      <c r="Q114" s="79">
        <v>1.0900000000000001</v>
      </c>
      <c r="R114" s="79">
        <v>7.38</v>
      </c>
      <c r="S114" s="79">
        <v>7.46</v>
      </c>
      <c r="T114" s="79">
        <v>7.53</v>
      </c>
      <c r="U114" s="79" t="s">
        <v>955</v>
      </c>
      <c r="V114" s="79">
        <v>0.08</v>
      </c>
      <c r="W114" s="79">
        <v>0.15</v>
      </c>
      <c r="X114" s="34">
        <v>1</v>
      </c>
      <c r="Y114" s="34" t="s">
        <v>4</v>
      </c>
      <c r="Z114" s="34" t="s">
        <v>941</v>
      </c>
      <c r="AA114" s="34" t="s">
        <v>1057</v>
      </c>
      <c r="AB114" s="35"/>
    </row>
    <row r="115" spans="1:28" x14ac:dyDescent="0.3">
      <c r="A115" s="124"/>
      <c r="B115" s="114">
        <v>114</v>
      </c>
      <c r="C115" s="38" t="s">
        <v>642</v>
      </c>
      <c r="D115" s="38">
        <v>17003</v>
      </c>
      <c r="E115" s="38" t="s">
        <v>798</v>
      </c>
      <c r="F115" s="39" t="s">
        <v>256</v>
      </c>
      <c r="G115" s="40" t="s">
        <v>167</v>
      </c>
      <c r="H115" s="33" t="s">
        <v>257</v>
      </c>
      <c r="I115" s="32">
        <v>43916</v>
      </c>
      <c r="J115" s="87">
        <v>43847</v>
      </c>
      <c r="K115" s="88">
        <v>0.34930555555555554</v>
      </c>
      <c r="L115" s="127">
        <v>1.0740000000000001</v>
      </c>
      <c r="M115" s="132"/>
      <c r="N115" s="88"/>
      <c r="O115" s="88"/>
      <c r="P115" s="88">
        <v>0.3611111111111111</v>
      </c>
      <c r="Q115" s="79">
        <v>0.97</v>
      </c>
      <c r="R115" s="79">
        <v>7.51</v>
      </c>
      <c r="S115" s="79">
        <v>7.58</v>
      </c>
      <c r="T115" s="79">
        <v>7.66</v>
      </c>
      <c r="U115" s="79" t="s">
        <v>955</v>
      </c>
      <c r="V115" s="79">
        <v>7.0000000000000007E-2</v>
      </c>
      <c r="W115" s="79">
        <v>0.15</v>
      </c>
      <c r="X115" s="34">
        <v>1</v>
      </c>
      <c r="Y115" s="34" t="s">
        <v>4</v>
      </c>
      <c r="Z115" s="34" t="s">
        <v>941</v>
      </c>
      <c r="AA115" s="34"/>
      <c r="AB115" s="35"/>
    </row>
    <row r="116" spans="1:28" x14ac:dyDescent="0.3">
      <c r="A116" s="157" t="s">
        <v>1098</v>
      </c>
      <c r="B116" s="114">
        <v>115</v>
      </c>
      <c r="C116" s="38" t="s">
        <v>643</v>
      </c>
      <c r="D116" s="38">
        <v>17380</v>
      </c>
      <c r="E116" s="38" t="s">
        <v>799</v>
      </c>
      <c r="F116" s="39" t="s">
        <v>258</v>
      </c>
      <c r="G116" s="40" t="s">
        <v>18</v>
      </c>
      <c r="H116" s="33" t="s">
        <v>259</v>
      </c>
      <c r="I116" s="32">
        <v>43902</v>
      </c>
      <c r="J116" s="87">
        <v>43861</v>
      </c>
      <c r="K116" s="88" t="s">
        <v>1101</v>
      </c>
      <c r="L116" s="127">
        <v>3.0910000000000002</v>
      </c>
      <c r="M116" s="132">
        <v>7.7969999999999997</v>
      </c>
      <c r="N116" s="88"/>
      <c r="O116" s="88"/>
      <c r="P116" s="88" t="s">
        <v>1103</v>
      </c>
      <c r="Q116" s="79">
        <v>2.8</v>
      </c>
      <c r="R116" s="79">
        <v>7.78</v>
      </c>
      <c r="S116" s="79">
        <v>7.92</v>
      </c>
      <c r="T116" s="79">
        <v>8.0299999999999994</v>
      </c>
      <c r="U116" s="79" t="s">
        <v>955</v>
      </c>
      <c r="V116" s="79">
        <v>0.14000000000000001</v>
      </c>
      <c r="W116" s="79">
        <v>0.25</v>
      </c>
      <c r="X116" s="34">
        <v>1</v>
      </c>
      <c r="Y116" s="34" t="s">
        <v>4</v>
      </c>
      <c r="Z116" s="34" t="s">
        <v>941</v>
      </c>
      <c r="AA116" s="34" t="s">
        <v>1102</v>
      </c>
      <c r="AB116" s="35" t="s">
        <v>234</v>
      </c>
    </row>
    <row r="117" spans="1:28" x14ac:dyDescent="0.3">
      <c r="A117" s="124"/>
      <c r="B117" s="114">
        <v>116</v>
      </c>
      <c r="C117" s="38" t="s">
        <v>644</v>
      </c>
      <c r="D117" s="38">
        <v>17405</v>
      </c>
      <c r="E117" s="38" t="s">
        <v>800</v>
      </c>
      <c r="F117" s="39" t="s">
        <v>260</v>
      </c>
      <c r="G117" s="40" t="s">
        <v>167</v>
      </c>
      <c r="H117" s="33" t="s">
        <v>261</v>
      </c>
      <c r="I117" s="32">
        <v>43916</v>
      </c>
      <c r="J117" s="87">
        <v>43847</v>
      </c>
      <c r="K117" s="88">
        <v>0.37986111111111115</v>
      </c>
      <c r="L117" s="127">
        <v>0.81200000000000006</v>
      </c>
      <c r="M117" s="132"/>
      <c r="N117" s="88"/>
      <c r="O117" s="88"/>
      <c r="P117" s="88"/>
      <c r="Q117" s="79">
        <v>0.66</v>
      </c>
      <c r="R117" s="79">
        <v>7.53</v>
      </c>
      <c r="S117" s="79">
        <v>7.61</v>
      </c>
      <c r="T117" s="79">
        <v>7.75</v>
      </c>
      <c r="U117" s="79" t="s">
        <v>955</v>
      </c>
      <c r="V117" s="79">
        <v>0.08</v>
      </c>
      <c r="W117" s="79">
        <v>0.22</v>
      </c>
      <c r="X117" s="34">
        <v>1</v>
      </c>
      <c r="Y117" s="34" t="s">
        <v>4</v>
      </c>
      <c r="Z117" s="34" t="s">
        <v>941</v>
      </c>
      <c r="AA117" s="34"/>
      <c r="AB117" s="35"/>
    </row>
    <row r="118" spans="1:28" x14ac:dyDescent="0.3">
      <c r="A118" s="124"/>
      <c r="B118" s="111">
        <v>117</v>
      </c>
      <c r="C118" s="7" t="s">
        <v>645</v>
      </c>
      <c r="D118" s="7">
        <v>17437</v>
      </c>
      <c r="E118" s="7" t="s">
        <v>801</v>
      </c>
      <c r="F118" s="6" t="s">
        <v>262</v>
      </c>
      <c r="G118" s="5" t="s">
        <v>29</v>
      </c>
      <c r="H118" s="2" t="s">
        <v>263</v>
      </c>
      <c r="I118" s="3">
        <v>43915</v>
      </c>
      <c r="J118" s="89">
        <v>43850</v>
      </c>
      <c r="K118" s="86" t="s">
        <v>1005</v>
      </c>
      <c r="L118" s="125">
        <v>2.2559999999999998</v>
      </c>
      <c r="M118" s="133">
        <v>7.4279999999999999</v>
      </c>
      <c r="N118" s="86"/>
      <c r="O118" s="86"/>
      <c r="P118" s="86">
        <v>0.60416666666666663</v>
      </c>
      <c r="Q118" s="80">
        <v>2.21</v>
      </c>
      <c r="R118" s="80">
        <v>7.41</v>
      </c>
      <c r="S118" s="80">
        <v>7.51</v>
      </c>
      <c r="T118" s="80">
        <v>7.6</v>
      </c>
      <c r="U118" s="80" t="s">
        <v>955</v>
      </c>
      <c r="V118" s="80">
        <v>0.1</v>
      </c>
      <c r="W118" s="80">
        <v>0.19</v>
      </c>
      <c r="X118" s="4">
        <v>1</v>
      </c>
      <c r="Y118" s="4" t="s">
        <v>6</v>
      </c>
      <c r="Z118" s="4" t="s">
        <v>941</v>
      </c>
      <c r="AA118" s="4" t="s">
        <v>1006</v>
      </c>
      <c r="AB118" s="8" t="s">
        <v>264</v>
      </c>
    </row>
    <row r="119" spans="1:28" x14ac:dyDescent="0.3">
      <c r="A119" s="124"/>
      <c r="B119" s="114">
        <v>118</v>
      </c>
      <c r="C119" s="38" t="s">
        <v>646</v>
      </c>
      <c r="D119" s="38">
        <v>17441</v>
      </c>
      <c r="E119" s="38" t="s">
        <v>802</v>
      </c>
      <c r="F119" s="39" t="s">
        <v>265</v>
      </c>
      <c r="G119" s="40" t="s">
        <v>29</v>
      </c>
      <c r="H119" s="33" t="s">
        <v>266</v>
      </c>
      <c r="I119" s="32">
        <v>43908</v>
      </c>
      <c r="J119" s="87">
        <v>43853</v>
      </c>
      <c r="K119" s="88" t="s">
        <v>993</v>
      </c>
      <c r="L119" s="127">
        <v>2.2869999999999999</v>
      </c>
      <c r="M119" s="132">
        <v>6.3609999999999998</v>
      </c>
      <c r="N119" s="88"/>
      <c r="O119" s="88"/>
      <c r="P119" s="88" t="s">
        <v>1044</v>
      </c>
      <c r="Q119" s="79">
        <v>2.19</v>
      </c>
      <c r="R119" s="79">
        <v>6.33</v>
      </c>
      <c r="S119" s="79">
        <v>6.43</v>
      </c>
      <c r="T119" s="79">
        <v>6.5</v>
      </c>
      <c r="U119" s="79" t="s">
        <v>955</v>
      </c>
      <c r="V119" s="79">
        <v>0.1</v>
      </c>
      <c r="W119" s="79">
        <v>0.17</v>
      </c>
      <c r="X119" s="34">
        <v>1</v>
      </c>
      <c r="Y119" s="34" t="s">
        <v>4</v>
      </c>
      <c r="Z119" s="34" t="s">
        <v>941</v>
      </c>
      <c r="AA119" s="34" t="s">
        <v>1062</v>
      </c>
      <c r="AB119" s="35"/>
    </row>
    <row r="120" spans="1:28" x14ac:dyDescent="0.3">
      <c r="A120" s="124"/>
      <c r="B120" s="114">
        <v>119</v>
      </c>
      <c r="C120" s="38" t="s">
        <v>647</v>
      </c>
      <c r="D120" s="38">
        <v>17487</v>
      </c>
      <c r="E120" s="38" t="s">
        <v>803</v>
      </c>
      <c r="F120" s="39" t="s">
        <v>267</v>
      </c>
      <c r="G120" s="40" t="s">
        <v>29</v>
      </c>
      <c r="H120" s="33" t="s">
        <v>268</v>
      </c>
      <c r="I120" s="32">
        <v>43909</v>
      </c>
      <c r="J120" s="87">
        <v>43857</v>
      </c>
      <c r="K120" s="88">
        <v>0.4458333333333333</v>
      </c>
      <c r="L120" s="127">
        <v>0.88300000000000001</v>
      </c>
      <c r="M120" s="132">
        <v>7.0350000000000001</v>
      </c>
      <c r="N120" s="88"/>
      <c r="O120" s="88"/>
      <c r="P120" s="88">
        <v>0.4513888888888889</v>
      </c>
      <c r="Q120" s="79">
        <v>0.69</v>
      </c>
      <c r="R120" s="79">
        <v>7.01</v>
      </c>
      <c r="S120" s="79">
        <v>7.1</v>
      </c>
      <c r="T120" s="79">
        <v>7.19</v>
      </c>
      <c r="U120" s="79" t="s">
        <v>955</v>
      </c>
      <c r="V120" s="79">
        <v>0.09</v>
      </c>
      <c r="W120" s="79">
        <v>0.18</v>
      </c>
      <c r="X120" s="34">
        <v>1</v>
      </c>
      <c r="Y120" s="34" t="s">
        <v>4</v>
      </c>
      <c r="Z120" s="34" t="s">
        <v>941</v>
      </c>
      <c r="AA120" s="34" t="s">
        <v>1075</v>
      </c>
      <c r="AB120" s="35"/>
    </row>
    <row r="121" spans="1:28" x14ac:dyDescent="0.3">
      <c r="A121" s="124"/>
      <c r="B121" s="114">
        <v>120</v>
      </c>
      <c r="C121" s="38" t="s">
        <v>648</v>
      </c>
      <c r="D121" s="38">
        <v>17499</v>
      </c>
      <c r="E121" s="38" t="s">
        <v>804</v>
      </c>
      <c r="F121" s="39" t="s">
        <v>269</v>
      </c>
      <c r="G121" s="40" t="s">
        <v>29</v>
      </c>
      <c r="H121" s="33" t="s">
        <v>270</v>
      </c>
      <c r="I121" s="32">
        <v>43911</v>
      </c>
      <c r="J121" s="87">
        <v>43882</v>
      </c>
      <c r="K121" s="88">
        <v>0.4916666666666667</v>
      </c>
      <c r="L121" s="127">
        <f>60.433-57.912</f>
        <v>2.5210000000000008</v>
      </c>
      <c r="M121" s="132">
        <f>(64.969-57.912)+0.086</f>
        <v>7.1429999999999954</v>
      </c>
      <c r="N121" s="88"/>
      <c r="O121" s="88"/>
      <c r="P121" s="88">
        <v>0.5</v>
      </c>
      <c r="Q121" s="79">
        <v>2.39</v>
      </c>
      <c r="R121" s="79" t="s">
        <v>1046</v>
      </c>
      <c r="S121" s="79">
        <v>7.16</v>
      </c>
      <c r="T121" s="79">
        <v>7.25</v>
      </c>
      <c r="U121" s="79" t="s">
        <v>955</v>
      </c>
      <c r="V121" s="79">
        <v>0.1</v>
      </c>
      <c r="W121" s="79">
        <v>0.19</v>
      </c>
      <c r="X121" s="34">
        <v>1</v>
      </c>
      <c r="Y121" s="34" t="s">
        <v>4</v>
      </c>
      <c r="Z121" s="34" t="s">
        <v>941</v>
      </c>
      <c r="AA121" s="34" t="s">
        <v>1195</v>
      </c>
      <c r="AB121" s="35"/>
    </row>
    <row r="122" spans="1:28" x14ac:dyDescent="0.3">
      <c r="A122" s="124"/>
      <c r="B122" s="114">
        <v>121</v>
      </c>
      <c r="C122" s="38" t="s">
        <v>649</v>
      </c>
      <c r="D122" s="38">
        <v>17512</v>
      </c>
      <c r="E122" s="38" t="s">
        <v>805</v>
      </c>
      <c r="F122" s="39" t="s">
        <v>271</v>
      </c>
      <c r="G122" s="40" t="s">
        <v>29</v>
      </c>
      <c r="H122" s="33" t="s">
        <v>272</v>
      </c>
      <c r="I122" s="32">
        <v>43911</v>
      </c>
      <c r="J122" s="87">
        <v>43873</v>
      </c>
      <c r="K122" s="88">
        <v>0.56805555555555554</v>
      </c>
      <c r="L122" s="127">
        <f>59.877-57.912</f>
        <v>1.9650000000000034</v>
      </c>
      <c r="M122" s="132">
        <f>(64.908-57.912)+0.086</f>
        <v>7.0820000000000025</v>
      </c>
      <c r="N122" s="88"/>
      <c r="O122" s="88"/>
      <c r="P122" s="88">
        <v>0.57638888888888895</v>
      </c>
      <c r="Q122" s="79">
        <v>1.77</v>
      </c>
      <c r="R122" s="79">
        <v>6.99</v>
      </c>
      <c r="S122" s="79">
        <v>7.08</v>
      </c>
      <c r="T122" s="79">
        <v>7.13</v>
      </c>
      <c r="U122" s="79" t="s">
        <v>955</v>
      </c>
      <c r="V122" s="79">
        <v>0.09</v>
      </c>
      <c r="W122" s="79">
        <v>0.14000000000000001</v>
      </c>
      <c r="X122" s="34">
        <v>1</v>
      </c>
      <c r="Y122" s="34" t="s">
        <v>4</v>
      </c>
      <c r="Z122" s="34" t="s">
        <v>941</v>
      </c>
      <c r="AA122" s="34"/>
      <c r="AB122" s="35"/>
    </row>
    <row r="123" spans="1:28" x14ac:dyDescent="0.3">
      <c r="A123" s="124"/>
      <c r="B123" s="114">
        <v>122</v>
      </c>
      <c r="C123" s="38" t="s">
        <v>650</v>
      </c>
      <c r="D123" s="38">
        <v>17514</v>
      </c>
      <c r="E123" s="38" t="s">
        <v>806</v>
      </c>
      <c r="F123" s="39" t="s">
        <v>273</v>
      </c>
      <c r="G123" s="40" t="s">
        <v>167</v>
      </c>
      <c r="H123" s="33" t="s">
        <v>274</v>
      </c>
      <c r="I123" s="32">
        <v>43916</v>
      </c>
      <c r="J123" s="87">
        <v>43847</v>
      </c>
      <c r="K123" s="88" t="s">
        <v>983</v>
      </c>
      <c r="L123" s="127">
        <v>1.73</v>
      </c>
      <c r="M123" s="132">
        <v>7.43</v>
      </c>
      <c r="N123" s="88"/>
      <c r="O123" s="88"/>
      <c r="P123" s="88"/>
      <c r="Q123" s="79">
        <v>1.58</v>
      </c>
      <c r="R123" s="79">
        <v>7.4</v>
      </c>
      <c r="S123" s="79">
        <v>7.48</v>
      </c>
      <c r="T123" s="79">
        <v>7.51</v>
      </c>
      <c r="U123" s="79" t="s">
        <v>955</v>
      </c>
      <c r="V123" s="79">
        <v>0.08</v>
      </c>
      <c r="W123" s="79">
        <v>0.11</v>
      </c>
      <c r="X123" s="34">
        <v>1</v>
      </c>
      <c r="Y123" s="34" t="s">
        <v>4</v>
      </c>
      <c r="Z123" s="34" t="s">
        <v>941</v>
      </c>
      <c r="AA123" s="34"/>
      <c r="AB123" s="35"/>
    </row>
    <row r="124" spans="1:28" x14ac:dyDescent="0.3">
      <c r="A124" s="124"/>
      <c r="B124" s="114">
        <v>123</v>
      </c>
      <c r="C124" s="38" t="s">
        <v>651</v>
      </c>
      <c r="D124" s="38">
        <v>17535</v>
      </c>
      <c r="E124" s="38" t="s">
        <v>807</v>
      </c>
      <c r="F124" s="39" t="s">
        <v>275</v>
      </c>
      <c r="G124" s="40" t="s">
        <v>29</v>
      </c>
      <c r="H124" s="33" t="s">
        <v>276</v>
      </c>
      <c r="I124" s="32">
        <v>43911</v>
      </c>
      <c r="J124" s="87">
        <v>43882</v>
      </c>
      <c r="K124" s="88">
        <v>0.43333333333333335</v>
      </c>
      <c r="L124" s="127">
        <f>58.64-57.912</f>
        <v>0.72800000000000153</v>
      </c>
      <c r="M124" s="132">
        <f>(64.211-57.912)+0.086</f>
        <v>6.3849999999999998</v>
      </c>
      <c r="N124" s="88"/>
      <c r="O124" s="88"/>
      <c r="P124" s="88">
        <v>0.44444444444444442</v>
      </c>
      <c r="Q124" s="79">
        <v>0.93</v>
      </c>
      <c r="R124" s="79">
        <v>6.35</v>
      </c>
      <c r="S124" s="79">
        <v>6.96</v>
      </c>
      <c r="T124" s="79">
        <v>6.87</v>
      </c>
      <c r="U124" s="79" t="s">
        <v>955</v>
      </c>
      <c r="V124" s="79">
        <v>0.61</v>
      </c>
      <c r="W124" s="79">
        <v>0.52</v>
      </c>
      <c r="X124" s="34">
        <v>1</v>
      </c>
      <c r="Y124" s="34" t="s">
        <v>4</v>
      </c>
      <c r="Z124" s="34" t="s">
        <v>941</v>
      </c>
      <c r="AA124" s="34" t="s">
        <v>1194</v>
      </c>
      <c r="AB124" s="35"/>
    </row>
    <row r="125" spans="1:28" x14ac:dyDescent="0.3">
      <c r="A125" s="124"/>
      <c r="B125" s="114">
        <v>124</v>
      </c>
      <c r="C125" s="38" t="s">
        <v>652</v>
      </c>
      <c r="D125" s="38">
        <v>17538</v>
      </c>
      <c r="E125" s="38" t="s">
        <v>808</v>
      </c>
      <c r="F125" s="39" t="s">
        <v>277</v>
      </c>
      <c r="G125" s="40" t="s">
        <v>29</v>
      </c>
      <c r="H125" s="33" t="s">
        <v>278</v>
      </c>
      <c r="I125" s="32">
        <v>43909</v>
      </c>
      <c r="J125" s="87">
        <v>43854</v>
      </c>
      <c r="K125" s="88">
        <v>0.3743055555555555</v>
      </c>
      <c r="L125" s="127">
        <v>1.9550000000000001</v>
      </c>
      <c r="M125" s="132">
        <v>6.3330000000000002</v>
      </c>
      <c r="N125" s="88"/>
      <c r="O125" s="88"/>
      <c r="P125" s="88" t="s">
        <v>1017</v>
      </c>
      <c r="Q125" s="79">
        <v>1.81</v>
      </c>
      <c r="R125" s="79">
        <v>6.34</v>
      </c>
      <c r="S125" s="79">
        <v>6.34</v>
      </c>
      <c r="T125" s="79">
        <v>6.53</v>
      </c>
      <c r="U125" s="79" t="s">
        <v>955</v>
      </c>
      <c r="V125" s="79">
        <v>0</v>
      </c>
      <c r="W125" s="79">
        <v>0.19</v>
      </c>
      <c r="X125" s="34">
        <v>1</v>
      </c>
      <c r="Y125" s="34" t="s">
        <v>4</v>
      </c>
      <c r="Z125" s="34" t="s">
        <v>941</v>
      </c>
      <c r="AA125" s="34" t="s">
        <v>1063</v>
      </c>
      <c r="AB125" s="35"/>
    </row>
    <row r="126" spans="1:28" x14ac:dyDescent="0.3">
      <c r="A126" s="124"/>
      <c r="B126" s="114">
        <v>125</v>
      </c>
      <c r="C126" s="38" t="s">
        <v>653</v>
      </c>
      <c r="D126" s="38">
        <v>17773</v>
      </c>
      <c r="E126" s="38" t="s">
        <v>809</v>
      </c>
      <c r="F126" s="39" t="s">
        <v>279</v>
      </c>
      <c r="G126" s="40" t="s">
        <v>18</v>
      </c>
      <c r="H126" s="33" t="s">
        <v>280</v>
      </c>
      <c r="I126" s="32">
        <v>43904</v>
      </c>
      <c r="J126" s="87">
        <v>43872</v>
      </c>
      <c r="K126" s="88">
        <v>0.41111111111111115</v>
      </c>
      <c r="L126" s="127">
        <f>60.695-57.912</f>
        <v>2.7830000000000013</v>
      </c>
      <c r="M126" s="132">
        <f>(65.198-57.912)+0.086</f>
        <v>7.3719999999999946</v>
      </c>
      <c r="N126" s="88"/>
      <c r="O126" s="88"/>
      <c r="P126" s="88">
        <v>0.41666666666666669</v>
      </c>
      <c r="Q126" s="79">
        <v>2.61</v>
      </c>
      <c r="R126" s="79">
        <v>7.3</v>
      </c>
      <c r="S126" s="79">
        <v>7.44</v>
      </c>
      <c r="T126" s="79">
        <v>7.54</v>
      </c>
      <c r="U126" s="79" t="s">
        <v>955</v>
      </c>
      <c r="V126" s="79">
        <v>0.14000000000000001</v>
      </c>
      <c r="W126" s="79">
        <v>0.24</v>
      </c>
      <c r="X126" s="34">
        <v>1</v>
      </c>
      <c r="Y126" s="34" t="s">
        <v>4</v>
      </c>
      <c r="Z126" s="34" t="s">
        <v>941</v>
      </c>
      <c r="AA126" s="34"/>
      <c r="AB126" s="35"/>
    </row>
    <row r="127" spans="1:28" x14ac:dyDescent="0.3">
      <c r="A127" s="124"/>
      <c r="B127" s="114">
        <v>126</v>
      </c>
      <c r="C127" s="38" t="s">
        <v>654</v>
      </c>
      <c r="D127" s="38">
        <v>17924</v>
      </c>
      <c r="E127" s="38" t="s">
        <v>810</v>
      </c>
      <c r="F127" s="39" t="s">
        <v>281</v>
      </c>
      <c r="G127" s="40" t="s">
        <v>167</v>
      </c>
      <c r="H127" s="33" t="s">
        <v>282</v>
      </c>
      <c r="I127" s="32">
        <v>43916</v>
      </c>
      <c r="J127" s="87">
        <v>43847</v>
      </c>
      <c r="K127" s="88" t="s">
        <v>987</v>
      </c>
      <c r="L127" s="127">
        <v>2.27</v>
      </c>
      <c r="M127" s="132">
        <v>8.56</v>
      </c>
      <c r="N127" s="88"/>
      <c r="O127" s="88"/>
      <c r="P127" s="88"/>
      <c r="Q127" s="79">
        <v>2.13</v>
      </c>
      <c r="R127" s="79">
        <v>8.52</v>
      </c>
      <c r="S127" s="79">
        <v>8.6</v>
      </c>
      <c r="T127" s="79">
        <v>8.7100000000000009</v>
      </c>
      <c r="U127" s="79" t="s">
        <v>955</v>
      </c>
      <c r="V127" s="79">
        <v>0.08</v>
      </c>
      <c r="W127" s="79">
        <v>0.19</v>
      </c>
      <c r="X127" s="34">
        <v>1</v>
      </c>
      <c r="Y127" s="34" t="s">
        <v>4</v>
      </c>
      <c r="Z127" s="34" t="s">
        <v>941</v>
      </c>
      <c r="AA127" s="34"/>
      <c r="AB127" s="35"/>
    </row>
    <row r="128" spans="1:28" x14ac:dyDescent="0.3">
      <c r="A128" s="124"/>
      <c r="B128" s="114">
        <v>127</v>
      </c>
      <c r="C128" s="38" t="s">
        <v>655</v>
      </c>
      <c r="D128" s="38">
        <v>17954</v>
      </c>
      <c r="E128" s="38" t="s">
        <v>811</v>
      </c>
      <c r="F128" s="39" t="s">
        <v>283</v>
      </c>
      <c r="G128" s="40" t="s">
        <v>18</v>
      </c>
      <c r="H128" s="33" t="s">
        <v>284</v>
      </c>
      <c r="I128" s="32">
        <v>43907</v>
      </c>
      <c r="J128" s="87">
        <v>43882</v>
      </c>
      <c r="K128" s="88" t="s">
        <v>1200</v>
      </c>
      <c r="L128" s="127">
        <f>59.322-57.912</f>
        <v>1.4100000000000037</v>
      </c>
      <c r="M128" s="132">
        <f>(65.426-57.912)+0.086</f>
        <v>7.6000000000000032</v>
      </c>
      <c r="N128" s="88"/>
      <c r="O128" s="88"/>
      <c r="P128" s="88" t="s">
        <v>1201</v>
      </c>
      <c r="Q128" s="79">
        <v>1.31</v>
      </c>
      <c r="R128" s="79">
        <v>7.5</v>
      </c>
      <c r="S128" s="79">
        <v>7.6</v>
      </c>
      <c r="T128" s="79">
        <v>7.66</v>
      </c>
      <c r="U128" s="79" t="s">
        <v>955</v>
      </c>
      <c r="V128" s="79">
        <v>0.1</v>
      </c>
      <c r="W128" s="79">
        <v>0.16</v>
      </c>
      <c r="X128" s="34">
        <v>1</v>
      </c>
      <c r="Y128" s="34" t="s">
        <v>4</v>
      </c>
      <c r="Z128" s="34" t="s">
        <v>941</v>
      </c>
      <c r="AA128" s="34"/>
      <c r="AB128" s="35"/>
    </row>
    <row r="129" spans="1:28" x14ac:dyDescent="0.3">
      <c r="A129" s="124"/>
      <c r="B129" s="114">
        <v>128</v>
      </c>
      <c r="C129" s="38" t="s">
        <v>656</v>
      </c>
      <c r="D129" s="38">
        <v>17972</v>
      </c>
      <c r="E129" s="38" t="s">
        <v>812</v>
      </c>
      <c r="F129" s="39" t="s">
        <v>285</v>
      </c>
      <c r="G129" s="40" t="s">
        <v>29</v>
      </c>
      <c r="H129" s="33" t="s">
        <v>286</v>
      </c>
      <c r="I129" s="32">
        <v>43911</v>
      </c>
      <c r="J129" s="87">
        <v>43852</v>
      </c>
      <c r="K129" s="88">
        <v>0.5395833333333333</v>
      </c>
      <c r="L129" s="127">
        <v>1.1200000000000001</v>
      </c>
      <c r="M129" s="132">
        <v>7.44</v>
      </c>
      <c r="N129" s="88"/>
      <c r="O129" s="88"/>
      <c r="P129" s="88">
        <v>0.54861111111111105</v>
      </c>
      <c r="Q129" s="79">
        <v>1.04</v>
      </c>
      <c r="R129" s="79">
        <v>7.42</v>
      </c>
      <c r="S129" s="79">
        <v>7.49</v>
      </c>
      <c r="T129" s="79">
        <v>7.57</v>
      </c>
      <c r="U129" s="79" t="s">
        <v>955</v>
      </c>
      <c r="V129" s="79">
        <v>7.0000000000000007E-2</v>
      </c>
      <c r="W129" s="79">
        <v>0.15</v>
      </c>
      <c r="X129" s="34">
        <v>1</v>
      </c>
      <c r="Y129" s="34" t="s">
        <v>4</v>
      </c>
      <c r="Z129" s="34" t="s">
        <v>941</v>
      </c>
      <c r="AA129" s="34" t="s">
        <v>1032</v>
      </c>
      <c r="AB129" s="35"/>
    </row>
    <row r="130" spans="1:28" x14ac:dyDescent="0.3">
      <c r="A130" s="124"/>
      <c r="B130" s="114">
        <v>129</v>
      </c>
      <c r="C130" s="38" t="s">
        <v>657</v>
      </c>
      <c r="D130" s="38">
        <v>17983</v>
      </c>
      <c r="E130" s="38" t="s">
        <v>813</v>
      </c>
      <c r="F130" s="39" t="s">
        <v>287</v>
      </c>
      <c r="G130" s="40" t="s">
        <v>29</v>
      </c>
      <c r="H130" s="33" t="s">
        <v>288</v>
      </c>
      <c r="I130" s="32">
        <v>43911</v>
      </c>
      <c r="J130" s="87">
        <v>43873</v>
      </c>
      <c r="K130" s="88">
        <v>0.60555555555555551</v>
      </c>
      <c r="L130" s="127">
        <f>60.662-57.912</f>
        <v>2.75</v>
      </c>
      <c r="M130" s="132">
        <f>(64.649-57.912)+0.086</f>
        <v>6.8230000000000022</v>
      </c>
      <c r="N130" s="88"/>
      <c r="O130" s="88"/>
      <c r="P130" s="88" t="s">
        <v>1007</v>
      </c>
      <c r="Q130" s="79">
        <v>2.5299999999999998</v>
      </c>
      <c r="R130" s="79">
        <v>6.71</v>
      </c>
      <c r="S130" s="79">
        <v>6.82</v>
      </c>
      <c r="T130" s="79">
        <v>7.9</v>
      </c>
      <c r="U130" s="79" t="s">
        <v>955</v>
      </c>
      <c r="V130" s="79">
        <v>0.11</v>
      </c>
      <c r="W130" s="79">
        <v>1.19</v>
      </c>
      <c r="X130" s="34">
        <v>1</v>
      </c>
      <c r="Y130" s="34" t="s">
        <v>4</v>
      </c>
      <c r="Z130" s="34" t="s">
        <v>941</v>
      </c>
      <c r="AA130" s="34"/>
      <c r="AB130" s="35"/>
    </row>
    <row r="131" spans="1:28" x14ac:dyDescent="0.3">
      <c r="A131" s="124"/>
      <c r="B131" s="114">
        <v>130</v>
      </c>
      <c r="C131" s="38" t="s">
        <v>658</v>
      </c>
      <c r="D131" s="38">
        <v>17990</v>
      </c>
      <c r="E131" s="38" t="s">
        <v>814</v>
      </c>
      <c r="F131" s="39" t="s">
        <v>289</v>
      </c>
      <c r="G131" s="40" t="s">
        <v>29</v>
      </c>
      <c r="H131" s="33" t="s">
        <v>290</v>
      </c>
      <c r="I131" s="32">
        <v>43908</v>
      </c>
      <c r="J131" s="87">
        <v>43853</v>
      </c>
      <c r="K131" s="88">
        <v>0.46249999999999997</v>
      </c>
      <c r="L131" s="127">
        <v>3.2989999999999999</v>
      </c>
      <c r="M131" s="132">
        <v>6.75</v>
      </c>
      <c r="N131" s="88"/>
      <c r="O131" s="88"/>
      <c r="P131" s="88">
        <v>0.47222222222222227</v>
      </c>
      <c r="Q131" s="79">
        <v>2.72</v>
      </c>
      <c r="R131" s="79">
        <v>6.73</v>
      </c>
      <c r="S131" s="79">
        <v>6.76</v>
      </c>
      <c r="T131" s="79">
        <v>6.94</v>
      </c>
      <c r="U131" s="79" t="s">
        <v>955</v>
      </c>
      <c r="V131" s="79">
        <v>0.03</v>
      </c>
      <c r="W131" s="79">
        <v>0.21</v>
      </c>
      <c r="X131" s="34">
        <v>1</v>
      </c>
      <c r="Y131" s="34" t="s">
        <v>4</v>
      </c>
      <c r="Z131" s="34" t="s">
        <v>941</v>
      </c>
      <c r="AA131" s="34" t="s">
        <v>1049</v>
      </c>
      <c r="AB131" s="35"/>
    </row>
    <row r="132" spans="1:28" x14ac:dyDescent="0.3">
      <c r="A132" s="124"/>
      <c r="B132" s="114">
        <v>131</v>
      </c>
      <c r="C132" s="38" t="s">
        <v>659</v>
      </c>
      <c r="D132" s="38">
        <v>18037</v>
      </c>
      <c r="E132" s="38" t="s">
        <v>815</v>
      </c>
      <c r="F132" s="39" t="s">
        <v>291</v>
      </c>
      <c r="G132" s="40" t="s">
        <v>29</v>
      </c>
      <c r="H132" s="33" t="s">
        <v>292</v>
      </c>
      <c r="I132" s="32">
        <v>43910</v>
      </c>
      <c r="J132" s="87">
        <v>43850</v>
      </c>
      <c r="K132" s="88">
        <v>0.5083333333333333</v>
      </c>
      <c r="L132" s="127">
        <v>1.6180000000000001</v>
      </c>
      <c r="M132" s="132">
        <v>7.5590000000000002</v>
      </c>
      <c r="N132" s="88"/>
      <c r="O132" s="88"/>
      <c r="P132" s="88">
        <v>0.5625</v>
      </c>
      <c r="Q132" s="79">
        <v>1.58</v>
      </c>
      <c r="R132" s="79">
        <v>7.51</v>
      </c>
      <c r="S132" s="79">
        <v>7.62</v>
      </c>
      <c r="T132" s="79">
        <v>7.7</v>
      </c>
      <c r="U132" s="79" t="s">
        <v>955</v>
      </c>
      <c r="V132" s="79">
        <v>0.11</v>
      </c>
      <c r="W132" s="79">
        <v>0.19</v>
      </c>
      <c r="X132" s="34">
        <v>1</v>
      </c>
      <c r="Y132" s="34" t="s">
        <v>4</v>
      </c>
      <c r="Z132" s="34" t="s">
        <v>941</v>
      </c>
      <c r="AA132" s="34" t="s">
        <v>1000</v>
      </c>
      <c r="AB132" s="35"/>
    </row>
    <row r="133" spans="1:28" x14ac:dyDescent="0.3">
      <c r="A133" s="124"/>
      <c r="B133" s="114">
        <v>132</v>
      </c>
      <c r="C133" s="38" t="s">
        <v>660</v>
      </c>
      <c r="D133" s="38">
        <v>18048</v>
      </c>
      <c r="E133" s="38" t="s">
        <v>816</v>
      </c>
      <c r="F133" s="39" t="s">
        <v>293</v>
      </c>
      <c r="G133" s="40" t="s">
        <v>29</v>
      </c>
      <c r="H133" s="33" t="s">
        <v>294</v>
      </c>
      <c r="I133" s="32">
        <v>43910</v>
      </c>
      <c r="J133" s="87">
        <v>43868</v>
      </c>
      <c r="K133" s="88">
        <v>0.39999999999999997</v>
      </c>
      <c r="L133" s="127">
        <v>1.2809999999999988</v>
      </c>
      <c r="M133" s="132">
        <v>7.3310000000000004</v>
      </c>
      <c r="N133" s="88"/>
      <c r="O133" s="88"/>
      <c r="P133" s="88">
        <v>0.40972222222222227</v>
      </c>
      <c r="Q133" s="79">
        <v>1.29</v>
      </c>
      <c r="R133" s="79">
        <v>7.29</v>
      </c>
      <c r="S133" s="81">
        <v>4.21</v>
      </c>
      <c r="T133" s="79">
        <v>7.47</v>
      </c>
      <c r="U133" s="79" t="s">
        <v>955</v>
      </c>
      <c r="V133" s="97">
        <v>-3.08</v>
      </c>
      <c r="W133" s="79">
        <v>0.18</v>
      </c>
      <c r="X133" s="34">
        <v>1</v>
      </c>
      <c r="Y133" s="34" t="s">
        <v>4</v>
      </c>
      <c r="Z133" s="34" t="s">
        <v>941</v>
      </c>
      <c r="AA133" s="34"/>
      <c r="AB133" s="35"/>
    </row>
    <row r="134" spans="1:28" x14ac:dyDescent="0.3">
      <c r="A134" s="124"/>
      <c r="B134" s="114">
        <v>133</v>
      </c>
      <c r="C134" s="38" t="s">
        <v>661</v>
      </c>
      <c r="D134" s="38">
        <v>18099</v>
      </c>
      <c r="E134" s="38" t="s">
        <v>817</v>
      </c>
      <c r="F134" s="39" t="s">
        <v>295</v>
      </c>
      <c r="G134" s="40" t="s">
        <v>29</v>
      </c>
      <c r="H134" s="33" t="s">
        <v>296</v>
      </c>
      <c r="I134" s="32">
        <v>43908</v>
      </c>
      <c r="J134" s="87">
        <v>43853</v>
      </c>
      <c r="K134" s="88">
        <v>0.37222222222222223</v>
      </c>
      <c r="L134" s="127">
        <v>0.53600000000000003</v>
      </c>
      <c r="M134" s="132">
        <v>7.2549999999999999</v>
      </c>
      <c r="N134" s="88"/>
      <c r="O134" s="88"/>
      <c r="P134" s="88">
        <v>0.38194444444444442</v>
      </c>
      <c r="Q134" s="79">
        <v>0.42</v>
      </c>
      <c r="R134" s="79">
        <v>7.25</v>
      </c>
      <c r="S134" s="79">
        <v>7.29</v>
      </c>
      <c r="T134" s="79">
        <v>7.49</v>
      </c>
      <c r="U134" s="79" t="s">
        <v>955</v>
      </c>
      <c r="V134" s="79">
        <v>0.04</v>
      </c>
      <c r="W134" s="79">
        <v>0.24</v>
      </c>
      <c r="X134" s="34">
        <v>1</v>
      </c>
      <c r="Y134" s="34" t="s">
        <v>4</v>
      </c>
      <c r="Z134" s="34" t="s">
        <v>941</v>
      </c>
      <c r="AA134" s="34" t="s">
        <v>1042</v>
      </c>
      <c r="AB134" s="35"/>
    </row>
    <row r="135" spans="1:28" x14ac:dyDescent="0.3">
      <c r="A135" s="124"/>
      <c r="B135" s="114">
        <v>134</v>
      </c>
      <c r="C135" s="38" t="s">
        <v>996</v>
      </c>
      <c r="D135" s="38">
        <v>18108</v>
      </c>
      <c r="E135" s="38" t="s">
        <v>818</v>
      </c>
      <c r="F135" s="39" t="s">
        <v>297</v>
      </c>
      <c r="G135" s="40" t="s">
        <v>29</v>
      </c>
      <c r="H135" s="33" t="s">
        <v>298</v>
      </c>
      <c r="I135" s="32">
        <v>43910</v>
      </c>
      <c r="J135" s="87">
        <v>43850</v>
      </c>
      <c r="K135" s="88">
        <v>0.48958333333333331</v>
      </c>
      <c r="L135" s="127">
        <v>0.92500000000000004</v>
      </c>
      <c r="M135" s="132">
        <v>10.622999999999999</v>
      </c>
      <c r="N135" s="88"/>
      <c r="O135" s="88"/>
      <c r="P135" s="88">
        <v>0.5</v>
      </c>
      <c r="Q135" s="79">
        <v>0.89</v>
      </c>
      <c r="R135" s="79">
        <v>10.6</v>
      </c>
      <c r="S135" s="79">
        <v>10.69</v>
      </c>
      <c r="T135" s="79">
        <v>10.78</v>
      </c>
      <c r="U135" s="79" t="s">
        <v>955</v>
      </c>
      <c r="V135" s="79">
        <v>0.09</v>
      </c>
      <c r="W135" s="79">
        <v>0.18</v>
      </c>
      <c r="X135" s="34">
        <v>1</v>
      </c>
      <c r="Y135" s="34" t="s">
        <v>4</v>
      </c>
      <c r="Z135" s="34" t="s">
        <v>941</v>
      </c>
      <c r="AA135" s="34"/>
      <c r="AB135" s="35"/>
    </row>
    <row r="136" spans="1:28" x14ac:dyDescent="0.3">
      <c r="A136" s="124"/>
      <c r="B136" s="158">
        <v>135</v>
      </c>
      <c r="C136" s="164" t="s">
        <v>662</v>
      </c>
      <c r="D136" s="164">
        <v>18135</v>
      </c>
      <c r="E136" s="164" t="s">
        <v>819</v>
      </c>
      <c r="F136" s="159" t="s">
        <v>299</v>
      </c>
      <c r="G136" s="160" t="s">
        <v>29</v>
      </c>
      <c r="H136" s="161" t="s">
        <v>300</v>
      </c>
      <c r="I136" s="103">
        <v>43911</v>
      </c>
      <c r="J136" s="165">
        <v>43852</v>
      </c>
      <c r="K136" s="166">
        <v>0.45694444444444443</v>
      </c>
      <c r="L136" s="167"/>
      <c r="M136" s="168"/>
      <c r="N136" s="166"/>
      <c r="O136" s="166"/>
      <c r="P136" s="105"/>
      <c r="Q136" s="106">
        <v>0.79</v>
      </c>
      <c r="R136" s="106">
        <v>7.42</v>
      </c>
      <c r="S136" s="106" t="s">
        <v>949</v>
      </c>
      <c r="T136" s="106">
        <v>7.6</v>
      </c>
      <c r="U136" s="106" t="s">
        <v>955</v>
      </c>
      <c r="V136" s="106" t="s">
        <v>949</v>
      </c>
      <c r="W136" s="106">
        <v>0.18</v>
      </c>
      <c r="X136" s="107"/>
      <c r="Y136" s="107" t="s">
        <v>4</v>
      </c>
      <c r="Z136" s="107" t="s">
        <v>941</v>
      </c>
      <c r="AA136" s="107" t="s">
        <v>1072</v>
      </c>
      <c r="AB136" s="108"/>
    </row>
    <row r="137" spans="1:28" x14ac:dyDescent="0.3">
      <c r="A137" s="124"/>
      <c r="B137" s="141">
        <v>136</v>
      </c>
      <c r="C137" s="142" t="s">
        <v>663</v>
      </c>
      <c r="D137" s="142">
        <v>18179</v>
      </c>
      <c r="E137" s="142" t="s">
        <v>820</v>
      </c>
      <c r="F137" s="143" t="s">
        <v>301</v>
      </c>
      <c r="G137" s="144" t="s">
        <v>29</v>
      </c>
      <c r="H137" s="145" t="s">
        <v>302</v>
      </c>
      <c r="I137" s="146">
        <v>43918</v>
      </c>
      <c r="J137" s="147">
        <v>43850</v>
      </c>
      <c r="K137" s="148" t="s">
        <v>1007</v>
      </c>
      <c r="L137" s="149"/>
      <c r="M137" s="150"/>
      <c r="N137" s="148"/>
      <c r="O137" s="148"/>
      <c r="P137" s="148"/>
      <c r="Q137" s="97">
        <v>1.23</v>
      </c>
      <c r="R137" s="97">
        <v>6.63</v>
      </c>
      <c r="S137" s="97">
        <v>6.95</v>
      </c>
      <c r="T137" s="97">
        <v>6.76</v>
      </c>
      <c r="U137" s="97" t="s">
        <v>955</v>
      </c>
      <c r="V137" s="97">
        <v>0.32</v>
      </c>
      <c r="W137" s="97">
        <v>0.13</v>
      </c>
      <c r="X137" s="151"/>
      <c r="Y137" s="151" t="s">
        <v>4</v>
      </c>
      <c r="Z137" s="151" t="s">
        <v>941</v>
      </c>
      <c r="AA137" s="151" t="s">
        <v>1008</v>
      </c>
      <c r="AB137" s="152"/>
    </row>
    <row r="138" spans="1:28" x14ac:dyDescent="0.3">
      <c r="A138" s="124"/>
      <c r="B138" s="114">
        <v>137</v>
      </c>
      <c r="C138" s="38" t="s">
        <v>664</v>
      </c>
      <c r="D138" s="38">
        <v>18187</v>
      </c>
      <c r="E138" s="38" t="s">
        <v>821</v>
      </c>
      <c r="F138" s="39" t="s">
        <v>303</v>
      </c>
      <c r="G138" s="40" t="s">
        <v>29</v>
      </c>
      <c r="H138" s="33" t="s">
        <v>304</v>
      </c>
      <c r="I138" s="32">
        <v>43914</v>
      </c>
      <c r="J138" s="87">
        <v>43850</v>
      </c>
      <c r="K138" s="88">
        <v>0.61875000000000002</v>
      </c>
      <c r="L138" s="127">
        <v>0.96799999999999997</v>
      </c>
      <c r="M138" s="132">
        <v>1.9159999999999999</v>
      </c>
      <c r="N138" s="88"/>
      <c r="O138" s="88"/>
      <c r="P138" s="88">
        <v>0.625</v>
      </c>
      <c r="Q138" s="79">
        <v>0.74</v>
      </c>
      <c r="R138" s="79">
        <v>1.89</v>
      </c>
      <c r="S138" s="79">
        <v>1.98</v>
      </c>
      <c r="T138" s="79">
        <v>1.98</v>
      </c>
      <c r="U138" s="79" t="s">
        <v>955</v>
      </c>
      <c r="V138" s="79">
        <v>0.09</v>
      </c>
      <c r="W138" s="79">
        <v>0.09</v>
      </c>
      <c r="X138" s="34">
        <v>1</v>
      </c>
      <c r="Y138" s="34" t="s">
        <v>4</v>
      </c>
      <c r="Z138" s="34" t="s">
        <v>941</v>
      </c>
      <c r="AA138" s="34"/>
      <c r="AB138" s="35"/>
    </row>
    <row r="139" spans="1:28" x14ac:dyDescent="0.3">
      <c r="A139" s="124"/>
      <c r="B139" s="114">
        <v>138</v>
      </c>
      <c r="C139" s="38" t="s">
        <v>665</v>
      </c>
      <c r="D139" s="38">
        <v>18194</v>
      </c>
      <c r="E139" s="38" t="s">
        <v>822</v>
      </c>
      <c r="F139" s="39" t="s">
        <v>305</v>
      </c>
      <c r="G139" s="40" t="s">
        <v>29</v>
      </c>
      <c r="H139" s="33" t="s">
        <v>306</v>
      </c>
      <c r="I139" s="32">
        <v>43914</v>
      </c>
      <c r="J139" s="87">
        <v>43865</v>
      </c>
      <c r="K139" s="88">
        <v>0.57916666666666672</v>
      </c>
      <c r="L139" s="127">
        <v>1.2230000000000001</v>
      </c>
      <c r="M139" s="132">
        <v>6.8639999999999999</v>
      </c>
      <c r="N139" s="88"/>
      <c r="O139" s="88"/>
      <c r="P139" s="88">
        <v>0.59027777777777779</v>
      </c>
      <c r="Q139" s="79">
        <v>1.08</v>
      </c>
      <c r="R139" s="79">
        <v>6.83</v>
      </c>
      <c r="S139" s="79">
        <v>6.91</v>
      </c>
      <c r="T139" s="79">
        <v>7.77</v>
      </c>
      <c r="U139" s="79" t="s">
        <v>955</v>
      </c>
      <c r="V139" s="79">
        <v>0.08</v>
      </c>
      <c r="W139" s="79">
        <v>0.94</v>
      </c>
      <c r="X139" s="34">
        <v>1</v>
      </c>
      <c r="Y139" s="34" t="s">
        <v>4</v>
      </c>
      <c r="Z139" s="34" t="s">
        <v>941</v>
      </c>
      <c r="AA139" s="34" t="s">
        <v>1113</v>
      </c>
      <c r="AB139" s="35"/>
    </row>
    <row r="140" spans="1:28" x14ac:dyDescent="0.3">
      <c r="A140" s="139"/>
      <c r="B140" s="114">
        <v>139</v>
      </c>
      <c r="C140" s="38" t="s">
        <v>666</v>
      </c>
      <c r="D140" s="38">
        <v>18272</v>
      </c>
      <c r="E140" s="38" t="s">
        <v>823</v>
      </c>
      <c r="F140" s="39" t="s">
        <v>307</v>
      </c>
      <c r="G140" s="40" t="s">
        <v>29</v>
      </c>
      <c r="H140" s="33" t="s">
        <v>308</v>
      </c>
      <c r="I140" s="32">
        <v>43917</v>
      </c>
      <c r="J140" s="87">
        <v>43872</v>
      </c>
      <c r="K140" s="88" t="s">
        <v>1127</v>
      </c>
      <c r="L140" s="127">
        <f>59.233-57.912</f>
        <v>1.320999999999998</v>
      </c>
      <c r="M140" s="132">
        <f>(65.171-57.912)+0.086</f>
        <v>7.3450000000000077</v>
      </c>
      <c r="N140" s="88"/>
      <c r="O140" s="88"/>
      <c r="P140" s="88">
        <v>0.59722222222222221</v>
      </c>
      <c r="Q140" s="79">
        <v>1.1200000000000001</v>
      </c>
      <c r="R140" s="79">
        <v>7.39</v>
      </c>
      <c r="S140" s="79">
        <v>7.55</v>
      </c>
      <c r="T140" s="79">
        <v>7.67</v>
      </c>
      <c r="U140" s="79" t="s">
        <v>955</v>
      </c>
      <c r="V140" s="79">
        <v>0.16</v>
      </c>
      <c r="W140" s="79">
        <v>0.28000000000000003</v>
      </c>
      <c r="X140" s="34">
        <v>1</v>
      </c>
      <c r="Y140" s="34" t="s">
        <v>4</v>
      </c>
      <c r="Z140" s="34" t="s">
        <v>941</v>
      </c>
      <c r="AA140" s="34" t="s">
        <v>1164</v>
      </c>
      <c r="AB140" s="35"/>
    </row>
    <row r="141" spans="1:28" x14ac:dyDescent="0.3">
      <c r="A141" s="124"/>
      <c r="B141" s="114">
        <v>140</v>
      </c>
      <c r="C141" s="38" t="s">
        <v>667</v>
      </c>
      <c r="D141" s="38">
        <v>18282</v>
      </c>
      <c r="E141" s="38" t="s">
        <v>824</v>
      </c>
      <c r="F141" s="39" t="s">
        <v>309</v>
      </c>
      <c r="G141" s="40" t="s">
        <v>29</v>
      </c>
      <c r="H141" s="33" t="s">
        <v>310</v>
      </c>
      <c r="I141" s="32">
        <v>43909</v>
      </c>
      <c r="J141" s="87">
        <v>43853</v>
      </c>
      <c r="K141" s="88" t="s">
        <v>1045</v>
      </c>
      <c r="L141" s="127">
        <v>2.2160000000000002</v>
      </c>
      <c r="M141" s="132">
        <v>6.5</v>
      </c>
      <c r="N141" s="88"/>
      <c r="O141" s="88"/>
      <c r="P141" s="88"/>
      <c r="Q141" s="79">
        <v>1.87</v>
      </c>
      <c r="R141" s="79">
        <v>6.48</v>
      </c>
      <c r="S141" s="79">
        <v>6.6</v>
      </c>
      <c r="T141" s="79">
        <v>6.97</v>
      </c>
      <c r="U141" s="79" t="s">
        <v>955</v>
      </c>
      <c r="V141" s="79">
        <v>0.12</v>
      </c>
      <c r="W141" s="79">
        <v>0.49</v>
      </c>
      <c r="X141" s="34">
        <v>1</v>
      </c>
      <c r="Y141" s="34" t="s">
        <v>4</v>
      </c>
      <c r="Z141" s="34" t="s">
        <v>941</v>
      </c>
      <c r="AA141" s="34" t="s">
        <v>1047</v>
      </c>
      <c r="AB141" s="36"/>
    </row>
    <row r="142" spans="1:28" x14ac:dyDescent="0.3">
      <c r="A142" s="124"/>
      <c r="B142" s="114">
        <v>141</v>
      </c>
      <c r="C142" s="38" t="s">
        <v>668</v>
      </c>
      <c r="D142" s="38">
        <v>18283</v>
      </c>
      <c r="E142" s="38" t="s">
        <v>825</v>
      </c>
      <c r="F142" s="39" t="s">
        <v>311</v>
      </c>
      <c r="G142" s="40" t="s">
        <v>29</v>
      </c>
      <c r="H142" s="33" t="s">
        <v>312</v>
      </c>
      <c r="I142" s="32">
        <v>43914</v>
      </c>
      <c r="J142" s="87">
        <v>43865</v>
      </c>
      <c r="K142" s="88" t="s">
        <v>1110</v>
      </c>
      <c r="L142" s="127">
        <v>1.073</v>
      </c>
      <c r="M142" s="132">
        <v>6.5810000000000004</v>
      </c>
      <c r="N142" s="88"/>
      <c r="O142" s="88"/>
      <c r="P142" s="88" t="s">
        <v>1111</v>
      </c>
      <c r="Q142" s="79">
        <v>0.91</v>
      </c>
      <c r="R142" s="79">
        <v>6.62</v>
      </c>
      <c r="S142" s="79">
        <v>6.62</v>
      </c>
      <c r="T142" s="79">
        <v>6.71</v>
      </c>
      <c r="U142" s="79" t="s">
        <v>955</v>
      </c>
      <c r="V142" s="79">
        <v>0</v>
      </c>
      <c r="W142" s="79">
        <v>0.09</v>
      </c>
      <c r="X142" s="34">
        <v>1</v>
      </c>
      <c r="Y142" s="34" t="s">
        <v>4</v>
      </c>
      <c r="Z142" s="34" t="s">
        <v>941</v>
      </c>
      <c r="AA142" s="34" t="s">
        <v>1112</v>
      </c>
      <c r="AB142" s="35"/>
    </row>
    <row r="143" spans="1:28" x14ac:dyDescent="0.3">
      <c r="A143" s="124"/>
      <c r="B143" s="114">
        <v>142</v>
      </c>
      <c r="C143" s="38" t="s">
        <v>669</v>
      </c>
      <c r="D143" s="38">
        <v>18296</v>
      </c>
      <c r="E143" s="38" t="s">
        <v>826</v>
      </c>
      <c r="F143" s="39" t="s">
        <v>313</v>
      </c>
      <c r="G143" s="40" t="s">
        <v>29</v>
      </c>
      <c r="H143" s="33" t="s">
        <v>314</v>
      </c>
      <c r="I143" s="32">
        <v>43915</v>
      </c>
      <c r="J143" s="87">
        <v>43882</v>
      </c>
      <c r="K143" s="88">
        <v>0.3979166666666667</v>
      </c>
      <c r="L143" s="127">
        <f>60.073-57.912</f>
        <v>2.1610000000000014</v>
      </c>
      <c r="M143" s="132">
        <f>(65.113-57.912)+0.086</f>
        <v>7.2870000000000008</v>
      </c>
      <c r="N143" s="88"/>
      <c r="O143" s="88"/>
      <c r="P143" s="88">
        <v>0.40972222222222227</v>
      </c>
      <c r="Q143" s="79">
        <v>1.99</v>
      </c>
      <c r="R143" s="79">
        <v>7.2</v>
      </c>
      <c r="S143" s="79">
        <v>7.31</v>
      </c>
      <c r="T143" s="79">
        <v>7.37</v>
      </c>
      <c r="U143" s="79" t="s">
        <v>955</v>
      </c>
      <c r="V143" s="79">
        <v>0.11</v>
      </c>
      <c r="W143" s="79">
        <v>0.17</v>
      </c>
      <c r="X143" s="34">
        <v>1</v>
      </c>
      <c r="Y143" s="34" t="s">
        <v>4</v>
      </c>
      <c r="Z143" s="34" t="s">
        <v>941</v>
      </c>
      <c r="AA143" s="34" t="s">
        <v>1193</v>
      </c>
      <c r="AB143" s="36" t="s">
        <v>315</v>
      </c>
    </row>
    <row r="144" spans="1:28" x14ac:dyDescent="0.3">
      <c r="A144" s="157"/>
      <c r="B144" s="114">
        <v>143</v>
      </c>
      <c r="C144" s="38" t="s">
        <v>670</v>
      </c>
      <c r="D144" s="38">
        <v>18316</v>
      </c>
      <c r="E144" s="38" t="s">
        <v>827</v>
      </c>
      <c r="F144" s="39" t="s">
        <v>316</v>
      </c>
      <c r="G144" s="40" t="s">
        <v>29</v>
      </c>
      <c r="H144" s="33" t="s">
        <v>317</v>
      </c>
      <c r="I144" s="32">
        <v>43914</v>
      </c>
      <c r="J144" s="87">
        <v>43868</v>
      </c>
      <c r="K144" s="88" t="s">
        <v>1124</v>
      </c>
      <c r="L144" s="127">
        <v>0.81599999999999995</v>
      </c>
      <c r="M144" s="132">
        <v>6.94</v>
      </c>
      <c r="N144" s="88"/>
      <c r="O144" s="88"/>
      <c r="P144" s="88">
        <v>0.59027777777777779</v>
      </c>
      <c r="Q144" s="79">
        <v>0.66</v>
      </c>
      <c r="R144" s="79">
        <v>6.98</v>
      </c>
      <c r="S144" s="79">
        <v>6.98</v>
      </c>
      <c r="T144" s="79">
        <v>7.9</v>
      </c>
      <c r="U144" s="79" t="s">
        <v>955</v>
      </c>
      <c r="V144" s="79">
        <v>0</v>
      </c>
      <c r="W144" s="79">
        <v>0.92</v>
      </c>
      <c r="X144" s="34">
        <v>1</v>
      </c>
      <c r="Y144" s="34" t="s">
        <v>4</v>
      </c>
      <c r="Z144" s="34" t="s">
        <v>941</v>
      </c>
      <c r="AA144" s="34" t="s">
        <v>1125</v>
      </c>
      <c r="AB144" s="35"/>
    </row>
    <row r="145" spans="1:29" x14ac:dyDescent="0.3">
      <c r="A145" s="140"/>
      <c r="B145" s="158">
        <v>144</v>
      </c>
      <c r="C145" s="164" t="s">
        <v>671</v>
      </c>
      <c r="D145" s="164">
        <v>18321</v>
      </c>
      <c r="E145" s="164" t="s">
        <v>828</v>
      </c>
      <c r="F145" s="159" t="s">
        <v>318</v>
      </c>
      <c r="G145" s="160" t="s">
        <v>29</v>
      </c>
      <c r="H145" s="161" t="s">
        <v>319</v>
      </c>
      <c r="I145" s="103">
        <v>43917</v>
      </c>
      <c r="J145" s="104"/>
      <c r="K145" s="105"/>
      <c r="L145" s="129"/>
      <c r="M145" s="135"/>
      <c r="N145" s="105"/>
      <c r="O145" s="105"/>
      <c r="P145" s="105"/>
      <c r="Q145" s="106">
        <v>0</v>
      </c>
      <c r="R145" s="106">
        <v>10.17</v>
      </c>
      <c r="S145" s="106">
        <v>10.16</v>
      </c>
      <c r="T145" s="106">
        <v>10.08</v>
      </c>
      <c r="U145" s="106" t="s">
        <v>955</v>
      </c>
      <c r="V145" s="106">
        <v>-0.01</v>
      </c>
      <c r="W145" s="106">
        <v>-0.09</v>
      </c>
      <c r="X145" s="107"/>
      <c r="Y145" s="107" t="s">
        <v>6</v>
      </c>
      <c r="Z145" s="107" t="s">
        <v>941</v>
      </c>
      <c r="AA145" s="107" t="s">
        <v>1130</v>
      </c>
      <c r="AB145" s="108" t="s">
        <v>320</v>
      </c>
    </row>
    <row r="146" spans="1:29" x14ac:dyDescent="0.3">
      <c r="A146" s="124"/>
      <c r="B146" s="114">
        <v>145</v>
      </c>
      <c r="C146" s="38" t="s">
        <v>672</v>
      </c>
      <c r="D146" s="38">
        <v>18352</v>
      </c>
      <c r="E146" s="38" t="s">
        <v>829</v>
      </c>
      <c r="F146" s="39" t="s">
        <v>321</v>
      </c>
      <c r="G146" s="40" t="s">
        <v>29</v>
      </c>
      <c r="H146" s="33" t="s">
        <v>322</v>
      </c>
      <c r="I146" s="32">
        <v>43917</v>
      </c>
      <c r="J146" s="87">
        <v>43874</v>
      </c>
      <c r="K146" s="88">
        <v>0.56527777777777777</v>
      </c>
      <c r="L146" s="127">
        <f>58.292-57.912</f>
        <v>0.38000000000000256</v>
      </c>
      <c r="M146" s="132">
        <f>(61.376-57.912)+0.086</f>
        <v>3.5499999999999985</v>
      </c>
      <c r="N146" s="88"/>
      <c r="O146" s="88"/>
      <c r="P146" s="88" t="s">
        <v>1123</v>
      </c>
      <c r="Q146" s="79">
        <v>0.32</v>
      </c>
      <c r="R146" s="79">
        <v>3.52</v>
      </c>
      <c r="S146" s="79">
        <v>4.12</v>
      </c>
      <c r="T146" s="79">
        <v>4.0199999999999996</v>
      </c>
      <c r="U146" s="79" t="s">
        <v>955</v>
      </c>
      <c r="V146" s="79">
        <v>0.6</v>
      </c>
      <c r="W146" s="79">
        <v>0.5</v>
      </c>
      <c r="X146" s="34">
        <v>1</v>
      </c>
      <c r="Y146" s="34" t="s">
        <v>4</v>
      </c>
      <c r="Z146" s="34" t="s">
        <v>941</v>
      </c>
      <c r="AA146" s="34"/>
      <c r="AB146" s="35"/>
    </row>
    <row r="147" spans="1:29" x14ac:dyDescent="0.3">
      <c r="A147" s="124"/>
      <c r="B147" s="141">
        <v>146</v>
      </c>
      <c r="C147" s="142" t="s">
        <v>673</v>
      </c>
      <c r="D147" s="142">
        <v>18353</v>
      </c>
      <c r="E147" s="142" t="s">
        <v>830</v>
      </c>
      <c r="F147" s="143" t="s">
        <v>323</v>
      </c>
      <c r="G147" s="144" t="s">
        <v>29</v>
      </c>
      <c r="H147" s="145" t="s">
        <v>324</v>
      </c>
      <c r="I147" s="146">
        <v>43918</v>
      </c>
      <c r="J147" s="147"/>
      <c r="K147" s="148"/>
      <c r="L147" s="149"/>
      <c r="M147" s="150"/>
      <c r="N147" s="148"/>
      <c r="O147" s="148"/>
      <c r="P147" s="148"/>
      <c r="Q147" s="97">
        <v>0</v>
      </c>
      <c r="R147" s="97">
        <v>7.46</v>
      </c>
      <c r="S147" s="97">
        <v>7.59</v>
      </c>
      <c r="T147" s="97">
        <v>7.69</v>
      </c>
      <c r="U147" s="97" t="s">
        <v>955</v>
      </c>
      <c r="V147" s="97">
        <v>0.13</v>
      </c>
      <c r="W147" s="97">
        <v>0.23</v>
      </c>
      <c r="X147" s="151"/>
      <c r="Y147" s="151" t="s">
        <v>6</v>
      </c>
      <c r="Z147" s="151" t="s">
        <v>941</v>
      </c>
      <c r="AA147" s="151" t="s">
        <v>1130</v>
      </c>
      <c r="AB147" s="152" t="s">
        <v>940</v>
      </c>
    </row>
    <row r="148" spans="1:29" x14ac:dyDescent="0.3">
      <c r="A148" s="124"/>
      <c r="B148" s="114">
        <v>147</v>
      </c>
      <c r="C148" s="38" t="s">
        <v>674</v>
      </c>
      <c r="D148" s="38">
        <v>18432</v>
      </c>
      <c r="E148" s="38" t="s">
        <v>831</v>
      </c>
      <c r="F148" s="39" t="s">
        <v>325</v>
      </c>
      <c r="G148" s="40" t="s">
        <v>29</v>
      </c>
      <c r="H148" s="33" t="s">
        <v>326</v>
      </c>
      <c r="I148" s="32">
        <v>43910</v>
      </c>
      <c r="J148" s="87">
        <v>43850</v>
      </c>
      <c r="K148" s="88" t="s">
        <v>997</v>
      </c>
      <c r="L148" s="127">
        <v>0.96099999999999997</v>
      </c>
      <c r="M148" s="132">
        <v>8.9480000000000004</v>
      </c>
      <c r="N148" s="88"/>
      <c r="O148" s="88"/>
      <c r="P148" s="88" t="s">
        <v>998</v>
      </c>
      <c r="Q148" s="79">
        <v>0.93</v>
      </c>
      <c r="R148" s="79">
        <v>8.92</v>
      </c>
      <c r="S148" s="79">
        <v>8.99</v>
      </c>
      <c r="T148" s="79">
        <v>9.06</v>
      </c>
      <c r="U148" s="79" t="s">
        <v>955</v>
      </c>
      <c r="V148" s="79">
        <v>7.0000000000000007E-2</v>
      </c>
      <c r="W148" s="79">
        <v>0.14000000000000001</v>
      </c>
      <c r="X148" s="34">
        <v>1</v>
      </c>
      <c r="Y148" s="34" t="s">
        <v>4</v>
      </c>
      <c r="Z148" s="34" t="s">
        <v>941</v>
      </c>
      <c r="AA148" s="34"/>
      <c r="AB148" s="35"/>
    </row>
    <row r="149" spans="1:29" x14ac:dyDescent="0.3">
      <c r="A149" s="157"/>
      <c r="B149" s="114">
        <v>148</v>
      </c>
      <c r="C149" s="38" t="s">
        <v>675</v>
      </c>
      <c r="D149" s="38">
        <v>61079</v>
      </c>
      <c r="E149" s="38" t="s">
        <v>832</v>
      </c>
      <c r="F149" s="39" t="s">
        <v>327</v>
      </c>
      <c r="G149" s="40" t="s">
        <v>29</v>
      </c>
      <c r="H149" s="33" t="s">
        <v>328</v>
      </c>
      <c r="I149" s="32">
        <v>43910</v>
      </c>
      <c r="J149" s="87">
        <v>43850</v>
      </c>
      <c r="K149" s="88">
        <v>0.43472222222222223</v>
      </c>
      <c r="L149" s="127">
        <v>1.4259999999999999</v>
      </c>
      <c r="M149" s="132">
        <v>7.1920000000000002</v>
      </c>
      <c r="N149" s="88"/>
      <c r="O149" s="88"/>
      <c r="P149" s="88" t="s">
        <v>994</v>
      </c>
      <c r="Q149" s="79">
        <v>1.37</v>
      </c>
      <c r="R149" s="79">
        <v>7.15</v>
      </c>
      <c r="S149" s="79">
        <v>7.26</v>
      </c>
      <c r="T149" s="79">
        <v>7.48</v>
      </c>
      <c r="U149" s="79" t="s">
        <v>955</v>
      </c>
      <c r="V149" s="79">
        <v>0.11</v>
      </c>
      <c r="W149" s="79">
        <v>0.33</v>
      </c>
      <c r="X149" s="34">
        <v>1</v>
      </c>
      <c r="Y149" s="34" t="s">
        <v>4</v>
      </c>
      <c r="Z149" s="34" t="s">
        <v>941</v>
      </c>
      <c r="AA149" s="34"/>
      <c r="AB149" s="35"/>
    </row>
    <row r="150" spans="1:29" x14ac:dyDescent="0.3">
      <c r="A150" s="124"/>
      <c r="B150" s="114">
        <v>149</v>
      </c>
      <c r="C150" s="38" t="s">
        <v>676</v>
      </c>
      <c r="D150" s="38">
        <v>61080</v>
      </c>
      <c r="E150" s="38" t="s">
        <v>833</v>
      </c>
      <c r="F150" s="39" t="s">
        <v>329</v>
      </c>
      <c r="G150" s="40" t="s">
        <v>29</v>
      </c>
      <c r="H150" s="33" t="s">
        <v>330</v>
      </c>
      <c r="I150" s="32">
        <v>43910</v>
      </c>
      <c r="J150" s="87">
        <v>43850</v>
      </c>
      <c r="K150" s="88">
        <v>0.4201388888888889</v>
      </c>
      <c r="L150" s="127">
        <v>1.2629999999999999</v>
      </c>
      <c r="M150" s="132">
        <v>6.5140000000000002</v>
      </c>
      <c r="N150" s="88"/>
      <c r="O150" s="88"/>
      <c r="P150" s="88">
        <v>0.43055555555555558</v>
      </c>
      <c r="Q150" s="79">
        <v>1.59</v>
      </c>
      <c r="R150" s="79">
        <v>7.48</v>
      </c>
      <c r="S150" s="79">
        <v>7.58</v>
      </c>
      <c r="T150" s="79">
        <v>7.5</v>
      </c>
      <c r="U150" s="79" t="s">
        <v>955</v>
      </c>
      <c r="V150" s="79">
        <v>0.1</v>
      </c>
      <c r="W150" s="79">
        <v>0.02</v>
      </c>
      <c r="X150" s="34">
        <v>1</v>
      </c>
      <c r="Y150" s="34" t="s">
        <v>4</v>
      </c>
      <c r="Z150" s="34" t="s">
        <v>941</v>
      </c>
      <c r="AA150" s="34"/>
      <c r="AB150" s="35"/>
    </row>
    <row r="151" spans="1:29" x14ac:dyDescent="0.3">
      <c r="A151" s="157"/>
      <c r="B151" s="111">
        <v>150</v>
      </c>
      <c r="C151" s="7" t="s">
        <v>677</v>
      </c>
      <c r="D151" s="7">
        <v>61076</v>
      </c>
      <c r="E151" s="7" t="s">
        <v>834</v>
      </c>
      <c r="F151" s="6" t="s">
        <v>331</v>
      </c>
      <c r="G151" s="5" t="s">
        <v>29</v>
      </c>
      <c r="H151" s="2" t="s">
        <v>332</v>
      </c>
      <c r="I151" s="3">
        <v>43916</v>
      </c>
      <c r="J151" s="89">
        <v>43852</v>
      </c>
      <c r="K151" s="86" t="s">
        <v>1024</v>
      </c>
      <c r="L151" s="125">
        <v>1.1850000000000001</v>
      </c>
      <c r="M151" s="133">
        <v>6.2149999999999999</v>
      </c>
      <c r="N151" s="86"/>
      <c r="O151" s="86"/>
      <c r="P151" s="86" t="s">
        <v>1025</v>
      </c>
      <c r="Q151" s="80">
        <v>1.1200000000000001</v>
      </c>
      <c r="R151" s="80">
        <v>6.29</v>
      </c>
      <c r="S151" s="80">
        <v>6.54</v>
      </c>
      <c r="T151" s="80">
        <v>6.68</v>
      </c>
      <c r="U151" s="80" t="s">
        <v>955</v>
      </c>
      <c r="V151" s="80">
        <v>0.25</v>
      </c>
      <c r="W151" s="80">
        <v>0.39</v>
      </c>
      <c r="X151" s="4">
        <v>1</v>
      </c>
      <c r="Y151" s="4" t="s">
        <v>6</v>
      </c>
      <c r="Z151" s="4" t="s">
        <v>941</v>
      </c>
      <c r="AA151" s="4" t="s">
        <v>1026</v>
      </c>
      <c r="AB151" s="8" t="s">
        <v>264</v>
      </c>
    </row>
    <row r="152" spans="1:29" x14ac:dyDescent="0.3">
      <c r="A152" s="124"/>
      <c r="B152" s="141">
        <v>151</v>
      </c>
      <c r="C152" s="142" t="s">
        <v>3</v>
      </c>
      <c r="D152" s="142">
        <v>61077</v>
      </c>
      <c r="E152" s="142" t="s">
        <v>2</v>
      </c>
      <c r="F152" s="143" t="s">
        <v>333</v>
      </c>
      <c r="G152" s="144" t="s">
        <v>29</v>
      </c>
      <c r="H152" s="145" t="s">
        <v>334</v>
      </c>
      <c r="I152" s="146" t="s">
        <v>949</v>
      </c>
      <c r="J152" s="97"/>
      <c r="K152" s="148"/>
      <c r="L152" s="149"/>
      <c r="M152" s="150"/>
      <c r="N152" s="148"/>
      <c r="O152" s="148"/>
      <c r="P152" s="148"/>
      <c r="Q152" s="97" t="s">
        <v>949</v>
      </c>
      <c r="R152" s="97" t="s">
        <v>949</v>
      </c>
      <c r="S152" s="97">
        <v>5.83</v>
      </c>
      <c r="T152" s="97">
        <v>7</v>
      </c>
      <c r="U152" s="97" t="s">
        <v>955</v>
      </c>
      <c r="V152" s="97" t="s">
        <v>949</v>
      </c>
      <c r="W152" s="97" t="s">
        <v>949</v>
      </c>
      <c r="X152" s="151" t="s">
        <v>949</v>
      </c>
      <c r="Y152" s="151" t="s">
        <v>4</v>
      </c>
      <c r="Z152" s="151" t="s">
        <v>941</v>
      </c>
      <c r="AA152" s="151" t="s">
        <v>1055</v>
      </c>
      <c r="AB152" s="169" t="s">
        <v>963</v>
      </c>
      <c r="AC152" s="109" t="s">
        <v>954</v>
      </c>
    </row>
    <row r="153" spans="1:29" x14ac:dyDescent="0.3">
      <c r="A153" s="124"/>
      <c r="B153" s="111">
        <v>152</v>
      </c>
      <c r="C153" s="7" t="s">
        <v>678</v>
      </c>
      <c r="D153" s="7">
        <v>61091</v>
      </c>
      <c r="E153" s="7" t="s">
        <v>835</v>
      </c>
      <c r="F153" s="6" t="s">
        <v>335</v>
      </c>
      <c r="G153" s="5" t="s">
        <v>29</v>
      </c>
      <c r="H153" s="2" t="s">
        <v>336</v>
      </c>
      <c r="I153" s="3">
        <v>43910</v>
      </c>
      <c r="J153" s="89">
        <v>43850</v>
      </c>
      <c r="K153" s="86">
        <v>0.54375000000000007</v>
      </c>
      <c r="L153" s="125">
        <v>4.1580000000000004</v>
      </c>
      <c r="M153" s="133">
        <v>6.76</v>
      </c>
      <c r="N153" s="86"/>
      <c r="O153" s="86"/>
      <c r="P153" s="86">
        <v>0.55555555555555558</v>
      </c>
      <c r="Q153" s="80">
        <v>0.97</v>
      </c>
      <c r="R153" s="80">
        <v>6.74</v>
      </c>
      <c r="S153" s="80">
        <v>6.82</v>
      </c>
      <c r="T153" s="80">
        <v>7.25</v>
      </c>
      <c r="U153" s="80" t="s">
        <v>955</v>
      </c>
      <c r="V153" s="80">
        <v>0.08</v>
      </c>
      <c r="W153" s="80">
        <v>0.51</v>
      </c>
      <c r="X153" s="4">
        <v>1</v>
      </c>
      <c r="Y153" s="4" t="s">
        <v>6</v>
      </c>
      <c r="Z153" s="4" t="s">
        <v>941</v>
      </c>
      <c r="AA153" s="4" t="s">
        <v>999</v>
      </c>
      <c r="AB153" s="8" t="s">
        <v>337</v>
      </c>
    </row>
    <row r="154" spans="1:29" x14ac:dyDescent="0.3">
      <c r="A154" s="124"/>
      <c r="B154" s="114">
        <v>153</v>
      </c>
      <c r="C154" s="38" t="s">
        <v>679</v>
      </c>
      <c r="D154" s="38">
        <v>57414</v>
      </c>
      <c r="E154" s="38" t="s">
        <v>836</v>
      </c>
      <c r="F154" s="39" t="s">
        <v>338</v>
      </c>
      <c r="G154" s="40" t="s">
        <v>18</v>
      </c>
      <c r="H154" s="33" t="s">
        <v>339</v>
      </c>
      <c r="I154" s="32">
        <v>43999</v>
      </c>
      <c r="J154" s="87">
        <v>43872</v>
      </c>
      <c r="K154" s="88">
        <v>0.44513888888888892</v>
      </c>
      <c r="L154" s="127">
        <f>59.216-57.92</f>
        <v>1.2959999999999994</v>
      </c>
      <c r="M154" s="132">
        <f>(63.909-57.912)+0.086</f>
        <v>6.0830000000000002</v>
      </c>
      <c r="N154" s="88"/>
      <c r="O154" s="88"/>
      <c r="P154" s="88">
        <v>0.4513888888888889</v>
      </c>
      <c r="Q154" s="79">
        <v>0.96</v>
      </c>
      <c r="R154" s="79">
        <v>5.93</v>
      </c>
      <c r="S154" s="79">
        <v>6.06</v>
      </c>
      <c r="T154" s="79">
        <v>5.99</v>
      </c>
      <c r="U154" s="79" t="s">
        <v>955</v>
      </c>
      <c r="V154" s="79">
        <v>0.13</v>
      </c>
      <c r="W154" s="79">
        <v>0.06</v>
      </c>
      <c r="X154" s="34">
        <v>1</v>
      </c>
      <c r="Y154" s="34" t="s">
        <v>4</v>
      </c>
      <c r="Z154" s="34" t="s">
        <v>941</v>
      </c>
      <c r="AA154" s="190" t="s">
        <v>1158</v>
      </c>
      <c r="AB154" s="35"/>
    </row>
    <row r="155" spans="1:29" x14ac:dyDescent="0.3">
      <c r="A155" s="124"/>
      <c r="B155" s="114">
        <v>154</v>
      </c>
      <c r="C155" s="38" t="s">
        <v>680</v>
      </c>
      <c r="D155" s="38">
        <v>57429</v>
      </c>
      <c r="E155" s="38" t="s">
        <v>837</v>
      </c>
      <c r="F155" s="39" t="s">
        <v>340</v>
      </c>
      <c r="G155" s="40" t="s">
        <v>18</v>
      </c>
      <c r="H155" s="33" t="s">
        <v>341</v>
      </c>
      <c r="I155" s="32">
        <v>43903</v>
      </c>
      <c r="J155" s="87">
        <v>43857</v>
      </c>
      <c r="K155" s="88" t="s">
        <v>1082</v>
      </c>
      <c r="L155" s="127">
        <v>1.4830000000000001</v>
      </c>
      <c r="M155" s="132">
        <v>5.53</v>
      </c>
      <c r="N155" s="88"/>
      <c r="O155" s="88"/>
      <c r="P155" s="88"/>
      <c r="Q155" s="79">
        <v>1.24</v>
      </c>
      <c r="R155" s="79">
        <v>5.43</v>
      </c>
      <c r="S155" s="79">
        <v>5.53</v>
      </c>
      <c r="T155" s="79">
        <v>5.47</v>
      </c>
      <c r="U155" s="79" t="s">
        <v>955</v>
      </c>
      <c r="V155" s="79">
        <v>0.1</v>
      </c>
      <c r="W155" s="79">
        <v>0.04</v>
      </c>
      <c r="X155" s="34">
        <v>1</v>
      </c>
      <c r="Y155" s="34" t="s">
        <v>4</v>
      </c>
      <c r="Z155" s="34" t="s">
        <v>941</v>
      </c>
      <c r="AA155" s="34" t="s">
        <v>1083</v>
      </c>
      <c r="AB155" s="35"/>
    </row>
    <row r="156" spans="1:29" x14ac:dyDescent="0.3">
      <c r="A156" s="124"/>
      <c r="B156" s="179">
        <v>155</v>
      </c>
      <c r="C156" s="180" t="s">
        <v>681</v>
      </c>
      <c r="D156" s="180">
        <v>57430</v>
      </c>
      <c r="E156" s="180" t="s">
        <v>838</v>
      </c>
      <c r="F156" s="181" t="s">
        <v>342</v>
      </c>
      <c r="G156" s="182" t="s">
        <v>18</v>
      </c>
      <c r="H156" s="183" t="s">
        <v>343</v>
      </c>
      <c r="I156" s="184">
        <v>43908</v>
      </c>
      <c r="J156" s="185">
        <v>43872</v>
      </c>
      <c r="K156" s="186">
        <v>0.42569444444444443</v>
      </c>
      <c r="L156" s="187">
        <f>59.073-57.912</f>
        <v>1.1610000000000014</v>
      </c>
      <c r="M156" s="188">
        <f>(64.357-57.912)+0.086</f>
        <v>6.5310000000000006</v>
      </c>
      <c r="N156" s="186"/>
      <c r="O156" s="186"/>
      <c r="P156" s="186">
        <v>0.43055555555555558</v>
      </c>
      <c r="Q156" s="189">
        <v>0.78</v>
      </c>
      <c r="R156" s="189">
        <v>6.43</v>
      </c>
      <c r="S156" s="189">
        <v>6.52</v>
      </c>
      <c r="T156" s="189">
        <v>6.46</v>
      </c>
      <c r="U156" s="189" t="s">
        <v>955</v>
      </c>
      <c r="V156" s="189">
        <v>0.09</v>
      </c>
      <c r="W156" s="189">
        <v>0.03</v>
      </c>
      <c r="X156" s="190">
        <v>1</v>
      </c>
      <c r="Y156" s="190" t="s">
        <v>4</v>
      </c>
      <c r="Z156" s="190" t="s">
        <v>941</v>
      </c>
      <c r="AA156" s="190" t="s">
        <v>1158</v>
      </c>
      <c r="AB156" s="191"/>
    </row>
    <row r="157" spans="1:29" x14ac:dyDescent="0.3">
      <c r="A157" s="140">
        <f>Table225[[#This Row],[9 month data expiry]]</f>
        <v>43918</v>
      </c>
      <c r="B157" s="114">
        <v>156</v>
      </c>
      <c r="C157" s="38" t="s">
        <v>682</v>
      </c>
      <c r="D157" s="38">
        <v>56586</v>
      </c>
      <c r="E157" s="38" t="s">
        <v>839</v>
      </c>
      <c r="F157" s="39" t="s">
        <v>344</v>
      </c>
      <c r="G157" s="40" t="s">
        <v>29</v>
      </c>
      <c r="H157" s="33" t="s">
        <v>345</v>
      </c>
      <c r="I157" s="32">
        <v>43918</v>
      </c>
      <c r="J157" s="87">
        <v>43872</v>
      </c>
      <c r="K157" s="88" t="s">
        <v>1163</v>
      </c>
      <c r="L157" s="127">
        <f>58.965-57.912</f>
        <v>1.0530000000000044</v>
      </c>
      <c r="M157" s="132">
        <f>(63.541-57.912)+0.086</f>
        <v>5.7149999999999981</v>
      </c>
      <c r="N157" s="88"/>
      <c r="O157" s="88"/>
      <c r="P157" s="88" t="s">
        <v>1123</v>
      </c>
      <c r="Q157" s="79">
        <v>0.92</v>
      </c>
      <c r="R157" s="79">
        <v>5.73</v>
      </c>
      <c r="S157" s="79">
        <v>6</v>
      </c>
      <c r="T157" s="79">
        <v>5.89</v>
      </c>
      <c r="U157" s="79" t="s">
        <v>955</v>
      </c>
      <c r="V157" s="79">
        <v>0.27</v>
      </c>
      <c r="W157" s="79">
        <v>0.16</v>
      </c>
      <c r="X157" s="34">
        <v>1</v>
      </c>
      <c r="Y157" s="34" t="s">
        <v>4</v>
      </c>
      <c r="Z157" s="34" t="s">
        <v>941</v>
      </c>
      <c r="AA157" s="34"/>
      <c r="AB157" s="35"/>
    </row>
    <row r="158" spans="1:29" x14ac:dyDescent="0.3">
      <c r="A158" s="124"/>
      <c r="B158" s="114">
        <v>157</v>
      </c>
      <c r="C158" s="38">
        <v>157</v>
      </c>
      <c r="D158" s="38">
        <v>74013</v>
      </c>
      <c r="E158" s="38" t="s">
        <v>840</v>
      </c>
      <c r="F158" s="39" t="s">
        <v>346</v>
      </c>
      <c r="G158" s="40" t="s">
        <v>18</v>
      </c>
      <c r="H158" s="33" t="s">
        <v>347</v>
      </c>
      <c r="I158" s="32">
        <v>43903</v>
      </c>
      <c r="J158" s="87">
        <v>43872</v>
      </c>
      <c r="K158" s="88">
        <v>0.39652777777777781</v>
      </c>
      <c r="L158" s="127">
        <v>1.7710000000000008</v>
      </c>
      <c r="M158" s="132">
        <v>6.1789999999999967</v>
      </c>
      <c r="N158" s="88"/>
      <c r="O158" s="88"/>
      <c r="P158" s="88">
        <v>0.40277777777777773</v>
      </c>
      <c r="Q158" s="79">
        <v>1.63</v>
      </c>
      <c r="R158" s="79">
        <v>6.08</v>
      </c>
      <c r="S158" s="79">
        <v>6.17</v>
      </c>
      <c r="T158" s="79">
        <v>4.09</v>
      </c>
      <c r="U158" s="79">
        <v>6.14</v>
      </c>
      <c r="V158" s="79">
        <v>0.09</v>
      </c>
      <c r="W158" s="79" t="s">
        <v>948</v>
      </c>
      <c r="X158" s="34">
        <v>1</v>
      </c>
      <c r="Y158" s="34" t="s">
        <v>4</v>
      </c>
      <c r="Z158" s="34" t="s">
        <v>936</v>
      </c>
      <c r="AA158" s="34"/>
      <c r="AB158" s="37"/>
    </row>
    <row r="159" spans="1:29" x14ac:dyDescent="0.3">
      <c r="A159" s="124"/>
      <c r="B159" s="111">
        <v>158</v>
      </c>
      <c r="C159" s="7">
        <v>158</v>
      </c>
      <c r="D159" s="7">
        <v>74015</v>
      </c>
      <c r="E159" s="7" t="s">
        <v>841</v>
      </c>
      <c r="F159" s="6" t="s">
        <v>348</v>
      </c>
      <c r="G159" s="5" t="s">
        <v>18</v>
      </c>
      <c r="H159" s="2" t="s">
        <v>349</v>
      </c>
      <c r="I159" s="3">
        <v>43903</v>
      </c>
      <c r="J159" s="89">
        <v>43858</v>
      </c>
      <c r="K159" s="86">
        <v>0.55208333333333337</v>
      </c>
      <c r="L159" s="125">
        <v>0.188</v>
      </c>
      <c r="M159" s="133">
        <v>6.0069999999999997</v>
      </c>
      <c r="N159" s="86"/>
      <c r="O159" s="86"/>
      <c r="P159" s="86" t="s">
        <v>1095</v>
      </c>
      <c r="Q159" s="80">
        <v>0.02</v>
      </c>
      <c r="R159" s="80">
        <v>5.96</v>
      </c>
      <c r="S159" s="80">
        <v>6.09</v>
      </c>
      <c r="T159" s="80">
        <v>4</v>
      </c>
      <c r="U159" s="80">
        <v>6.07</v>
      </c>
      <c r="V159" s="80">
        <v>0.13</v>
      </c>
      <c r="W159" s="80" t="s">
        <v>948</v>
      </c>
      <c r="X159" s="4">
        <v>1</v>
      </c>
      <c r="Y159" s="4" t="s">
        <v>6</v>
      </c>
      <c r="Z159" s="4" t="s">
        <v>936</v>
      </c>
      <c r="AA159" s="4"/>
      <c r="AB159" s="15" t="s">
        <v>350</v>
      </c>
    </row>
    <row r="160" spans="1:29" x14ac:dyDescent="0.3">
      <c r="A160" s="157"/>
      <c r="B160" s="114">
        <v>159</v>
      </c>
      <c r="C160" s="38">
        <v>159</v>
      </c>
      <c r="D160" s="38">
        <v>74076</v>
      </c>
      <c r="E160" s="38" t="s">
        <v>842</v>
      </c>
      <c r="F160" s="39" t="s">
        <v>351</v>
      </c>
      <c r="G160" s="40" t="s">
        <v>18</v>
      </c>
      <c r="H160" s="33" t="s">
        <v>352</v>
      </c>
      <c r="I160" s="32">
        <v>43903</v>
      </c>
      <c r="J160" s="87">
        <v>43871</v>
      </c>
      <c r="K160" s="88" t="s">
        <v>1155</v>
      </c>
      <c r="L160" s="127">
        <f>58.962 -  57.912</f>
        <v>1.0500000000000043</v>
      </c>
      <c r="M160" s="132">
        <f>(63.67- 57.912) + 0.086</f>
        <v>5.844000000000003</v>
      </c>
      <c r="N160" s="88"/>
      <c r="O160" s="88"/>
      <c r="P160" s="88"/>
      <c r="Q160" s="79">
        <v>0.86</v>
      </c>
      <c r="R160" s="79">
        <v>5.77</v>
      </c>
      <c r="S160" s="79">
        <v>5.9</v>
      </c>
      <c r="T160" s="79">
        <v>4</v>
      </c>
      <c r="U160" s="79">
        <v>6.08</v>
      </c>
      <c r="V160" s="79">
        <v>0.13</v>
      </c>
      <c r="W160" s="79" t="s">
        <v>948</v>
      </c>
      <c r="X160" s="34">
        <v>1</v>
      </c>
      <c r="Y160" s="34" t="s">
        <v>4</v>
      </c>
      <c r="Z160" s="34" t="s">
        <v>936</v>
      </c>
      <c r="AA160" s="34"/>
      <c r="AB160" s="37"/>
    </row>
    <row r="161" spans="1:29" x14ac:dyDescent="0.3">
      <c r="A161" s="124"/>
      <c r="B161" s="114">
        <v>160</v>
      </c>
      <c r="C161" s="38">
        <v>160</v>
      </c>
      <c r="D161" s="38">
        <v>65474</v>
      </c>
      <c r="E161" s="38" t="s">
        <v>843</v>
      </c>
      <c r="F161" s="39" t="s">
        <v>353</v>
      </c>
      <c r="G161" s="40" t="s">
        <v>167</v>
      </c>
      <c r="H161" s="33" t="s">
        <v>354</v>
      </c>
      <c r="I161" s="32">
        <v>43916</v>
      </c>
      <c r="J161" s="87">
        <v>43850</v>
      </c>
      <c r="K161" s="88" t="s">
        <v>988</v>
      </c>
      <c r="L161" s="127">
        <v>1.649</v>
      </c>
      <c r="M161" s="132">
        <v>5.6790000000000003</v>
      </c>
      <c r="N161" s="88"/>
      <c r="O161" s="88"/>
      <c r="P161" s="88">
        <v>0.36805555555555558</v>
      </c>
      <c r="Q161" s="79">
        <v>1.47</v>
      </c>
      <c r="R161" s="79">
        <v>5.63</v>
      </c>
      <c r="S161" s="79">
        <v>5.75</v>
      </c>
      <c r="T161" s="79">
        <v>4</v>
      </c>
      <c r="U161" s="79">
        <v>6.09</v>
      </c>
      <c r="V161" s="79">
        <v>0.12</v>
      </c>
      <c r="W161" s="79" t="s">
        <v>948</v>
      </c>
      <c r="X161" s="34">
        <v>1</v>
      </c>
      <c r="Y161" s="34" t="s">
        <v>4</v>
      </c>
      <c r="Z161" s="34" t="s">
        <v>936</v>
      </c>
      <c r="AA161" s="34" t="s">
        <v>989</v>
      </c>
      <c r="AB161" s="35"/>
    </row>
    <row r="162" spans="1:29" x14ac:dyDescent="0.3">
      <c r="A162" s="124"/>
      <c r="B162" s="114">
        <v>161</v>
      </c>
      <c r="C162" s="38">
        <v>161</v>
      </c>
      <c r="D162" s="38">
        <v>65226</v>
      </c>
      <c r="E162" s="38" t="s">
        <v>844</v>
      </c>
      <c r="F162" s="39" t="s">
        <v>355</v>
      </c>
      <c r="G162" s="40" t="s">
        <v>18</v>
      </c>
      <c r="H162" s="33" t="s">
        <v>356</v>
      </c>
      <c r="I162" s="32">
        <v>43907</v>
      </c>
      <c r="J162" s="87">
        <v>43882</v>
      </c>
      <c r="K162" s="88">
        <v>0.58611111111111114</v>
      </c>
      <c r="L162" s="127">
        <f>58.531-57.912</f>
        <v>0.61899999999999977</v>
      </c>
      <c r="M162" s="132">
        <f>(63.741-57.912)+0.086</f>
        <v>5.9150000000000009</v>
      </c>
      <c r="N162" s="88"/>
      <c r="O162" s="88"/>
      <c r="P162" s="88" t="s">
        <v>1199</v>
      </c>
      <c r="Q162" s="79">
        <v>0.55000000000000004</v>
      </c>
      <c r="R162" s="79">
        <v>5.81</v>
      </c>
      <c r="S162" s="79">
        <v>5.98</v>
      </c>
      <c r="T162" s="79" t="e">
        <v>#N/A</v>
      </c>
      <c r="U162" s="79">
        <v>6.02</v>
      </c>
      <c r="V162" s="79">
        <v>0.17</v>
      </c>
      <c r="W162" s="79" t="s">
        <v>946</v>
      </c>
      <c r="X162" s="34">
        <v>1</v>
      </c>
      <c r="Y162" s="34" t="s">
        <v>4</v>
      </c>
      <c r="Z162" s="34" t="s">
        <v>937</v>
      </c>
      <c r="AA162" s="34"/>
      <c r="AB162" s="35"/>
    </row>
    <row r="163" spans="1:29" x14ac:dyDescent="0.3">
      <c r="A163" s="140"/>
      <c r="B163" s="114">
        <v>162</v>
      </c>
      <c r="C163" s="38">
        <v>162</v>
      </c>
      <c r="D163" s="38">
        <v>65506</v>
      </c>
      <c r="E163" s="38" t="s">
        <v>845</v>
      </c>
      <c r="F163" s="39" t="s">
        <v>357</v>
      </c>
      <c r="G163" s="40" t="s">
        <v>29</v>
      </c>
      <c r="H163" s="33" t="s">
        <v>358</v>
      </c>
      <c r="I163" s="32">
        <v>43911</v>
      </c>
      <c r="J163" s="87">
        <v>43873</v>
      </c>
      <c r="K163" s="88">
        <v>0.50902777777777775</v>
      </c>
      <c r="L163" s="127">
        <f>60.082-57.912</f>
        <v>2.1700000000000017</v>
      </c>
      <c r="M163" s="132">
        <f>(64.015-57.912)+0.086</f>
        <v>6.1890000000000018</v>
      </c>
      <c r="N163" s="88"/>
      <c r="O163" s="88"/>
      <c r="P163" s="88">
        <v>0.51388888888888895</v>
      </c>
      <c r="Q163" s="79">
        <v>2.1</v>
      </c>
      <c r="R163" s="79">
        <v>6.07</v>
      </c>
      <c r="S163" s="79">
        <v>6.18</v>
      </c>
      <c r="T163" s="79">
        <v>4</v>
      </c>
      <c r="U163" s="79">
        <v>6.2</v>
      </c>
      <c r="V163" s="79">
        <v>0.11</v>
      </c>
      <c r="W163" s="79" t="s">
        <v>948</v>
      </c>
      <c r="X163" s="34">
        <v>1</v>
      </c>
      <c r="Y163" s="34" t="s">
        <v>4</v>
      </c>
      <c r="Z163" s="34" t="s">
        <v>936</v>
      </c>
      <c r="AA163" s="34"/>
      <c r="AB163" s="35"/>
    </row>
    <row r="164" spans="1:29" x14ac:dyDescent="0.3">
      <c r="A164" s="124"/>
      <c r="B164" s="114">
        <v>163</v>
      </c>
      <c r="C164" s="38">
        <v>163</v>
      </c>
      <c r="D164" s="38">
        <v>65436</v>
      </c>
      <c r="E164" s="38" t="s">
        <v>846</v>
      </c>
      <c r="F164" s="39" t="s">
        <v>359</v>
      </c>
      <c r="G164" s="40" t="s">
        <v>167</v>
      </c>
      <c r="H164" s="33" t="s">
        <v>360</v>
      </c>
      <c r="I164" s="32">
        <v>43916</v>
      </c>
      <c r="J164" s="87">
        <v>43847</v>
      </c>
      <c r="K164" s="88">
        <v>0.44097222222222227</v>
      </c>
      <c r="L164" s="127">
        <v>0.318</v>
      </c>
      <c r="M164" s="132">
        <v>5.84</v>
      </c>
      <c r="N164" s="88"/>
      <c r="O164" s="88"/>
      <c r="P164" s="88">
        <v>0.4513888888888889</v>
      </c>
      <c r="Q164" s="79">
        <v>0.19</v>
      </c>
      <c r="R164" s="79">
        <v>5.84</v>
      </c>
      <c r="S164" s="79">
        <v>5.95</v>
      </c>
      <c r="T164" s="79">
        <v>4.05</v>
      </c>
      <c r="U164" s="79">
        <v>6.07</v>
      </c>
      <c r="V164" s="79">
        <v>0.11</v>
      </c>
      <c r="W164" s="79" t="s">
        <v>948</v>
      </c>
      <c r="X164" s="34">
        <v>1</v>
      </c>
      <c r="Y164" s="34" t="s">
        <v>4</v>
      </c>
      <c r="Z164" s="34" t="s">
        <v>936</v>
      </c>
      <c r="AA164" s="34"/>
      <c r="AB164" s="35"/>
    </row>
    <row r="165" spans="1:29" x14ac:dyDescent="0.3">
      <c r="A165" s="124"/>
      <c r="B165" s="114">
        <v>164</v>
      </c>
      <c r="C165" s="38">
        <v>164</v>
      </c>
      <c r="D165" s="38">
        <v>65437</v>
      </c>
      <c r="E165" s="38" t="s">
        <v>847</v>
      </c>
      <c r="F165" s="39" t="s">
        <v>361</v>
      </c>
      <c r="G165" s="40" t="s">
        <v>167</v>
      </c>
      <c r="H165" s="33" t="s">
        <v>362</v>
      </c>
      <c r="I165" s="32">
        <v>43916</v>
      </c>
      <c r="J165" s="87">
        <v>43847</v>
      </c>
      <c r="K165" s="88" t="s">
        <v>984</v>
      </c>
      <c r="L165" s="127">
        <v>1.272</v>
      </c>
      <c r="M165" s="132">
        <v>5.9</v>
      </c>
      <c r="N165" s="88"/>
      <c r="O165" s="88"/>
      <c r="P165" s="88"/>
      <c r="Q165" s="79">
        <v>1.03</v>
      </c>
      <c r="R165" s="79">
        <v>5.78</v>
      </c>
      <c r="S165" s="79">
        <v>5.92</v>
      </c>
      <c r="T165" s="79">
        <v>4</v>
      </c>
      <c r="U165" s="79">
        <v>6.08</v>
      </c>
      <c r="V165" s="79">
        <v>0.14000000000000001</v>
      </c>
      <c r="W165" s="79" t="s">
        <v>948</v>
      </c>
      <c r="X165" s="34">
        <v>1</v>
      </c>
      <c r="Y165" s="34" t="s">
        <v>4</v>
      </c>
      <c r="Z165" s="34" t="s">
        <v>936</v>
      </c>
      <c r="AA165" s="34" t="s">
        <v>982</v>
      </c>
      <c r="AB165" s="35"/>
    </row>
    <row r="166" spans="1:29" x14ac:dyDescent="0.3">
      <c r="A166" s="124"/>
      <c r="B166" s="114">
        <v>165</v>
      </c>
      <c r="C166" s="38">
        <v>165</v>
      </c>
      <c r="D166" s="38">
        <v>65227</v>
      </c>
      <c r="E166" s="38" t="s">
        <v>848</v>
      </c>
      <c r="F166" s="39" t="s">
        <v>363</v>
      </c>
      <c r="G166" s="40" t="s">
        <v>18</v>
      </c>
      <c r="H166" s="33" t="s">
        <v>364</v>
      </c>
      <c r="I166" s="32">
        <v>43907</v>
      </c>
      <c r="J166" s="87">
        <v>43858</v>
      </c>
      <c r="K166" s="88">
        <v>0.52361111111111114</v>
      </c>
      <c r="L166" s="127">
        <v>0.60499999999999998</v>
      </c>
      <c r="M166" s="132">
        <v>5.97</v>
      </c>
      <c r="N166" s="88"/>
      <c r="O166" s="88"/>
      <c r="P166" s="88">
        <v>0.53472222222222221</v>
      </c>
      <c r="Q166" s="79">
        <v>0.59</v>
      </c>
      <c r="R166" s="79">
        <v>5.93</v>
      </c>
      <c r="S166" s="79">
        <v>6.04</v>
      </c>
      <c r="T166" s="79" t="e">
        <v>#N/A</v>
      </c>
      <c r="U166" s="79">
        <v>6.09</v>
      </c>
      <c r="V166" s="79">
        <v>0.11</v>
      </c>
      <c r="W166" s="79" t="s">
        <v>946</v>
      </c>
      <c r="X166" s="34">
        <v>1</v>
      </c>
      <c r="Y166" s="34" t="s">
        <v>4</v>
      </c>
      <c r="Z166" s="34" t="s">
        <v>937</v>
      </c>
      <c r="AA166" s="34"/>
      <c r="AB166" s="35"/>
    </row>
    <row r="167" spans="1:29" x14ac:dyDescent="0.3">
      <c r="A167" s="124"/>
      <c r="B167" s="114">
        <v>166</v>
      </c>
      <c r="C167" s="38" t="s">
        <v>683</v>
      </c>
      <c r="D167" s="38">
        <v>65151</v>
      </c>
      <c r="E167" s="38" t="s">
        <v>849</v>
      </c>
      <c r="F167" s="39" t="s">
        <v>365</v>
      </c>
      <c r="G167" s="40" t="s">
        <v>167</v>
      </c>
      <c r="H167" s="33" t="s">
        <v>366</v>
      </c>
      <c r="I167" s="32">
        <v>43915</v>
      </c>
      <c r="J167" s="87">
        <v>43875</v>
      </c>
      <c r="K167" s="88">
        <v>0.51180555555555551</v>
      </c>
      <c r="L167" s="127">
        <f>58.737-57.912</f>
        <v>0.82500000000000284</v>
      </c>
      <c r="M167" s="132">
        <f>(63.232-57.912)+0.086</f>
        <v>5.4060000000000006</v>
      </c>
      <c r="N167" s="88"/>
      <c r="O167" s="88"/>
      <c r="P167" s="88">
        <v>0.52083333333333337</v>
      </c>
      <c r="Q167" s="79">
        <v>0.67</v>
      </c>
      <c r="R167" s="79">
        <v>5.32</v>
      </c>
      <c r="S167" s="79">
        <v>5.39</v>
      </c>
      <c r="T167" s="79" t="e">
        <v>#N/A</v>
      </c>
      <c r="U167" s="79">
        <v>5.9</v>
      </c>
      <c r="V167" s="79">
        <v>7.0000000000000007E-2</v>
      </c>
      <c r="W167" s="79" t="s">
        <v>946</v>
      </c>
      <c r="X167" s="34">
        <v>1</v>
      </c>
      <c r="Y167" s="34" t="s">
        <v>4</v>
      </c>
      <c r="Z167" s="34" t="s">
        <v>937</v>
      </c>
      <c r="AA167" s="34" t="s">
        <v>1187</v>
      </c>
      <c r="AB167" s="35"/>
    </row>
    <row r="168" spans="1:29" x14ac:dyDescent="0.3">
      <c r="A168" s="124"/>
      <c r="B168" s="114">
        <v>167</v>
      </c>
      <c r="C168" s="38">
        <v>167</v>
      </c>
      <c r="D168" s="38">
        <v>74892</v>
      </c>
      <c r="E168" s="38" t="s">
        <v>850</v>
      </c>
      <c r="F168" s="39" t="s">
        <v>367</v>
      </c>
      <c r="G168" s="40" t="s">
        <v>18</v>
      </c>
      <c r="H168" s="33" t="s">
        <v>368</v>
      </c>
      <c r="I168" s="32">
        <v>43903</v>
      </c>
      <c r="J168" s="87">
        <v>43857</v>
      </c>
      <c r="K168" s="88" t="s">
        <v>1084</v>
      </c>
      <c r="L168" s="127">
        <v>0.61299999999999999</v>
      </c>
      <c r="M168" s="132">
        <v>6.9249999999999998</v>
      </c>
      <c r="N168" s="88"/>
      <c r="O168" s="88"/>
      <c r="P168" s="88" t="s">
        <v>1060</v>
      </c>
      <c r="Q168" s="79">
        <v>0.33</v>
      </c>
      <c r="R168" s="79">
        <v>5.91</v>
      </c>
      <c r="S168" s="79">
        <v>6.01</v>
      </c>
      <c r="T168" s="79" t="e">
        <v>#N/A</v>
      </c>
      <c r="U168" s="79">
        <v>6.16</v>
      </c>
      <c r="V168" s="79">
        <v>0.1</v>
      </c>
      <c r="W168" s="79" t="s">
        <v>946</v>
      </c>
      <c r="X168" s="34">
        <v>1</v>
      </c>
      <c r="Y168" s="34" t="s">
        <v>4</v>
      </c>
      <c r="Z168" s="34" t="s">
        <v>937</v>
      </c>
      <c r="AA168" s="34"/>
      <c r="AB168" s="35"/>
    </row>
    <row r="169" spans="1:29" x14ac:dyDescent="0.3">
      <c r="A169" s="124"/>
      <c r="B169" s="114">
        <v>168</v>
      </c>
      <c r="C169" s="38">
        <v>168</v>
      </c>
      <c r="D169" s="38">
        <v>65190</v>
      </c>
      <c r="E169" s="38" t="s">
        <v>851</v>
      </c>
      <c r="F169" s="39" t="s">
        <v>369</v>
      </c>
      <c r="G169" s="40" t="s">
        <v>29</v>
      </c>
      <c r="H169" s="33" t="s">
        <v>370</v>
      </c>
      <c r="I169" s="32">
        <v>43914</v>
      </c>
      <c r="J169" s="87">
        <v>43874</v>
      </c>
      <c r="K169" s="88">
        <v>0.41250000000000003</v>
      </c>
      <c r="L169" s="127">
        <f>58.44-57.912</f>
        <v>0.52799999999999869</v>
      </c>
      <c r="M169" s="132">
        <f>(63.094-57.912)+0.086</f>
        <v>5.2680000000000025</v>
      </c>
      <c r="N169" s="88"/>
      <c r="O169" s="88"/>
      <c r="P169" s="88">
        <v>0.41666666666666669</v>
      </c>
      <c r="Q169" s="79">
        <v>0.32</v>
      </c>
      <c r="R169" s="79">
        <v>5.18</v>
      </c>
      <c r="S169" s="79">
        <v>6.31</v>
      </c>
      <c r="T169" s="79" t="e">
        <v>#N/A</v>
      </c>
      <c r="U169" s="79">
        <v>6</v>
      </c>
      <c r="V169" s="79">
        <v>1.1299999999999999</v>
      </c>
      <c r="W169" s="79" t="s">
        <v>946</v>
      </c>
      <c r="X169" s="34">
        <v>1</v>
      </c>
      <c r="Y169" s="34" t="s">
        <v>4</v>
      </c>
      <c r="Z169" s="34" t="s">
        <v>937</v>
      </c>
      <c r="AA169" s="34"/>
      <c r="AB169" s="35"/>
    </row>
    <row r="170" spans="1:29" x14ac:dyDescent="0.3">
      <c r="A170" s="124"/>
      <c r="B170" s="114">
        <v>169</v>
      </c>
      <c r="C170" s="38">
        <v>169</v>
      </c>
      <c r="D170" s="38">
        <v>65480</v>
      </c>
      <c r="E170" s="38" t="s">
        <v>852</v>
      </c>
      <c r="F170" s="39" t="s">
        <v>371</v>
      </c>
      <c r="G170" s="40" t="s">
        <v>29</v>
      </c>
      <c r="H170" s="33" t="s">
        <v>372</v>
      </c>
      <c r="I170" s="32">
        <v>43914</v>
      </c>
      <c r="J170" s="87">
        <v>43868</v>
      </c>
      <c r="K170" s="88">
        <v>0.52361111111111114</v>
      </c>
      <c r="L170" s="127">
        <v>2.1859999999999999</v>
      </c>
      <c r="M170" s="132">
        <v>6.0679999999999996</v>
      </c>
      <c r="N170" s="88"/>
      <c r="O170" s="88"/>
      <c r="P170" s="88">
        <v>0.52777777777777779</v>
      </c>
      <c r="Q170" s="79">
        <v>2.02</v>
      </c>
      <c r="R170" s="79">
        <v>6.05</v>
      </c>
      <c r="S170" s="79">
        <v>6.14</v>
      </c>
      <c r="T170" s="79">
        <v>3.88</v>
      </c>
      <c r="U170" s="79">
        <v>6.11</v>
      </c>
      <c r="V170" s="79">
        <v>0.09</v>
      </c>
      <c r="W170" s="79" t="s">
        <v>948</v>
      </c>
      <c r="X170" s="34">
        <v>1</v>
      </c>
      <c r="Y170" s="34" t="s">
        <v>4</v>
      </c>
      <c r="Z170" s="34" t="s">
        <v>936</v>
      </c>
      <c r="AA170" s="34"/>
      <c r="AB170" s="35"/>
    </row>
    <row r="171" spans="1:29" x14ac:dyDescent="0.3">
      <c r="A171" s="124"/>
      <c r="B171" s="114">
        <v>170</v>
      </c>
      <c r="C171" s="38">
        <v>170</v>
      </c>
      <c r="D171" s="38">
        <v>65475</v>
      </c>
      <c r="E171" s="38" t="s">
        <v>853</v>
      </c>
      <c r="F171" s="39" t="s">
        <v>373</v>
      </c>
      <c r="G171" s="40" t="s">
        <v>29</v>
      </c>
      <c r="H171" s="33" t="s">
        <v>374</v>
      </c>
      <c r="I171" s="32">
        <v>43918</v>
      </c>
      <c r="J171" s="87">
        <v>43873</v>
      </c>
      <c r="K171" s="88">
        <v>0.3756944444444445</v>
      </c>
      <c r="L171" s="127">
        <v>0.13200000000000001</v>
      </c>
      <c r="M171" s="132">
        <f>(63.932-57.912)+0.086</f>
        <v>6.1060000000000034</v>
      </c>
      <c r="N171" s="88"/>
      <c r="O171" s="88"/>
      <c r="P171" s="88">
        <v>0.38194444444444442</v>
      </c>
      <c r="Q171" s="79">
        <v>0.02</v>
      </c>
      <c r="R171" s="79">
        <v>8</v>
      </c>
      <c r="S171" s="79">
        <v>6.13</v>
      </c>
      <c r="T171" s="79">
        <v>3.82</v>
      </c>
      <c r="U171" s="79">
        <v>6.14</v>
      </c>
      <c r="V171" s="97">
        <v>-1.87</v>
      </c>
      <c r="W171" s="79" t="s">
        <v>948</v>
      </c>
      <c r="X171" s="34">
        <v>1</v>
      </c>
      <c r="Y171" s="34" t="s">
        <v>4</v>
      </c>
      <c r="Z171" s="34" t="s">
        <v>936</v>
      </c>
      <c r="AA171" s="34" t="s">
        <v>1166</v>
      </c>
      <c r="AB171" s="35" t="s">
        <v>375</v>
      </c>
    </row>
    <row r="172" spans="1:29" ht="28.8" x14ac:dyDescent="0.3">
      <c r="A172" s="124"/>
      <c r="B172" s="179">
        <v>171</v>
      </c>
      <c r="C172" s="180">
        <v>171</v>
      </c>
      <c r="D172" s="180">
        <v>65191</v>
      </c>
      <c r="E172" s="180" t="s">
        <v>854</v>
      </c>
      <c r="F172" s="181" t="s">
        <v>376</v>
      </c>
      <c r="G172" s="182" t="s">
        <v>18</v>
      </c>
      <c r="H172" s="183" t="s">
        <v>377</v>
      </c>
      <c r="I172" s="184">
        <v>43974</v>
      </c>
      <c r="J172" s="185">
        <v>43872</v>
      </c>
      <c r="K172" s="186">
        <v>0.48888888888888887</v>
      </c>
      <c r="L172" s="187">
        <f>59.306-57.912</f>
        <v>1.3939999999999984</v>
      </c>
      <c r="M172" s="188">
        <f>(63.792-57.912)+0.086</f>
        <v>5.9660000000000029</v>
      </c>
      <c r="N172" s="186"/>
      <c r="O172" s="186"/>
      <c r="P172" s="186">
        <v>0.49305555555555558</v>
      </c>
      <c r="Q172" s="189">
        <v>1.35</v>
      </c>
      <c r="R172" s="189">
        <v>6.07</v>
      </c>
      <c r="S172" s="189" t="s">
        <v>949</v>
      </c>
      <c r="T172" s="189">
        <v>2.75</v>
      </c>
      <c r="U172" s="189">
        <v>6</v>
      </c>
      <c r="V172" s="189" t="s">
        <v>949</v>
      </c>
      <c r="W172" s="189" t="s">
        <v>948</v>
      </c>
      <c r="X172" s="190">
        <v>1</v>
      </c>
      <c r="Y172" s="190" t="s">
        <v>4</v>
      </c>
      <c r="Z172" s="190" t="s">
        <v>936</v>
      </c>
      <c r="AA172" s="190" t="s">
        <v>1159</v>
      </c>
      <c r="AB172" s="191" t="s">
        <v>953</v>
      </c>
      <c r="AC172" s="109" t="s">
        <v>954</v>
      </c>
    </row>
    <row r="173" spans="1:29" x14ac:dyDescent="0.3">
      <c r="A173" s="124"/>
      <c r="B173" s="112">
        <v>172</v>
      </c>
      <c r="C173" s="17">
        <v>172</v>
      </c>
      <c r="D173" s="17">
        <v>74893</v>
      </c>
      <c r="E173" s="17" t="s">
        <v>855</v>
      </c>
      <c r="F173" s="18" t="s">
        <v>378</v>
      </c>
      <c r="G173" s="9" t="s">
        <v>18</v>
      </c>
      <c r="H173" s="10" t="s">
        <v>379</v>
      </c>
      <c r="I173" s="11" t="s">
        <v>949</v>
      </c>
      <c r="J173" s="84"/>
      <c r="K173" s="85"/>
      <c r="L173" s="126"/>
      <c r="M173" s="134"/>
      <c r="N173" s="85"/>
      <c r="O173" s="85"/>
      <c r="P173" s="85"/>
      <c r="Q173" s="78" t="s">
        <v>949</v>
      </c>
      <c r="R173" s="78" t="s">
        <v>949</v>
      </c>
      <c r="S173" s="78">
        <v>6.05</v>
      </c>
      <c r="T173" s="78">
        <v>3.82</v>
      </c>
      <c r="U173" s="78">
        <v>6.11</v>
      </c>
      <c r="V173" s="78" t="s">
        <v>947</v>
      </c>
      <c r="W173" s="78" t="s">
        <v>948</v>
      </c>
      <c r="X173" s="12" t="s">
        <v>949</v>
      </c>
      <c r="Y173" s="12" t="s">
        <v>11</v>
      </c>
      <c r="Z173" s="12" t="s">
        <v>936</v>
      </c>
      <c r="AA173" s="12"/>
      <c r="AB173" s="19" t="s">
        <v>380</v>
      </c>
    </row>
    <row r="174" spans="1:29" x14ac:dyDescent="0.3">
      <c r="A174" s="124"/>
      <c r="B174" s="114">
        <v>173</v>
      </c>
      <c r="C174" s="38">
        <v>173</v>
      </c>
      <c r="D174" s="38">
        <v>74457</v>
      </c>
      <c r="E174" s="38" t="s">
        <v>856</v>
      </c>
      <c r="F174" s="39" t="s">
        <v>381</v>
      </c>
      <c r="G174" s="40" t="s">
        <v>167</v>
      </c>
      <c r="H174" s="33" t="s">
        <v>382</v>
      </c>
      <c r="I174" s="32">
        <v>43916</v>
      </c>
      <c r="J174" s="87">
        <v>43847</v>
      </c>
      <c r="K174" s="88">
        <v>0.42708333333333331</v>
      </c>
      <c r="L174" s="127">
        <v>0.85299999999999998</v>
      </c>
      <c r="M174" s="132">
        <v>5.9850000000000003</v>
      </c>
      <c r="N174" s="88"/>
      <c r="O174" s="88"/>
      <c r="P174" s="88">
        <v>0.43055555555555558</v>
      </c>
      <c r="Q174" s="79">
        <v>0.66</v>
      </c>
      <c r="R174" s="79">
        <v>5.95</v>
      </c>
      <c r="S174" s="79">
        <v>6.1</v>
      </c>
      <c r="T174" s="79">
        <v>4</v>
      </c>
      <c r="U174" s="79">
        <v>6.1</v>
      </c>
      <c r="V174" s="79">
        <v>0.15</v>
      </c>
      <c r="W174" s="79" t="s">
        <v>946</v>
      </c>
      <c r="X174" s="34">
        <v>1</v>
      </c>
      <c r="Y174" s="34" t="s">
        <v>4</v>
      </c>
      <c r="Z174" s="34" t="s">
        <v>937</v>
      </c>
      <c r="AA174" s="34"/>
      <c r="AB174" s="35"/>
    </row>
    <row r="175" spans="1:29" x14ac:dyDescent="0.3">
      <c r="A175" s="157"/>
      <c r="B175" s="114">
        <v>174</v>
      </c>
      <c r="C175" s="38">
        <v>174</v>
      </c>
      <c r="D175" s="38">
        <v>65192</v>
      </c>
      <c r="E175" s="38" t="s">
        <v>857</v>
      </c>
      <c r="F175" s="39" t="s">
        <v>383</v>
      </c>
      <c r="G175" s="40" t="s">
        <v>18</v>
      </c>
      <c r="H175" s="33" t="s">
        <v>384</v>
      </c>
      <c r="I175" s="32">
        <v>43904</v>
      </c>
      <c r="J175" s="87">
        <v>43861</v>
      </c>
      <c r="K175" s="88">
        <v>0.6</v>
      </c>
      <c r="L175" s="127">
        <v>1.6839999999999999</v>
      </c>
      <c r="M175" s="132">
        <v>6.0659999999999998</v>
      </c>
      <c r="N175" s="88"/>
      <c r="O175" s="88"/>
      <c r="P175" s="88">
        <v>0.61111111111111105</v>
      </c>
      <c r="Q175" s="79">
        <v>1.32</v>
      </c>
      <c r="R175" s="79">
        <v>6.04</v>
      </c>
      <c r="S175" s="79">
        <v>6.14</v>
      </c>
      <c r="T175" s="79" t="e">
        <v>#N/A</v>
      </c>
      <c r="U175" s="79">
        <v>6</v>
      </c>
      <c r="V175" s="79">
        <v>0.1</v>
      </c>
      <c r="W175" s="79" t="s">
        <v>946</v>
      </c>
      <c r="X175" s="34">
        <v>1</v>
      </c>
      <c r="Y175" s="34" t="s">
        <v>4</v>
      </c>
      <c r="Z175" s="34" t="s">
        <v>937</v>
      </c>
      <c r="AA175" s="34"/>
      <c r="AB175" s="35"/>
    </row>
    <row r="176" spans="1:29" x14ac:dyDescent="0.3">
      <c r="A176" s="124"/>
      <c r="B176" s="114">
        <v>175</v>
      </c>
      <c r="C176" s="38">
        <v>175</v>
      </c>
      <c r="D176" s="38">
        <v>65288</v>
      </c>
      <c r="E176" s="38" t="s">
        <v>858</v>
      </c>
      <c r="F176" s="39" t="s">
        <v>385</v>
      </c>
      <c r="G176" s="40" t="s">
        <v>18</v>
      </c>
      <c r="H176" s="33" t="s">
        <v>386</v>
      </c>
      <c r="I176" s="32">
        <v>43904</v>
      </c>
      <c r="J176" s="87">
        <v>43872</v>
      </c>
      <c r="K176" s="88">
        <v>0.54375000000000007</v>
      </c>
      <c r="L176" s="127">
        <f>62.095-57.912</f>
        <v>4.1829999999999998</v>
      </c>
      <c r="M176" s="132">
        <f>(65.001-57.912)+0.086</f>
        <v>7.175000000000006</v>
      </c>
      <c r="N176" s="88"/>
      <c r="O176" s="88"/>
      <c r="P176" s="88" t="s">
        <v>1162</v>
      </c>
      <c r="Q176" s="79">
        <v>3.9</v>
      </c>
      <c r="R176" s="79">
        <v>7.09</v>
      </c>
      <c r="S176" s="79">
        <v>7.23</v>
      </c>
      <c r="T176" s="79" t="e">
        <v>#N/A</v>
      </c>
      <c r="U176" s="79">
        <v>7.29</v>
      </c>
      <c r="V176" s="79">
        <v>0.14000000000000001</v>
      </c>
      <c r="W176" s="79" t="s">
        <v>946</v>
      </c>
      <c r="X176" s="34">
        <v>1</v>
      </c>
      <c r="Y176" s="34" t="s">
        <v>4</v>
      </c>
      <c r="Z176" s="34" t="s">
        <v>937</v>
      </c>
      <c r="AA176" s="34"/>
      <c r="AB176" s="35"/>
    </row>
    <row r="177" spans="1:28" x14ac:dyDescent="0.3">
      <c r="A177" s="124"/>
      <c r="B177" s="114">
        <v>176</v>
      </c>
      <c r="C177" s="38">
        <v>176</v>
      </c>
      <c r="D177" s="38">
        <v>65159</v>
      </c>
      <c r="E177" s="38" t="s">
        <v>859</v>
      </c>
      <c r="F177" s="39" t="s">
        <v>387</v>
      </c>
      <c r="G177" s="40" t="s">
        <v>29</v>
      </c>
      <c r="H177" s="33" t="s">
        <v>388</v>
      </c>
      <c r="I177" s="32">
        <v>43908</v>
      </c>
      <c r="J177" s="87">
        <v>43851</v>
      </c>
      <c r="K177" s="88" t="s">
        <v>1011</v>
      </c>
      <c r="L177" s="127">
        <v>2.91</v>
      </c>
      <c r="M177" s="132">
        <v>6.0250000000000004</v>
      </c>
      <c r="N177" s="88"/>
      <c r="O177" s="88"/>
      <c r="P177" s="88"/>
      <c r="Q177" s="79">
        <v>2.79</v>
      </c>
      <c r="R177" s="79">
        <v>6.03</v>
      </c>
      <c r="S177" s="79">
        <v>6.11</v>
      </c>
      <c r="T177" s="79" t="e">
        <v>#N/A</v>
      </c>
      <c r="U177" s="79">
        <v>6</v>
      </c>
      <c r="V177" s="79">
        <v>0.08</v>
      </c>
      <c r="W177" s="79" t="s">
        <v>946</v>
      </c>
      <c r="X177" s="34">
        <v>1</v>
      </c>
      <c r="Y177" s="34" t="s">
        <v>4</v>
      </c>
      <c r="Z177" s="34" t="s">
        <v>937</v>
      </c>
      <c r="AA177" s="34"/>
      <c r="AB177" s="35"/>
    </row>
    <row r="178" spans="1:28" x14ac:dyDescent="0.3">
      <c r="A178" s="124"/>
      <c r="B178" s="112">
        <v>177</v>
      </c>
      <c r="C178" s="17">
        <v>177</v>
      </c>
      <c r="D178" s="17">
        <v>74009</v>
      </c>
      <c r="E178" s="17" t="s">
        <v>860</v>
      </c>
      <c r="F178" s="18" t="s">
        <v>389</v>
      </c>
      <c r="G178" s="9" t="s">
        <v>18</v>
      </c>
      <c r="H178" s="10" t="s">
        <v>390</v>
      </c>
      <c r="I178" s="11" t="s">
        <v>949</v>
      </c>
      <c r="J178" s="78"/>
      <c r="K178" s="85"/>
      <c r="L178" s="126"/>
      <c r="M178" s="134"/>
      <c r="N178" s="85"/>
      <c r="O178" s="85"/>
      <c r="P178" s="85"/>
      <c r="Q178" s="78" t="s">
        <v>949</v>
      </c>
      <c r="R178" s="78" t="s">
        <v>949</v>
      </c>
      <c r="S178" s="78">
        <v>6.08</v>
      </c>
      <c r="T178" s="78">
        <v>4.03</v>
      </c>
      <c r="U178" s="78">
        <v>6.06</v>
      </c>
      <c r="V178" s="78" t="s">
        <v>947</v>
      </c>
      <c r="W178" s="78" t="s">
        <v>948</v>
      </c>
      <c r="X178" s="12" t="s">
        <v>949</v>
      </c>
      <c r="Y178" s="12" t="s">
        <v>11</v>
      </c>
      <c r="Z178" s="12" t="s">
        <v>936</v>
      </c>
      <c r="AA178" s="12"/>
      <c r="AB178" s="10" t="s">
        <v>11</v>
      </c>
    </row>
    <row r="179" spans="1:28" x14ac:dyDescent="0.3">
      <c r="A179" s="124"/>
      <c r="B179" s="114">
        <v>178</v>
      </c>
      <c r="C179" s="38">
        <v>178</v>
      </c>
      <c r="D179" s="38">
        <v>74011</v>
      </c>
      <c r="E179" s="38" t="s">
        <v>861</v>
      </c>
      <c r="F179" s="39" t="s">
        <v>391</v>
      </c>
      <c r="G179" s="40" t="s">
        <v>18</v>
      </c>
      <c r="H179" s="33" t="s">
        <v>392</v>
      </c>
      <c r="I179" s="32">
        <v>43907</v>
      </c>
      <c r="J179" s="87">
        <v>43871</v>
      </c>
      <c r="K179" s="88" t="s">
        <v>1135</v>
      </c>
      <c r="L179" s="127">
        <v>1.385</v>
      </c>
      <c r="M179" s="132">
        <v>6.07</v>
      </c>
      <c r="N179" s="88"/>
      <c r="O179" s="88"/>
      <c r="P179" s="88" t="s">
        <v>1137</v>
      </c>
      <c r="Q179" s="79">
        <v>1.1299999999999999</v>
      </c>
      <c r="R179" s="79">
        <v>8.34</v>
      </c>
      <c r="S179" s="79">
        <v>6.13</v>
      </c>
      <c r="T179" s="79">
        <v>4</v>
      </c>
      <c r="U179" s="79">
        <v>6.09</v>
      </c>
      <c r="V179" s="97">
        <v>-2.21</v>
      </c>
      <c r="W179" s="79" t="s">
        <v>948</v>
      </c>
      <c r="X179" s="34">
        <v>1</v>
      </c>
      <c r="Y179" s="34" t="s">
        <v>4</v>
      </c>
      <c r="Z179" s="34" t="s">
        <v>936</v>
      </c>
      <c r="AA179" s="34" t="s">
        <v>1136</v>
      </c>
      <c r="AB179" s="35"/>
    </row>
    <row r="180" spans="1:28" x14ac:dyDescent="0.3">
      <c r="A180" s="124"/>
      <c r="B180" s="114">
        <v>179</v>
      </c>
      <c r="C180" s="38">
        <v>179</v>
      </c>
      <c r="D180" s="38">
        <v>74014</v>
      </c>
      <c r="E180" s="38" t="s">
        <v>862</v>
      </c>
      <c r="F180" s="39" t="s">
        <v>393</v>
      </c>
      <c r="G180" s="40" t="s">
        <v>18</v>
      </c>
      <c r="H180" s="33" t="s">
        <v>394</v>
      </c>
      <c r="I180" s="32">
        <v>43903</v>
      </c>
      <c r="J180" s="87">
        <v>43871</v>
      </c>
      <c r="K180" s="88">
        <v>0.42083333333333334</v>
      </c>
      <c r="L180" s="127">
        <v>1.03</v>
      </c>
      <c r="M180" s="132">
        <v>6.0149999999999997</v>
      </c>
      <c r="N180" s="88"/>
      <c r="O180" s="88"/>
      <c r="P180" s="88" t="s">
        <v>1134</v>
      </c>
      <c r="Q180" s="79">
        <v>0.8</v>
      </c>
      <c r="R180" s="79">
        <v>6</v>
      </c>
      <c r="S180" s="79">
        <v>6.1</v>
      </c>
      <c r="T180" s="79">
        <v>4</v>
      </c>
      <c r="U180" s="79">
        <v>6.09</v>
      </c>
      <c r="V180" s="79">
        <v>0.1</v>
      </c>
      <c r="W180" s="79" t="s">
        <v>948</v>
      </c>
      <c r="X180" s="34">
        <v>1</v>
      </c>
      <c r="Y180" s="34" t="s">
        <v>4</v>
      </c>
      <c r="Z180" s="34" t="s">
        <v>936</v>
      </c>
      <c r="AA180" s="34" t="s">
        <v>1133</v>
      </c>
      <c r="AB180" s="35"/>
    </row>
    <row r="181" spans="1:28" x14ac:dyDescent="0.3">
      <c r="A181" s="124"/>
      <c r="B181" s="114">
        <v>180</v>
      </c>
      <c r="C181" s="38">
        <v>180</v>
      </c>
      <c r="D181" s="38">
        <v>65505</v>
      </c>
      <c r="E181" s="38" t="s">
        <v>863</v>
      </c>
      <c r="F181" s="39" t="s">
        <v>395</v>
      </c>
      <c r="G181" s="40" t="s">
        <v>18</v>
      </c>
      <c r="H181" s="33" t="s">
        <v>396</v>
      </c>
      <c r="I181" s="32">
        <v>43903</v>
      </c>
      <c r="J181" s="87">
        <v>43871</v>
      </c>
      <c r="K181" s="88" t="s">
        <v>1143</v>
      </c>
      <c r="L181" s="127">
        <v>0.95399999999999996</v>
      </c>
      <c r="M181" s="132">
        <v>6.02</v>
      </c>
      <c r="N181" s="88"/>
      <c r="O181" s="88"/>
      <c r="P181" s="88" t="s">
        <v>1144</v>
      </c>
      <c r="Q181" s="79">
        <v>0.57999999999999996</v>
      </c>
      <c r="R181" s="79">
        <v>6.03</v>
      </c>
      <c r="S181" s="79">
        <v>6.1</v>
      </c>
      <c r="T181" s="79" t="e">
        <v>#N/A</v>
      </c>
      <c r="U181" s="79">
        <v>6.1</v>
      </c>
      <c r="V181" s="79">
        <v>7.0000000000000007E-2</v>
      </c>
      <c r="W181" s="79" t="s">
        <v>946</v>
      </c>
      <c r="X181" s="34">
        <v>1</v>
      </c>
      <c r="Y181" s="34" t="s">
        <v>4</v>
      </c>
      <c r="Z181" s="34" t="s">
        <v>937</v>
      </c>
      <c r="AA181" s="34"/>
      <c r="AB181" s="35"/>
    </row>
    <row r="182" spans="1:28" x14ac:dyDescent="0.3">
      <c r="A182" s="124"/>
      <c r="B182" s="114">
        <v>181</v>
      </c>
      <c r="C182" s="38">
        <v>181</v>
      </c>
      <c r="D182" s="38">
        <v>65193</v>
      </c>
      <c r="E182" s="38" t="s">
        <v>864</v>
      </c>
      <c r="F182" s="39" t="s">
        <v>397</v>
      </c>
      <c r="G182" s="40" t="s">
        <v>18</v>
      </c>
      <c r="H182" s="33" t="s">
        <v>398</v>
      </c>
      <c r="I182" s="32">
        <v>43918</v>
      </c>
      <c r="J182" s="87">
        <v>43858</v>
      </c>
      <c r="K182" s="88">
        <v>0.45208333333333334</v>
      </c>
      <c r="L182" s="127">
        <v>1.234</v>
      </c>
      <c r="M182" s="132">
        <v>6.0339999999999998</v>
      </c>
      <c r="N182" s="88"/>
      <c r="O182" s="88"/>
      <c r="P182" s="88">
        <v>0.45833333333333331</v>
      </c>
      <c r="Q182" s="79">
        <v>1.29</v>
      </c>
      <c r="R182" s="79">
        <v>6</v>
      </c>
      <c r="S182" s="79">
        <v>6.08</v>
      </c>
      <c r="T182" s="79" t="e">
        <v>#N/A</v>
      </c>
      <c r="U182" s="79">
        <v>6</v>
      </c>
      <c r="V182" s="79">
        <v>0.08</v>
      </c>
      <c r="W182" s="79" t="s">
        <v>946</v>
      </c>
      <c r="X182" s="34">
        <v>1</v>
      </c>
      <c r="Y182" s="34" t="s">
        <v>4</v>
      </c>
      <c r="Z182" s="34" t="s">
        <v>937</v>
      </c>
      <c r="AA182" s="34" t="s">
        <v>1091</v>
      </c>
      <c r="AB182" s="35" t="s">
        <v>399</v>
      </c>
    </row>
    <row r="183" spans="1:28" x14ac:dyDescent="0.3">
      <c r="A183" s="124"/>
      <c r="B183" s="114">
        <v>182</v>
      </c>
      <c r="C183" s="38">
        <v>182</v>
      </c>
      <c r="D183" s="38">
        <v>65293</v>
      </c>
      <c r="E183" s="38" t="s">
        <v>865</v>
      </c>
      <c r="F183" s="39" t="s">
        <v>400</v>
      </c>
      <c r="G183" s="40" t="s">
        <v>29</v>
      </c>
      <c r="H183" s="33" t="s">
        <v>401</v>
      </c>
      <c r="I183" s="32">
        <v>43909</v>
      </c>
      <c r="J183" s="87">
        <v>43854</v>
      </c>
      <c r="K183" s="88">
        <v>0.5229166666666667</v>
      </c>
      <c r="L183" s="127">
        <v>0.72</v>
      </c>
      <c r="M183" s="132">
        <v>5.9850000000000003</v>
      </c>
      <c r="N183" s="88"/>
      <c r="O183" s="88"/>
      <c r="P183" s="88">
        <v>0.52777777777777779</v>
      </c>
      <c r="Q183" s="79">
        <v>0.63</v>
      </c>
      <c r="R183" s="79">
        <v>5.85</v>
      </c>
      <c r="S183" s="79">
        <v>5.91</v>
      </c>
      <c r="T183" s="79">
        <v>4</v>
      </c>
      <c r="U183" s="79">
        <v>6.12</v>
      </c>
      <c r="V183" s="79">
        <v>0.06</v>
      </c>
      <c r="W183" s="79" t="s">
        <v>948</v>
      </c>
      <c r="X183" s="34">
        <v>1</v>
      </c>
      <c r="Y183" s="34" t="s">
        <v>4</v>
      </c>
      <c r="Z183" s="34" t="s">
        <v>936</v>
      </c>
      <c r="AA183" s="34" t="s">
        <v>1070</v>
      </c>
      <c r="AB183" s="35"/>
    </row>
    <row r="184" spans="1:28" x14ac:dyDescent="0.3">
      <c r="A184" s="124"/>
      <c r="B184" s="114">
        <v>183</v>
      </c>
      <c r="C184" s="38">
        <v>183</v>
      </c>
      <c r="D184" s="38">
        <v>65516</v>
      </c>
      <c r="E184" s="38" t="s">
        <v>866</v>
      </c>
      <c r="F184" s="39" t="s">
        <v>402</v>
      </c>
      <c r="G184" s="40" t="s">
        <v>18</v>
      </c>
      <c r="H184" s="33" t="s">
        <v>403</v>
      </c>
      <c r="I184" s="32">
        <v>43907</v>
      </c>
      <c r="J184" s="87">
        <v>43882</v>
      </c>
      <c r="K184" s="88">
        <v>0.57777777777777783</v>
      </c>
      <c r="L184" s="127">
        <f>59.61-57.912</f>
        <v>1.6980000000000004</v>
      </c>
      <c r="M184" s="132">
        <f>(63.529-57.912)+0.086</f>
        <v>5.7030000000000047</v>
      </c>
      <c r="N184" s="88"/>
      <c r="O184" s="88"/>
      <c r="P184" s="88" t="s">
        <v>1176</v>
      </c>
      <c r="Q184" s="79">
        <v>1.61</v>
      </c>
      <c r="R184" s="79">
        <v>5.6</v>
      </c>
      <c r="S184" s="79">
        <v>5.71</v>
      </c>
      <c r="T184" s="79" t="e">
        <v>#N/A</v>
      </c>
      <c r="U184" s="79">
        <v>5.97</v>
      </c>
      <c r="V184" s="79">
        <v>0.11</v>
      </c>
      <c r="W184" s="79" t="s">
        <v>946</v>
      </c>
      <c r="X184" s="34">
        <v>1</v>
      </c>
      <c r="Y184" s="34" t="s">
        <v>4</v>
      </c>
      <c r="Z184" s="34" t="s">
        <v>937</v>
      </c>
      <c r="AA184" s="34"/>
      <c r="AB184" s="35"/>
    </row>
    <row r="185" spans="1:28" x14ac:dyDescent="0.3">
      <c r="A185" s="124"/>
      <c r="B185" s="114">
        <v>184</v>
      </c>
      <c r="C185" s="38">
        <v>184</v>
      </c>
      <c r="D185" s="38">
        <v>74078</v>
      </c>
      <c r="E185" s="38" t="s">
        <v>867</v>
      </c>
      <c r="F185" s="39" t="s">
        <v>404</v>
      </c>
      <c r="G185" s="40" t="s">
        <v>29</v>
      </c>
      <c r="H185" s="33" t="s">
        <v>405</v>
      </c>
      <c r="I185" s="32">
        <v>43909</v>
      </c>
      <c r="J185" s="87">
        <v>43857</v>
      </c>
      <c r="K185" s="88" t="s">
        <v>1076</v>
      </c>
      <c r="L185" s="127">
        <v>0.85</v>
      </c>
      <c r="M185" s="132">
        <v>5.88</v>
      </c>
      <c r="N185" s="88"/>
      <c r="O185" s="88"/>
      <c r="P185" s="88" t="s">
        <v>1077</v>
      </c>
      <c r="Q185" s="79">
        <v>0.64</v>
      </c>
      <c r="R185" s="79">
        <v>5.83</v>
      </c>
      <c r="S185" s="79">
        <v>5.98</v>
      </c>
      <c r="T185" s="79">
        <v>7.57</v>
      </c>
      <c r="U185" s="79">
        <v>6.06</v>
      </c>
      <c r="V185" s="79">
        <v>0.15</v>
      </c>
      <c r="W185" s="79" t="s">
        <v>948</v>
      </c>
      <c r="X185" s="34">
        <v>1</v>
      </c>
      <c r="Y185" s="34" t="s">
        <v>4</v>
      </c>
      <c r="Z185" s="34" t="s">
        <v>936</v>
      </c>
      <c r="AA185" s="34" t="s">
        <v>989</v>
      </c>
      <c r="AB185" s="35"/>
    </row>
    <row r="186" spans="1:28" x14ac:dyDescent="0.3">
      <c r="A186" s="124"/>
      <c r="B186" s="114">
        <v>185</v>
      </c>
      <c r="C186" s="38">
        <v>185</v>
      </c>
      <c r="D186" s="38">
        <v>65194</v>
      </c>
      <c r="E186" s="38" t="s">
        <v>868</v>
      </c>
      <c r="F186" s="39" t="s">
        <v>406</v>
      </c>
      <c r="G186" s="40" t="s">
        <v>29</v>
      </c>
      <c r="H186" s="33" t="s">
        <v>407</v>
      </c>
      <c r="I186" s="32">
        <v>43912</v>
      </c>
      <c r="J186" s="87">
        <v>43872</v>
      </c>
      <c r="K186" s="88" t="s">
        <v>1216</v>
      </c>
      <c r="L186" s="127">
        <f>60.095-57.912</f>
        <v>2.1829999999999998</v>
      </c>
      <c r="M186" s="132">
        <f>(63.917-57.912)+0.086</f>
        <v>6.0910000000000029</v>
      </c>
      <c r="N186" s="88"/>
      <c r="O186" s="88"/>
      <c r="P186" s="88">
        <v>0.52777777777777779</v>
      </c>
      <c r="Q186" s="79">
        <v>2.14</v>
      </c>
      <c r="R186" s="79">
        <v>6.08</v>
      </c>
      <c r="S186" s="79">
        <v>6.1</v>
      </c>
      <c r="T186" s="79" t="e">
        <v>#N/A</v>
      </c>
      <c r="U186" s="79">
        <v>6</v>
      </c>
      <c r="V186" s="79">
        <v>0.02</v>
      </c>
      <c r="W186" s="79" t="s">
        <v>946</v>
      </c>
      <c r="X186" s="34">
        <v>1</v>
      </c>
      <c r="Y186" s="34" t="s">
        <v>4</v>
      </c>
      <c r="Z186" s="34" t="s">
        <v>937</v>
      </c>
      <c r="AA186" s="34" t="s">
        <v>1158</v>
      </c>
      <c r="AB186" s="35"/>
    </row>
    <row r="187" spans="1:28" x14ac:dyDescent="0.3">
      <c r="A187" s="124"/>
      <c r="B187" s="114">
        <v>186</v>
      </c>
      <c r="C187" s="38">
        <v>186</v>
      </c>
      <c r="D187" s="38">
        <v>65476</v>
      </c>
      <c r="E187" s="38" t="s">
        <v>869</v>
      </c>
      <c r="F187" s="39" t="s">
        <v>408</v>
      </c>
      <c r="G187" s="40" t="s">
        <v>29</v>
      </c>
      <c r="H187" s="33" t="s">
        <v>409</v>
      </c>
      <c r="I187" s="32">
        <v>43914</v>
      </c>
      <c r="J187" s="87">
        <v>43873</v>
      </c>
      <c r="K187" s="88">
        <v>0.3979166666666667</v>
      </c>
      <c r="L187" s="127">
        <f>58.659-57.912</f>
        <v>0.74699999999999989</v>
      </c>
      <c r="M187" s="132">
        <f>(62.792-57.912)+0.086</f>
        <v>4.9660000000000029</v>
      </c>
      <c r="N187" s="88"/>
      <c r="O187" s="88"/>
      <c r="P187" s="88">
        <v>0.40277777777777773</v>
      </c>
      <c r="Q187" s="79">
        <v>0.54</v>
      </c>
      <c r="R187" s="79">
        <v>5.04</v>
      </c>
      <c r="S187" s="79">
        <v>5.05</v>
      </c>
      <c r="T187" s="79" t="e">
        <v>#N/A</v>
      </c>
      <c r="U187" s="79">
        <v>6.03</v>
      </c>
      <c r="V187" s="79">
        <v>0.01</v>
      </c>
      <c r="W187" s="79" t="s">
        <v>946</v>
      </c>
      <c r="X187" s="34">
        <v>1</v>
      </c>
      <c r="Y187" s="34" t="s">
        <v>4</v>
      </c>
      <c r="Z187" s="34" t="s">
        <v>937</v>
      </c>
      <c r="AA187" s="34"/>
      <c r="AB187" s="35"/>
    </row>
    <row r="188" spans="1:28" x14ac:dyDescent="0.3">
      <c r="A188" s="124"/>
      <c r="B188" s="114">
        <v>187</v>
      </c>
      <c r="C188" s="38">
        <v>187</v>
      </c>
      <c r="D188" s="38">
        <v>74894</v>
      </c>
      <c r="E188" s="38" t="s">
        <v>870</v>
      </c>
      <c r="F188" s="39" t="s">
        <v>410</v>
      </c>
      <c r="G188" s="40" t="s">
        <v>18</v>
      </c>
      <c r="H188" s="33" t="s">
        <v>411</v>
      </c>
      <c r="I188" s="32">
        <v>43907</v>
      </c>
      <c r="J188" s="87">
        <v>43858</v>
      </c>
      <c r="K188" s="88">
        <v>0.50347222222222221</v>
      </c>
      <c r="L188" s="127">
        <v>0.73499999999999999</v>
      </c>
      <c r="M188" s="132">
        <v>6.0430000000000001</v>
      </c>
      <c r="N188" s="88"/>
      <c r="O188" s="88"/>
      <c r="P188" s="88">
        <v>0.50694444444444442</v>
      </c>
      <c r="Q188" s="79">
        <v>0.49</v>
      </c>
      <c r="R188" s="79">
        <v>6.11</v>
      </c>
      <c r="S188" s="79">
        <v>6.1</v>
      </c>
      <c r="T188" s="79" t="e">
        <v>#N/A</v>
      </c>
      <c r="U188" s="79">
        <v>6.1</v>
      </c>
      <c r="V188" s="79">
        <v>-0.01</v>
      </c>
      <c r="W188" s="79" t="s">
        <v>946</v>
      </c>
      <c r="X188" s="34">
        <v>1</v>
      </c>
      <c r="Y188" s="34" t="s">
        <v>4</v>
      </c>
      <c r="Z188" s="34" t="s">
        <v>937</v>
      </c>
      <c r="AA188" s="34"/>
      <c r="AB188" s="35"/>
    </row>
    <row r="189" spans="1:28" x14ac:dyDescent="0.3">
      <c r="A189" s="124"/>
      <c r="B189" s="114">
        <v>188</v>
      </c>
      <c r="C189" s="38">
        <v>188</v>
      </c>
      <c r="D189" s="38">
        <v>74086</v>
      </c>
      <c r="E189" s="38" t="s">
        <v>871</v>
      </c>
      <c r="F189" s="39" t="s">
        <v>412</v>
      </c>
      <c r="G189" s="40" t="s">
        <v>167</v>
      </c>
      <c r="H189" s="33" t="s">
        <v>413</v>
      </c>
      <c r="I189" s="32">
        <v>43915</v>
      </c>
      <c r="J189" s="87">
        <v>43875</v>
      </c>
      <c r="K189" s="88" t="s">
        <v>1185</v>
      </c>
      <c r="L189" s="127">
        <f>59.024-57.912</f>
        <v>1.1120000000000019</v>
      </c>
      <c r="M189" s="132">
        <f>(63.942-57.912)+0.086</f>
        <v>6.1160000000000014</v>
      </c>
      <c r="N189" s="88"/>
      <c r="O189" s="88"/>
      <c r="P189" s="88" t="s">
        <v>1186</v>
      </c>
      <c r="Q189" s="79">
        <v>0.93</v>
      </c>
      <c r="R189" s="79">
        <v>6.04</v>
      </c>
      <c r="S189" s="79">
        <v>6.13</v>
      </c>
      <c r="T189" s="79" t="e">
        <v>#N/A</v>
      </c>
      <c r="U189" s="79">
        <v>6.08</v>
      </c>
      <c r="V189" s="79">
        <v>0.09</v>
      </c>
      <c r="W189" s="79" t="s">
        <v>946</v>
      </c>
      <c r="X189" s="34">
        <v>1</v>
      </c>
      <c r="Y189" s="34" t="s">
        <v>4</v>
      </c>
      <c r="Z189" s="34" t="s">
        <v>937</v>
      </c>
      <c r="AA189" s="34"/>
      <c r="AB189" s="35"/>
    </row>
    <row r="190" spans="1:28" x14ac:dyDescent="0.3">
      <c r="A190" s="124"/>
      <c r="B190" s="114">
        <v>189</v>
      </c>
      <c r="C190" s="38">
        <v>189</v>
      </c>
      <c r="D190" s="38">
        <v>65200</v>
      </c>
      <c r="E190" s="38" t="s">
        <v>872</v>
      </c>
      <c r="F190" s="39" t="s">
        <v>414</v>
      </c>
      <c r="G190" s="40" t="s">
        <v>29</v>
      </c>
      <c r="H190" s="33" t="s">
        <v>415</v>
      </c>
      <c r="I190" s="32">
        <v>43918</v>
      </c>
      <c r="J190" s="87">
        <v>43874</v>
      </c>
      <c r="K190" s="88">
        <v>0.57708333333333328</v>
      </c>
      <c r="L190" s="127">
        <f>58.5-57.912</f>
        <v>0.58800000000000097</v>
      </c>
      <c r="M190" s="132">
        <f>(63.843-57.912)+0.086</f>
        <v>6.0170000000000048</v>
      </c>
      <c r="N190" s="88"/>
      <c r="O190" s="88"/>
      <c r="P190" s="88" t="s">
        <v>1176</v>
      </c>
      <c r="Q190" s="79">
        <v>0.43</v>
      </c>
      <c r="R190" s="79">
        <v>5.91</v>
      </c>
      <c r="S190" s="79">
        <v>6.06</v>
      </c>
      <c r="T190" s="79" t="e">
        <v>#N/A</v>
      </c>
      <c r="U190" s="79">
        <v>6</v>
      </c>
      <c r="V190" s="79">
        <v>0.15</v>
      </c>
      <c r="W190" s="79" t="s">
        <v>946</v>
      </c>
      <c r="X190" s="34">
        <v>1</v>
      </c>
      <c r="Y190" s="34" t="s">
        <v>4</v>
      </c>
      <c r="Z190" s="34" t="s">
        <v>937</v>
      </c>
      <c r="AA190" s="34"/>
      <c r="AB190" s="35"/>
    </row>
    <row r="191" spans="1:28" x14ac:dyDescent="0.3">
      <c r="A191" s="124"/>
      <c r="B191" s="114">
        <v>190</v>
      </c>
      <c r="C191" s="38">
        <v>190</v>
      </c>
      <c r="D191" s="38">
        <v>65337</v>
      </c>
      <c r="E191" s="38" t="s">
        <v>873</v>
      </c>
      <c r="F191" s="39" t="s">
        <v>416</v>
      </c>
      <c r="G191" s="40" t="s">
        <v>29</v>
      </c>
      <c r="H191" s="33" t="s">
        <v>417</v>
      </c>
      <c r="I191" s="32">
        <v>43909</v>
      </c>
      <c r="J191" s="87">
        <v>43854</v>
      </c>
      <c r="K191" s="88">
        <v>0.53402777777777777</v>
      </c>
      <c r="L191" s="127">
        <v>2.84</v>
      </c>
      <c r="M191" s="132">
        <v>6.0410000000000004</v>
      </c>
      <c r="N191" s="88"/>
      <c r="O191" s="88"/>
      <c r="P191" s="88"/>
      <c r="Q191" s="79">
        <v>2.6</v>
      </c>
      <c r="R191" s="79">
        <v>6.02</v>
      </c>
      <c r="S191" s="79">
        <v>6.05</v>
      </c>
      <c r="T191" s="79" t="e">
        <v>#N/A</v>
      </c>
      <c r="U191" s="79">
        <v>6.1</v>
      </c>
      <c r="V191" s="79">
        <v>0.03</v>
      </c>
      <c r="W191" s="79" t="s">
        <v>946</v>
      </c>
      <c r="X191" s="34">
        <v>1</v>
      </c>
      <c r="Y191" s="34" t="s">
        <v>4</v>
      </c>
      <c r="Z191" s="34" t="s">
        <v>937</v>
      </c>
      <c r="AA191" s="34"/>
      <c r="AB191" s="35"/>
    </row>
    <row r="192" spans="1:28" x14ac:dyDescent="0.3">
      <c r="A192" s="124"/>
      <c r="B192" s="114">
        <v>191</v>
      </c>
      <c r="C192" s="38">
        <v>191</v>
      </c>
      <c r="D192" s="38">
        <v>65180</v>
      </c>
      <c r="E192" s="38" t="s">
        <v>874</v>
      </c>
      <c r="F192" s="39" t="s">
        <v>418</v>
      </c>
      <c r="G192" s="40" t="s">
        <v>29</v>
      </c>
      <c r="H192" s="33" t="s">
        <v>419</v>
      </c>
      <c r="I192" s="32">
        <v>43908</v>
      </c>
      <c r="J192" s="87">
        <v>43851</v>
      </c>
      <c r="K192" s="88" t="s">
        <v>1009</v>
      </c>
      <c r="L192" s="127">
        <v>3.3359999999999999</v>
      </c>
      <c r="M192" s="132">
        <v>7.335</v>
      </c>
      <c r="N192" s="88"/>
      <c r="O192" s="88"/>
      <c r="P192" s="88" t="s">
        <v>1010</v>
      </c>
      <c r="Q192" s="79">
        <v>3.35</v>
      </c>
      <c r="R192" s="79">
        <v>7.34</v>
      </c>
      <c r="S192" s="79">
        <v>7.4</v>
      </c>
      <c r="T192" s="79" t="e">
        <v>#N/A</v>
      </c>
      <c r="U192" s="79">
        <v>7.5</v>
      </c>
      <c r="V192" s="79">
        <v>0.06</v>
      </c>
      <c r="W192" s="79" t="s">
        <v>946</v>
      </c>
      <c r="X192" s="34">
        <v>1</v>
      </c>
      <c r="Y192" s="34" t="s">
        <v>4</v>
      </c>
      <c r="Z192" s="34" t="s">
        <v>937</v>
      </c>
      <c r="AA192" s="34"/>
      <c r="AB192" s="35"/>
    </row>
    <row r="193" spans="1:28" x14ac:dyDescent="0.3">
      <c r="A193" s="124"/>
      <c r="B193" s="114">
        <v>192</v>
      </c>
      <c r="C193" s="38">
        <v>192</v>
      </c>
      <c r="D193" s="38">
        <v>74010</v>
      </c>
      <c r="E193" s="38" t="s">
        <v>875</v>
      </c>
      <c r="F193" s="39" t="s">
        <v>420</v>
      </c>
      <c r="G193" s="40" t="s">
        <v>18</v>
      </c>
      <c r="H193" s="33" t="s">
        <v>421</v>
      </c>
      <c r="I193" s="32">
        <v>43903</v>
      </c>
      <c r="J193" s="87">
        <v>43858</v>
      </c>
      <c r="K193" s="88">
        <v>0.46597222222222223</v>
      </c>
      <c r="L193" s="127">
        <v>0.96599999999999997</v>
      </c>
      <c r="M193" s="132">
        <v>6.08</v>
      </c>
      <c r="N193" s="88"/>
      <c r="O193" s="88"/>
      <c r="P193" s="88">
        <v>0.47222222222222227</v>
      </c>
      <c r="Q193" s="79">
        <v>0.75</v>
      </c>
      <c r="R193" s="79">
        <v>6.06</v>
      </c>
      <c r="S193" s="79">
        <v>6.14</v>
      </c>
      <c r="T193" s="79">
        <v>4</v>
      </c>
      <c r="U193" s="79">
        <v>7.14</v>
      </c>
      <c r="V193" s="79">
        <v>0.08</v>
      </c>
      <c r="W193" s="79" t="s">
        <v>948</v>
      </c>
      <c r="X193" s="34">
        <v>1</v>
      </c>
      <c r="Y193" s="34" t="s">
        <v>4</v>
      </c>
      <c r="Z193" s="34" t="s">
        <v>936</v>
      </c>
      <c r="AA193" s="34"/>
      <c r="AB193" s="35"/>
    </row>
    <row r="194" spans="1:28" x14ac:dyDescent="0.3">
      <c r="A194" s="124"/>
      <c r="B194" s="114">
        <v>193</v>
      </c>
      <c r="C194" s="38">
        <v>193</v>
      </c>
      <c r="D194" s="38">
        <v>74488</v>
      </c>
      <c r="E194" s="38" t="s">
        <v>876</v>
      </c>
      <c r="F194" s="39" t="s">
        <v>422</v>
      </c>
      <c r="G194" s="40" t="s">
        <v>18</v>
      </c>
      <c r="H194" s="33" t="s">
        <v>423</v>
      </c>
      <c r="I194" s="32">
        <v>43903</v>
      </c>
      <c r="J194" s="87">
        <v>43871</v>
      </c>
      <c r="K194" s="88" t="s">
        <v>1149</v>
      </c>
      <c r="L194" s="127">
        <f>59.715 - 57.912</f>
        <v>1.8030000000000044</v>
      </c>
      <c r="M194" s="132">
        <f>63.97 -57.912</f>
        <v>6.0579999999999998</v>
      </c>
      <c r="N194" s="88"/>
      <c r="O194" s="88"/>
      <c r="P194" s="88" t="s">
        <v>1111</v>
      </c>
      <c r="Q194" s="79">
        <v>1.61</v>
      </c>
      <c r="R194" s="79">
        <v>6.07</v>
      </c>
      <c r="S194" s="79">
        <v>6.17</v>
      </c>
      <c r="T194" s="79" t="e">
        <v>#N/A</v>
      </c>
      <c r="U194" s="79">
        <v>6.13</v>
      </c>
      <c r="V194" s="79">
        <v>0.1</v>
      </c>
      <c r="W194" s="79" t="s">
        <v>946</v>
      </c>
      <c r="X194" s="34">
        <v>1</v>
      </c>
      <c r="Y194" s="34" t="s">
        <v>4</v>
      </c>
      <c r="Z194" s="34" t="s">
        <v>937</v>
      </c>
      <c r="AA194" s="34"/>
      <c r="AB194" s="35"/>
    </row>
    <row r="195" spans="1:28" x14ac:dyDescent="0.3">
      <c r="A195" s="124"/>
      <c r="B195" s="114">
        <v>194</v>
      </c>
      <c r="C195" s="38">
        <v>194</v>
      </c>
      <c r="D195" s="38">
        <v>74077</v>
      </c>
      <c r="E195" s="38" t="s">
        <v>877</v>
      </c>
      <c r="F195" s="39" t="s">
        <v>424</v>
      </c>
      <c r="G195" s="40" t="s">
        <v>18</v>
      </c>
      <c r="H195" s="33" t="s">
        <v>425</v>
      </c>
      <c r="I195" s="32">
        <v>43903</v>
      </c>
      <c r="J195" s="87">
        <v>43871</v>
      </c>
      <c r="K195" s="88" t="s">
        <v>1156</v>
      </c>
      <c r="L195" s="127">
        <f>59.53 - 57.912</f>
        <v>1.6180000000000021</v>
      </c>
      <c r="M195" s="132">
        <f>(63.995- 57.912) + 0.086</f>
        <v>6.1689999999999987</v>
      </c>
      <c r="N195" s="88"/>
      <c r="O195" s="88"/>
      <c r="P195" s="88">
        <v>0.13194444444444445</v>
      </c>
      <c r="Q195" s="79">
        <v>1.44</v>
      </c>
      <c r="R195" s="79">
        <v>6.08</v>
      </c>
      <c r="S195" s="79">
        <v>6.1</v>
      </c>
      <c r="T195" s="79" t="e">
        <v>#N/A</v>
      </c>
      <c r="U195" s="79">
        <v>6.12</v>
      </c>
      <c r="V195" s="79">
        <v>0.02</v>
      </c>
      <c r="W195" s="79" t="s">
        <v>946</v>
      </c>
      <c r="X195" s="34">
        <v>1</v>
      </c>
      <c r="Y195" s="34" t="s">
        <v>4</v>
      </c>
      <c r="Z195" s="34" t="s">
        <v>937</v>
      </c>
      <c r="AA195" s="34"/>
      <c r="AB195" s="35"/>
    </row>
    <row r="196" spans="1:28" x14ac:dyDescent="0.3">
      <c r="A196" s="124"/>
      <c r="B196" s="114">
        <v>195</v>
      </c>
      <c r="C196" s="38">
        <v>195</v>
      </c>
      <c r="D196" s="38">
        <v>65477</v>
      </c>
      <c r="E196" s="38" t="s">
        <v>878</v>
      </c>
      <c r="F196" s="39" t="s">
        <v>426</v>
      </c>
      <c r="G196" s="40" t="s">
        <v>29</v>
      </c>
      <c r="H196" s="33" t="s">
        <v>427</v>
      </c>
      <c r="I196" s="32">
        <v>43911</v>
      </c>
      <c r="J196" s="87">
        <v>43873</v>
      </c>
      <c r="K196" s="88">
        <v>0.61875000000000002</v>
      </c>
      <c r="L196" s="127">
        <f>58.986-57.912</f>
        <v>1.0739999999999981</v>
      </c>
      <c r="M196" s="132">
        <f>(64.007-57.912)+0.086</f>
        <v>6.1810000000000063</v>
      </c>
      <c r="N196" s="88"/>
      <c r="O196" s="88"/>
      <c r="P196" s="88" t="s">
        <v>1172</v>
      </c>
      <c r="Q196" s="79">
        <v>1.0900000000000001</v>
      </c>
      <c r="R196" s="79">
        <v>6.07</v>
      </c>
      <c r="S196" s="79">
        <v>6.16</v>
      </c>
      <c r="T196" s="79" t="e">
        <v>#N/A</v>
      </c>
      <c r="U196" s="79">
        <v>6.13</v>
      </c>
      <c r="V196" s="79">
        <v>0.09</v>
      </c>
      <c r="W196" s="79" t="s">
        <v>946</v>
      </c>
      <c r="X196" s="34">
        <v>1</v>
      </c>
      <c r="Y196" s="34" t="s">
        <v>4</v>
      </c>
      <c r="Z196" s="34" t="s">
        <v>937</v>
      </c>
      <c r="AA196" s="34"/>
      <c r="AB196" s="35"/>
    </row>
    <row r="197" spans="1:28" x14ac:dyDescent="0.3">
      <c r="A197" s="124"/>
      <c r="B197" s="114">
        <v>196</v>
      </c>
      <c r="C197" s="38">
        <v>196</v>
      </c>
      <c r="D197" s="38">
        <v>65338</v>
      </c>
      <c r="E197" s="38" t="s">
        <v>879</v>
      </c>
      <c r="F197" s="39" t="s">
        <v>428</v>
      </c>
      <c r="G197" s="40" t="s">
        <v>18</v>
      </c>
      <c r="H197" s="33" t="s">
        <v>429</v>
      </c>
      <c r="I197" s="32">
        <v>43903</v>
      </c>
      <c r="J197" s="87">
        <v>43858</v>
      </c>
      <c r="K197" s="88">
        <v>0.53611111111111109</v>
      </c>
      <c r="L197" s="127">
        <v>0.72</v>
      </c>
      <c r="M197" s="132">
        <v>5.9409999999999998</v>
      </c>
      <c r="N197" s="88"/>
      <c r="O197" s="88"/>
      <c r="P197" s="88" t="s">
        <v>1093</v>
      </c>
      <c r="Q197" s="79">
        <v>0.57999999999999996</v>
      </c>
      <c r="R197" s="79">
        <v>5.85</v>
      </c>
      <c r="S197" s="79">
        <v>5.97</v>
      </c>
      <c r="T197" s="79" t="e">
        <v>#N/A</v>
      </c>
      <c r="U197" s="79">
        <v>6.08</v>
      </c>
      <c r="V197" s="79">
        <v>0.12</v>
      </c>
      <c r="W197" s="79" t="s">
        <v>946</v>
      </c>
      <c r="X197" s="34">
        <v>1</v>
      </c>
      <c r="Y197" s="34" t="s">
        <v>4</v>
      </c>
      <c r="Z197" s="34" t="s">
        <v>937</v>
      </c>
      <c r="AA197" s="34" t="s">
        <v>1094</v>
      </c>
      <c r="AB197" s="35"/>
    </row>
    <row r="198" spans="1:28" x14ac:dyDescent="0.3">
      <c r="A198" s="124"/>
      <c r="B198" s="114">
        <v>197</v>
      </c>
      <c r="C198" s="38">
        <v>197</v>
      </c>
      <c r="D198" s="38">
        <v>65228</v>
      </c>
      <c r="E198" s="38" t="s">
        <v>880</v>
      </c>
      <c r="F198" s="39" t="s">
        <v>430</v>
      </c>
      <c r="G198" s="40" t="s">
        <v>18</v>
      </c>
      <c r="H198" s="33" t="s">
        <v>431</v>
      </c>
      <c r="I198" s="32">
        <v>43903</v>
      </c>
      <c r="J198" s="87">
        <v>43854</v>
      </c>
      <c r="K198" s="88">
        <v>0.55138888888888882</v>
      </c>
      <c r="L198" s="127">
        <v>1.81</v>
      </c>
      <c r="M198" s="132">
        <v>5.915</v>
      </c>
      <c r="N198" s="88"/>
      <c r="O198" s="88"/>
      <c r="P198" s="88">
        <v>0.55555555555555558</v>
      </c>
      <c r="Q198" s="79">
        <v>1.54</v>
      </c>
      <c r="R198" s="79">
        <v>5.9</v>
      </c>
      <c r="S198" s="79">
        <v>6</v>
      </c>
      <c r="T198" s="79" t="e">
        <v>#N/A</v>
      </c>
      <c r="U198" s="79">
        <v>6.03</v>
      </c>
      <c r="V198" s="79">
        <v>0.1</v>
      </c>
      <c r="W198" s="79" t="s">
        <v>946</v>
      </c>
      <c r="X198" s="34">
        <v>1</v>
      </c>
      <c r="Y198" s="34" t="s">
        <v>4</v>
      </c>
      <c r="Z198" s="34" t="s">
        <v>937</v>
      </c>
      <c r="AA198" s="34" t="s">
        <v>1071</v>
      </c>
      <c r="AB198" s="35"/>
    </row>
    <row r="199" spans="1:28" x14ac:dyDescent="0.3">
      <c r="A199" s="124"/>
      <c r="B199" s="114">
        <v>198</v>
      </c>
      <c r="C199" s="38">
        <v>198</v>
      </c>
      <c r="D199" s="38">
        <v>74841</v>
      </c>
      <c r="E199" s="38" t="s">
        <v>881</v>
      </c>
      <c r="F199" s="39" t="s">
        <v>432</v>
      </c>
      <c r="G199" s="40" t="s">
        <v>29</v>
      </c>
      <c r="H199" s="33" t="s">
        <v>433</v>
      </c>
      <c r="I199" s="32">
        <v>43914</v>
      </c>
      <c r="J199" s="87">
        <v>43873</v>
      </c>
      <c r="K199" s="88">
        <v>0.49722222222222223</v>
      </c>
      <c r="L199" s="127">
        <f>60.712-57.912</f>
        <v>2.8000000000000043</v>
      </c>
      <c r="M199" s="132">
        <f>(63.654-57.912)+0.086</f>
        <v>5.8280000000000047</v>
      </c>
      <c r="N199" s="88"/>
      <c r="O199" s="88"/>
      <c r="P199" s="88">
        <v>0.50694444444444442</v>
      </c>
      <c r="Q199" s="79">
        <v>2.6</v>
      </c>
      <c r="R199" s="79">
        <v>5.74</v>
      </c>
      <c r="S199" s="79">
        <v>5.89</v>
      </c>
      <c r="T199" s="79" t="e">
        <v>#N/A</v>
      </c>
      <c r="U199" s="79">
        <v>5.85</v>
      </c>
      <c r="V199" s="79">
        <v>0.15</v>
      </c>
      <c r="W199" s="79" t="s">
        <v>946</v>
      </c>
      <c r="X199" s="34">
        <v>1</v>
      </c>
      <c r="Y199" s="34" t="s">
        <v>4</v>
      </c>
      <c r="Z199" s="34" t="s">
        <v>937</v>
      </c>
      <c r="AA199" s="34" t="s">
        <v>1167</v>
      </c>
      <c r="AB199" s="35"/>
    </row>
    <row r="200" spans="1:28" x14ac:dyDescent="0.3">
      <c r="A200" s="124"/>
      <c r="B200" s="114">
        <v>199</v>
      </c>
      <c r="C200" s="38">
        <v>199</v>
      </c>
      <c r="D200" s="38">
        <v>65513</v>
      </c>
      <c r="E200" s="38" t="s">
        <v>882</v>
      </c>
      <c r="F200" s="39" t="s">
        <v>434</v>
      </c>
      <c r="G200" s="40" t="s">
        <v>29</v>
      </c>
      <c r="H200" s="33" t="s">
        <v>435</v>
      </c>
      <c r="I200" s="32">
        <v>43911</v>
      </c>
      <c r="J200" s="87">
        <v>43861</v>
      </c>
      <c r="K200" s="88">
        <v>0.50486111111111109</v>
      </c>
      <c r="L200" s="127">
        <v>2.1150000000000002</v>
      </c>
      <c r="M200" s="132">
        <v>6.0970000000000004</v>
      </c>
      <c r="N200" s="88"/>
      <c r="O200" s="88"/>
      <c r="P200" s="88" t="s">
        <v>1100</v>
      </c>
      <c r="Q200" s="79">
        <v>2.0499999999999998</v>
      </c>
      <c r="R200" s="79">
        <v>6.08</v>
      </c>
      <c r="S200" s="79">
        <v>6.18</v>
      </c>
      <c r="T200" s="79" t="e">
        <v>#N/A</v>
      </c>
      <c r="U200" s="79">
        <v>6.13</v>
      </c>
      <c r="V200" s="79">
        <v>0.1</v>
      </c>
      <c r="W200" s="79" t="s">
        <v>946</v>
      </c>
      <c r="X200" s="34">
        <v>1</v>
      </c>
      <c r="Y200" s="34" t="s">
        <v>4</v>
      </c>
      <c r="Z200" s="34" t="s">
        <v>937</v>
      </c>
      <c r="AA200" s="34"/>
      <c r="AB200" s="35"/>
    </row>
    <row r="201" spans="1:28" x14ac:dyDescent="0.3">
      <c r="A201" s="124"/>
      <c r="B201" s="114">
        <v>200</v>
      </c>
      <c r="C201" s="38">
        <v>200</v>
      </c>
      <c r="D201" s="38">
        <v>65511</v>
      </c>
      <c r="E201" s="38" t="s">
        <v>883</v>
      </c>
      <c r="F201" s="39" t="s">
        <v>436</v>
      </c>
      <c r="G201" s="40" t="s">
        <v>18</v>
      </c>
      <c r="H201" s="33" t="s">
        <v>437</v>
      </c>
      <c r="I201" s="32">
        <v>43904</v>
      </c>
      <c r="J201" s="87">
        <v>43861</v>
      </c>
      <c r="K201" s="88">
        <v>0.58680555555555558</v>
      </c>
      <c r="L201" s="127">
        <v>1.1519999999999999</v>
      </c>
      <c r="M201" s="132">
        <v>6</v>
      </c>
      <c r="N201" s="88"/>
      <c r="O201" s="88"/>
      <c r="P201" s="88">
        <v>0.59722222222222221</v>
      </c>
      <c r="Q201" s="79">
        <v>0.81</v>
      </c>
      <c r="R201" s="79">
        <v>5.95</v>
      </c>
      <c r="S201" s="79">
        <v>6.06</v>
      </c>
      <c r="T201" s="79" t="e">
        <v>#N/A</v>
      </c>
      <c r="U201" s="79">
        <v>6.14</v>
      </c>
      <c r="V201" s="79">
        <v>0.11</v>
      </c>
      <c r="W201" s="79" t="s">
        <v>946</v>
      </c>
      <c r="X201" s="34">
        <v>1</v>
      </c>
      <c r="Y201" s="34" t="s">
        <v>4</v>
      </c>
      <c r="Z201" s="34" t="s">
        <v>937</v>
      </c>
      <c r="AA201" s="34"/>
      <c r="AB201" s="35"/>
    </row>
    <row r="202" spans="1:28" x14ac:dyDescent="0.3">
      <c r="A202" s="124"/>
      <c r="B202" s="114">
        <v>201</v>
      </c>
      <c r="C202" s="38">
        <v>201</v>
      </c>
      <c r="D202" s="38">
        <v>74082</v>
      </c>
      <c r="E202" s="38" t="s">
        <v>884</v>
      </c>
      <c r="F202" s="39" t="s">
        <v>438</v>
      </c>
      <c r="G202" s="40" t="s">
        <v>29</v>
      </c>
      <c r="H202" s="33" t="s">
        <v>439</v>
      </c>
      <c r="I202" s="32">
        <v>43909</v>
      </c>
      <c r="J202" s="87">
        <v>43853</v>
      </c>
      <c r="K202" s="88">
        <v>0.5708333333333333</v>
      </c>
      <c r="L202" s="127">
        <v>0.98399999999999999</v>
      </c>
      <c r="M202" s="132">
        <v>6.5819999999999999</v>
      </c>
      <c r="N202" s="88"/>
      <c r="O202" s="88"/>
      <c r="P202" s="88">
        <v>0.57638888888888895</v>
      </c>
      <c r="Q202" s="79">
        <v>0.76</v>
      </c>
      <c r="R202" s="79">
        <v>5.71</v>
      </c>
      <c r="S202" s="79">
        <v>5.82</v>
      </c>
      <c r="T202" s="79" t="e">
        <v>#N/A</v>
      </c>
      <c r="U202" s="79">
        <v>6.08</v>
      </c>
      <c r="V202" s="79">
        <v>0.11</v>
      </c>
      <c r="W202" s="79" t="s">
        <v>946</v>
      </c>
      <c r="X202" s="34">
        <v>1</v>
      </c>
      <c r="Y202" s="34" t="s">
        <v>4</v>
      </c>
      <c r="Z202" s="34" t="s">
        <v>937</v>
      </c>
      <c r="AA202" s="34" t="s">
        <v>1056</v>
      </c>
      <c r="AB202" s="35"/>
    </row>
    <row r="203" spans="1:28" x14ac:dyDescent="0.3">
      <c r="A203" s="124"/>
      <c r="B203" s="114">
        <v>202</v>
      </c>
      <c r="C203" s="38">
        <v>202</v>
      </c>
      <c r="D203" s="38">
        <v>65289</v>
      </c>
      <c r="E203" s="38" t="s">
        <v>885</v>
      </c>
      <c r="F203" s="39" t="s">
        <v>440</v>
      </c>
      <c r="G203" s="40" t="s">
        <v>18</v>
      </c>
      <c r="H203" s="33" t="s">
        <v>441</v>
      </c>
      <c r="I203" s="32">
        <v>43907</v>
      </c>
      <c r="J203" s="87">
        <v>43882</v>
      </c>
      <c r="K203" s="88">
        <v>0.56388888888888888</v>
      </c>
      <c r="L203" s="127">
        <f>58.724-57.912</f>
        <v>0.81199999999999761</v>
      </c>
      <c r="M203" s="132">
        <f>(63.557-57.912)+0.086</f>
        <v>5.7310000000000034</v>
      </c>
      <c r="N203" s="88"/>
      <c r="O203" s="88"/>
      <c r="P203" s="88" t="s">
        <v>1198</v>
      </c>
      <c r="Q203" s="79">
        <v>0.72</v>
      </c>
      <c r="R203" s="79">
        <v>5.64</v>
      </c>
      <c r="S203" s="79">
        <v>5.67</v>
      </c>
      <c r="T203" s="79" t="e">
        <v>#N/A</v>
      </c>
      <c r="U203" s="79">
        <v>6.07</v>
      </c>
      <c r="V203" s="79">
        <v>0.03</v>
      </c>
      <c r="W203" s="79" t="s">
        <v>946</v>
      </c>
      <c r="X203" s="34">
        <v>1</v>
      </c>
      <c r="Y203" s="34" t="s">
        <v>4</v>
      </c>
      <c r="Z203" s="34" t="s">
        <v>937</v>
      </c>
      <c r="AA203" s="34"/>
      <c r="AB203" s="35"/>
    </row>
    <row r="204" spans="1:28" x14ac:dyDescent="0.3">
      <c r="A204" s="124"/>
      <c r="B204" s="114">
        <v>203</v>
      </c>
      <c r="C204" s="38">
        <v>203</v>
      </c>
      <c r="D204" s="38">
        <v>65202</v>
      </c>
      <c r="E204" s="38" t="s">
        <v>886</v>
      </c>
      <c r="F204" s="39" t="s">
        <v>442</v>
      </c>
      <c r="G204" s="40" t="s">
        <v>29</v>
      </c>
      <c r="H204" s="33" t="s">
        <v>443</v>
      </c>
      <c r="I204" s="32">
        <v>43911</v>
      </c>
      <c r="J204" s="87">
        <v>43882</v>
      </c>
      <c r="K204" s="88">
        <v>0.4680555555555555</v>
      </c>
      <c r="L204" s="127">
        <f>58.266-57.912</f>
        <v>0.3539999999999992</v>
      </c>
      <c r="M204" s="132">
        <f>(63.845-57.912)+0.086</f>
        <v>6.0190000000000001</v>
      </c>
      <c r="N204" s="88"/>
      <c r="O204" s="88"/>
      <c r="P204" s="88">
        <v>0.47222222222222227</v>
      </c>
      <c r="Q204" s="79">
        <v>0.23</v>
      </c>
      <c r="R204" s="79">
        <v>5.91</v>
      </c>
      <c r="S204" s="79">
        <v>6.07</v>
      </c>
      <c r="T204" s="79" t="e">
        <v>#N/A</v>
      </c>
      <c r="U204" s="79">
        <v>6</v>
      </c>
      <c r="V204" s="79">
        <v>0.16</v>
      </c>
      <c r="W204" s="79" t="s">
        <v>946</v>
      </c>
      <c r="X204" s="34">
        <v>1</v>
      </c>
      <c r="Y204" s="34" t="s">
        <v>4</v>
      </c>
      <c r="Z204" s="34" t="s">
        <v>937</v>
      </c>
      <c r="AA204" s="34"/>
      <c r="AB204" s="35"/>
    </row>
    <row r="205" spans="1:28" x14ac:dyDescent="0.3">
      <c r="A205" s="178"/>
      <c r="B205" s="114">
        <v>204</v>
      </c>
      <c r="C205" s="38">
        <v>204</v>
      </c>
      <c r="D205" s="38">
        <v>65514</v>
      </c>
      <c r="E205" s="38" t="s">
        <v>887</v>
      </c>
      <c r="F205" s="39" t="s">
        <v>444</v>
      </c>
      <c r="G205" s="40" t="s">
        <v>29</v>
      </c>
      <c r="H205" s="33" t="s">
        <v>445</v>
      </c>
      <c r="I205" s="32">
        <v>43911</v>
      </c>
      <c r="J205" s="87">
        <v>43873</v>
      </c>
      <c r="K205" s="88">
        <v>0.5180555555555556</v>
      </c>
      <c r="L205" s="127">
        <f>60.571-57.912</f>
        <v>2.6589999999999989</v>
      </c>
      <c r="M205" s="132">
        <f>(63.973-57.912)+0.086</f>
        <v>6.1470000000000002</v>
      </c>
      <c r="N205" s="88"/>
      <c r="O205" s="88"/>
      <c r="P205" s="88">
        <v>0.52777777777777779</v>
      </c>
      <c r="Q205" s="79">
        <v>2.4500000000000002</v>
      </c>
      <c r="R205" s="79">
        <v>6.04</v>
      </c>
      <c r="S205" s="79">
        <v>6.16</v>
      </c>
      <c r="T205" s="79" t="e">
        <v>#N/A</v>
      </c>
      <c r="U205" s="79">
        <v>6.11</v>
      </c>
      <c r="V205" s="79">
        <v>0.12</v>
      </c>
      <c r="W205" s="79" t="s">
        <v>946</v>
      </c>
      <c r="X205" s="34">
        <v>1</v>
      </c>
      <c r="Y205" s="34" t="s">
        <v>4</v>
      </c>
      <c r="Z205" s="34" t="s">
        <v>937</v>
      </c>
      <c r="AA205" s="34" t="s">
        <v>1168</v>
      </c>
      <c r="AB205" s="35"/>
    </row>
    <row r="206" spans="1:28" x14ac:dyDescent="0.3">
      <c r="A206" s="157"/>
      <c r="B206" s="114">
        <v>205</v>
      </c>
      <c r="C206" s="38">
        <v>205</v>
      </c>
      <c r="D206" s="38">
        <v>65512</v>
      </c>
      <c r="E206" s="38" t="s">
        <v>888</v>
      </c>
      <c r="F206" s="39" t="s">
        <v>446</v>
      </c>
      <c r="G206" s="40" t="s">
        <v>18</v>
      </c>
      <c r="H206" s="33" t="s">
        <v>447</v>
      </c>
      <c r="I206" s="32">
        <v>43904</v>
      </c>
      <c r="J206" s="87">
        <v>43861</v>
      </c>
      <c r="K206" s="88">
        <v>0.3659722222222222</v>
      </c>
      <c r="L206" s="127">
        <v>0.99099999999999999</v>
      </c>
      <c r="M206" s="132">
        <v>6.09</v>
      </c>
      <c r="N206" s="88"/>
      <c r="O206" s="88"/>
      <c r="P206" s="88">
        <v>0.375</v>
      </c>
      <c r="Q206" s="79">
        <v>0.67</v>
      </c>
      <c r="R206" s="79">
        <v>5.99</v>
      </c>
      <c r="S206" s="79">
        <v>6.1</v>
      </c>
      <c r="T206" s="79" t="e">
        <v>#N/A</v>
      </c>
      <c r="U206" s="79">
        <v>6.08</v>
      </c>
      <c r="V206" s="79">
        <v>0.11</v>
      </c>
      <c r="W206" s="79" t="s">
        <v>946</v>
      </c>
      <c r="X206" s="34">
        <v>1</v>
      </c>
      <c r="Y206" s="34" t="s">
        <v>4</v>
      </c>
      <c r="Z206" s="34" t="s">
        <v>937</v>
      </c>
      <c r="AA206" s="34" t="s">
        <v>989</v>
      </c>
      <c r="AB206" s="35"/>
    </row>
    <row r="207" spans="1:28" x14ac:dyDescent="0.3">
      <c r="A207" s="124"/>
      <c r="B207" s="114">
        <v>206</v>
      </c>
      <c r="C207" s="38">
        <v>206</v>
      </c>
      <c r="D207" s="38">
        <v>65229</v>
      </c>
      <c r="E207" s="38" t="s">
        <v>889</v>
      </c>
      <c r="F207" s="39" t="s">
        <v>448</v>
      </c>
      <c r="G207" s="40" t="s">
        <v>18</v>
      </c>
      <c r="H207" s="33" t="s">
        <v>449</v>
      </c>
      <c r="I207" s="32">
        <v>43907</v>
      </c>
      <c r="J207" s="87">
        <v>43875</v>
      </c>
      <c r="K207" s="88" t="s">
        <v>1192</v>
      </c>
      <c r="L207" s="127">
        <f>59.663-57.912</f>
        <v>1.7509999999999977</v>
      </c>
      <c r="M207" s="132">
        <f>(63.309-57.912)+0.086</f>
        <v>5.4829999999999988</v>
      </c>
      <c r="N207" s="88"/>
      <c r="O207" s="88"/>
      <c r="P207" s="88">
        <v>0.61111111111111105</v>
      </c>
      <c r="Q207" s="79">
        <v>1.62</v>
      </c>
      <c r="R207" s="79">
        <v>5.42</v>
      </c>
      <c r="S207" s="79">
        <v>5.52</v>
      </c>
      <c r="T207" s="79" t="e">
        <v>#N/A</v>
      </c>
      <c r="U207" s="79">
        <v>6.05</v>
      </c>
      <c r="V207" s="79">
        <v>0.1</v>
      </c>
      <c r="W207" s="79" t="s">
        <v>946</v>
      </c>
      <c r="X207" s="34">
        <v>1</v>
      </c>
      <c r="Y207" s="34" t="s">
        <v>4</v>
      </c>
      <c r="Z207" s="34" t="s">
        <v>937</v>
      </c>
      <c r="AA207" s="34" t="s">
        <v>1191</v>
      </c>
      <c r="AB207" s="35"/>
    </row>
    <row r="208" spans="1:28" x14ac:dyDescent="0.3">
      <c r="A208" s="124"/>
      <c r="B208" s="114">
        <v>207</v>
      </c>
      <c r="C208" s="38">
        <v>207</v>
      </c>
      <c r="D208" s="38">
        <v>65339</v>
      </c>
      <c r="E208" s="38" t="s">
        <v>890</v>
      </c>
      <c r="F208" s="39" t="s">
        <v>450</v>
      </c>
      <c r="G208" s="40" t="s">
        <v>18</v>
      </c>
      <c r="H208" s="33" t="s">
        <v>451</v>
      </c>
      <c r="I208" s="32">
        <v>43903</v>
      </c>
      <c r="J208" s="87">
        <v>43871</v>
      </c>
      <c r="K208" s="88" t="s">
        <v>1150</v>
      </c>
      <c r="L208" s="127">
        <v>1.9</v>
      </c>
      <c r="M208" s="132">
        <v>6.05</v>
      </c>
      <c r="N208" s="88"/>
      <c r="O208" s="88"/>
      <c r="P208" s="88" t="s">
        <v>1152</v>
      </c>
      <c r="Q208" s="79">
        <v>1.69</v>
      </c>
      <c r="R208" s="79">
        <v>6.01</v>
      </c>
      <c r="S208" s="79">
        <v>6.12</v>
      </c>
      <c r="T208" s="79" t="e">
        <v>#N/A</v>
      </c>
      <c r="U208" s="79">
        <v>6.13</v>
      </c>
      <c r="V208" s="79">
        <v>0.11</v>
      </c>
      <c r="W208" s="79" t="s">
        <v>946</v>
      </c>
      <c r="X208" s="34">
        <v>1</v>
      </c>
      <c r="Y208" s="34" t="s">
        <v>4</v>
      </c>
      <c r="Z208" s="34" t="s">
        <v>937</v>
      </c>
      <c r="AA208" s="34" t="s">
        <v>1151</v>
      </c>
      <c r="AB208" s="35"/>
    </row>
    <row r="209" spans="1:28" x14ac:dyDescent="0.3">
      <c r="A209" s="124"/>
      <c r="B209" s="114">
        <v>208</v>
      </c>
      <c r="C209" s="38">
        <v>208</v>
      </c>
      <c r="D209" s="38">
        <v>74895</v>
      </c>
      <c r="E209" s="38" t="s">
        <v>891</v>
      </c>
      <c r="F209" s="39" t="s">
        <v>452</v>
      </c>
      <c r="G209" s="40" t="s">
        <v>18</v>
      </c>
      <c r="H209" s="33" t="s">
        <v>453</v>
      </c>
      <c r="I209" s="32">
        <v>43903</v>
      </c>
      <c r="J209" s="87">
        <v>43857</v>
      </c>
      <c r="K209" s="88" t="s">
        <v>1087</v>
      </c>
      <c r="L209" s="127">
        <v>0.96099999999999997</v>
      </c>
      <c r="M209" s="132">
        <v>6.0529999999999999</v>
      </c>
      <c r="N209" s="88"/>
      <c r="O209" s="88"/>
      <c r="P209" s="88">
        <v>0.63194444444444442</v>
      </c>
      <c r="Q209" s="79">
        <v>0.8</v>
      </c>
      <c r="R209" s="79">
        <v>6.02</v>
      </c>
      <c r="S209" s="79">
        <v>6.09</v>
      </c>
      <c r="T209" s="79" t="e">
        <v>#N/A</v>
      </c>
      <c r="U209" s="79">
        <v>6.06</v>
      </c>
      <c r="V209" s="79">
        <v>7.0000000000000007E-2</v>
      </c>
      <c r="W209" s="79" t="s">
        <v>946</v>
      </c>
      <c r="X209" s="34">
        <v>1</v>
      </c>
      <c r="Y209" s="34" t="s">
        <v>4</v>
      </c>
      <c r="Z209" s="34" t="s">
        <v>937</v>
      </c>
      <c r="AA209" s="34"/>
      <c r="AB209" s="35"/>
    </row>
    <row r="210" spans="1:28" x14ac:dyDescent="0.3">
      <c r="A210" s="124"/>
      <c r="B210" s="158">
        <v>209</v>
      </c>
      <c r="C210" s="164">
        <v>209</v>
      </c>
      <c r="D210" s="164">
        <v>67637</v>
      </c>
      <c r="E210" s="164" t="s">
        <v>892</v>
      </c>
      <c r="F210" s="159" t="s">
        <v>454</v>
      </c>
      <c r="G210" s="160" t="s">
        <v>18</v>
      </c>
      <c r="H210" s="161" t="s">
        <v>455</v>
      </c>
      <c r="I210" s="103">
        <v>43903</v>
      </c>
      <c r="J210" s="104"/>
      <c r="K210" s="105"/>
      <c r="L210" s="129"/>
      <c r="M210" s="135"/>
      <c r="N210" s="105"/>
      <c r="O210" s="105"/>
      <c r="P210" s="105"/>
      <c r="Q210" s="106">
        <v>0.63</v>
      </c>
      <c r="R210" s="106">
        <v>5.89</v>
      </c>
      <c r="S210" s="106">
        <v>5.98</v>
      </c>
      <c r="T210" s="106" t="e">
        <v>#N/A</v>
      </c>
      <c r="U210" s="106">
        <v>6.08</v>
      </c>
      <c r="V210" s="106">
        <v>0.09</v>
      </c>
      <c r="W210" s="106" t="s">
        <v>946</v>
      </c>
      <c r="X210" s="107"/>
      <c r="Y210" s="107" t="s">
        <v>4</v>
      </c>
      <c r="Z210" s="107" t="s">
        <v>937</v>
      </c>
      <c r="AA210" s="107"/>
      <c r="AB210" s="108" t="s">
        <v>75</v>
      </c>
    </row>
    <row r="211" spans="1:28" x14ac:dyDescent="0.3">
      <c r="A211" s="124"/>
      <c r="B211" s="114">
        <v>210</v>
      </c>
      <c r="C211" s="38">
        <v>210</v>
      </c>
      <c r="D211" s="38">
        <v>65504</v>
      </c>
      <c r="E211" s="38" t="s">
        <v>893</v>
      </c>
      <c r="F211" s="39" t="s">
        <v>456</v>
      </c>
      <c r="G211" s="40" t="s">
        <v>29</v>
      </c>
      <c r="H211" s="33" t="s">
        <v>457</v>
      </c>
      <c r="I211" s="32">
        <v>43914</v>
      </c>
      <c r="J211" s="87">
        <v>43874</v>
      </c>
      <c r="K211" s="88">
        <v>0.39652777777777781</v>
      </c>
      <c r="L211" s="127">
        <f>58.08-57.912</f>
        <v>0.16799999999999926</v>
      </c>
      <c r="M211" s="132">
        <f>(63.649-57.912)+0.086</f>
        <v>5.8230000000000022</v>
      </c>
      <c r="N211" s="88"/>
      <c r="O211" s="88"/>
      <c r="P211" s="88">
        <v>0.40277777777777773</v>
      </c>
      <c r="Q211" s="79">
        <v>0.68</v>
      </c>
      <c r="R211" s="79">
        <v>5.72</v>
      </c>
      <c r="S211" s="79">
        <v>5.88</v>
      </c>
      <c r="T211" s="79" t="e">
        <v>#N/A</v>
      </c>
      <c r="U211" s="79">
        <v>6.1</v>
      </c>
      <c r="V211" s="79">
        <v>0.16</v>
      </c>
      <c r="W211" s="79" t="s">
        <v>946</v>
      </c>
      <c r="X211" s="34">
        <v>1</v>
      </c>
      <c r="Y211" s="34" t="s">
        <v>4</v>
      </c>
      <c r="Z211" s="34" t="s">
        <v>937</v>
      </c>
      <c r="AA211" s="34"/>
      <c r="AB211" s="35"/>
    </row>
    <row r="212" spans="1:28" x14ac:dyDescent="0.3">
      <c r="A212" s="124"/>
      <c r="B212" s="114">
        <v>211</v>
      </c>
      <c r="C212" s="38">
        <v>211</v>
      </c>
      <c r="D212" s="38">
        <v>65435</v>
      </c>
      <c r="E212" s="38" t="s">
        <v>894</v>
      </c>
      <c r="F212" s="39" t="s">
        <v>458</v>
      </c>
      <c r="G212" s="40" t="s">
        <v>167</v>
      </c>
      <c r="H212" s="33" t="s">
        <v>459</v>
      </c>
      <c r="I212" s="32">
        <v>43916</v>
      </c>
      <c r="J212" s="87">
        <v>43846</v>
      </c>
      <c r="K212" s="88">
        <v>0.55069444444444449</v>
      </c>
      <c r="L212" s="127">
        <v>1.7250000000000001</v>
      </c>
      <c r="M212" s="132"/>
      <c r="N212" s="88"/>
      <c r="O212" s="88"/>
      <c r="P212" s="88">
        <v>0.55555555555555558</v>
      </c>
      <c r="Q212" s="79">
        <v>1.61</v>
      </c>
      <c r="R212" s="79">
        <v>5.75</v>
      </c>
      <c r="S212" s="79">
        <v>5.86</v>
      </c>
      <c r="T212" s="79" t="e">
        <v>#N/A</v>
      </c>
      <c r="U212" s="79">
        <v>6.02</v>
      </c>
      <c r="V212" s="79">
        <v>0.11</v>
      </c>
      <c r="W212" s="79" t="s">
        <v>946</v>
      </c>
      <c r="X212" s="34">
        <v>1</v>
      </c>
      <c r="Y212" s="34" t="s">
        <v>4</v>
      </c>
      <c r="Z212" s="34" t="s">
        <v>937</v>
      </c>
      <c r="AA212" s="34"/>
      <c r="AB212" s="35"/>
    </row>
    <row r="213" spans="1:28" x14ac:dyDescent="0.3">
      <c r="A213" s="124"/>
      <c r="B213" s="114">
        <v>212</v>
      </c>
      <c r="C213" s="38">
        <v>212</v>
      </c>
      <c r="D213" s="38">
        <v>65181</v>
      </c>
      <c r="E213" s="38" t="s">
        <v>895</v>
      </c>
      <c r="F213" s="39" t="s">
        <v>460</v>
      </c>
      <c r="G213" s="40" t="s">
        <v>167</v>
      </c>
      <c r="H213" s="33" t="s">
        <v>461</v>
      </c>
      <c r="I213" s="32">
        <v>43916</v>
      </c>
      <c r="J213" s="87">
        <v>43847</v>
      </c>
      <c r="K213" s="88" t="s">
        <v>976</v>
      </c>
      <c r="L213" s="127">
        <v>1.9970000000000001</v>
      </c>
      <c r="M213" s="132">
        <v>5.38</v>
      </c>
      <c r="N213" s="88"/>
      <c r="O213" s="88"/>
      <c r="P213" s="88" t="s">
        <v>977</v>
      </c>
      <c r="Q213" s="79">
        <v>1.64</v>
      </c>
      <c r="R213" s="79">
        <v>5.36</v>
      </c>
      <c r="S213" s="79">
        <v>5.48</v>
      </c>
      <c r="T213" s="79" t="e">
        <v>#N/A</v>
      </c>
      <c r="U213" s="79">
        <v>6</v>
      </c>
      <c r="V213" s="79">
        <v>0.12</v>
      </c>
      <c r="W213" s="79" t="s">
        <v>946</v>
      </c>
      <c r="X213" s="34">
        <v>1</v>
      </c>
      <c r="Y213" s="34" t="s">
        <v>4</v>
      </c>
      <c r="Z213" s="34" t="s">
        <v>937</v>
      </c>
      <c r="AA213" s="34" t="s">
        <v>978</v>
      </c>
      <c r="AB213" s="35"/>
    </row>
    <row r="214" spans="1:28" x14ac:dyDescent="0.3">
      <c r="A214" s="124"/>
      <c r="B214" s="114">
        <v>213</v>
      </c>
      <c r="C214" s="38">
        <v>213</v>
      </c>
      <c r="D214" s="38">
        <v>65182</v>
      </c>
      <c r="E214" s="38" t="s">
        <v>896</v>
      </c>
      <c r="F214" s="39" t="s">
        <v>462</v>
      </c>
      <c r="G214" s="40" t="s">
        <v>167</v>
      </c>
      <c r="H214" s="33" t="s">
        <v>463</v>
      </c>
      <c r="I214" s="32">
        <v>43916</v>
      </c>
      <c r="J214" s="87">
        <v>43847</v>
      </c>
      <c r="K214" s="88">
        <v>0.4916666666666667</v>
      </c>
      <c r="L214" s="127">
        <v>1</v>
      </c>
      <c r="M214" s="132">
        <v>6.0209999999999999</v>
      </c>
      <c r="N214" s="88"/>
      <c r="O214" s="88"/>
      <c r="P214" s="88">
        <v>0.5</v>
      </c>
      <c r="Q214" s="79">
        <v>0.96</v>
      </c>
      <c r="R214" s="79">
        <v>6</v>
      </c>
      <c r="S214" s="79">
        <v>6.1</v>
      </c>
      <c r="T214" s="79" t="e">
        <v>#N/A</v>
      </c>
      <c r="U214" s="79">
        <v>6</v>
      </c>
      <c r="V214" s="79">
        <v>0.1</v>
      </c>
      <c r="W214" s="79" t="s">
        <v>946</v>
      </c>
      <c r="X214" s="34">
        <v>1</v>
      </c>
      <c r="Y214" s="34" t="s">
        <v>4</v>
      </c>
      <c r="Z214" s="34" t="s">
        <v>937</v>
      </c>
      <c r="AA214" s="34"/>
      <c r="AB214" s="35"/>
    </row>
    <row r="215" spans="1:28" x14ac:dyDescent="0.3">
      <c r="A215" s="124"/>
      <c r="B215" s="114">
        <v>214</v>
      </c>
      <c r="C215" s="38">
        <v>214</v>
      </c>
      <c r="D215" s="38">
        <v>65183</v>
      </c>
      <c r="E215" s="38" t="s">
        <v>897</v>
      </c>
      <c r="F215" s="39" t="s">
        <v>464</v>
      </c>
      <c r="G215" s="40" t="s">
        <v>167</v>
      </c>
      <c r="H215" s="33" t="s">
        <v>465</v>
      </c>
      <c r="I215" s="32">
        <v>43916</v>
      </c>
      <c r="J215" s="87">
        <v>43850</v>
      </c>
      <c r="K215" s="88">
        <v>0.38263888888888892</v>
      </c>
      <c r="L215" s="127">
        <v>2.4300000000000002</v>
      </c>
      <c r="M215" s="132">
        <v>7.09</v>
      </c>
      <c r="N215" s="88"/>
      <c r="O215" s="88"/>
      <c r="P215" s="88">
        <v>0.39583333333333331</v>
      </c>
      <c r="Q215" s="79">
        <v>1.84</v>
      </c>
      <c r="R215" s="79">
        <v>7.05</v>
      </c>
      <c r="S215" s="79">
        <v>7.14</v>
      </c>
      <c r="T215" s="79" t="e">
        <v>#N/A</v>
      </c>
      <c r="U215" s="79">
        <v>7.5</v>
      </c>
      <c r="V215" s="79">
        <v>0.09</v>
      </c>
      <c r="W215" s="79" t="s">
        <v>946</v>
      </c>
      <c r="X215" s="34">
        <v>1</v>
      </c>
      <c r="Y215" s="34" t="s">
        <v>4</v>
      </c>
      <c r="Z215" s="34" t="s">
        <v>937</v>
      </c>
      <c r="AA215" s="34"/>
      <c r="AB215" s="35"/>
    </row>
    <row r="216" spans="1:28" x14ac:dyDescent="0.3">
      <c r="A216" s="124"/>
      <c r="B216" s="114">
        <v>215</v>
      </c>
      <c r="C216" s="38">
        <v>215</v>
      </c>
      <c r="D216" s="38">
        <v>65184</v>
      </c>
      <c r="E216" s="38" t="s">
        <v>898</v>
      </c>
      <c r="F216" s="39" t="s">
        <v>466</v>
      </c>
      <c r="G216" s="40" t="s">
        <v>29</v>
      </c>
      <c r="H216" s="33" t="s">
        <v>467</v>
      </c>
      <c r="I216" s="32">
        <v>43914</v>
      </c>
      <c r="J216" s="87">
        <v>43865</v>
      </c>
      <c r="K216" s="88">
        <v>0.55763888888888891</v>
      </c>
      <c r="L216" s="127">
        <v>0.59299999999999997</v>
      </c>
      <c r="M216" s="132">
        <v>5.6660000000000004</v>
      </c>
      <c r="N216" s="88"/>
      <c r="O216" s="88"/>
      <c r="P216" s="88" t="s">
        <v>1095</v>
      </c>
      <c r="Q216" s="79">
        <v>0.5</v>
      </c>
      <c r="R216" s="79">
        <v>5.62</v>
      </c>
      <c r="S216" s="79">
        <v>5.72</v>
      </c>
      <c r="T216" s="79" t="e">
        <v>#N/A</v>
      </c>
      <c r="U216" s="79">
        <v>6</v>
      </c>
      <c r="V216" s="79">
        <v>0.1</v>
      </c>
      <c r="W216" s="79" t="s">
        <v>946</v>
      </c>
      <c r="X216" s="34">
        <v>1</v>
      </c>
      <c r="Y216" s="34" t="s">
        <v>4</v>
      </c>
      <c r="Z216" s="34" t="s">
        <v>937</v>
      </c>
      <c r="AA216" s="34" t="s">
        <v>1109</v>
      </c>
      <c r="AB216" s="35"/>
    </row>
    <row r="217" spans="1:28" x14ac:dyDescent="0.3">
      <c r="A217" s="178"/>
      <c r="B217" s="114">
        <v>216</v>
      </c>
      <c r="C217" s="38">
        <v>216</v>
      </c>
      <c r="D217" s="38">
        <v>65185</v>
      </c>
      <c r="E217" s="38" t="s">
        <v>899</v>
      </c>
      <c r="F217" s="39" t="s">
        <v>468</v>
      </c>
      <c r="G217" s="40" t="s">
        <v>29</v>
      </c>
      <c r="H217" s="33" t="s">
        <v>469</v>
      </c>
      <c r="I217" s="32">
        <v>43910</v>
      </c>
      <c r="J217" s="87">
        <v>43850</v>
      </c>
      <c r="K217" s="88" t="s">
        <v>991</v>
      </c>
      <c r="L217" s="127">
        <v>1.6970000000000001</v>
      </c>
      <c r="M217" s="132">
        <v>6</v>
      </c>
      <c r="N217" s="88"/>
      <c r="O217" s="88"/>
      <c r="P217" s="88" t="s">
        <v>993</v>
      </c>
      <c r="Q217" s="79">
        <v>1.63</v>
      </c>
      <c r="R217" s="79">
        <v>5.99</v>
      </c>
      <c r="S217" s="79">
        <v>6.05</v>
      </c>
      <c r="T217" s="79" t="e">
        <v>#N/A</v>
      </c>
      <c r="U217" s="79">
        <v>6</v>
      </c>
      <c r="V217" s="79">
        <v>0.06</v>
      </c>
      <c r="W217" s="79" t="s">
        <v>946</v>
      </c>
      <c r="X217" s="34">
        <v>1</v>
      </c>
      <c r="Y217" s="34" t="s">
        <v>4</v>
      </c>
      <c r="Z217" s="34" t="s">
        <v>937</v>
      </c>
      <c r="AA217" s="34" t="s">
        <v>992</v>
      </c>
      <c r="AB217" s="35"/>
    </row>
    <row r="218" spans="1:28" x14ac:dyDescent="0.3">
      <c r="A218" s="157"/>
      <c r="B218" s="114">
        <v>217</v>
      </c>
      <c r="C218" s="38">
        <v>217</v>
      </c>
      <c r="D218" s="38">
        <v>67638</v>
      </c>
      <c r="E218" s="38" t="s">
        <v>900</v>
      </c>
      <c r="F218" s="39" t="s">
        <v>470</v>
      </c>
      <c r="G218" s="40" t="s">
        <v>18</v>
      </c>
      <c r="H218" s="33" t="s">
        <v>471</v>
      </c>
      <c r="I218" s="32">
        <v>43907</v>
      </c>
      <c r="J218" s="87">
        <v>43858</v>
      </c>
      <c r="K218" s="88">
        <v>0.36458333333333331</v>
      </c>
      <c r="L218" s="127">
        <v>0.96499999999999997</v>
      </c>
      <c r="M218" s="132">
        <v>5.7229999999999999</v>
      </c>
      <c r="N218" s="88"/>
      <c r="O218" s="88"/>
      <c r="P218" s="88">
        <v>0.375</v>
      </c>
      <c r="Q218" s="79">
        <v>0.96</v>
      </c>
      <c r="R218" s="79">
        <v>5.7</v>
      </c>
      <c r="S218" s="79">
        <v>5.8</v>
      </c>
      <c r="T218" s="79" t="e">
        <v>#N/A</v>
      </c>
      <c r="U218" s="79">
        <v>6.07</v>
      </c>
      <c r="V218" s="79">
        <v>0.1</v>
      </c>
      <c r="W218" s="79" t="s">
        <v>946</v>
      </c>
      <c r="X218" s="34">
        <v>1</v>
      </c>
      <c r="Y218" s="34" t="s">
        <v>4</v>
      </c>
      <c r="Z218" s="34" t="s">
        <v>937</v>
      </c>
      <c r="AA218" s="34" t="s">
        <v>1089</v>
      </c>
      <c r="AB218" s="35"/>
    </row>
    <row r="219" spans="1:28" x14ac:dyDescent="0.3">
      <c r="A219" s="124"/>
      <c r="B219" s="114">
        <v>218</v>
      </c>
      <c r="C219" s="38">
        <v>218</v>
      </c>
      <c r="D219" s="38">
        <v>65290</v>
      </c>
      <c r="E219" s="38" t="s">
        <v>901</v>
      </c>
      <c r="F219" s="39" t="s">
        <v>472</v>
      </c>
      <c r="G219" s="40" t="s">
        <v>29</v>
      </c>
      <c r="H219" s="33" t="s">
        <v>473</v>
      </c>
      <c r="I219" s="32">
        <v>43914</v>
      </c>
      <c r="J219" s="87">
        <v>43868</v>
      </c>
      <c r="K219" s="88" t="s">
        <v>1131</v>
      </c>
      <c r="L219" s="127">
        <v>1.3130000000000024</v>
      </c>
      <c r="M219" s="132">
        <v>5.7190000000000003</v>
      </c>
      <c r="N219" s="88"/>
      <c r="O219" s="88"/>
      <c r="P219" s="88" t="s">
        <v>1108</v>
      </c>
      <c r="Q219" s="79">
        <v>1.0900000000000001</v>
      </c>
      <c r="R219" s="79">
        <v>5.87</v>
      </c>
      <c r="S219" s="79">
        <v>6.03</v>
      </c>
      <c r="T219" s="79" t="e">
        <v>#N/A</v>
      </c>
      <c r="U219" s="79">
        <v>6.07</v>
      </c>
      <c r="V219" s="79">
        <v>0.16</v>
      </c>
      <c r="W219" s="79" t="s">
        <v>946</v>
      </c>
      <c r="X219" s="34">
        <v>1</v>
      </c>
      <c r="Y219" s="34" t="s">
        <v>4</v>
      </c>
      <c r="Z219" s="34" t="s">
        <v>937</v>
      </c>
      <c r="AA219" s="34"/>
      <c r="AB219" s="35"/>
    </row>
    <row r="220" spans="1:28" x14ac:dyDescent="0.3">
      <c r="A220" s="124"/>
      <c r="B220" s="114">
        <v>219</v>
      </c>
      <c r="C220" s="38">
        <v>219</v>
      </c>
      <c r="D220" s="38">
        <v>65230</v>
      </c>
      <c r="E220" s="38" t="s">
        <v>902</v>
      </c>
      <c r="F220" s="39" t="s">
        <v>474</v>
      </c>
      <c r="G220" s="40" t="s">
        <v>18</v>
      </c>
      <c r="H220" s="33" t="s">
        <v>475</v>
      </c>
      <c r="I220" s="32">
        <v>43903</v>
      </c>
      <c r="J220" s="87">
        <v>43882</v>
      </c>
      <c r="K220" s="88" t="s">
        <v>1196</v>
      </c>
      <c r="L220" s="127">
        <f>59.701-57.912</f>
        <v>1.7890000000000015</v>
      </c>
      <c r="M220" s="132">
        <f>(62.713-57.912)+0.086</f>
        <v>4.8870000000000022</v>
      </c>
      <c r="N220" s="88"/>
      <c r="O220" s="88"/>
      <c r="P220" s="88">
        <v>0.53472222222222221</v>
      </c>
      <c r="Q220" s="79">
        <v>1.7</v>
      </c>
      <c r="R220" s="79">
        <v>4.82</v>
      </c>
      <c r="S220" s="79">
        <v>4.92</v>
      </c>
      <c r="T220" s="79" t="e">
        <v>#N/A</v>
      </c>
      <c r="U220" s="79">
        <v>6.14</v>
      </c>
      <c r="V220" s="79">
        <v>0.1</v>
      </c>
      <c r="W220" s="79" t="s">
        <v>946</v>
      </c>
      <c r="X220" s="34">
        <v>1</v>
      </c>
      <c r="Y220" s="34" t="s">
        <v>4</v>
      </c>
      <c r="Z220" s="34" t="s">
        <v>937</v>
      </c>
      <c r="AA220" s="34"/>
      <c r="AB220" s="35"/>
    </row>
    <row r="221" spans="1:28" x14ac:dyDescent="0.3">
      <c r="A221" s="124"/>
      <c r="B221" s="114">
        <v>220</v>
      </c>
      <c r="C221" s="38">
        <v>220</v>
      </c>
      <c r="D221" s="38">
        <v>74458</v>
      </c>
      <c r="E221" s="38" t="s">
        <v>903</v>
      </c>
      <c r="F221" s="39" t="s">
        <v>476</v>
      </c>
      <c r="G221" s="40" t="s">
        <v>18</v>
      </c>
      <c r="H221" s="33" t="s">
        <v>477</v>
      </c>
      <c r="I221" s="32">
        <v>43903</v>
      </c>
      <c r="J221" s="87">
        <v>43858</v>
      </c>
      <c r="K221" s="88">
        <v>0.43611111111111112</v>
      </c>
      <c r="L221" s="127">
        <v>1.3540000000000001</v>
      </c>
      <c r="M221" s="132">
        <v>6.0819999999999999</v>
      </c>
      <c r="N221" s="88"/>
      <c r="O221" s="88"/>
      <c r="P221" s="88">
        <v>0.44444444444444442</v>
      </c>
      <c r="Q221" s="79">
        <v>1.25</v>
      </c>
      <c r="R221" s="79">
        <v>6.06</v>
      </c>
      <c r="S221" s="79">
        <v>6.13</v>
      </c>
      <c r="T221" s="79" t="e">
        <v>#N/A</v>
      </c>
      <c r="U221" s="79">
        <v>6.1</v>
      </c>
      <c r="V221" s="79">
        <v>7.0000000000000007E-2</v>
      </c>
      <c r="W221" s="79" t="s">
        <v>946</v>
      </c>
      <c r="X221" s="34">
        <v>1</v>
      </c>
      <c r="Y221" s="34" t="s">
        <v>4</v>
      </c>
      <c r="Z221" s="34" t="s">
        <v>937</v>
      </c>
      <c r="AA221" s="34"/>
      <c r="AB221" s="35"/>
    </row>
    <row r="222" spans="1:28" x14ac:dyDescent="0.3">
      <c r="A222" s="124"/>
      <c r="B222" s="120">
        <v>221</v>
      </c>
      <c r="C222" s="66">
        <v>221</v>
      </c>
      <c r="D222" s="66">
        <v>65231</v>
      </c>
      <c r="E222" s="66" t="s">
        <v>904</v>
      </c>
      <c r="F222" s="67" t="s">
        <v>478</v>
      </c>
      <c r="G222" s="68" t="s">
        <v>18</v>
      </c>
      <c r="H222" s="69" t="s">
        <v>479</v>
      </c>
      <c r="I222" s="70">
        <v>43922</v>
      </c>
      <c r="J222" s="93">
        <v>43872</v>
      </c>
      <c r="K222" s="94">
        <v>0.37708333333333338</v>
      </c>
      <c r="L222" s="130">
        <v>1.9990000000000023</v>
      </c>
      <c r="M222" s="136">
        <v>6.0880000000000027</v>
      </c>
      <c r="N222" s="94"/>
      <c r="O222" s="94"/>
      <c r="P222" s="94">
        <v>0.38194444444444442</v>
      </c>
      <c r="Q222" s="83">
        <v>1.87</v>
      </c>
      <c r="R222" s="83">
        <v>6</v>
      </c>
      <c r="S222" s="83">
        <v>6.08</v>
      </c>
      <c r="T222" s="83" t="e">
        <v>#N/A</v>
      </c>
      <c r="U222" s="83">
        <v>6.11</v>
      </c>
      <c r="V222" s="83">
        <v>0.08</v>
      </c>
      <c r="W222" s="83" t="s">
        <v>946</v>
      </c>
      <c r="X222" s="71">
        <v>1</v>
      </c>
      <c r="Y222" s="71" t="s">
        <v>4</v>
      </c>
      <c r="Z222" s="71" t="s">
        <v>937</v>
      </c>
      <c r="AA222" s="71" t="s">
        <v>1157</v>
      </c>
      <c r="AB222" s="72" t="s">
        <v>480</v>
      </c>
    </row>
    <row r="223" spans="1:28" x14ac:dyDescent="0.3">
      <c r="A223" s="124"/>
      <c r="B223" s="114">
        <v>222</v>
      </c>
      <c r="C223" s="38">
        <v>222</v>
      </c>
      <c r="D223" s="38">
        <v>74456</v>
      </c>
      <c r="E223" s="38" t="s">
        <v>905</v>
      </c>
      <c r="F223" s="39" t="s">
        <v>481</v>
      </c>
      <c r="G223" s="40" t="s">
        <v>29</v>
      </c>
      <c r="H223" s="33" t="s">
        <v>482</v>
      </c>
      <c r="I223" s="32">
        <v>43908</v>
      </c>
      <c r="J223" s="87">
        <v>43854</v>
      </c>
      <c r="K223" s="88">
        <v>0.58750000000000002</v>
      </c>
      <c r="L223" s="127">
        <v>2.2669999999999999</v>
      </c>
      <c r="M223" s="132">
        <v>5.5659999999999998</v>
      </c>
      <c r="N223" s="88"/>
      <c r="O223" s="88"/>
      <c r="P223" s="88">
        <v>0.59722222222222221</v>
      </c>
      <c r="Q223" s="79">
        <v>2.1800000000000002</v>
      </c>
      <c r="R223" s="79">
        <v>5.43</v>
      </c>
      <c r="S223" s="79">
        <v>5.54</v>
      </c>
      <c r="T223" s="79" t="e">
        <v>#N/A</v>
      </c>
      <c r="U223" s="79">
        <v>6.1</v>
      </c>
      <c r="V223" s="79">
        <v>0.11</v>
      </c>
      <c r="W223" s="79" t="s">
        <v>946</v>
      </c>
      <c r="X223" s="34">
        <v>1</v>
      </c>
      <c r="Y223" s="34" t="s">
        <v>4</v>
      </c>
      <c r="Z223" s="34" t="s">
        <v>937</v>
      </c>
      <c r="AA223" s="34"/>
      <c r="AB223" s="35"/>
    </row>
    <row r="224" spans="1:28" x14ac:dyDescent="0.3">
      <c r="A224" s="124"/>
      <c r="B224" s="120">
        <v>223</v>
      </c>
      <c r="C224" s="66">
        <v>223</v>
      </c>
      <c r="D224" s="66">
        <v>65502</v>
      </c>
      <c r="E224" s="66" t="s">
        <v>906</v>
      </c>
      <c r="F224" s="67" t="s">
        <v>483</v>
      </c>
      <c r="G224" s="68" t="s">
        <v>29</v>
      </c>
      <c r="H224" s="69" t="s">
        <v>484</v>
      </c>
      <c r="I224" s="70">
        <v>43922</v>
      </c>
      <c r="J224" s="93">
        <v>43852</v>
      </c>
      <c r="K224" s="94" t="s">
        <v>1038</v>
      </c>
      <c r="L224" s="130">
        <v>2.1469999999999998</v>
      </c>
      <c r="M224" s="136">
        <v>5.88</v>
      </c>
      <c r="N224" s="94"/>
      <c r="O224" s="94"/>
      <c r="P224" s="94" t="s">
        <v>1039</v>
      </c>
      <c r="Q224" s="83">
        <v>1.94</v>
      </c>
      <c r="R224" s="83">
        <v>5.84</v>
      </c>
      <c r="S224" s="83">
        <v>5.86</v>
      </c>
      <c r="T224" s="83" t="e">
        <v>#N/A</v>
      </c>
      <c r="U224" s="83">
        <v>6.03</v>
      </c>
      <c r="V224" s="83">
        <v>0.02</v>
      </c>
      <c r="W224" s="83" t="s">
        <v>946</v>
      </c>
      <c r="X224" s="71">
        <v>1</v>
      </c>
      <c r="Y224" s="71" t="s">
        <v>4</v>
      </c>
      <c r="Z224" s="71" t="s">
        <v>937</v>
      </c>
      <c r="AA224" s="71" t="s">
        <v>1040</v>
      </c>
      <c r="AB224" s="72" t="s">
        <v>480</v>
      </c>
    </row>
    <row r="225" spans="1:28" x14ac:dyDescent="0.3">
      <c r="A225" s="178"/>
      <c r="B225" s="114">
        <v>224</v>
      </c>
      <c r="C225" s="38">
        <v>224</v>
      </c>
      <c r="D225" s="38">
        <v>65186</v>
      </c>
      <c r="E225" s="38" t="s">
        <v>907</v>
      </c>
      <c r="F225" s="39" t="s">
        <v>485</v>
      </c>
      <c r="G225" s="40" t="s">
        <v>29</v>
      </c>
      <c r="H225" s="33" t="s">
        <v>486</v>
      </c>
      <c r="I225" s="32">
        <v>43909</v>
      </c>
      <c r="J225" s="87">
        <v>43852</v>
      </c>
      <c r="K225" s="88" t="s">
        <v>1033</v>
      </c>
      <c r="L225" s="127">
        <v>1.5089999999999999</v>
      </c>
      <c r="M225" s="132">
        <v>6.66</v>
      </c>
      <c r="N225" s="88"/>
      <c r="O225" s="88"/>
      <c r="P225" s="88" t="s">
        <v>1034</v>
      </c>
      <c r="Q225" s="79">
        <v>1.01</v>
      </c>
      <c r="R225" s="79">
        <v>6.53</v>
      </c>
      <c r="S225" s="79">
        <v>6.7</v>
      </c>
      <c r="T225" s="79" t="e">
        <v>#N/A</v>
      </c>
      <c r="U225" s="79">
        <v>7.5</v>
      </c>
      <c r="V225" s="79">
        <v>0.17</v>
      </c>
      <c r="W225" s="79" t="s">
        <v>946</v>
      </c>
      <c r="X225" s="34">
        <v>1</v>
      </c>
      <c r="Y225" s="34" t="s">
        <v>4</v>
      </c>
      <c r="Z225" s="34" t="s">
        <v>937</v>
      </c>
      <c r="AA225" s="34"/>
      <c r="AB225" s="35"/>
    </row>
    <row r="226" spans="1:28" x14ac:dyDescent="0.3">
      <c r="A226" s="124"/>
      <c r="B226" s="112">
        <v>225</v>
      </c>
      <c r="C226" s="1">
        <v>225</v>
      </c>
      <c r="D226" s="1">
        <v>65336</v>
      </c>
      <c r="E226" s="1" t="s">
        <v>908</v>
      </c>
      <c r="F226" s="18" t="s">
        <v>487</v>
      </c>
      <c r="G226" s="9" t="s">
        <v>29</v>
      </c>
      <c r="H226" s="10" t="s">
        <v>488</v>
      </c>
      <c r="I226" s="11" t="s">
        <v>949</v>
      </c>
      <c r="J226" s="78"/>
      <c r="K226" s="85"/>
      <c r="L226" s="126"/>
      <c r="M226" s="134"/>
      <c r="N226" s="85"/>
      <c r="O226" s="85"/>
      <c r="P226" s="85"/>
      <c r="Q226" s="78" t="s">
        <v>949</v>
      </c>
      <c r="R226" s="78" t="s">
        <v>949</v>
      </c>
      <c r="S226" s="78" t="s">
        <v>949</v>
      </c>
      <c r="T226" s="78" t="e">
        <v>#N/A</v>
      </c>
      <c r="U226" s="78">
        <v>6.13</v>
      </c>
      <c r="V226" s="78" t="s">
        <v>947</v>
      </c>
      <c r="W226" s="78" t="s">
        <v>946</v>
      </c>
      <c r="X226" s="12"/>
      <c r="Y226" s="12" t="s">
        <v>11</v>
      </c>
      <c r="Z226" s="12" t="s">
        <v>937</v>
      </c>
      <c r="AA226" s="12"/>
      <c r="AB226" s="10" t="s">
        <v>11</v>
      </c>
    </row>
    <row r="227" spans="1:28" x14ac:dyDescent="0.3">
      <c r="A227" s="124"/>
      <c r="B227" s="114">
        <v>226</v>
      </c>
      <c r="C227" s="38">
        <v>226</v>
      </c>
      <c r="D227" s="38">
        <v>65294</v>
      </c>
      <c r="E227" s="38" t="s">
        <v>909</v>
      </c>
      <c r="F227" s="39" t="s">
        <v>489</v>
      </c>
      <c r="G227" s="40" t="s">
        <v>29</v>
      </c>
      <c r="H227" s="33" t="s">
        <v>490</v>
      </c>
      <c r="I227" s="32">
        <v>43908</v>
      </c>
      <c r="J227" s="87">
        <v>43853</v>
      </c>
      <c r="K227" s="88">
        <v>0.45416666666666666</v>
      </c>
      <c r="L227" s="127">
        <v>3.694</v>
      </c>
      <c r="M227" s="132">
        <v>7.492</v>
      </c>
      <c r="N227" s="88"/>
      <c r="O227" s="88"/>
      <c r="P227" s="88">
        <v>0.45833333333333331</v>
      </c>
      <c r="Q227" s="79">
        <v>3.12</v>
      </c>
      <c r="R227" s="79">
        <v>7.46</v>
      </c>
      <c r="S227" s="79">
        <v>7.5</v>
      </c>
      <c r="T227" s="79" t="e">
        <v>#N/A</v>
      </c>
      <c r="U227" s="79">
        <v>7.51</v>
      </c>
      <c r="V227" s="79">
        <v>0.04</v>
      </c>
      <c r="W227" s="79" t="s">
        <v>946</v>
      </c>
      <c r="X227" s="34">
        <v>1</v>
      </c>
      <c r="Y227" s="34" t="s">
        <v>4</v>
      </c>
      <c r="Z227" s="34" t="s">
        <v>937</v>
      </c>
      <c r="AA227" s="34" t="s">
        <v>1048</v>
      </c>
      <c r="AB227" s="35"/>
    </row>
    <row r="228" spans="1:28" x14ac:dyDescent="0.3">
      <c r="A228" s="124"/>
      <c r="B228" s="114">
        <v>227</v>
      </c>
      <c r="C228" s="38">
        <v>227</v>
      </c>
      <c r="D228" s="38">
        <v>65335</v>
      </c>
      <c r="E228" s="38" t="s">
        <v>910</v>
      </c>
      <c r="F228" s="39" t="s">
        <v>491</v>
      </c>
      <c r="G228" s="40" t="s">
        <v>29</v>
      </c>
      <c r="H228" s="33" t="s">
        <v>492</v>
      </c>
      <c r="I228" s="32">
        <v>43909</v>
      </c>
      <c r="J228" s="87">
        <v>43854</v>
      </c>
      <c r="K228" s="88">
        <v>0.50763888888888886</v>
      </c>
      <c r="L228" s="127">
        <v>4.0469999999999997</v>
      </c>
      <c r="M228" s="132">
        <v>7.64</v>
      </c>
      <c r="N228" s="88"/>
      <c r="O228" s="88"/>
      <c r="P228" s="88">
        <v>0.51388888888888895</v>
      </c>
      <c r="Q228" s="79">
        <v>3.99</v>
      </c>
      <c r="R228" s="79">
        <v>7.61</v>
      </c>
      <c r="S228" s="79">
        <v>7.64</v>
      </c>
      <c r="T228" s="79" t="e">
        <v>#N/A</v>
      </c>
      <c r="U228" s="79">
        <v>7.65</v>
      </c>
      <c r="V228" s="79">
        <v>0.03</v>
      </c>
      <c r="W228" s="79" t="s">
        <v>946</v>
      </c>
      <c r="X228" s="34">
        <v>1</v>
      </c>
      <c r="Y228" s="34" t="s">
        <v>4</v>
      </c>
      <c r="Z228" s="34" t="s">
        <v>937</v>
      </c>
      <c r="AA228" s="34"/>
      <c r="AB228" s="35"/>
    </row>
    <row r="229" spans="1:28" x14ac:dyDescent="0.3">
      <c r="A229" s="124"/>
      <c r="B229" s="112">
        <v>228</v>
      </c>
      <c r="C229" s="17">
        <v>228</v>
      </c>
      <c r="D229" s="17">
        <v>74088</v>
      </c>
      <c r="E229" s="17" t="s">
        <v>911</v>
      </c>
      <c r="F229" s="18" t="s">
        <v>493</v>
      </c>
      <c r="G229" s="9" t="s">
        <v>167</v>
      </c>
      <c r="H229" s="10" t="s">
        <v>494</v>
      </c>
      <c r="I229" s="11" t="s">
        <v>949</v>
      </c>
      <c r="J229" s="84"/>
      <c r="K229" s="85"/>
      <c r="L229" s="126"/>
      <c r="M229" s="134"/>
      <c r="N229" s="85"/>
      <c r="O229" s="85"/>
      <c r="P229" s="85"/>
      <c r="Q229" s="78" t="s">
        <v>949</v>
      </c>
      <c r="R229" s="78" t="s">
        <v>949</v>
      </c>
      <c r="S229" s="78" t="s">
        <v>949</v>
      </c>
      <c r="T229" s="78" t="e">
        <v>#N/A</v>
      </c>
      <c r="U229" s="78">
        <v>6.08</v>
      </c>
      <c r="V229" s="78" t="s">
        <v>947</v>
      </c>
      <c r="W229" s="78" t="s">
        <v>946</v>
      </c>
      <c r="X229" s="12"/>
      <c r="Y229" s="12" t="s">
        <v>11</v>
      </c>
      <c r="Z229" s="12" t="s">
        <v>937</v>
      </c>
      <c r="AA229" s="12"/>
      <c r="AB229" s="10" t="s">
        <v>495</v>
      </c>
    </row>
    <row r="230" spans="1:28" x14ac:dyDescent="0.3">
      <c r="A230" s="124"/>
      <c r="B230" s="114">
        <v>229</v>
      </c>
      <c r="C230" s="38">
        <v>229</v>
      </c>
      <c r="D230" s="38">
        <v>74087</v>
      </c>
      <c r="E230" s="38" t="s">
        <v>912</v>
      </c>
      <c r="F230" s="39" t="s">
        <v>496</v>
      </c>
      <c r="G230" s="40" t="s">
        <v>167</v>
      </c>
      <c r="H230" s="33" t="s">
        <v>497</v>
      </c>
      <c r="I230" s="32">
        <v>43915</v>
      </c>
      <c r="J230" s="87">
        <v>43875</v>
      </c>
      <c r="K230" s="88">
        <v>0.42638888888888887</v>
      </c>
      <c r="L230" s="127">
        <f>59.649-57.912</f>
        <v>1.7370000000000019</v>
      </c>
      <c r="M230" s="132">
        <f>(63.33-57.912)+0.086</f>
        <v>5.5039999999999996</v>
      </c>
      <c r="N230" s="88"/>
      <c r="O230" s="88"/>
      <c r="P230" s="88" t="s">
        <v>1134</v>
      </c>
      <c r="Q230" s="79">
        <v>1.17</v>
      </c>
      <c r="R230" s="79">
        <v>5.4</v>
      </c>
      <c r="S230" s="79">
        <v>6.55</v>
      </c>
      <c r="T230" s="79" t="e">
        <v>#N/A</v>
      </c>
      <c r="U230" s="79">
        <v>6.11</v>
      </c>
      <c r="V230" s="79">
        <v>1.1499999999999999</v>
      </c>
      <c r="W230" s="79" t="s">
        <v>946</v>
      </c>
      <c r="X230" s="34">
        <v>1</v>
      </c>
      <c r="Y230" s="34" t="s">
        <v>4</v>
      </c>
      <c r="Z230" s="34" t="s">
        <v>937</v>
      </c>
      <c r="AA230" s="34" t="s">
        <v>1182</v>
      </c>
      <c r="AB230" s="35"/>
    </row>
    <row r="231" spans="1:28" x14ac:dyDescent="0.3">
      <c r="A231" s="124"/>
      <c r="B231" s="120">
        <v>230</v>
      </c>
      <c r="C231" s="66">
        <v>230</v>
      </c>
      <c r="D231" s="66">
        <v>65292</v>
      </c>
      <c r="E231" s="66" t="s">
        <v>913</v>
      </c>
      <c r="F231" s="67" t="s">
        <v>483</v>
      </c>
      <c r="G231" s="68" t="s">
        <v>167</v>
      </c>
      <c r="H231" s="69" t="s">
        <v>498</v>
      </c>
      <c r="I231" s="70">
        <v>43922</v>
      </c>
      <c r="J231" s="93">
        <v>43847</v>
      </c>
      <c r="K231" s="94" t="s">
        <v>985</v>
      </c>
      <c r="L231" s="130">
        <v>1.3480000000000001</v>
      </c>
      <c r="M231" s="136">
        <v>6.02</v>
      </c>
      <c r="N231" s="94"/>
      <c r="O231" s="94"/>
      <c r="P231" s="94"/>
      <c r="Q231" s="83">
        <v>1.28</v>
      </c>
      <c r="R231" s="83">
        <v>5.98</v>
      </c>
      <c r="S231" s="83">
        <v>6.08</v>
      </c>
      <c r="T231" s="83" t="e">
        <v>#N/A</v>
      </c>
      <c r="U231" s="83">
        <v>6.07</v>
      </c>
      <c r="V231" s="83">
        <v>0.1</v>
      </c>
      <c r="W231" s="83" t="s">
        <v>946</v>
      </c>
      <c r="X231" s="71">
        <v>1</v>
      </c>
      <c r="Y231" s="71" t="s">
        <v>4</v>
      </c>
      <c r="Z231" s="71" t="s">
        <v>937</v>
      </c>
      <c r="AA231" s="71" t="s">
        <v>986</v>
      </c>
      <c r="AB231" s="72" t="s">
        <v>480</v>
      </c>
    </row>
    <row r="232" spans="1:28" x14ac:dyDescent="0.3">
      <c r="A232" s="139"/>
      <c r="B232" s="114">
        <v>231</v>
      </c>
      <c r="C232" s="38">
        <v>231</v>
      </c>
      <c r="D232" s="38">
        <v>74083</v>
      </c>
      <c r="E232" s="38" t="s">
        <v>914</v>
      </c>
      <c r="F232" s="39" t="s">
        <v>499</v>
      </c>
      <c r="G232" s="40" t="s">
        <v>29</v>
      </c>
      <c r="H232" s="33" t="s">
        <v>500</v>
      </c>
      <c r="I232" s="32">
        <v>43909</v>
      </c>
      <c r="J232" s="87">
        <v>43854</v>
      </c>
      <c r="K232" s="88">
        <v>0.47500000000000003</v>
      </c>
      <c r="L232" s="127">
        <v>0.52500000000000002</v>
      </c>
      <c r="M232" s="132">
        <v>6.0570000000000004</v>
      </c>
      <c r="N232" s="88"/>
      <c r="O232" s="88"/>
      <c r="P232" s="88">
        <v>0.47916666666666669</v>
      </c>
      <c r="Q232" s="79">
        <v>0.27</v>
      </c>
      <c r="R232" s="79">
        <v>6.04</v>
      </c>
      <c r="S232" s="79">
        <v>6.08</v>
      </c>
      <c r="T232" s="79" t="e">
        <v>#N/A</v>
      </c>
      <c r="U232" s="79">
        <v>6.09</v>
      </c>
      <c r="V232" s="79">
        <v>0.04</v>
      </c>
      <c r="W232" s="79" t="s">
        <v>946</v>
      </c>
      <c r="X232" s="34">
        <v>1</v>
      </c>
      <c r="Y232" s="34" t="s">
        <v>4</v>
      </c>
      <c r="Z232" s="34" t="s">
        <v>937</v>
      </c>
      <c r="AA232" s="34" t="s">
        <v>1069</v>
      </c>
      <c r="AB232" s="35"/>
    </row>
    <row r="233" spans="1:28" x14ac:dyDescent="0.3">
      <c r="A233" s="124"/>
      <c r="B233" s="121">
        <v>232</v>
      </c>
      <c r="C233" s="73">
        <v>232</v>
      </c>
      <c r="D233" s="73">
        <v>65203</v>
      </c>
      <c r="E233" s="73" t="s">
        <v>915</v>
      </c>
      <c r="F233" s="62" t="s">
        <v>501</v>
      </c>
      <c r="G233" s="74" t="s">
        <v>18</v>
      </c>
      <c r="H233" s="52" t="s">
        <v>502</v>
      </c>
      <c r="I233" s="75">
        <v>43903</v>
      </c>
      <c r="J233" s="95">
        <v>43872</v>
      </c>
      <c r="K233" s="96">
        <v>5.347222222222222E-2</v>
      </c>
      <c r="L233" s="131">
        <v>2.1890000000000001</v>
      </c>
      <c r="M233" s="137">
        <v>6.0209999999999999</v>
      </c>
      <c r="N233" s="96"/>
      <c r="O233" s="96"/>
      <c r="P233" s="96">
        <v>0.5625</v>
      </c>
      <c r="Q233" s="81">
        <v>2.0299999999999998</v>
      </c>
      <c r="R233" s="81">
        <v>6</v>
      </c>
      <c r="S233" s="81">
        <v>6.09</v>
      </c>
      <c r="T233" s="81" t="e">
        <v>#N/A</v>
      </c>
      <c r="U233" s="81">
        <v>6</v>
      </c>
      <c r="V233" s="81">
        <v>0.09</v>
      </c>
      <c r="W233" s="79" t="s">
        <v>946</v>
      </c>
      <c r="X233" s="76">
        <v>1</v>
      </c>
      <c r="Y233" s="76" t="s">
        <v>4</v>
      </c>
      <c r="Z233" s="76" t="s">
        <v>937</v>
      </c>
      <c r="AA233" s="76"/>
      <c r="AB233" s="77"/>
    </row>
    <row r="234" spans="1:28" x14ac:dyDescent="0.3">
      <c r="A234" s="124"/>
      <c r="B234" s="121">
        <v>233</v>
      </c>
      <c r="C234" s="58">
        <v>233</v>
      </c>
      <c r="D234" s="58">
        <v>65515</v>
      </c>
      <c r="E234" s="58" t="s">
        <v>916</v>
      </c>
      <c r="F234" s="62" t="s">
        <v>503</v>
      </c>
      <c r="G234" s="74" t="s">
        <v>18</v>
      </c>
      <c r="H234" s="52" t="s">
        <v>504</v>
      </c>
      <c r="I234" s="75">
        <v>43904</v>
      </c>
      <c r="J234" s="95">
        <v>43872</v>
      </c>
      <c r="K234" s="96">
        <v>0.50763888888888886</v>
      </c>
      <c r="L234" s="131">
        <f>60.359-57.912</f>
        <v>2.4470000000000027</v>
      </c>
      <c r="M234" s="137">
        <f>(63.793-57.912)+0.086</f>
        <v>5.9670000000000005</v>
      </c>
      <c r="N234" s="96"/>
      <c r="O234" s="96"/>
      <c r="P234" s="96">
        <v>0.51388888888888895</v>
      </c>
      <c r="Q234" s="81">
        <v>2.4500000000000002</v>
      </c>
      <c r="R234" s="81">
        <v>5.87</v>
      </c>
      <c r="S234" s="81">
        <v>6.02</v>
      </c>
      <c r="T234" s="81" t="e">
        <v>#N/A</v>
      </c>
      <c r="U234" s="81">
        <v>6.02</v>
      </c>
      <c r="V234" s="81">
        <v>0.15</v>
      </c>
      <c r="W234" s="79" t="s">
        <v>946</v>
      </c>
      <c r="X234" s="76">
        <v>1</v>
      </c>
      <c r="Y234" s="76" t="s">
        <v>4</v>
      </c>
      <c r="Z234" s="76" t="s">
        <v>937</v>
      </c>
      <c r="AA234" s="76" t="s">
        <v>1158</v>
      </c>
      <c r="AB234" s="77"/>
    </row>
    <row r="235" spans="1:28" x14ac:dyDescent="0.3">
      <c r="A235" s="139"/>
      <c r="B235" s="121">
        <v>234</v>
      </c>
      <c r="C235" s="58">
        <v>234</v>
      </c>
      <c r="D235" s="58">
        <v>65478</v>
      </c>
      <c r="E235" s="58" t="s">
        <v>917</v>
      </c>
      <c r="F235" s="62" t="s">
        <v>505</v>
      </c>
      <c r="G235" s="74" t="s">
        <v>29</v>
      </c>
      <c r="H235" s="52" t="s">
        <v>506</v>
      </c>
      <c r="I235" s="75">
        <v>43912</v>
      </c>
      <c r="J235" s="95">
        <v>43873</v>
      </c>
      <c r="K235" s="96">
        <v>0.43124999999999997</v>
      </c>
      <c r="L235" s="131">
        <f>58.723-57.912</f>
        <v>0.81099999999999994</v>
      </c>
      <c r="M235" s="137">
        <f>(63.974-57.912)+0.086</f>
        <v>6.1479999999999979</v>
      </c>
      <c r="N235" s="96"/>
      <c r="O235" s="96"/>
      <c r="P235" s="96">
        <v>0.41666666666666669</v>
      </c>
      <c r="Q235" s="81">
        <v>0.66</v>
      </c>
      <c r="R235" s="81">
        <v>6.13</v>
      </c>
      <c r="S235" s="81">
        <v>6.14</v>
      </c>
      <c r="T235" s="81" t="e">
        <v>#N/A</v>
      </c>
      <c r="U235" s="81">
        <v>6.13</v>
      </c>
      <c r="V235" s="81">
        <v>0.01</v>
      </c>
      <c r="W235" s="79" t="s">
        <v>946</v>
      </c>
      <c r="X235" s="76">
        <v>1</v>
      </c>
      <c r="Y235" s="76" t="s">
        <v>4</v>
      </c>
      <c r="Z235" s="76" t="s">
        <v>937</v>
      </c>
      <c r="AA235" s="76"/>
      <c r="AB235" s="77"/>
    </row>
    <row r="236" spans="1:28" ht="29.25" customHeight="1" x14ac:dyDescent="0.3">
      <c r="A236" s="157"/>
      <c r="B236" s="121">
        <v>235</v>
      </c>
      <c r="C236" s="58">
        <v>235</v>
      </c>
      <c r="D236" s="58">
        <v>65291</v>
      </c>
      <c r="E236" s="58" t="s">
        <v>918</v>
      </c>
      <c r="F236" s="62" t="s">
        <v>507</v>
      </c>
      <c r="G236" s="74" t="s">
        <v>29</v>
      </c>
      <c r="H236" s="52" t="s">
        <v>508</v>
      </c>
      <c r="I236" s="75">
        <v>43916</v>
      </c>
      <c r="J236" s="95">
        <v>43874</v>
      </c>
      <c r="K236" s="96">
        <v>0.4381944444444445</v>
      </c>
      <c r="L236" s="131">
        <f>58.108-57.912</f>
        <v>0.19599999999999795</v>
      </c>
      <c r="M236" s="137">
        <f>(63.765-57.912)+0.086</f>
        <v>5.9390000000000018</v>
      </c>
      <c r="N236" s="96"/>
      <c r="O236" s="96"/>
      <c r="P236" s="96">
        <v>0.44444444444444442</v>
      </c>
      <c r="Q236" s="81">
        <v>0</v>
      </c>
      <c r="R236" s="81">
        <v>5.99</v>
      </c>
      <c r="S236" s="81">
        <v>6.02</v>
      </c>
      <c r="T236" s="81" t="e">
        <v>#N/A</v>
      </c>
      <c r="U236" s="81">
        <v>6.08</v>
      </c>
      <c r="V236" s="81">
        <v>0.03</v>
      </c>
      <c r="W236" s="79" t="s">
        <v>946</v>
      </c>
      <c r="X236" s="76">
        <v>1</v>
      </c>
      <c r="Y236" s="76" t="s">
        <v>4</v>
      </c>
      <c r="Z236" s="76" t="s">
        <v>937</v>
      </c>
      <c r="AA236" s="76"/>
      <c r="AB236" s="77"/>
    </row>
    <row r="237" spans="1:28" x14ac:dyDescent="0.3">
      <c r="A237" s="139"/>
      <c r="B237" s="121">
        <v>236</v>
      </c>
      <c r="C237" s="58">
        <v>236</v>
      </c>
      <c r="D237" s="58">
        <v>65479</v>
      </c>
      <c r="E237" s="58" t="s">
        <v>919</v>
      </c>
      <c r="F237" s="62" t="s">
        <v>509</v>
      </c>
      <c r="G237" s="74" t="s">
        <v>29</v>
      </c>
      <c r="H237" s="52" t="s">
        <v>510</v>
      </c>
      <c r="I237" s="75">
        <v>43908</v>
      </c>
      <c r="J237" s="95">
        <v>43874</v>
      </c>
      <c r="K237" s="96">
        <v>0.42569444444444443</v>
      </c>
      <c r="L237" s="131">
        <f>60.127-57.912</f>
        <v>2.2150000000000034</v>
      </c>
      <c r="M237" s="137">
        <f>(63.867-57.912)+0.086</f>
        <v>6.0409999999999986</v>
      </c>
      <c r="N237" s="96"/>
      <c r="O237" s="96"/>
      <c r="P237" s="96">
        <v>0.43055555555555558</v>
      </c>
      <c r="Q237" s="81">
        <v>2</v>
      </c>
      <c r="R237" s="81">
        <v>6.01</v>
      </c>
      <c r="S237" s="81">
        <v>6.08</v>
      </c>
      <c r="T237" s="81" t="e">
        <v>#N/A</v>
      </c>
      <c r="U237" s="81">
        <v>6.15</v>
      </c>
      <c r="V237" s="81">
        <v>7.0000000000000007E-2</v>
      </c>
      <c r="W237" s="79" t="s">
        <v>946</v>
      </c>
      <c r="X237" s="76">
        <v>1</v>
      </c>
      <c r="Y237" s="76" t="s">
        <v>4</v>
      </c>
      <c r="Z237" s="76" t="s">
        <v>937</v>
      </c>
      <c r="AA237" s="76" t="s">
        <v>1174</v>
      </c>
      <c r="AB237" s="77"/>
    </row>
    <row r="238" spans="1:28" x14ac:dyDescent="0.3">
      <c r="A238" s="124"/>
      <c r="B238" s="121">
        <v>237</v>
      </c>
      <c r="C238" s="58">
        <v>237</v>
      </c>
      <c r="D238" s="58">
        <v>65503</v>
      </c>
      <c r="E238" s="58" t="s">
        <v>920</v>
      </c>
      <c r="F238" s="62" t="s">
        <v>511</v>
      </c>
      <c r="G238" s="74" t="s">
        <v>29</v>
      </c>
      <c r="H238" s="52" t="s">
        <v>512</v>
      </c>
      <c r="I238" s="75">
        <v>43914</v>
      </c>
      <c r="J238" s="95">
        <v>43865</v>
      </c>
      <c r="K238" s="96">
        <v>0.52361111111111114</v>
      </c>
      <c r="L238" s="131">
        <v>0.877</v>
      </c>
      <c r="M238" s="131">
        <v>5.7450000000000001</v>
      </c>
      <c r="N238" s="96"/>
      <c r="O238" s="96"/>
      <c r="P238" s="96">
        <v>0.53472222222222221</v>
      </c>
      <c r="Q238" s="81">
        <v>0.72</v>
      </c>
      <c r="R238" s="81">
        <v>5.67</v>
      </c>
      <c r="S238" s="81">
        <v>5.79</v>
      </c>
      <c r="T238" s="81" t="e">
        <v>#N/A</v>
      </c>
      <c r="U238" s="81">
        <v>6.05</v>
      </c>
      <c r="V238" s="81">
        <v>0.12</v>
      </c>
      <c r="W238" s="79" t="s">
        <v>946</v>
      </c>
      <c r="X238" s="76">
        <v>1</v>
      </c>
      <c r="Y238" s="76" t="s">
        <v>4</v>
      </c>
      <c r="Z238" s="76" t="s">
        <v>937</v>
      </c>
      <c r="AA238" s="76"/>
      <c r="AB238" s="77"/>
    </row>
    <row r="239" spans="1:28" x14ac:dyDescent="0.3">
      <c r="A239" s="124"/>
      <c r="B239" s="121">
        <v>238</v>
      </c>
      <c r="C239" s="58">
        <v>238</v>
      </c>
      <c r="D239" s="58">
        <v>65204</v>
      </c>
      <c r="E239" s="58" t="s">
        <v>921</v>
      </c>
      <c r="F239" s="62" t="s">
        <v>513</v>
      </c>
      <c r="G239" s="74" t="s">
        <v>29</v>
      </c>
      <c r="H239" s="52" t="s">
        <v>514</v>
      </c>
      <c r="I239" s="75">
        <v>43914</v>
      </c>
      <c r="J239" s="95">
        <v>43874</v>
      </c>
      <c r="K239" s="96" t="s">
        <v>1175</v>
      </c>
      <c r="L239" s="131">
        <f>60.177-57.912</f>
        <v>2.2650000000000006</v>
      </c>
      <c r="M239" s="137">
        <f>(63.903-57.912)+0.086</f>
        <v>6.077</v>
      </c>
      <c r="N239" s="96"/>
      <c r="O239" s="96"/>
      <c r="P239" s="96" t="s">
        <v>1010</v>
      </c>
      <c r="Q239" s="81">
        <v>2.11</v>
      </c>
      <c r="R239" s="81">
        <v>5.97</v>
      </c>
      <c r="S239" s="81">
        <v>6.1</v>
      </c>
      <c r="T239" s="81" t="e">
        <v>#N/A</v>
      </c>
      <c r="U239" s="81">
        <v>6</v>
      </c>
      <c r="V239" s="81">
        <v>0.13</v>
      </c>
      <c r="W239" s="79" t="s">
        <v>946</v>
      </c>
      <c r="X239" s="76">
        <v>1</v>
      </c>
      <c r="Y239" s="76" t="s">
        <v>4</v>
      </c>
      <c r="Z239" s="76" t="s">
        <v>937</v>
      </c>
      <c r="AA239" s="76"/>
      <c r="AB239" s="77"/>
    </row>
    <row r="240" spans="1:28" x14ac:dyDescent="0.3">
      <c r="A240" s="139"/>
      <c r="B240" s="121">
        <v>239</v>
      </c>
      <c r="C240" s="58">
        <v>239</v>
      </c>
      <c r="D240" s="58">
        <v>74084</v>
      </c>
      <c r="E240" s="58" t="s">
        <v>922</v>
      </c>
      <c r="F240" s="62" t="s">
        <v>515</v>
      </c>
      <c r="G240" s="74" t="s">
        <v>29</v>
      </c>
      <c r="H240" s="52">
        <v>0</v>
      </c>
      <c r="I240" s="75">
        <v>43908</v>
      </c>
      <c r="J240" s="95">
        <v>43853</v>
      </c>
      <c r="K240" s="96" t="s">
        <v>1050</v>
      </c>
      <c r="L240" s="131">
        <v>3.1070000000000002</v>
      </c>
      <c r="M240" s="137">
        <v>5.42</v>
      </c>
      <c r="N240" s="96"/>
      <c r="O240" s="96"/>
      <c r="P240" s="96"/>
      <c r="Q240" s="81">
        <v>1.07</v>
      </c>
      <c r="R240" s="81">
        <v>5.42</v>
      </c>
      <c r="S240" s="81">
        <v>5.53</v>
      </c>
      <c r="T240" s="81" t="e">
        <v>#N/A</v>
      </c>
      <c r="U240" s="81">
        <v>6.08</v>
      </c>
      <c r="V240" s="81">
        <v>0.11</v>
      </c>
      <c r="W240" s="79" t="s">
        <v>946</v>
      </c>
      <c r="X240" s="76">
        <v>1</v>
      </c>
      <c r="Y240" s="76" t="s">
        <v>4</v>
      </c>
      <c r="Z240" s="76" t="s">
        <v>937</v>
      </c>
      <c r="AA240" s="76" t="s">
        <v>1051</v>
      </c>
      <c r="AB240" s="77"/>
    </row>
    <row r="241" spans="1:29" x14ac:dyDescent="0.3">
      <c r="A241" s="124"/>
      <c r="B241" s="121">
        <v>240</v>
      </c>
      <c r="C241" s="58">
        <v>240</v>
      </c>
      <c r="D241" s="58">
        <v>74459</v>
      </c>
      <c r="E241" s="58" t="s">
        <v>923</v>
      </c>
      <c r="F241" s="62" t="s">
        <v>516</v>
      </c>
      <c r="G241" s="74" t="s">
        <v>29</v>
      </c>
      <c r="H241" s="52" t="s">
        <v>517</v>
      </c>
      <c r="I241" s="75">
        <v>43909</v>
      </c>
      <c r="J241" s="95">
        <v>43854</v>
      </c>
      <c r="K241" s="96">
        <v>0.42222222222222222</v>
      </c>
      <c r="L241" s="131">
        <v>0.78800000000000003</v>
      </c>
      <c r="M241" s="137">
        <v>5.633</v>
      </c>
      <c r="N241" s="96"/>
      <c r="O241" s="96"/>
      <c r="P241" s="96">
        <v>0.43055555555555558</v>
      </c>
      <c r="Q241" s="81">
        <v>0.43</v>
      </c>
      <c r="R241" s="81">
        <v>5.41</v>
      </c>
      <c r="S241" s="81">
        <v>5.47</v>
      </c>
      <c r="T241" s="81" t="e">
        <v>#N/A</v>
      </c>
      <c r="U241" s="81">
        <v>6.12</v>
      </c>
      <c r="V241" s="81">
        <v>0.06</v>
      </c>
      <c r="W241" s="79" t="s">
        <v>946</v>
      </c>
      <c r="X241" s="76">
        <v>1</v>
      </c>
      <c r="Y241" s="76" t="s">
        <v>4</v>
      </c>
      <c r="Z241" s="76" t="s">
        <v>937</v>
      </c>
      <c r="AA241" s="76" t="s">
        <v>1066</v>
      </c>
      <c r="AB241" s="77"/>
    </row>
    <row r="242" spans="1:29" x14ac:dyDescent="0.3">
      <c r="A242" s="124"/>
      <c r="B242" s="121">
        <v>241</v>
      </c>
      <c r="C242" s="58">
        <v>241</v>
      </c>
      <c r="D242" s="58">
        <v>74460</v>
      </c>
      <c r="E242" s="58" t="s">
        <v>924</v>
      </c>
      <c r="F242" s="62" t="s">
        <v>518</v>
      </c>
      <c r="G242" s="74" t="s">
        <v>29</v>
      </c>
      <c r="H242" s="52" t="s">
        <v>519</v>
      </c>
      <c r="I242" s="75">
        <v>43909</v>
      </c>
      <c r="J242" s="95">
        <v>43854</v>
      </c>
      <c r="K242" s="96">
        <v>0.43958333333333338</v>
      </c>
      <c r="L242" s="131">
        <v>1.1459999999999999</v>
      </c>
      <c r="M242" s="137">
        <v>6.0990000000000002</v>
      </c>
      <c r="N242" s="96"/>
      <c r="O242" s="96"/>
      <c r="P242" s="96">
        <v>0.44444444444444442</v>
      </c>
      <c r="Q242" s="81">
        <v>0.9</v>
      </c>
      <c r="R242" s="81">
        <v>6.06</v>
      </c>
      <c r="S242" s="81">
        <v>6.08</v>
      </c>
      <c r="T242" s="81" t="e">
        <v>#N/A</v>
      </c>
      <c r="U242" s="81">
        <v>6.11</v>
      </c>
      <c r="V242" s="81">
        <v>0.02</v>
      </c>
      <c r="W242" s="79" t="s">
        <v>946</v>
      </c>
      <c r="X242" s="76">
        <v>1</v>
      </c>
      <c r="Y242" s="76" t="s">
        <v>4</v>
      </c>
      <c r="Z242" s="76" t="s">
        <v>937</v>
      </c>
      <c r="AA242" s="76" t="s">
        <v>1067</v>
      </c>
      <c r="AB242" s="77"/>
    </row>
    <row r="243" spans="1:29" x14ac:dyDescent="0.3">
      <c r="A243" s="157"/>
      <c r="B243" s="114">
        <v>242</v>
      </c>
      <c r="C243" s="38" t="s">
        <v>684</v>
      </c>
      <c r="D243" s="38">
        <v>57417</v>
      </c>
      <c r="E243" s="38" t="s">
        <v>925</v>
      </c>
      <c r="F243" s="39" t="s">
        <v>520</v>
      </c>
      <c r="G243" s="40" t="s">
        <v>167</v>
      </c>
      <c r="H243" s="33" t="s">
        <v>521</v>
      </c>
      <c r="I243" s="32">
        <v>43916</v>
      </c>
      <c r="J243" s="87">
        <v>43850</v>
      </c>
      <c r="K243" s="88">
        <v>0.3756944444444445</v>
      </c>
      <c r="L243" s="127">
        <v>1.44</v>
      </c>
      <c r="M243" s="132">
        <v>5.165</v>
      </c>
      <c r="N243" s="88"/>
      <c r="O243" s="88"/>
      <c r="P243" s="88">
        <v>0.38194444444444442</v>
      </c>
      <c r="Q243" s="79">
        <v>1.1000000000000001</v>
      </c>
      <c r="R243" s="79">
        <v>5.14</v>
      </c>
      <c r="S243" s="79">
        <v>5.24</v>
      </c>
      <c r="T243" s="79">
        <v>5.09</v>
      </c>
      <c r="U243" s="79" t="s">
        <v>955</v>
      </c>
      <c r="V243" s="79">
        <v>0.1</v>
      </c>
      <c r="W243" s="79">
        <v>-0.05</v>
      </c>
      <c r="X243" s="34">
        <v>1</v>
      </c>
      <c r="Y243" s="34" t="s">
        <v>4</v>
      </c>
      <c r="Z243" s="34" t="s">
        <v>941</v>
      </c>
      <c r="AA243" s="34" t="s">
        <v>990</v>
      </c>
      <c r="AB243" s="35"/>
    </row>
    <row r="244" spans="1:29" x14ac:dyDescent="0.3">
      <c r="A244" s="124"/>
      <c r="B244" s="114">
        <v>243</v>
      </c>
      <c r="C244" s="38" t="s">
        <v>685</v>
      </c>
      <c r="D244" s="38">
        <v>57418</v>
      </c>
      <c r="E244" s="38" t="s">
        <v>926</v>
      </c>
      <c r="F244" s="39" t="s">
        <v>522</v>
      </c>
      <c r="G244" s="40" t="s">
        <v>29</v>
      </c>
      <c r="H244" s="33" t="s">
        <v>523</v>
      </c>
      <c r="I244" s="32">
        <v>43910</v>
      </c>
      <c r="J244" s="87">
        <v>43868</v>
      </c>
      <c r="K244" s="88">
        <v>0.36180555555555555</v>
      </c>
      <c r="L244" s="127">
        <v>2.032</v>
      </c>
      <c r="M244" s="132">
        <v>6</v>
      </c>
      <c r="N244" s="88"/>
      <c r="O244" s="88"/>
      <c r="P244" s="88">
        <v>0.36805555555555558</v>
      </c>
      <c r="Q244" s="79">
        <v>1.47</v>
      </c>
      <c r="R244" s="79">
        <v>5.98</v>
      </c>
      <c r="S244" s="79">
        <v>6.09</v>
      </c>
      <c r="T244" s="79">
        <v>6</v>
      </c>
      <c r="U244" s="79" t="s">
        <v>955</v>
      </c>
      <c r="V244" s="79">
        <v>0.11</v>
      </c>
      <c r="W244" s="79">
        <v>0.02</v>
      </c>
      <c r="X244" s="34">
        <v>1</v>
      </c>
      <c r="Y244" s="34" t="s">
        <v>4</v>
      </c>
      <c r="Z244" s="34" t="s">
        <v>941</v>
      </c>
      <c r="AA244" s="34" t="s">
        <v>1115</v>
      </c>
      <c r="AB244" s="35"/>
    </row>
    <row r="245" spans="1:29" ht="28.8" x14ac:dyDescent="0.3">
      <c r="A245" s="124"/>
      <c r="B245" s="122">
        <v>244</v>
      </c>
      <c r="C245" s="38" t="s">
        <v>686</v>
      </c>
      <c r="D245" s="38">
        <v>57420</v>
      </c>
      <c r="E245" s="38" t="s">
        <v>927</v>
      </c>
      <c r="F245" s="54" t="s">
        <v>524</v>
      </c>
      <c r="G245" s="55" t="s">
        <v>29</v>
      </c>
      <c r="H245" s="56" t="s">
        <v>525</v>
      </c>
      <c r="I245" s="32">
        <v>43908</v>
      </c>
      <c r="J245" s="87">
        <v>43851</v>
      </c>
      <c r="K245" s="88">
        <v>0.57916666666666672</v>
      </c>
      <c r="L245" s="127">
        <v>1.373</v>
      </c>
      <c r="M245" s="132">
        <v>4.97</v>
      </c>
      <c r="N245" s="88"/>
      <c r="O245" s="88"/>
      <c r="P245" s="88">
        <v>0.59027777777777779</v>
      </c>
      <c r="Q245" s="79">
        <v>1.17</v>
      </c>
      <c r="R245" s="79">
        <v>4.93</v>
      </c>
      <c r="S245" s="97">
        <v>6.05</v>
      </c>
      <c r="T245" s="79">
        <v>4.88</v>
      </c>
      <c r="U245" s="79" t="s">
        <v>955</v>
      </c>
      <c r="V245" s="79">
        <v>1.1200000000000001</v>
      </c>
      <c r="W245" s="79">
        <v>-0.05</v>
      </c>
      <c r="X245" s="34">
        <v>1</v>
      </c>
      <c r="Y245" s="34" t="s">
        <v>4</v>
      </c>
      <c r="Z245" s="34" t="s">
        <v>941</v>
      </c>
      <c r="AA245" s="34" t="s">
        <v>1012</v>
      </c>
      <c r="AB245" s="35" t="s">
        <v>957</v>
      </c>
      <c r="AC245" s="109" t="s">
        <v>954</v>
      </c>
    </row>
    <row r="246" spans="1:29" x14ac:dyDescent="0.3">
      <c r="A246" s="157"/>
      <c r="B246" s="122">
        <v>245</v>
      </c>
      <c r="C246" s="38" t="s">
        <v>687</v>
      </c>
      <c r="D246" s="38">
        <v>57425</v>
      </c>
      <c r="E246" s="38" t="s">
        <v>928</v>
      </c>
      <c r="F246" s="54" t="s">
        <v>526</v>
      </c>
      <c r="G246" s="55" t="s">
        <v>29</v>
      </c>
      <c r="H246" s="56" t="s">
        <v>527</v>
      </c>
      <c r="I246" s="32">
        <v>43908</v>
      </c>
      <c r="J246" s="87">
        <v>43854</v>
      </c>
      <c r="K246" s="88">
        <v>0.57361111111111118</v>
      </c>
      <c r="L246" s="127">
        <v>1.6519999999999999</v>
      </c>
      <c r="M246" s="132">
        <v>5.7690000000000001</v>
      </c>
      <c r="N246" s="88"/>
      <c r="O246" s="88"/>
      <c r="P246" s="88">
        <v>0.58333333333333337</v>
      </c>
      <c r="Q246" s="79">
        <v>1.24</v>
      </c>
      <c r="R246" s="79">
        <v>5.72</v>
      </c>
      <c r="S246" s="79">
        <v>5.89</v>
      </c>
      <c r="T246" s="79">
        <v>5.59</v>
      </c>
      <c r="U246" s="79" t="s">
        <v>955</v>
      </c>
      <c r="V246" s="79">
        <v>0.17</v>
      </c>
      <c r="W246" s="79">
        <v>-0.13</v>
      </c>
      <c r="X246" s="34">
        <v>1</v>
      </c>
      <c r="Y246" s="34" t="s">
        <v>4</v>
      </c>
      <c r="Z246" s="34" t="s">
        <v>941</v>
      </c>
      <c r="AA246" s="34"/>
      <c r="AB246" s="35"/>
    </row>
    <row r="247" spans="1:29" x14ac:dyDescent="0.3">
      <c r="A247" s="124"/>
      <c r="B247" s="122">
        <v>246</v>
      </c>
      <c r="C247" s="57" t="s">
        <v>688</v>
      </c>
      <c r="D247" s="57">
        <v>57433</v>
      </c>
      <c r="E247" s="57" t="s">
        <v>929</v>
      </c>
      <c r="F247" s="54" t="s">
        <v>528</v>
      </c>
      <c r="G247" s="55" t="s">
        <v>18</v>
      </c>
      <c r="H247" s="56" t="s">
        <v>529</v>
      </c>
      <c r="I247" s="32">
        <v>43903</v>
      </c>
      <c r="J247" s="87">
        <v>43871</v>
      </c>
      <c r="K247" s="88" t="s">
        <v>993</v>
      </c>
      <c r="L247" s="132">
        <v>0.85799999999999998</v>
      </c>
      <c r="M247" s="227">
        <v>6.08</v>
      </c>
      <c r="N247" s="88"/>
      <c r="O247" s="88"/>
      <c r="P247" s="88" t="s">
        <v>1132</v>
      </c>
      <c r="Q247" s="79">
        <v>0.67</v>
      </c>
      <c r="R247" s="79">
        <v>6.07</v>
      </c>
      <c r="S247" s="79">
        <v>6.13</v>
      </c>
      <c r="T247" s="79">
        <v>6.07</v>
      </c>
      <c r="U247" s="79" t="s">
        <v>955</v>
      </c>
      <c r="V247" s="79">
        <v>0.06</v>
      </c>
      <c r="W247" s="79">
        <v>0</v>
      </c>
      <c r="X247" s="34">
        <v>1</v>
      </c>
      <c r="Y247" s="34" t="s">
        <v>4</v>
      </c>
      <c r="Z247" s="34" t="s">
        <v>941</v>
      </c>
      <c r="AA247" s="34"/>
      <c r="AB247" s="35"/>
    </row>
    <row r="248" spans="1:29" x14ac:dyDescent="0.3">
      <c r="A248" s="157"/>
      <c r="B248" s="122">
        <v>247</v>
      </c>
      <c r="C248" s="57" t="s">
        <v>689</v>
      </c>
      <c r="D248" s="57">
        <v>57434</v>
      </c>
      <c r="E248" s="57" t="s">
        <v>930</v>
      </c>
      <c r="F248" s="54" t="s">
        <v>530</v>
      </c>
      <c r="G248" s="55" t="s">
        <v>29</v>
      </c>
      <c r="H248" s="56" t="s">
        <v>531</v>
      </c>
      <c r="I248" s="32">
        <v>43910</v>
      </c>
      <c r="J248" s="87">
        <v>43868</v>
      </c>
      <c r="K248" s="88">
        <v>0.3756944444444445</v>
      </c>
      <c r="L248" s="127">
        <v>1.081</v>
      </c>
      <c r="M248" s="132">
        <v>4.9400000000000004</v>
      </c>
      <c r="N248" s="88"/>
      <c r="O248" s="88"/>
      <c r="P248" s="88">
        <v>0.38194444444444442</v>
      </c>
      <c r="Q248" s="79">
        <v>0.72</v>
      </c>
      <c r="R248" s="79">
        <v>4.82</v>
      </c>
      <c r="S248" s="79">
        <v>4.87</v>
      </c>
      <c r="T248" s="79">
        <v>4.72</v>
      </c>
      <c r="U248" s="79" t="s">
        <v>955</v>
      </c>
      <c r="V248" s="79">
        <v>0.05</v>
      </c>
      <c r="W248" s="79">
        <v>-0.1</v>
      </c>
      <c r="X248" s="34">
        <v>1</v>
      </c>
      <c r="Y248" s="34" t="s">
        <v>4</v>
      </c>
      <c r="Z248" s="34" t="s">
        <v>941</v>
      </c>
      <c r="AA248" s="34" t="s">
        <v>989</v>
      </c>
      <c r="AB248" s="35"/>
    </row>
    <row r="256" spans="1:29" s="237" customFormat="1" x14ac:dyDescent="0.3">
      <c r="A256" s="194"/>
      <c r="B256" s="195">
        <v>85</v>
      </c>
      <c r="C256" s="196" t="s">
        <v>614</v>
      </c>
      <c r="D256" s="196">
        <v>14127</v>
      </c>
      <c r="E256" s="196" t="s">
        <v>769</v>
      </c>
      <c r="F256" s="197" t="s">
        <v>196</v>
      </c>
      <c r="G256" s="198" t="s">
        <v>29</v>
      </c>
      <c r="H256" s="199" t="s">
        <v>197</v>
      </c>
      <c r="I256" s="200">
        <v>43910</v>
      </c>
      <c r="J256" s="201">
        <v>43868</v>
      </c>
      <c r="K256" s="202">
        <v>0.4770833333333333</v>
      </c>
      <c r="L256" s="203">
        <v>0.84</v>
      </c>
      <c r="M256" s="204">
        <v>7.1870000000000003</v>
      </c>
      <c r="N256" s="202"/>
      <c r="O256" s="202"/>
      <c r="P256" s="202" t="s">
        <v>1002</v>
      </c>
      <c r="Q256" s="205">
        <v>0.93</v>
      </c>
      <c r="R256" s="205">
        <v>0.99900000000000233</v>
      </c>
      <c r="S256" s="205">
        <v>7.24</v>
      </c>
      <c r="T256" s="205">
        <v>7.27</v>
      </c>
      <c r="U256" s="205" t="s">
        <v>955</v>
      </c>
      <c r="V256" s="205">
        <v>2.99</v>
      </c>
      <c r="W256" s="205">
        <v>3.02</v>
      </c>
      <c r="X256" s="206">
        <v>1</v>
      </c>
      <c r="Y256" s="206" t="s">
        <v>4</v>
      </c>
      <c r="Z256" s="206" t="s">
        <v>941</v>
      </c>
      <c r="AA256" s="206"/>
      <c r="AB256" s="207"/>
    </row>
    <row r="268" spans="8:8" x14ac:dyDescent="0.3">
      <c r="H268">
        <v>240</v>
      </c>
    </row>
    <row r="269" spans="8:8" x14ac:dyDescent="0.3">
      <c r="H269">
        <v>145</v>
      </c>
    </row>
    <row r="270" spans="8:8" x14ac:dyDescent="0.3">
      <c r="H270" s="226">
        <f>H269/H268</f>
        <v>0.60416666666666663</v>
      </c>
    </row>
  </sheetData>
  <pageMargins left="0.70866141732283472" right="0.70866141732283472" top="0.74803149606299213" bottom="0.74803149606299213" header="0.31496062992125984" footer="0.31496062992125984"/>
  <pageSetup paperSize="8" scale="37" fitToHeight="0" orientation="landscape" r:id="rId1"/>
  <headerFooter>
    <oddHeader>&amp;LPiezometer stocktake August 2019
File:
&amp;F
&amp;D&amp;CPiezometer Stocktake:
APP Piezometers  &amp;RGeotechnics Job No: 1100061.1000.0000
T+T Job No: 52010.4000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270"/>
  <sheetViews>
    <sheetView zoomScale="70" zoomScaleNormal="70" workbookViewId="0">
      <pane xSplit="1" topLeftCell="B1" activePane="topRight" state="frozen"/>
      <selection pane="topRight" activeCell="L7" sqref="L7"/>
    </sheetView>
  </sheetViews>
  <sheetFormatPr defaultRowHeight="14.4" x14ac:dyDescent="0.3"/>
  <cols>
    <col min="1" max="1" width="8" customWidth="1"/>
    <col min="2" max="2" width="10" customWidth="1"/>
    <col min="3" max="3" width="30" bestFit="1" customWidth="1"/>
    <col min="4" max="5" width="17.6640625" customWidth="1"/>
    <col min="6" max="6" width="20.6640625" customWidth="1"/>
    <col min="7" max="7" width="13.109375" customWidth="1"/>
    <col min="8" max="8" width="52.33203125" customWidth="1"/>
    <col min="9" max="9" width="20.6640625" bestFit="1" customWidth="1"/>
    <col min="10" max="10" width="19.5546875" customWidth="1"/>
    <col min="11" max="11" width="17.44140625" customWidth="1"/>
    <col min="12" max="12" width="17.109375" customWidth="1"/>
    <col min="13" max="13" width="13.5546875" style="138" customWidth="1"/>
    <col min="14" max="16" width="20.109375" customWidth="1"/>
    <col min="17" max="17" width="15.6640625" customWidth="1"/>
    <col min="18" max="18" width="21" customWidth="1"/>
    <col min="19" max="19" width="25.6640625" hidden="1" customWidth="1"/>
    <col min="20" max="20" width="25.33203125" customWidth="1"/>
    <col min="21" max="21" width="28.88671875" hidden="1" customWidth="1"/>
    <col min="22" max="22" width="23.88671875" hidden="1" customWidth="1"/>
    <col min="23" max="23" width="27.44140625" hidden="1" customWidth="1"/>
    <col min="24" max="24" width="16.44140625" bestFit="1" customWidth="1"/>
    <col min="25" max="25" width="19.109375" bestFit="1" customWidth="1"/>
    <col min="26" max="26" width="43" bestFit="1" customWidth="1"/>
    <col min="27" max="27" width="43" customWidth="1"/>
    <col min="28" max="28" width="51" customWidth="1"/>
    <col min="29" max="29" width="24.33203125" customWidth="1"/>
  </cols>
  <sheetData>
    <row r="1" spans="1:28" ht="43.2" x14ac:dyDescent="0.3">
      <c r="A1" s="123" t="s">
        <v>970</v>
      </c>
      <c r="B1" s="20" t="s">
        <v>12</v>
      </c>
      <c r="C1" s="20" t="s">
        <v>943</v>
      </c>
      <c r="D1" s="20" t="s">
        <v>944</v>
      </c>
      <c r="E1" s="20" t="s">
        <v>945</v>
      </c>
      <c r="F1" s="21" t="s">
        <v>13</v>
      </c>
      <c r="G1" s="22" t="s">
        <v>14</v>
      </c>
      <c r="H1" s="22" t="s">
        <v>15</v>
      </c>
      <c r="I1" s="23" t="s">
        <v>533</v>
      </c>
      <c r="J1" s="22" t="s">
        <v>0</v>
      </c>
      <c r="K1" s="24" t="s">
        <v>968</v>
      </c>
      <c r="L1" s="22" t="s">
        <v>967</v>
      </c>
      <c r="M1" s="22" t="s">
        <v>969</v>
      </c>
      <c r="N1" s="22" t="s">
        <v>971</v>
      </c>
      <c r="O1" s="22" t="s">
        <v>972</v>
      </c>
      <c r="P1" s="22" t="s">
        <v>973</v>
      </c>
      <c r="Q1" s="22" t="s">
        <v>966</v>
      </c>
      <c r="R1" s="22" t="s">
        <v>958</v>
      </c>
      <c r="S1" s="22" t="s">
        <v>959</v>
      </c>
      <c r="T1" s="22" t="s">
        <v>960</v>
      </c>
      <c r="U1" s="22" t="s">
        <v>956</v>
      </c>
      <c r="V1" s="25" t="s">
        <v>961</v>
      </c>
      <c r="W1" s="25" t="s">
        <v>962</v>
      </c>
      <c r="X1" s="22" t="s">
        <v>16</v>
      </c>
      <c r="Y1" s="26" t="s">
        <v>1</v>
      </c>
      <c r="Z1" s="26" t="s">
        <v>935</v>
      </c>
      <c r="AA1" s="27" t="s">
        <v>974</v>
      </c>
      <c r="AB1" s="27" t="s">
        <v>938</v>
      </c>
    </row>
    <row r="2" spans="1:28" x14ac:dyDescent="0.3">
      <c r="A2" s="124"/>
      <c r="B2" s="113">
        <v>1</v>
      </c>
      <c r="C2" s="28" t="s">
        <v>534</v>
      </c>
      <c r="D2" s="28">
        <v>346</v>
      </c>
      <c r="E2" s="28" t="s">
        <v>690</v>
      </c>
      <c r="F2" s="29" t="s">
        <v>17</v>
      </c>
      <c r="G2" s="30" t="s">
        <v>18</v>
      </c>
      <c r="H2" s="31" t="s">
        <v>19</v>
      </c>
      <c r="I2" s="32">
        <v>43907</v>
      </c>
      <c r="J2" s="87">
        <v>43882</v>
      </c>
      <c r="K2" s="88">
        <v>0.54375000000000007</v>
      </c>
      <c r="L2" s="127">
        <f>58.879-57.912</f>
        <v>0.96699999999999875</v>
      </c>
      <c r="M2" s="132">
        <f>(61.721-57.912)+0.086</f>
        <v>3.8949999999999974</v>
      </c>
      <c r="N2" s="88"/>
      <c r="O2" s="88"/>
      <c r="P2" s="88">
        <v>0.54861111111111105</v>
      </c>
      <c r="Q2" s="79">
        <v>0.92</v>
      </c>
      <c r="R2" s="79">
        <v>3.83</v>
      </c>
      <c r="S2" s="82">
        <v>3.91</v>
      </c>
      <c r="T2" s="79">
        <v>3.95</v>
      </c>
      <c r="U2" s="79" t="s">
        <v>955</v>
      </c>
      <c r="V2" s="82">
        <v>0.08</v>
      </c>
      <c r="W2" s="82">
        <v>0.12</v>
      </c>
      <c r="X2" s="34">
        <v>1</v>
      </c>
      <c r="Y2" s="34" t="s">
        <v>4</v>
      </c>
      <c r="Z2" s="34" t="s">
        <v>941</v>
      </c>
      <c r="AA2" s="34"/>
      <c r="AB2" s="35"/>
    </row>
    <row r="3" spans="1:28" x14ac:dyDescent="0.3">
      <c r="A3" s="124"/>
      <c r="B3" s="232">
        <v>2</v>
      </c>
      <c r="C3" s="233" t="s">
        <v>535</v>
      </c>
      <c r="D3" s="233">
        <v>663</v>
      </c>
      <c r="E3" s="233" t="s">
        <v>691</v>
      </c>
      <c r="F3" s="101" t="s">
        <v>20</v>
      </c>
      <c r="G3" s="234" t="s">
        <v>18</v>
      </c>
      <c r="H3" s="162" t="s">
        <v>21</v>
      </c>
      <c r="I3" s="103">
        <v>43907</v>
      </c>
      <c r="J3" s="104"/>
      <c r="K3" s="105"/>
      <c r="L3" s="129"/>
      <c r="M3" s="135"/>
      <c r="N3" s="105"/>
      <c r="O3" s="105"/>
      <c r="P3" s="105"/>
      <c r="Q3" s="106">
        <v>0.73</v>
      </c>
      <c r="R3" s="106">
        <v>1.1299999999999999</v>
      </c>
      <c r="S3" s="106">
        <v>7.08</v>
      </c>
      <c r="T3" s="106">
        <v>7.33</v>
      </c>
      <c r="U3" s="106" t="s">
        <v>955</v>
      </c>
      <c r="V3" s="106">
        <v>5.95</v>
      </c>
      <c r="W3" s="106">
        <v>6.2</v>
      </c>
      <c r="X3" s="107"/>
      <c r="Y3" s="107" t="s">
        <v>6</v>
      </c>
      <c r="Z3" s="107" t="s">
        <v>941</v>
      </c>
      <c r="AA3" s="107" t="s">
        <v>1092</v>
      </c>
      <c r="AB3" s="108" t="s">
        <v>532</v>
      </c>
    </row>
    <row r="4" spans="1:28" x14ac:dyDescent="0.3">
      <c r="A4" s="124"/>
      <c r="B4" s="113">
        <v>3</v>
      </c>
      <c r="C4" s="28" t="s">
        <v>536</v>
      </c>
      <c r="D4" s="28">
        <v>900</v>
      </c>
      <c r="E4" s="28" t="s">
        <v>692</v>
      </c>
      <c r="F4" s="29" t="s">
        <v>22</v>
      </c>
      <c r="G4" s="30" t="s">
        <v>18</v>
      </c>
      <c r="H4" s="31" t="s">
        <v>23</v>
      </c>
      <c r="I4" s="32">
        <v>43904</v>
      </c>
      <c r="J4" s="87">
        <v>43861</v>
      </c>
      <c r="K4" s="90">
        <v>0.46875</v>
      </c>
      <c r="L4" s="128">
        <v>1.925</v>
      </c>
      <c r="M4" s="82">
        <v>3.88</v>
      </c>
      <c r="N4" s="90"/>
      <c r="O4" s="90"/>
      <c r="P4" s="90">
        <v>0.47222222222222227</v>
      </c>
      <c r="Q4" s="82">
        <v>1.77</v>
      </c>
      <c r="R4" s="82">
        <v>3.86</v>
      </c>
      <c r="S4" s="82">
        <v>3.94</v>
      </c>
      <c r="T4" s="79">
        <v>3.95</v>
      </c>
      <c r="U4" s="79" t="s">
        <v>955</v>
      </c>
      <c r="V4" s="82">
        <v>0.08</v>
      </c>
      <c r="W4" s="82">
        <v>0.09</v>
      </c>
      <c r="X4" s="37">
        <v>1</v>
      </c>
      <c r="Y4" s="34" t="s">
        <v>4</v>
      </c>
      <c r="Z4" s="34" t="s">
        <v>941</v>
      </c>
      <c r="AA4" s="34"/>
      <c r="AB4" s="35"/>
    </row>
    <row r="5" spans="1:28" x14ac:dyDescent="0.3">
      <c r="A5" s="124"/>
      <c r="B5" s="114">
        <v>4</v>
      </c>
      <c r="C5" s="38" t="s">
        <v>537</v>
      </c>
      <c r="D5" s="38">
        <v>911</v>
      </c>
      <c r="E5" s="38" t="s">
        <v>693</v>
      </c>
      <c r="F5" s="39" t="s">
        <v>24</v>
      </c>
      <c r="G5" s="40" t="s">
        <v>18</v>
      </c>
      <c r="H5" s="33" t="s">
        <v>25</v>
      </c>
      <c r="I5" s="32">
        <v>43908</v>
      </c>
      <c r="J5" s="87">
        <v>43858</v>
      </c>
      <c r="K5" s="88">
        <v>0.42152777777777778</v>
      </c>
      <c r="L5" s="127">
        <v>1.4059999999999999</v>
      </c>
      <c r="M5" s="132">
        <v>6.5529999999999999</v>
      </c>
      <c r="N5" s="88"/>
      <c r="O5" s="88"/>
      <c r="P5" s="88">
        <v>0.43055555555555558</v>
      </c>
      <c r="Q5" s="79">
        <v>1.32</v>
      </c>
      <c r="R5" s="79">
        <v>6.59</v>
      </c>
      <c r="S5" s="79">
        <v>6.61</v>
      </c>
      <c r="T5" s="79">
        <v>6.65</v>
      </c>
      <c r="U5" s="79" t="s">
        <v>955</v>
      </c>
      <c r="V5" s="79">
        <v>0.02</v>
      </c>
      <c r="W5" s="79">
        <v>0.06</v>
      </c>
      <c r="X5" s="34">
        <v>1</v>
      </c>
      <c r="Y5" s="34" t="s">
        <v>4</v>
      </c>
      <c r="Z5" s="34" t="s">
        <v>941</v>
      </c>
      <c r="AA5" s="34"/>
      <c r="AB5" s="35"/>
    </row>
    <row r="6" spans="1:28" x14ac:dyDescent="0.3">
      <c r="A6" s="124"/>
      <c r="B6" s="115">
        <v>5</v>
      </c>
      <c r="C6" s="41" t="s">
        <v>538</v>
      </c>
      <c r="D6" s="41">
        <v>966</v>
      </c>
      <c r="E6" s="41" t="s">
        <v>694</v>
      </c>
      <c r="F6" s="29" t="s">
        <v>26</v>
      </c>
      <c r="G6" s="42" t="s">
        <v>18</v>
      </c>
      <c r="H6" s="31" t="s">
        <v>27</v>
      </c>
      <c r="I6" s="32">
        <v>43903</v>
      </c>
      <c r="J6" s="153">
        <v>43857</v>
      </c>
      <c r="K6" s="154">
        <v>0.52430555555555558</v>
      </c>
      <c r="L6" s="128">
        <v>2.8130000000000002</v>
      </c>
      <c r="M6" s="82">
        <v>7.7220000000000004</v>
      </c>
      <c r="N6" s="90"/>
      <c r="O6" s="90"/>
      <c r="P6" s="90">
        <v>0.53472222222222221</v>
      </c>
      <c r="Q6" s="82">
        <v>1.75</v>
      </c>
      <c r="R6" s="82">
        <v>6.7</v>
      </c>
      <c r="S6" s="82">
        <v>6.8</v>
      </c>
      <c r="T6" s="79">
        <v>6.88</v>
      </c>
      <c r="U6" s="79" t="s">
        <v>955</v>
      </c>
      <c r="V6" s="82">
        <v>0.1</v>
      </c>
      <c r="W6" s="82">
        <v>0.18</v>
      </c>
      <c r="X6" s="37">
        <v>1</v>
      </c>
      <c r="Y6" s="34" t="s">
        <v>4</v>
      </c>
      <c r="Z6" s="34" t="s">
        <v>941</v>
      </c>
      <c r="AA6" s="34" t="s">
        <v>1079</v>
      </c>
      <c r="AB6" s="35"/>
    </row>
    <row r="7" spans="1:28" x14ac:dyDescent="0.3">
      <c r="A7" s="124"/>
      <c r="B7" s="115">
        <v>6</v>
      </c>
      <c r="C7" s="41" t="s">
        <v>539</v>
      </c>
      <c r="D7" s="41">
        <v>1141</v>
      </c>
      <c r="E7" s="41" t="s">
        <v>695</v>
      </c>
      <c r="F7" s="29" t="s">
        <v>28</v>
      </c>
      <c r="G7" s="42" t="s">
        <v>29</v>
      </c>
      <c r="H7" s="31" t="s">
        <v>30</v>
      </c>
      <c r="I7" s="32">
        <v>43911</v>
      </c>
      <c r="J7" s="87">
        <v>43852</v>
      </c>
      <c r="K7" s="90" t="s">
        <v>1017</v>
      </c>
      <c r="L7" s="127">
        <v>0.50900000000000001</v>
      </c>
      <c r="M7" s="132">
        <v>7.0069999999999997</v>
      </c>
      <c r="N7" s="88"/>
      <c r="O7" s="88"/>
      <c r="P7" s="88" t="s">
        <v>1016</v>
      </c>
      <c r="Q7" s="79">
        <v>0.48</v>
      </c>
      <c r="R7" s="79">
        <v>6.98</v>
      </c>
      <c r="S7" s="79">
        <v>7.07</v>
      </c>
      <c r="T7" s="79">
        <v>7.04</v>
      </c>
      <c r="U7" s="79" t="s">
        <v>955</v>
      </c>
      <c r="V7" s="79">
        <v>0.09</v>
      </c>
      <c r="W7" s="79">
        <v>0.06</v>
      </c>
      <c r="X7" s="34">
        <v>1</v>
      </c>
      <c r="Y7" s="34" t="s">
        <v>4</v>
      </c>
      <c r="Z7" s="34" t="s">
        <v>941</v>
      </c>
      <c r="AA7" s="34"/>
      <c r="AB7" s="35"/>
    </row>
    <row r="8" spans="1:28" s="98" customFormat="1" x14ac:dyDescent="0.3">
      <c r="A8" s="157"/>
      <c r="B8" s="118">
        <v>7</v>
      </c>
      <c r="C8" s="193" t="s">
        <v>540</v>
      </c>
      <c r="D8" s="193">
        <v>1143</v>
      </c>
      <c r="E8" s="193" t="s">
        <v>696</v>
      </c>
      <c r="F8" s="101" t="s">
        <v>31</v>
      </c>
      <c r="G8" s="102" t="s">
        <v>29</v>
      </c>
      <c r="H8" s="162" t="s">
        <v>32</v>
      </c>
      <c r="I8" s="103">
        <v>43911</v>
      </c>
      <c r="J8" s="104"/>
      <c r="K8" s="105"/>
      <c r="L8" s="129"/>
      <c r="M8" s="135"/>
      <c r="N8" s="105"/>
      <c r="O8" s="105"/>
      <c r="P8" s="105"/>
      <c r="Q8" s="106">
        <v>1.56</v>
      </c>
      <c r="R8" s="106">
        <v>4.43</v>
      </c>
      <c r="S8" s="106">
        <v>4.3099999999999996</v>
      </c>
      <c r="T8" s="106">
        <v>5.45</v>
      </c>
      <c r="U8" s="106" t="s">
        <v>955</v>
      </c>
      <c r="V8" s="106">
        <v>-0.12</v>
      </c>
      <c r="W8" s="106">
        <v>1.02</v>
      </c>
      <c r="X8" s="107"/>
      <c r="Y8" s="107" t="s">
        <v>4</v>
      </c>
      <c r="Z8" s="107" t="s">
        <v>941</v>
      </c>
      <c r="AA8" s="107" t="s">
        <v>1118</v>
      </c>
      <c r="AB8" s="108"/>
    </row>
    <row r="9" spans="1:28" x14ac:dyDescent="0.3">
      <c r="A9" s="124"/>
      <c r="B9" s="113">
        <v>8</v>
      </c>
      <c r="C9" s="28" t="s">
        <v>541</v>
      </c>
      <c r="D9" s="28">
        <v>1429</v>
      </c>
      <c r="E9" s="28" t="s">
        <v>697</v>
      </c>
      <c r="F9" s="29" t="s">
        <v>33</v>
      </c>
      <c r="G9" s="30" t="s">
        <v>18</v>
      </c>
      <c r="H9" s="31" t="s">
        <v>34</v>
      </c>
      <c r="I9" s="32">
        <v>43903</v>
      </c>
      <c r="J9" s="87">
        <v>43871</v>
      </c>
      <c r="K9" s="88" t="s">
        <v>1141</v>
      </c>
      <c r="L9" s="127">
        <v>0.93400000000000005</v>
      </c>
      <c r="M9" s="132">
        <v>3.7149999999999999</v>
      </c>
      <c r="N9" s="88"/>
      <c r="O9" s="88"/>
      <c r="P9" s="88" t="s">
        <v>1142</v>
      </c>
      <c r="Q9" s="91">
        <v>0.67</v>
      </c>
      <c r="R9" s="79">
        <v>3.7</v>
      </c>
      <c r="S9" s="79">
        <v>3.78</v>
      </c>
      <c r="T9" s="79">
        <v>4</v>
      </c>
      <c r="U9" s="79" t="s">
        <v>955</v>
      </c>
      <c r="V9" s="79">
        <v>0.08</v>
      </c>
      <c r="W9" s="79">
        <v>0.3</v>
      </c>
      <c r="X9" s="34">
        <v>1</v>
      </c>
      <c r="Y9" s="34" t="s">
        <v>4</v>
      </c>
      <c r="Z9" s="34" t="s">
        <v>941</v>
      </c>
      <c r="AA9" s="34"/>
      <c r="AB9" s="35"/>
    </row>
    <row r="10" spans="1:28" x14ac:dyDescent="0.3">
      <c r="A10" s="124"/>
      <c r="B10" s="114">
        <v>9</v>
      </c>
      <c r="C10" s="58" t="s">
        <v>542</v>
      </c>
      <c r="D10" s="58">
        <v>1431</v>
      </c>
      <c r="E10" s="58" t="s">
        <v>698</v>
      </c>
      <c r="F10" s="39" t="s">
        <v>35</v>
      </c>
      <c r="G10" s="40" t="s">
        <v>18</v>
      </c>
      <c r="H10" s="33" t="s">
        <v>36</v>
      </c>
      <c r="I10" s="32">
        <v>43903</v>
      </c>
      <c r="J10" s="87">
        <v>43871</v>
      </c>
      <c r="K10" s="88" t="s">
        <v>1138</v>
      </c>
      <c r="L10" s="127">
        <v>0.89500000000000002</v>
      </c>
      <c r="M10" s="132">
        <v>3.88</v>
      </c>
      <c r="N10" s="88"/>
      <c r="O10" s="88"/>
      <c r="P10" s="88" t="s">
        <v>1140</v>
      </c>
      <c r="Q10" s="79">
        <v>0.59</v>
      </c>
      <c r="R10" s="79">
        <v>3.9</v>
      </c>
      <c r="S10" s="79">
        <v>3.99</v>
      </c>
      <c r="T10" s="79">
        <v>4.0199999999999996</v>
      </c>
      <c r="U10" s="79" t="s">
        <v>955</v>
      </c>
      <c r="V10" s="79">
        <v>0.09</v>
      </c>
      <c r="W10" s="79">
        <v>0.12</v>
      </c>
      <c r="X10" s="34">
        <v>1</v>
      </c>
      <c r="Y10" s="34" t="s">
        <v>4</v>
      </c>
      <c r="Z10" s="34" t="s">
        <v>941</v>
      </c>
      <c r="AA10" s="34" t="s">
        <v>1139</v>
      </c>
      <c r="AB10" s="35"/>
    </row>
    <row r="11" spans="1:28" x14ac:dyDescent="0.3">
      <c r="A11" s="124"/>
      <c r="B11" s="114">
        <v>10</v>
      </c>
      <c r="C11" s="58" t="s">
        <v>543</v>
      </c>
      <c r="D11" s="58">
        <v>1700</v>
      </c>
      <c r="E11" s="58" t="s">
        <v>699</v>
      </c>
      <c r="F11" s="39" t="s">
        <v>37</v>
      </c>
      <c r="G11" s="40" t="s">
        <v>18</v>
      </c>
      <c r="H11" s="33" t="s">
        <v>38</v>
      </c>
      <c r="I11" s="32">
        <v>43902</v>
      </c>
      <c r="J11" s="87">
        <v>43861</v>
      </c>
      <c r="K11" s="88" t="s">
        <v>1106</v>
      </c>
      <c r="L11" s="127">
        <v>1.8660000000000001</v>
      </c>
      <c r="M11" s="132">
        <v>7.032</v>
      </c>
      <c r="N11" s="88"/>
      <c r="O11" s="88"/>
      <c r="P11" s="88" t="s">
        <v>1009</v>
      </c>
      <c r="Q11" s="79">
        <v>1.68</v>
      </c>
      <c r="R11" s="79">
        <v>6.98</v>
      </c>
      <c r="S11" s="79">
        <v>7.02</v>
      </c>
      <c r="T11" s="79">
        <v>6.5</v>
      </c>
      <c r="U11" s="79" t="s">
        <v>955</v>
      </c>
      <c r="V11" s="79">
        <v>0.04</v>
      </c>
      <c r="W11" s="79">
        <v>-0.48</v>
      </c>
      <c r="X11" s="34">
        <v>1</v>
      </c>
      <c r="Y11" s="34" t="s">
        <v>4</v>
      </c>
      <c r="Z11" s="34" t="s">
        <v>941</v>
      </c>
      <c r="AA11" s="34" t="s">
        <v>1107</v>
      </c>
      <c r="AB11" s="35"/>
    </row>
    <row r="12" spans="1:28" x14ac:dyDescent="0.3">
      <c r="A12" s="124"/>
      <c r="B12" s="210">
        <v>11</v>
      </c>
      <c r="C12" s="224" t="s">
        <v>544</v>
      </c>
      <c r="D12" s="224">
        <v>1732</v>
      </c>
      <c r="E12" s="224" t="s">
        <v>700</v>
      </c>
      <c r="F12" s="212" t="s">
        <v>39</v>
      </c>
      <c r="G12" s="213" t="s">
        <v>29</v>
      </c>
      <c r="H12" s="214" t="s">
        <v>40</v>
      </c>
      <c r="I12" s="215">
        <v>43911</v>
      </c>
      <c r="J12" s="216">
        <v>43868</v>
      </c>
      <c r="K12" s="217">
        <v>0.4604166666666667</v>
      </c>
      <c r="L12" s="218">
        <v>0.85099999999999909</v>
      </c>
      <c r="M12" s="219">
        <v>7</v>
      </c>
      <c r="N12" s="217"/>
      <c r="O12" s="217"/>
      <c r="P12" s="217">
        <v>0.46527777777777773</v>
      </c>
      <c r="Q12" s="220">
        <v>0.83</v>
      </c>
      <c r="R12" s="220">
        <v>6.98</v>
      </c>
      <c r="S12" s="220">
        <v>7.05</v>
      </c>
      <c r="T12" s="220">
        <v>7.03</v>
      </c>
      <c r="U12" s="220" t="s">
        <v>955</v>
      </c>
      <c r="V12" s="220">
        <v>7.0000000000000007E-2</v>
      </c>
      <c r="W12" s="220">
        <v>0.05</v>
      </c>
      <c r="X12" s="221">
        <v>1</v>
      </c>
      <c r="Y12" s="221" t="s">
        <v>4</v>
      </c>
      <c r="Z12" s="221" t="s">
        <v>941</v>
      </c>
      <c r="AA12" s="221" t="s">
        <v>1120</v>
      </c>
      <c r="AB12" s="222"/>
    </row>
    <row r="13" spans="1:28" x14ac:dyDescent="0.3">
      <c r="A13" s="11" t="s">
        <v>949</v>
      </c>
      <c r="B13" s="118">
        <v>12</v>
      </c>
      <c r="C13" s="99" t="s">
        <v>932</v>
      </c>
      <c r="D13" s="236">
        <v>1734</v>
      </c>
      <c r="E13" s="100" t="s">
        <v>931</v>
      </c>
      <c r="F13" s="101" t="s">
        <v>41</v>
      </c>
      <c r="G13" s="102" t="s">
        <v>29</v>
      </c>
      <c r="H13" s="162" t="s">
        <v>42</v>
      </c>
      <c r="I13" s="103">
        <v>43911</v>
      </c>
      <c r="J13" s="104"/>
      <c r="K13" s="105"/>
      <c r="L13" s="129"/>
      <c r="M13" s="135"/>
      <c r="N13" s="105"/>
      <c r="O13" s="105"/>
      <c r="P13" s="105"/>
      <c r="Q13" s="106">
        <v>0.4</v>
      </c>
      <c r="R13" s="106">
        <v>6.92</v>
      </c>
      <c r="S13" s="106">
        <v>7.01</v>
      </c>
      <c r="T13" s="106">
        <v>7.05</v>
      </c>
      <c r="U13" s="106" t="s">
        <v>955</v>
      </c>
      <c r="V13" s="106">
        <v>0.09</v>
      </c>
      <c r="W13" s="106">
        <v>0.13</v>
      </c>
      <c r="X13" s="107"/>
      <c r="Y13" s="107" t="s">
        <v>4</v>
      </c>
      <c r="Z13" s="107" t="s">
        <v>941</v>
      </c>
      <c r="AA13" s="107" t="s">
        <v>1202</v>
      </c>
      <c r="AB13" s="163"/>
    </row>
    <row r="14" spans="1:28" x14ac:dyDescent="0.3">
      <c r="A14" s="11" t="s">
        <v>949</v>
      </c>
      <c r="B14" s="115">
        <v>13</v>
      </c>
      <c r="C14" s="59" t="s">
        <v>10</v>
      </c>
      <c r="D14" s="59">
        <v>1740</v>
      </c>
      <c r="E14" s="59" t="s">
        <v>9</v>
      </c>
      <c r="F14" s="29" t="s">
        <v>43</v>
      </c>
      <c r="G14" s="42" t="s">
        <v>29</v>
      </c>
      <c r="H14" s="31" t="s">
        <v>44</v>
      </c>
      <c r="I14" s="32">
        <v>43911</v>
      </c>
      <c r="J14" s="87">
        <v>43873</v>
      </c>
      <c r="K14" s="88">
        <v>4.6527777777777779E-2</v>
      </c>
      <c r="L14" s="127">
        <f>60.611-57.912</f>
        <v>2.6989999999999981</v>
      </c>
      <c r="M14" s="132">
        <f>(64.271-57.912)+0.086</f>
        <v>6.4450000000000021</v>
      </c>
      <c r="N14" s="88"/>
      <c r="O14" s="88"/>
      <c r="P14" s="88">
        <v>0.55555555555555558</v>
      </c>
      <c r="Q14" s="79">
        <v>2.61</v>
      </c>
      <c r="R14" s="79">
        <v>6.74</v>
      </c>
      <c r="S14" s="79">
        <v>6.86</v>
      </c>
      <c r="T14" s="79">
        <v>5</v>
      </c>
      <c r="U14" s="79" t="s">
        <v>955</v>
      </c>
      <c r="V14" s="79">
        <v>0.12</v>
      </c>
      <c r="W14" s="79">
        <v>-1.74</v>
      </c>
      <c r="X14" s="34">
        <v>1</v>
      </c>
      <c r="Y14" s="34" t="s">
        <v>4</v>
      </c>
      <c r="Z14" s="34" t="s">
        <v>941</v>
      </c>
      <c r="AA14" s="34"/>
      <c r="AB14" s="35"/>
    </row>
    <row r="15" spans="1:28" x14ac:dyDescent="0.3">
      <c r="A15" s="11" t="s">
        <v>949</v>
      </c>
      <c r="B15" s="114">
        <v>14</v>
      </c>
      <c r="C15" s="59" t="s">
        <v>545</v>
      </c>
      <c r="D15" s="59">
        <v>1742</v>
      </c>
      <c r="E15" s="59" t="s">
        <v>701</v>
      </c>
      <c r="F15" s="39" t="s">
        <v>45</v>
      </c>
      <c r="G15" s="40" t="s">
        <v>29</v>
      </c>
      <c r="H15" s="33" t="s">
        <v>46</v>
      </c>
      <c r="I15" s="32">
        <v>43911</v>
      </c>
      <c r="J15" s="153">
        <v>43852</v>
      </c>
      <c r="K15" s="88" t="s">
        <v>1030</v>
      </c>
      <c r="L15" s="155">
        <v>0.95299999999999996</v>
      </c>
      <c r="M15" s="156">
        <v>6.7949999999999999</v>
      </c>
      <c r="N15" s="154"/>
      <c r="O15" s="154"/>
      <c r="P15" s="88" t="s">
        <v>998</v>
      </c>
      <c r="Q15" s="79">
        <v>0.92</v>
      </c>
      <c r="R15" s="79">
        <v>6.78</v>
      </c>
      <c r="S15" s="79">
        <v>6.87</v>
      </c>
      <c r="T15" s="79">
        <v>6.95</v>
      </c>
      <c r="U15" s="79" t="s">
        <v>955</v>
      </c>
      <c r="V15" s="79">
        <v>0.09</v>
      </c>
      <c r="W15" s="79">
        <v>0.17</v>
      </c>
      <c r="X15" s="34">
        <v>1</v>
      </c>
      <c r="Y15" s="34" t="s">
        <v>4</v>
      </c>
      <c r="Z15" s="34" t="s">
        <v>941</v>
      </c>
      <c r="AA15" s="34" t="s">
        <v>1031</v>
      </c>
      <c r="AB15" s="35"/>
    </row>
    <row r="16" spans="1:28" x14ac:dyDescent="0.3">
      <c r="A16" s="11" t="s">
        <v>949</v>
      </c>
      <c r="B16" s="116">
        <v>15</v>
      </c>
      <c r="C16" s="58" t="s">
        <v>546</v>
      </c>
      <c r="D16" s="58">
        <v>1745</v>
      </c>
      <c r="E16" s="58" t="s">
        <v>702</v>
      </c>
      <c r="F16" s="44" t="s">
        <v>47</v>
      </c>
      <c r="G16" s="45" t="s">
        <v>29</v>
      </c>
      <c r="H16" s="46" t="s">
        <v>48</v>
      </c>
      <c r="I16" s="32">
        <v>43911</v>
      </c>
      <c r="J16" s="87">
        <v>43873</v>
      </c>
      <c r="K16" s="88" t="s">
        <v>1170</v>
      </c>
      <c r="L16" s="127">
        <f>60.03-57.912</f>
        <v>2.1180000000000021</v>
      </c>
      <c r="M16" s="132">
        <f>(60.083-57.912)+0.086</f>
        <v>2.2569999999999992</v>
      </c>
      <c r="N16" s="88"/>
      <c r="O16" s="88"/>
      <c r="P16" s="88">
        <v>9.7222222222222224E-2</v>
      </c>
      <c r="Q16" s="79">
        <v>1.99</v>
      </c>
      <c r="R16" s="79">
        <v>6.71</v>
      </c>
      <c r="S16" s="79">
        <v>6.8</v>
      </c>
      <c r="T16" s="79">
        <v>6.86</v>
      </c>
      <c r="U16" s="79" t="s">
        <v>955</v>
      </c>
      <c r="V16" s="79">
        <v>0.09</v>
      </c>
      <c r="W16" s="79">
        <v>0.15</v>
      </c>
      <c r="X16" s="34">
        <v>1</v>
      </c>
      <c r="Y16" s="34" t="s">
        <v>4</v>
      </c>
      <c r="Z16" s="34" t="s">
        <v>941</v>
      </c>
      <c r="AA16" s="34" t="s">
        <v>1171</v>
      </c>
      <c r="AB16" s="35"/>
    </row>
    <row r="17" spans="1:28" x14ac:dyDescent="0.3">
      <c r="A17" s="11" t="s">
        <v>949</v>
      </c>
      <c r="B17" s="112">
        <v>16</v>
      </c>
      <c r="C17" s="65" t="s">
        <v>547</v>
      </c>
      <c r="D17" s="65">
        <v>1746</v>
      </c>
      <c r="E17" s="65" t="s">
        <v>703</v>
      </c>
      <c r="F17" s="18" t="s">
        <v>49</v>
      </c>
      <c r="G17" s="9" t="s">
        <v>29</v>
      </c>
      <c r="H17" s="10" t="s">
        <v>50</v>
      </c>
      <c r="I17" s="11" t="s">
        <v>949</v>
      </c>
      <c r="J17" s="84"/>
      <c r="K17" s="85"/>
      <c r="L17" s="126"/>
      <c r="M17" s="134"/>
      <c r="N17" s="85"/>
      <c r="O17" s="85"/>
      <c r="P17" s="85"/>
      <c r="Q17" s="78" t="s">
        <v>949</v>
      </c>
      <c r="R17" s="78" t="s">
        <v>949</v>
      </c>
      <c r="S17" s="78">
        <v>6.32</v>
      </c>
      <c r="T17" s="78">
        <v>6.3</v>
      </c>
      <c r="U17" s="78" t="s">
        <v>955</v>
      </c>
      <c r="V17" s="78" t="s">
        <v>947</v>
      </c>
      <c r="W17" s="78" t="s">
        <v>947</v>
      </c>
      <c r="X17" s="12" t="s">
        <v>949</v>
      </c>
      <c r="Y17" s="12" t="s">
        <v>11</v>
      </c>
      <c r="Z17" s="12" t="s">
        <v>941</v>
      </c>
      <c r="AA17" s="12"/>
      <c r="AB17" s="10" t="s">
        <v>51</v>
      </c>
    </row>
    <row r="18" spans="1:28" x14ac:dyDescent="0.3">
      <c r="A18" s="11" t="s">
        <v>949</v>
      </c>
      <c r="B18" s="113">
        <v>17</v>
      </c>
      <c r="C18" s="58" t="s">
        <v>548</v>
      </c>
      <c r="D18" s="58">
        <v>1771</v>
      </c>
      <c r="E18" s="58" t="s">
        <v>704</v>
      </c>
      <c r="F18" s="29" t="s">
        <v>52</v>
      </c>
      <c r="G18" s="30" t="s">
        <v>29</v>
      </c>
      <c r="H18" s="31" t="s">
        <v>53</v>
      </c>
      <c r="I18" s="32">
        <v>43909</v>
      </c>
      <c r="J18" s="87">
        <v>43852</v>
      </c>
      <c r="K18" s="88" t="s">
        <v>1035</v>
      </c>
      <c r="L18" s="127">
        <v>1.1839999999999999</v>
      </c>
      <c r="M18" s="132">
        <v>6.67</v>
      </c>
      <c r="N18" s="88"/>
      <c r="O18" s="88"/>
      <c r="P18" s="88" t="s">
        <v>1036</v>
      </c>
      <c r="Q18" s="79">
        <v>0.78</v>
      </c>
      <c r="R18" s="79">
        <v>6.56</v>
      </c>
      <c r="S18" s="79">
        <v>6.75</v>
      </c>
      <c r="T18" s="79">
        <v>7.25</v>
      </c>
      <c r="U18" s="79" t="s">
        <v>955</v>
      </c>
      <c r="V18" s="79">
        <v>0.19</v>
      </c>
      <c r="W18" s="79">
        <v>0.69</v>
      </c>
      <c r="X18" s="34">
        <v>1</v>
      </c>
      <c r="Y18" s="34" t="s">
        <v>4</v>
      </c>
      <c r="Z18" s="34" t="s">
        <v>941</v>
      </c>
      <c r="AA18" s="34" t="s">
        <v>1037</v>
      </c>
      <c r="AB18" s="35"/>
    </row>
    <row r="19" spans="1:28" x14ac:dyDescent="0.3">
      <c r="A19" s="124"/>
      <c r="B19" s="158">
        <v>18</v>
      </c>
      <c r="C19" s="235" t="s">
        <v>549</v>
      </c>
      <c r="D19" s="235">
        <v>1774</v>
      </c>
      <c r="E19" s="235" t="s">
        <v>705</v>
      </c>
      <c r="F19" s="159" t="s">
        <v>54</v>
      </c>
      <c r="G19" s="160" t="s">
        <v>29</v>
      </c>
      <c r="H19" s="162" t="s">
        <v>53</v>
      </c>
      <c r="I19" s="103" t="s">
        <v>949</v>
      </c>
      <c r="J19" s="104"/>
      <c r="K19" s="105"/>
      <c r="L19" s="129"/>
      <c r="M19" s="135"/>
      <c r="N19" s="105"/>
      <c r="O19" s="105"/>
      <c r="P19" s="105"/>
      <c r="Q19" s="106" t="s">
        <v>949</v>
      </c>
      <c r="R19" s="106" t="s">
        <v>949</v>
      </c>
      <c r="S19" s="106">
        <v>6.91</v>
      </c>
      <c r="T19" s="106">
        <v>5.74</v>
      </c>
      <c r="U19" s="106" t="s">
        <v>955</v>
      </c>
      <c r="V19" s="106" t="s">
        <v>949</v>
      </c>
      <c r="W19" s="106" t="s">
        <v>949</v>
      </c>
      <c r="X19" s="107" t="s">
        <v>949</v>
      </c>
      <c r="Y19" s="107" t="s">
        <v>4</v>
      </c>
      <c r="Z19" s="107" t="s">
        <v>941</v>
      </c>
      <c r="AA19" s="107"/>
      <c r="AB19" s="108" t="s">
        <v>75</v>
      </c>
    </row>
    <row r="20" spans="1:28" x14ac:dyDescent="0.3">
      <c r="A20" s="124"/>
      <c r="B20" s="115">
        <v>19</v>
      </c>
      <c r="C20" s="58" t="s">
        <v>550</v>
      </c>
      <c r="D20" s="58">
        <v>1793</v>
      </c>
      <c r="E20" s="58" t="s">
        <v>706</v>
      </c>
      <c r="F20" s="29" t="s">
        <v>55</v>
      </c>
      <c r="G20" s="42" t="s">
        <v>29</v>
      </c>
      <c r="H20" s="31" t="s">
        <v>56</v>
      </c>
      <c r="I20" s="32">
        <v>43910</v>
      </c>
      <c r="J20" s="87">
        <v>43851</v>
      </c>
      <c r="K20" s="88" t="s">
        <v>1013</v>
      </c>
      <c r="L20" s="127">
        <v>7.0000000000000007E-2</v>
      </c>
      <c r="M20" s="132">
        <v>4.194</v>
      </c>
      <c r="N20" s="88"/>
      <c r="O20" s="88"/>
      <c r="P20" s="88"/>
      <c r="Q20" s="79">
        <v>0.02</v>
      </c>
      <c r="R20" s="79">
        <v>3.16</v>
      </c>
      <c r="S20" s="79">
        <v>4.24</v>
      </c>
      <c r="T20" s="79">
        <v>4.25</v>
      </c>
      <c r="U20" s="79" t="s">
        <v>955</v>
      </c>
      <c r="V20" s="79">
        <v>1.08</v>
      </c>
      <c r="W20" s="79">
        <v>1.0900000000000001</v>
      </c>
      <c r="X20" s="34">
        <v>1</v>
      </c>
      <c r="Y20" s="34" t="s">
        <v>4</v>
      </c>
      <c r="Z20" s="34" t="s">
        <v>941</v>
      </c>
      <c r="AA20" s="34"/>
      <c r="AB20" s="35" t="s">
        <v>1014</v>
      </c>
    </row>
    <row r="21" spans="1:28" x14ac:dyDescent="0.3">
      <c r="A21" s="124"/>
      <c r="B21" s="110">
        <v>20</v>
      </c>
      <c r="C21" s="64" t="s">
        <v>551</v>
      </c>
      <c r="D21" s="64">
        <v>1830</v>
      </c>
      <c r="E21" s="64" t="s">
        <v>707</v>
      </c>
      <c r="F21" s="6" t="s">
        <v>57</v>
      </c>
      <c r="G21" s="13" t="s">
        <v>29</v>
      </c>
      <c r="H21" s="14" t="s">
        <v>58</v>
      </c>
      <c r="I21" s="3">
        <v>43909</v>
      </c>
      <c r="J21" s="89">
        <v>43854</v>
      </c>
      <c r="K21" s="86">
        <v>0.4909722222222222</v>
      </c>
      <c r="L21" s="125">
        <v>0.02</v>
      </c>
      <c r="M21" s="133">
        <v>14.68</v>
      </c>
      <c r="N21" s="86"/>
      <c r="O21" s="86"/>
      <c r="P21" s="86">
        <v>0.5</v>
      </c>
      <c r="Q21" s="80">
        <v>0.01</v>
      </c>
      <c r="R21" s="80">
        <v>14.68</v>
      </c>
      <c r="S21" s="80">
        <v>14.95</v>
      </c>
      <c r="T21" s="80">
        <v>15.26</v>
      </c>
      <c r="U21" s="80" t="s">
        <v>955</v>
      </c>
      <c r="V21" s="80">
        <v>0.27</v>
      </c>
      <c r="W21" s="80">
        <v>0.57999999999999996</v>
      </c>
      <c r="X21" s="4">
        <v>1</v>
      </c>
      <c r="Y21" s="4" t="s">
        <v>6</v>
      </c>
      <c r="Z21" s="4" t="s">
        <v>941</v>
      </c>
      <c r="AA21" s="4" t="s">
        <v>1068</v>
      </c>
      <c r="AB21" s="16" t="s">
        <v>59</v>
      </c>
    </row>
    <row r="22" spans="1:28" x14ac:dyDescent="0.3">
      <c r="A22" s="124"/>
      <c r="B22" s="117">
        <v>21</v>
      </c>
      <c r="C22" s="62" t="s">
        <v>552</v>
      </c>
      <c r="D22" s="62">
        <v>1845</v>
      </c>
      <c r="E22" s="62" t="s">
        <v>708</v>
      </c>
      <c r="F22" s="39" t="s">
        <v>60</v>
      </c>
      <c r="G22" s="47" t="s">
        <v>29</v>
      </c>
      <c r="H22" s="48" t="s">
        <v>61</v>
      </c>
      <c r="I22" s="32">
        <v>43908</v>
      </c>
      <c r="J22" s="87">
        <v>43872</v>
      </c>
      <c r="K22" s="88">
        <v>0.58402777777777781</v>
      </c>
      <c r="L22" s="127">
        <f>60.121-57.912</f>
        <v>2.2090000000000032</v>
      </c>
      <c r="M22" s="132">
        <f>(64.269-57.912)+0.086</f>
        <v>6.4430000000000067</v>
      </c>
      <c r="N22" s="88"/>
      <c r="O22" s="88"/>
      <c r="P22" s="88">
        <v>0.59027777777777779</v>
      </c>
      <c r="Q22" s="79">
        <v>1.82</v>
      </c>
      <c r="R22" s="79">
        <v>6.42</v>
      </c>
      <c r="S22" s="79">
        <v>6.45</v>
      </c>
      <c r="T22" s="79">
        <v>6.53</v>
      </c>
      <c r="U22" s="79" t="s">
        <v>955</v>
      </c>
      <c r="V22" s="79">
        <v>0.03</v>
      </c>
      <c r="W22" s="79">
        <v>0.11</v>
      </c>
      <c r="X22" s="34">
        <v>1</v>
      </c>
      <c r="Y22" s="34" t="s">
        <v>4</v>
      </c>
      <c r="Z22" s="34" t="s">
        <v>941</v>
      </c>
      <c r="AA22" s="34"/>
      <c r="AB22" s="36" t="s">
        <v>950</v>
      </c>
    </row>
    <row r="23" spans="1:28" x14ac:dyDescent="0.3">
      <c r="A23" s="124"/>
      <c r="B23" s="114">
        <v>22</v>
      </c>
      <c r="C23" s="62" t="s">
        <v>553</v>
      </c>
      <c r="D23" s="62">
        <v>1884</v>
      </c>
      <c r="E23" s="62" t="s">
        <v>709</v>
      </c>
      <c r="F23" s="39" t="s">
        <v>62</v>
      </c>
      <c r="G23" s="40" t="s">
        <v>18</v>
      </c>
      <c r="H23" s="33" t="s">
        <v>63</v>
      </c>
      <c r="I23" s="32">
        <v>43907</v>
      </c>
      <c r="J23" s="87">
        <v>43858</v>
      </c>
      <c r="K23" s="88">
        <v>0.40833333333333338</v>
      </c>
      <c r="L23" s="127">
        <v>0.86299999999999999</v>
      </c>
      <c r="M23" s="132">
        <v>6.6619999999999999</v>
      </c>
      <c r="N23" s="88"/>
      <c r="O23" s="88"/>
      <c r="P23" s="88">
        <v>0.41666666666666669</v>
      </c>
      <c r="Q23" s="79">
        <v>0.75</v>
      </c>
      <c r="R23" s="79">
        <v>6.66</v>
      </c>
      <c r="S23" s="79">
        <v>6.74</v>
      </c>
      <c r="T23" s="79">
        <v>6.88</v>
      </c>
      <c r="U23" s="79" t="s">
        <v>955</v>
      </c>
      <c r="V23" s="79">
        <v>0.08</v>
      </c>
      <c r="W23" s="79">
        <v>0.22</v>
      </c>
      <c r="X23" s="34">
        <v>1</v>
      </c>
      <c r="Y23" s="34" t="s">
        <v>4</v>
      </c>
      <c r="Z23" s="34" t="s">
        <v>941</v>
      </c>
      <c r="AA23" s="34"/>
      <c r="AB23" s="35"/>
    </row>
    <row r="24" spans="1:28" s="98" customFormat="1" x14ac:dyDescent="0.3">
      <c r="A24" s="157"/>
      <c r="B24" s="114">
        <v>23</v>
      </c>
      <c r="C24" s="58" t="s">
        <v>554</v>
      </c>
      <c r="D24" s="58">
        <v>1885</v>
      </c>
      <c r="E24" s="58" t="s">
        <v>710</v>
      </c>
      <c r="F24" s="39" t="s">
        <v>64</v>
      </c>
      <c r="G24" s="40" t="s">
        <v>18</v>
      </c>
      <c r="H24" s="33" t="s">
        <v>65</v>
      </c>
      <c r="I24" s="32">
        <v>43907</v>
      </c>
      <c r="J24" s="87">
        <v>43875</v>
      </c>
      <c r="K24" s="88">
        <v>0.54652777777777783</v>
      </c>
      <c r="L24" s="127">
        <f>59.087-57.912</f>
        <v>1.1750000000000043</v>
      </c>
      <c r="M24" s="132">
        <f>(64.742-57.912)+0.086</f>
        <v>6.9160000000000057</v>
      </c>
      <c r="N24" s="88"/>
      <c r="O24" s="88"/>
      <c r="P24" s="88" t="s">
        <v>1010</v>
      </c>
      <c r="Q24" s="79">
        <v>1.18</v>
      </c>
      <c r="R24" s="79">
        <v>6.85</v>
      </c>
      <c r="S24" s="79">
        <v>6.98</v>
      </c>
      <c r="T24" s="79">
        <v>7.15</v>
      </c>
      <c r="U24" s="79" t="s">
        <v>955</v>
      </c>
      <c r="V24" s="79">
        <v>0.13</v>
      </c>
      <c r="W24" s="79">
        <v>0.3</v>
      </c>
      <c r="X24" s="34">
        <v>1</v>
      </c>
      <c r="Y24" s="34" t="s">
        <v>4</v>
      </c>
      <c r="Z24" s="34" t="s">
        <v>941</v>
      </c>
      <c r="AA24" s="34"/>
      <c r="AB24" s="35"/>
    </row>
    <row r="25" spans="1:28" x14ac:dyDescent="0.3">
      <c r="A25" s="124"/>
      <c r="B25" s="114">
        <v>24</v>
      </c>
      <c r="C25" s="58" t="s">
        <v>555</v>
      </c>
      <c r="D25" s="58">
        <v>4952</v>
      </c>
      <c r="E25" s="58" t="s">
        <v>711</v>
      </c>
      <c r="F25" s="39" t="s">
        <v>66</v>
      </c>
      <c r="G25" s="40" t="s">
        <v>18</v>
      </c>
      <c r="H25" s="33" t="s">
        <v>67</v>
      </c>
      <c r="I25" s="32">
        <v>43907</v>
      </c>
      <c r="J25" s="87">
        <v>43875</v>
      </c>
      <c r="K25" s="88" t="s">
        <v>1110</v>
      </c>
      <c r="L25" s="127">
        <f>59.257-57.912</f>
        <v>1.3449999999999989</v>
      </c>
      <c r="M25" s="132">
        <f>(65.863-57.912)+0.086</f>
        <v>8.0370000000000008</v>
      </c>
      <c r="N25" s="88"/>
      <c r="O25" s="88"/>
      <c r="P25" s="88" t="s">
        <v>1111</v>
      </c>
      <c r="Q25" s="79">
        <v>1.25</v>
      </c>
      <c r="R25" s="79">
        <v>7.93</v>
      </c>
      <c r="S25" s="79">
        <v>8.0299999999999994</v>
      </c>
      <c r="T25" s="79">
        <v>8.06</v>
      </c>
      <c r="U25" s="79" t="s">
        <v>955</v>
      </c>
      <c r="V25" s="79">
        <v>0.1</v>
      </c>
      <c r="W25" s="79">
        <v>0.13</v>
      </c>
      <c r="X25" s="34">
        <v>1</v>
      </c>
      <c r="Y25" s="34" t="s">
        <v>4</v>
      </c>
      <c r="Z25" s="34" t="s">
        <v>941</v>
      </c>
      <c r="AA25" s="34"/>
      <c r="AB25" s="35"/>
    </row>
    <row r="26" spans="1:28" x14ac:dyDescent="0.3">
      <c r="A26" s="124"/>
      <c r="B26" s="114">
        <v>25</v>
      </c>
      <c r="C26" s="58" t="s">
        <v>556</v>
      </c>
      <c r="D26" s="58">
        <v>4953</v>
      </c>
      <c r="E26" s="58" t="s">
        <v>712</v>
      </c>
      <c r="F26" s="39" t="s">
        <v>68</v>
      </c>
      <c r="G26" s="40" t="s">
        <v>18</v>
      </c>
      <c r="H26" s="33" t="s">
        <v>69</v>
      </c>
      <c r="I26" s="32">
        <v>43999</v>
      </c>
      <c r="J26" s="87">
        <v>43875</v>
      </c>
      <c r="K26" s="88" t="s">
        <v>1189</v>
      </c>
      <c r="L26" s="127">
        <f>58.705-57.912</f>
        <v>0.79299999999999926</v>
      </c>
      <c r="M26" s="132">
        <f>(64.022-57.912)+0.086</f>
        <v>6.1960000000000068</v>
      </c>
      <c r="N26" s="88"/>
      <c r="O26" s="88"/>
      <c r="P26" s="88" t="s">
        <v>1176</v>
      </c>
      <c r="Q26" s="79">
        <v>0.69</v>
      </c>
      <c r="R26" s="79">
        <v>6.1</v>
      </c>
      <c r="S26" s="79">
        <v>6.35</v>
      </c>
      <c r="T26" s="79">
        <v>6.49</v>
      </c>
      <c r="U26" s="79" t="s">
        <v>955</v>
      </c>
      <c r="V26" s="79">
        <v>0.25</v>
      </c>
      <c r="W26" s="79">
        <v>0.39</v>
      </c>
      <c r="X26" s="34">
        <v>1</v>
      </c>
      <c r="Y26" s="34" t="s">
        <v>4</v>
      </c>
      <c r="Z26" s="34" t="s">
        <v>941</v>
      </c>
      <c r="AA26" s="34"/>
      <c r="AB26" s="35"/>
    </row>
    <row r="27" spans="1:28" x14ac:dyDescent="0.3">
      <c r="A27" s="124"/>
      <c r="B27" s="114">
        <v>26</v>
      </c>
      <c r="C27" s="58" t="s">
        <v>557</v>
      </c>
      <c r="D27" s="58">
        <v>5200</v>
      </c>
      <c r="E27" s="58" t="s">
        <v>713</v>
      </c>
      <c r="F27" s="39" t="s">
        <v>70</v>
      </c>
      <c r="G27" s="40" t="s">
        <v>18</v>
      </c>
      <c r="H27" s="33" t="s">
        <v>71</v>
      </c>
      <c r="I27" s="32">
        <v>43907</v>
      </c>
      <c r="J27" s="87">
        <v>43858</v>
      </c>
      <c r="K27" s="88">
        <v>0.38055555555555554</v>
      </c>
      <c r="L27" s="127">
        <v>0.91400000000000003</v>
      </c>
      <c r="M27" s="132">
        <v>7.1459999999999999</v>
      </c>
      <c r="N27" s="88"/>
      <c r="O27" s="88"/>
      <c r="P27" s="88">
        <v>0.3888888888888889</v>
      </c>
      <c r="Q27" s="79">
        <v>0.84</v>
      </c>
      <c r="R27" s="79">
        <v>7.04</v>
      </c>
      <c r="S27" s="79">
        <v>7.22</v>
      </c>
      <c r="T27" s="79">
        <v>7.06</v>
      </c>
      <c r="U27" s="79" t="s">
        <v>955</v>
      </c>
      <c r="V27" s="79">
        <v>0.18</v>
      </c>
      <c r="W27" s="79">
        <v>0.02</v>
      </c>
      <c r="X27" s="34">
        <v>1</v>
      </c>
      <c r="Y27" s="34" t="s">
        <v>4</v>
      </c>
      <c r="Z27" s="34" t="s">
        <v>941</v>
      </c>
      <c r="AA27" s="34" t="s">
        <v>1090</v>
      </c>
      <c r="AB27" s="35"/>
    </row>
    <row r="28" spans="1:28" s="223" customFormat="1" x14ac:dyDescent="0.3">
      <c r="A28" s="209"/>
      <c r="B28" s="114">
        <v>27</v>
      </c>
      <c r="C28" s="58" t="s">
        <v>558</v>
      </c>
      <c r="D28" s="58">
        <v>5204</v>
      </c>
      <c r="E28" s="58" t="s">
        <v>714</v>
      </c>
      <c r="F28" s="39" t="s">
        <v>72</v>
      </c>
      <c r="G28" s="40" t="s">
        <v>18</v>
      </c>
      <c r="H28" s="33" t="s">
        <v>73</v>
      </c>
      <c r="I28" s="32">
        <v>43918</v>
      </c>
      <c r="J28" s="87">
        <v>43871</v>
      </c>
      <c r="K28" s="88" t="s">
        <v>1147</v>
      </c>
      <c r="L28" s="127">
        <f>58.91 - 57.912</f>
        <v>0.99799999999999756</v>
      </c>
      <c r="M28" s="132">
        <f>64.89 - 57.912</f>
        <v>6.9780000000000015</v>
      </c>
      <c r="N28" s="88"/>
      <c r="O28" s="88"/>
      <c r="P28" s="88" t="s">
        <v>1010</v>
      </c>
      <c r="Q28" s="79">
        <v>0.93</v>
      </c>
      <c r="R28" s="79">
        <v>6.99</v>
      </c>
      <c r="S28" s="79">
        <v>7.09</v>
      </c>
      <c r="T28" s="79">
        <v>6.79</v>
      </c>
      <c r="U28" s="79" t="s">
        <v>955</v>
      </c>
      <c r="V28" s="79">
        <v>0.1</v>
      </c>
      <c r="W28" s="79">
        <v>-0.2</v>
      </c>
      <c r="X28" s="34">
        <v>1</v>
      </c>
      <c r="Y28" s="34" t="s">
        <v>4</v>
      </c>
      <c r="Z28" s="34" t="s">
        <v>941</v>
      </c>
      <c r="AA28" s="34" t="s">
        <v>1148</v>
      </c>
      <c r="AB28" s="35"/>
    </row>
    <row r="29" spans="1:28" s="98" customFormat="1" ht="28.8" x14ac:dyDescent="0.3">
      <c r="A29" s="157"/>
      <c r="B29" s="115">
        <v>28</v>
      </c>
      <c r="C29" s="58" t="s">
        <v>934</v>
      </c>
      <c r="D29" s="60">
        <v>14117</v>
      </c>
      <c r="E29" s="59" t="s">
        <v>933</v>
      </c>
      <c r="F29" s="29" t="s">
        <v>74</v>
      </c>
      <c r="G29" s="42" t="s">
        <v>29</v>
      </c>
      <c r="H29" s="49" t="s">
        <v>965</v>
      </c>
      <c r="I29" s="32">
        <v>43918</v>
      </c>
      <c r="J29" s="87">
        <v>43882</v>
      </c>
      <c r="K29" s="88">
        <v>0.41111111111111115</v>
      </c>
      <c r="L29" s="127">
        <f>58.292-57.912</f>
        <v>0.38000000000000256</v>
      </c>
      <c r="M29" s="132">
        <f>(64.107-57.912)+0.086</f>
        <v>6.2810000000000006</v>
      </c>
      <c r="N29" s="88"/>
      <c r="O29" s="88"/>
      <c r="P29" s="88">
        <v>0.41666666666666669</v>
      </c>
      <c r="Q29" s="79">
        <v>0.25</v>
      </c>
      <c r="R29" s="79">
        <v>6.2</v>
      </c>
      <c r="S29" s="79">
        <v>7.1</v>
      </c>
      <c r="T29" s="79">
        <v>6.6</v>
      </c>
      <c r="U29" s="79" t="s">
        <v>955</v>
      </c>
      <c r="V29" s="79">
        <v>0.9</v>
      </c>
      <c r="W29" s="79">
        <v>0.4</v>
      </c>
      <c r="X29" s="34">
        <v>1</v>
      </c>
      <c r="Y29" s="34" t="s">
        <v>4</v>
      </c>
      <c r="Z29" s="34" t="s">
        <v>941</v>
      </c>
      <c r="AA29" s="34"/>
      <c r="AB29" s="35" t="s">
        <v>964</v>
      </c>
    </row>
    <row r="30" spans="1:28" x14ac:dyDescent="0.3">
      <c r="A30" s="124"/>
      <c r="B30" s="115">
        <v>29</v>
      </c>
      <c r="C30" s="58" t="s">
        <v>559</v>
      </c>
      <c r="D30" s="58">
        <v>5983</v>
      </c>
      <c r="E30" s="58" t="s">
        <v>715</v>
      </c>
      <c r="F30" s="29" t="s">
        <v>76</v>
      </c>
      <c r="G30" s="42" t="s">
        <v>29</v>
      </c>
      <c r="H30" s="31" t="s">
        <v>77</v>
      </c>
      <c r="I30" s="32">
        <v>43910</v>
      </c>
      <c r="J30" s="87">
        <v>43873</v>
      </c>
      <c r="K30" s="88">
        <v>0.38958333333333334</v>
      </c>
      <c r="L30" s="127">
        <f>58.94-57.912</f>
        <v>1.0279999999999987</v>
      </c>
      <c r="M30" s="132">
        <f>(64.692-57.912)+0.086</f>
        <v>6.8659999999999943</v>
      </c>
      <c r="N30" s="88"/>
      <c r="O30" s="88"/>
      <c r="P30" s="88">
        <v>0.39583333333333331</v>
      </c>
      <c r="Q30" s="79">
        <v>0.7</v>
      </c>
      <c r="R30" s="79">
        <v>6.84</v>
      </c>
      <c r="S30" s="79">
        <v>6.86</v>
      </c>
      <c r="T30" s="79">
        <v>6.93</v>
      </c>
      <c r="U30" s="79" t="s">
        <v>955</v>
      </c>
      <c r="V30" s="79">
        <v>0.02</v>
      </c>
      <c r="W30" s="79">
        <v>0.09</v>
      </c>
      <c r="X30" s="34">
        <v>1</v>
      </c>
      <c r="Y30" s="34" t="s">
        <v>4</v>
      </c>
      <c r="Z30" s="34" t="s">
        <v>941</v>
      </c>
      <c r="AA30" s="34"/>
      <c r="AB30" s="36" t="s">
        <v>950</v>
      </c>
    </row>
    <row r="31" spans="1:28" x14ac:dyDescent="0.3">
      <c r="A31" s="124"/>
      <c r="B31" s="114">
        <v>30</v>
      </c>
      <c r="C31" s="59" t="s">
        <v>560</v>
      </c>
      <c r="D31" s="59">
        <v>5995</v>
      </c>
      <c r="E31" s="59" t="s">
        <v>942</v>
      </c>
      <c r="F31" s="39" t="s">
        <v>78</v>
      </c>
      <c r="G31" s="40" t="s">
        <v>18</v>
      </c>
      <c r="H31" s="33" t="s">
        <v>79</v>
      </c>
      <c r="I31" s="32">
        <v>43903</v>
      </c>
      <c r="J31" s="87">
        <v>43858</v>
      </c>
      <c r="K31" s="88">
        <v>0.58402777777777781</v>
      </c>
      <c r="L31" s="127">
        <v>1.7</v>
      </c>
      <c r="M31" s="132">
        <v>6.2</v>
      </c>
      <c r="N31" s="88"/>
      <c r="O31" s="88"/>
      <c r="P31" s="88">
        <v>0.59027777777777779</v>
      </c>
      <c r="Q31" s="79">
        <v>1.61</v>
      </c>
      <c r="R31" s="79">
        <v>6.15</v>
      </c>
      <c r="S31" s="79">
        <v>6.24</v>
      </c>
      <c r="T31" s="79">
        <v>6.31</v>
      </c>
      <c r="U31" s="79" t="s">
        <v>955</v>
      </c>
      <c r="V31" s="79">
        <v>0.09</v>
      </c>
      <c r="W31" s="79">
        <v>0.16</v>
      </c>
      <c r="X31" s="34">
        <v>1</v>
      </c>
      <c r="Y31" s="34" t="s">
        <v>4</v>
      </c>
      <c r="Z31" s="34" t="s">
        <v>941</v>
      </c>
      <c r="AA31" s="34"/>
      <c r="AB31" s="35"/>
    </row>
    <row r="32" spans="1:28" x14ac:dyDescent="0.3">
      <c r="A32" s="124"/>
      <c r="B32" s="115">
        <v>31</v>
      </c>
      <c r="C32" s="59" t="s">
        <v>561</v>
      </c>
      <c r="D32" s="59">
        <v>6052</v>
      </c>
      <c r="E32" s="59" t="s">
        <v>716</v>
      </c>
      <c r="F32" s="29" t="s">
        <v>80</v>
      </c>
      <c r="G32" s="42" t="s">
        <v>29</v>
      </c>
      <c r="H32" s="31" t="s">
        <v>81</v>
      </c>
      <c r="I32" s="32">
        <v>43910</v>
      </c>
      <c r="J32" s="87">
        <v>43868</v>
      </c>
      <c r="K32" s="88" t="s">
        <v>1127</v>
      </c>
      <c r="L32" s="127">
        <v>1.4410000000000025</v>
      </c>
      <c r="M32" s="132">
        <v>7.8719999999999999</v>
      </c>
      <c r="N32" s="88"/>
      <c r="O32" s="88"/>
      <c r="P32" s="88" t="s">
        <v>1126</v>
      </c>
      <c r="Q32" s="79">
        <v>1.24</v>
      </c>
      <c r="R32" s="79">
        <v>7.94</v>
      </c>
      <c r="S32" s="79">
        <v>7.97</v>
      </c>
      <c r="T32" s="79">
        <v>8.1300000000000008</v>
      </c>
      <c r="U32" s="79" t="s">
        <v>955</v>
      </c>
      <c r="V32" s="79">
        <v>0.03</v>
      </c>
      <c r="W32" s="79">
        <v>0.19</v>
      </c>
      <c r="X32" s="34">
        <v>1</v>
      </c>
      <c r="Y32" s="34" t="s">
        <v>4</v>
      </c>
      <c r="Z32" s="34" t="s">
        <v>941</v>
      </c>
      <c r="AA32" s="34" t="s">
        <v>1128</v>
      </c>
      <c r="AB32" s="35"/>
    </row>
    <row r="33" spans="1:29" x14ac:dyDescent="0.3">
      <c r="A33" s="124"/>
      <c r="B33" s="229">
        <v>32</v>
      </c>
      <c r="C33" s="99" t="s">
        <v>562</v>
      </c>
      <c r="D33" s="99">
        <v>6056</v>
      </c>
      <c r="E33" s="99" t="s">
        <v>717</v>
      </c>
      <c r="F33" s="230" t="s">
        <v>82</v>
      </c>
      <c r="G33" s="231" t="s">
        <v>29</v>
      </c>
      <c r="H33" s="225" t="s">
        <v>83</v>
      </c>
      <c r="I33" s="103">
        <v>43918</v>
      </c>
      <c r="J33" s="104"/>
      <c r="K33" s="105"/>
      <c r="L33" s="129"/>
      <c r="M33" s="135"/>
      <c r="N33" s="105"/>
      <c r="O33" s="105"/>
      <c r="P33" s="105"/>
      <c r="Q33" s="106">
        <v>0</v>
      </c>
      <c r="R33" s="106">
        <v>5.74</v>
      </c>
      <c r="S33" s="106">
        <v>5.91</v>
      </c>
      <c r="T33" s="106">
        <v>5.97</v>
      </c>
      <c r="U33" s="106" t="s">
        <v>955</v>
      </c>
      <c r="V33" s="106">
        <v>0.17</v>
      </c>
      <c r="W33" s="106">
        <v>0.23</v>
      </c>
      <c r="X33" s="107"/>
      <c r="Y33" s="107" t="s">
        <v>6</v>
      </c>
      <c r="Z33" s="107" t="s">
        <v>941</v>
      </c>
      <c r="AA33" s="107" t="s">
        <v>1177</v>
      </c>
      <c r="AB33" s="108" t="s">
        <v>84</v>
      </c>
    </row>
    <row r="34" spans="1:29" x14ac:dyDescent="0.3">
      <c r="A34" s="124">
        <f>Table22[[#This Row],[9 month data expiry]]</f>
        <v>44006</v>
      </c>
      <c r="B34" s="115">
        <v>33</v>
      </c>
      <c r="C34" s="59" t="s">
        <v>563</v>
      </c>
      <c r="D34" s="59">
        <v>6057</v>
      </c>
      <c r="E34" s="59" t="s">
        <v>718</v>
      </c>
      <c r="F34" s="29" t="s">
        <v>85</v>
      </c>
      <c r="G34" s="42" t="s">
        <v>29</v>
      </c>
      <c r="H34" s="31" t="s">
        <v>86</v>
      </c>
      <c r="I34" s="32">
        <v>44006</v>
      </c>
      <c r="J34" s="87">
        <v>43874</v>
      </c>
      <c r="K34" s="88" t="s">
        <v>1178</v>
      </c>
      <c r="L34" s="127">
        <f>58.292-57.912</f>
        <v>0.38000000000000256</v>
      </c>
      <c r="M34" s="132">
        <f>(65.073-57.912)+0.086</f>
        <v>7.2469999999999946</v>
      </c>
      <c r="N34" s="88"/>
      <c r="O34" s="88"/>
      <c r="P34" s="88">
        <v>0.625</v>
      </c>
      <c r="Q34" s="79">
        <v>0.27</v>
      </c>
      <c r="R34" s="79">
        <v>7.14</v>
      </c>
      <c r="S34" s="79">
        <v>7.23</v>
      </c>
      <c r="T34" s="79">
        <v>6.82</v>
      </c>
      <c r="U34" s="79" t="s">
        <v>955</v>
      </c>
      <c r="V34" s="79">
        <v>0.09</v>
      </c>
      <c r="W34" s="79">
        <v>-0.32</v>
      </c>
      <c r="X34" s="34">
        <v>1</v>
      </c>
      <c r="Y34" s="34" t="s">
        <v>4</v>
      </c>
      <c r="Z34" s="34" t="s">
        <v>941</v>
      </c>
      <c r="AA34" s="34"/>
      <c r="AB34" s="35"/>
    </row>
    <row r="35" spans="1:29" x14ac:dyDescent="0.3">
      <c r="A35" s="124"/>
      <c r="B35" s="116">
        <v>34</v>
      </c>
      <c r="C35" s="61" t="s">
        <v>564</v>
      </c>
      <c r="D35" s="61">
        <v>6058</v>
      </c>
      <c r="E35" s="61" t="s">
        <v>719</v>
      </c>
      <c r="F35" s="44" t="s">
        <v>87</v>
      </c>
      <c r="G35" s="45" t="s">
        <v>29</v>
      </c>
      <c r="H35" s="50" t="s">
        <v>88</v>
      </c>
      <c r="I35" s="32">
        <v>43914</v>
      </c>
      <c r="J35" s="87">
        <v>43874</v>
      </c>
      <c r="K35" s="88">
        <v>0.62847222222222221</v>
      </c>
      <c r="L35" s="127">
        <f>58.223-57.912</f>
        <v>0.31099999999999994</v>
      </c>
      <c r="M35" s="132">
        <f>(64.828-57.912)+0.086</f>
        <v>7.0020000000000042</v>
      </c>
      <c r="N35" s="88"/>
      <c r="O35" s="88"/>
      <c r="P35" s="88" t="s">
        <v>1179</v>
      </c>
      <c r="Q35" s="79">
        <v>0.19</v>
      </c>
      <c r="R35" s="79">
        <v>7.91</v>
      </c>
      <c r="S35" s="79">
        <v>7.01</v>
      </c>
      <c r="T35" s="79">
        <v>7.09</v>
      </c>
      <c r="U35" s="79" t="s">
        <v>955</v>
      </c>
      <c r="V35" s="79">
        <v>-0.9</v>
      </c>
      <c r="W35" s="79">
        <v>-0.82</v>
      </c>
      <c r="X35" s="34">
        <v>1</v>
      </c>
      <c r="Y35" s="34" t="s">
        <v>4</v>
      </c>
      <c r="Z35" s="34" t="s">
        <v>941</v>
      </c>
      <c r="AA35" s="34"/>
      <c r="AB35" s="35"/>
    </row>
    <row r="36" spans="1:29" x14ac:dyDescent="0.3">
      <c r="A36" s="124"/>
      <c r="B36" s="112">
        <v>35</v>
      </c>
      <c r="C36" s="63" t="s">
        <v>565</v>
      </c>
      <c r="D36" s="63">
        <v>6093</v>
      </c>
      <c r="E36" s="63" t="s">
        <v>720</v>
      </c>
      <c r="F36" s="18" t="s">
        <v>89</v>
      </c>
      <c r="G36" s="9" t="s">
        <v>18</v>
      </c>
      <c r="H36" s="10" t="s">
        <v>90</v>
      </c>
      <c r="I36" s="11" t="s">
        <v>949</v>
      </c>
      <c r="J36" s="84"/>
      <c r="K36" s="85"/>
      <c r="L36" s="126"/>
      <c r="M36" s="134"/>
      <c r="N36" s="85"/>
      <c r="O36" s="85"/>
      <c r="P36" s="85"/>
      <c r="Q36" s="78" t="s">
        <v>949</v>
      </c>
      <c r="R36" s="78" t="s">
        <v>949</v>
      </c>
      <c r="S36" s="78" t="s">
        <v>949</v>
      </c>
      <c r="T36" s="78" t="e">
        <v>#N/A</v>
      </c>
      <c r="U36" s="78">
        <v>6.63</v>
      </c>
      <c r="V36" s="78" t="s">
        <v>947</v>
      </c>
      <c r="W36" s="78" t="s">
        <v>947</v>
      </c>
      <c r="X36" s="12" t="s">
        <v>949</v>
      </c>
      <c r="Y36" s="12" t="s">
        <v>11</v>
      </c>
      <c r="Z36" s="12" t="s">
        <v>937</v>
      </c>
      <c r="AA36" s="12"/>
      <c r="AB36" s="19" t="s">
        <v>951</v>
      </c>
    </row>
    <row r="37" spans="1:29" ht="28.8" x14ac:dyDescent="0.3">
      <c r="A37" s="124"/>
      <c r="B37" s="114">
        <v>36</v>
      </c>
      <c r="C37" s="61" t="s">
        <v>566</v>
      </c>
      <c r="D37" s="61">
        <v>6095</v>
      </c>
      <c r="E37" s="61" t="s">
        <v>721</v>
      </c>
      <c r="F37" s="39" t="s">
        <v>91</v>
      </c>
      <c r="G37" s="40" t="s">
        <v>18</v>
      </c>
      <c r="H37" s="33" t="s">
        <v>92</v>
      </c>
      <c r="I37" s="32">
        <v>43903</v>
      </c>
      <c r="J37" s="87">
        <v>43858</v>
      </c>
      <c r="K37" s="88">
        <v>0.56805555555555554</v>
      </c>
      <c r="L37" s="127">
        <v>2.0609999999999999</v>
      </c>
      <c r="M37" s="132">
        <v>8.1709999999999994</v>
      </c>
      <c r="N37" s="88"/>
      <c r="O37" s="88"/>
      <c r="P37" s="88">
        <v>0.57638888888888895</v>
      </c>
      <c r="Q37" s="79">
        <v>1.94</v>
      </c>
      <c r="R37" s="79">
        <v>8.14</v>
      </c>
      <c r="S37" s="79">
        <v>8.24</v>
      </c>
      <c r="T37" s="79">
        <v>8.2200000000000006</v>
      </c>
      <c r="U37" s="79" t="s">
        <v>955</v>
      </c>
      <c r="V37" s="79">
        <v>0.1</v>
      </c>
      <c r="W37" s="79">
        <v>0.08</v>
      </c>
      <c r="X37" s="34">
        <v>1</v>
      </c>
      <c r="Y37" s="34" t="s">
        <v>4</v>
      </c>
      <c r="Z37" s="34" t="s">
        <v>941</v>
      </c>
      <c r="AA37" s="34" t="s">
        <v>1096</v>
      </c>
      <c r="AB37" s="35" t="s">
        <v>93</v>
      </c>
      <c r="AC37" t="s">
        <v>954</v>
      </c>
    </row>
    <row r="38" spans="1:29" x14ac:dyDescent="0.3">
      <c r="A38" s="124"/>
      <c r="B38" s="116">
        <v>37</v>
      </c>
      <c r="C38" s="58" t="s">
        <v>567</v>
      </c>
      <c r="D38" s="58">
        <v>6100</v>
      </c>
      <c r="E38" s="58" t="s">
        <v>722</v>
      </c>
      <c r="F38" s="44" t="s">
        <v>94</v>
      </c>
      <c r="G38" s="45" t="s">
        <v>29</v>
      </c>
      <c r="H38" s="50" t="s">
        <v>95</v>
      </c>
      <c r="I38" s="32">
        <v>43912</v>
      </c>
      <c r="J38" s="87">
        <v>43873</v>
      </c>
      <c r="K38" s="88">
        <v>0.46111111111111108</v>
      </c>
      <c r="L38" s="127">
        <f>60.241-57.912</f>
        <v>2.3290000000000006</v>
      </c>
      <c r="M38" s="132">
        <f>(64.04-57.912)+0.086</f>
        <v>6.2140000000000075</v>
      </c>
      <c r="N38" s="88"/>
      <c r="O38" s="88"/>
      <c r="P38" s="88">
        <v>0.46527777777777773</v>
      </c>
      <c r="Q38" s="79">
        <v>2.2400000000000002</v>
      </c>
      <c r="R38" s="79">
        <v>6.21</v>
      </c>
      <c r="S38" s="79">
        <v>6.23</v>
      </c>
      <c r="T38" s="79">
        <v>6.26</v>
      </c>
      <c r="U38" s="79" t="s">
        <v>955</v>
      </c>
      <c r="V38" s="79">
        <v>0.02</v>
      </c>
      <c r="W38" s="79">
        <v>0.05</v>
      </c>
      <c r="X38" s="34">
        <v>1</v>
      </c>
      <c r="Y38" s="34" t="s">
        <v>4</v>
      </c>
      <c r="Z38" s="34" t="s">
        <v>941</v>
      </c>
      <c r="AA38" s="34"/>
      <c r="AB38" s="35"/>
    </row>
    <row r="39" spans="1:29" x14ac:dyDescent="0.3">
      <c r="A39" s="124"/>
      <c r="B39" s="116">
        <v>38</v>
      </c>
      <c r="C39" s="58" t="s">
        <v>568</v>
      </c>
      <c r="D39" s="58">
        <v>6102</v>
      </c>
      <c r="E39" s="58" t="s">
        <v>723</v>
      </c>
      <c r="F39" s="44" t="s">
        <v>96</v>
      </c>
      <c r="G39" s="45" t="s">
        <v>29</v>
      </c>
      <c r="H39" s="50" t="s">
        <v>97</v>
      </c>
      <c r="I39" s="32">
        <v>43911</v>
      </c>
      <c r="J39" s="87">
        <v>43873</v>
      </c>
      <c r="K39" s="88">
        <v>0.53194444444444444</v>
      </c>
      <c r="L39" s="127">
        <f>60.235-57.912</f>
        <v>2.3230000000000004</v>
      </c>
      <c r="M39" s="132">
        <f>(64.967-57.912)+0.086</f>
        <v>7.141</v>
      </c>
      <c r="N39" s="88"/>
      <c r="O39" s="88"/>
      <c r="P39" s="88">
        <v>0.54166666666666663</v>
      </c>
      <c r="Q39" s="79">
        <v>2.27</v>
      </c>
      <c r="R39" s="79">
        <v>7.06</v>
      </c>
      <c r="S39" s="79">
        <v>7.15</v>
      </c>
      <c r="T39" s="79">
        <v>6.93</v>
      </c>
      <c r="U39" s="79" t="s">
        <v>955</v>
      </c>
      <c r="V39" s="79">
        <v>0.09</v>
      </c>
      <c r="W39" s="79">
        <v>-0.13</v>
      </c>
      <c r="X39" s="34">
        <v>1</v>
      </c>
      <c r="Y39" s="34" t="s">
        <v>4</v>
      </c>
      <c r="Z39" s="34" t="s">
        <v>941</v>
      </c>
      <c r="AA39" s="34" t="s">
        <v>1169</v>
      </c>
      <c r="AB39" s="35"/>
    </row>
    <row r="40" spans="1:29" ht="28.8" x14ac:dyDescent="0.3">
      <c r="A40" s="124"/>
      <c r="B40" s="114">
        <v>39</v>
      </c>
      <c r="C40" s="61" t="s">
        <v>569</v>
      </c>
      <c r="D40" s="61">
        <v>6235</v>
      </c>
      <c r="E40" s="61" t="s">
        <v>724</v>
      </c>
      <c r="F40" s="29" t="s">
        <v>98</v>
      </c>
      <c r="G40" s="42" t="s">
        <v>29</v>
      </c>
      <c r="H40" s="51" t="s">
        <v>99</v>
      </c>
      <c r="I40" s="32">
        <v>43918</v>
      </c>
      <c r="J40" s="87">
        <v>43873</v>
      </c>
      <c r="K40" s="88">
        <v>0.41736111111111113</v>
      </c>
      <c r="L40" s="127">
        <f>59.42-57.912</f>
        <v>1.5080000000000027</v>
      </c>
      <c r="M40" s="132">
        <f>(63.986-57.912)+0.086</f>
        <v>6.1599999999999984</v>
      </c>
      <c r="N40" s="88"/>
      <c r="O40" s="88"/>
      <c r="P40" s="88">
        <v>0.4236111111111111</v>
      </c>
      <c r="Q40" s="79">
        <v>1.31</v>
      </c>
      <c r="R40" s="79">
        <v>6.07</v>
      </c>
      <c r="S40" s="79">
        <v>4.2300000000000004</v>
      </c>
      <c r="T40" s="79">
        <v>6.3</v>
      </c>
      <c r="U40" s="79" t="s">
        <v>955</v>
      </c>
      <c r="V40" s="97">
        <v>-1.84</v>
      </c>
      <c r="W40" s="79">
        <v>0.23</v>
      </c>
      <c r="X40" s="34">
        <v>1</v>
      </c>
      <c r="Y40" s="34" t="s">
        <v>4</v>
      </c>
      <c r="Z40" s="34" t="s">
        <v>941</v>
      </c>
      <c r="AA40" s="34"/>
      <c r="AB40" s="35" t="s">
        <v>952</v>
      </c>
      <c r="AC40" t="s">
        <v>954</v>
      </c>
    </row>
    <row r="41" spans="1:29" x14ac:dyDescent="0.3">
      <c r="A41" s="124"/>
      <c r="B41" s="114">
        <v>40</v>
      </c>
      <c r="C41" s="61" t="s">
        <v>570</v>
      </c>
      <c r="D41" s="61">
        <v>6239</v>
      </c>
      <c r="E41" s="61" t="s">
        <v>725</v>
      </c>
      <c r="F41" s="29" t="s">
        <v>101</v>
      </c>
      <c r="G41" s="42" t="s">
        <v>29</v>
      </c>
      <c r="H41" s="51" t="s">
        <v>102</v>
      </c>
      <c r="I41" s="32">
        <v>43910</v>
      </c>
      <c r="J41" s="87">
        <v>43872</v>
      </c>
      <c r="K41" s="88">
        <v>0.6118055555555556</v>
      </c>
      <c r="L41" s="127">
        <f>59.032-57.912</f>
        <v>1.1199999999999974</v>
      </c>
      <c r="M41" s="132">
        <f>(64.497-57.912)+0.086</f>
        <v>6.6710000000000012</v>
      </c>
      <c r="N41" s="88"/>
      <c r="O41" s="88"/>
      <c r="P41" s="88" t="s">
        <v>1108</v>
      </c>
      <c r="Q41" s="79">
        <v>0.79</v>
      </c>
      <c r="R41" s="79">
        <v>4.1100000000000003</v>
      </c>
      <c r="S41" s="79">
        <v>4.21</v>
      </c>
      <c r="T41" s="79">
        <v>6.94</v>
      </c>
      <c r="U41" s="79" t="s">
        <v>955</v>
      </c>
      <c r="V41" s="79">
        <v>0.1</v>
      </c>
      <c r="W41" s="79">
        <v>2.83</v>
      </c>
      <c r="X41" s="34">
        <v>1</v>
      </c>
      <c r="Y41" s="34" t="s">
        <v>4</v>
      </c>
      <c r="Z41" s="34" t="s">
        <v>941</v>
      </c>
      <c r="AA41" s="34" t="s">
        <v>1165</v>
      </c>
      <c r="AB41" s="35"/>
    </row>
    <row r="42" spans="1:29" x14ac:dyDescent="0.3">
      <c r="A42" s="124"/>
      <c r="B42" s="114">
        <v>41</v>
      </c>
      <c r="C42" s="38" t="s">
        <v>571</v>
      </c>
      <c r="D42" s="38">
        <v>6503</v>
      </c>
      <c r="E42" s="38" t="s">
        <v>726</v>
      </c>
      <c r="F42" s="39" t="s">
        <v>103</v>
      </c>
      <c r="G42" s="40" t="s">
        <v>18</v>
      </c>
      <c r="H42" s="33" t="s">
        <v>104</v>
      </c>
      <c r="I42" s="32">
        <v>43907</v>
      </c>
      <c r="J42" s="87">
        <v>43875</v>
      </c>
      <c r="K42" s="88" t="s">
        <v>1190</v>
      </c>
      <c r="L42" s="127">
        <f>58.93-57.912</f>
        <v>1.0180000000000007</v>
      </c>
      <c r="M42" s="132">
        <f>(65.512-57.912)+0.086</f>
        <v>7.6860000000000017</v>
      </c>
      <c r="N42" s="88"/>
      <c r="O42" s="88"/>
      <c r="P42" s="88" t="s">
        <v>1126</v>
      </c>
      <c r="Q42" s="79">
        <v>0.94</v>
      </c>
      <c r="R42" s="79">
        <v>7.6</v>
      </c>
      <c r="S42" s="79">
        <v>7.7</v>
      </c>
      <c r="T42" s="79">
        <v>7.77</v>
      </c>
      <c r="U42" s="79" t="s">
        <v>955</v>
      </c>
      <c r="V42" s="79">
        <v>0.1</v>
      </c>
      <c r="W42" s="79">
        <v>0.17</v>
      </c>
      <c r="X42" s="34">
        <v>1</v>
      </c>
      <c r="Y42" s="34" t="s">
        <v>4</v>
      </c>
      <c r="Z42" s="34" t="s">
        <v>941</v>
      </c>
      <c r="AA42" s="34"/>
      <c r="AB42" s="35"/>
    </row>
    <row r="43" spans="1:29" x14ac:dyDescent="0.3">
      <c r="A43" s="124"/>
      <c r="B43" s="114">
        <v>42</v>
      </c>
      <c r="C43" s="38" t="s">
        <v>572</v>
      </c>
      <c r="D43" s="38">
        <v>6504</v>
      </c>
      <c r="E43" s="38" t="s">
        <v>727</v>
      </c>
      <c r="F43" s="39" t="s">
        <v>105</v>
      </c>
      <c r="G43" s="40" t="s">
        <v>18</v>
      </c>
      <c r="H43" s="33" t="s">
        <v>106</v>
      </c>
      <c r="I43" s="32">
        <v>43907</v>
      </c>
      <c r="J43" s="87">
        <v>43858</v>
      </c>
      <c r="K43" s="88">
        <v>0.35347222222222219</v>
      </c>
      <c r="L43" s="127">
        <v>1.1399999999999999</v>
      </c>
      <c r="M43" s="132">
        <v>7.4340000000000002</v>
      </c>
      <c r="N43" s="88"/>
      <c r="O43" s="88"/>
      <c r="P43" s="88"/>
      <c r="Q43" s="79">
        <v>1.06</v>
      </c>
      <c r="R43" s="79">
        <v>7.41</v>
      </c>
      <c r="S43" s="81">
        <v>4.24</v>
      </c>
      <c r="T43" s="79">
        <v>7.58</v>
      </c>
      <c r="U43" s="79" t="s">
        <v>955</v>
      </c>
      <c r="V43" s="97">
        <v>-3.17</v>
      </c>
      <c r="W43" s="79">
        <v>0.17</v>
      </c>
      <c r="X43" s="34">
        <v>1</v>
      </c>
      <c r="Y43" s="34" t="s">
        <v>4</v>
      </c>
      <c r="Z43" s="34" t="s">
        <v>941</v>
      </c>
      <c r="AA43" s="34" t="s">
        <v>1088</v>
      </c>
      <c r="AB43" s="35"/>
    </row>
    <row r="44" spans="1:29" x14ac:dyDescent="0.3">
      <c r="A44" s="124"/>
      <c r="B44" s="179">
        <v>43</v>
      </c>
      <c r="C44" s="180" t="s">
        <v>573</v>
      </c>
      <c r="D44" s="180">
        <v>6506</v>
      </c>
      <c r="E44" s="180" t="s">
        <v>728</v>
      </c>
      <c r="F44" s="181" t="s">
        <v>107</v>
      </c>
      <c r="G44" s="182" t="s">
        <v>18</v>
      </c>
      <c r="H44" s="183" t="s">
        <v>108</v>
      </c>
      <c r="I44" s="184">
        <v>43922</v>
      </c>
      <c r="J44" s="185">
        <v>43858</v>
      </c>
      <c r="K44" s="186">
        <v>0.11527777777777777</v>
      </c>
      <c r="L44" s="187">
        <v>1.345</v>
      </c>
      <c r="M44" s="188">
        <v>7.3360000000000003</v>
      </c>
      <c r="N44" s="186"/>
      <c r="O44" s="186"/>
      <c r="P44" s="186" t="s">
        <v>1060</v>
      </c>
      <c r="Q44" s="189">
        <v>1.3</v>
      </c>
      <c r="R44" s="189">
        <v>7.26</v>
      </c>
      <c r="S44" s="189">
        <v>7.49</v>
      </c>
      <c r="T44" s="189">
        <v>7.53</v>
      </c>
      <c r="U44" s="189" t="s">
        <v>955</v>
      </c>
      <c r="V44" s="189">
        <v>0.23</v>
      </c>
      <c r="W44" s="189">
        <v>0.27</v>
      </c>
      <c r="X44" s="190">
        <v>1</v>
      </c>
      <c r="Y44" s="190" t="s">
        <v>4</v>
      </c>
      <c r="Z44" s="190" t="s">
        <v>941</v>
      </c>
      <c r="AA44" s="190" t="s">
        <v>1097</v>
      </c>
      <c r="AB44" s="191"/>
    </row>
    <row r="45" spans="1:29" x14ac:dyDescent="0.3">
      <c r="A45" s="124"/>
      <c r="B45" s="114">
        <v>44</v>
      </c>
      <c r="C45" s="38" t="s">
        <v>574</v>
      </c>
      <c r="D45" s="38">
        <v>6515</v>
      </c>
      <c r="E45" s="38" t="s">
        <v>729</v>
      </c>
      <c r="F45" s="39" t="s">
        <v>109</v>
      </c>
      <c r="G45" s="40" t="s">
        <v>18</v>
      </c>
      <c r="H45" s="33" t="s">
        <v>110</v>
      </c>
      <c r="I45" s="32">
        <v>43907</v>
      </c>
      <c r="J45" s="87">
        <v>43882</v>
      </c>
      <c r="K45" s="88">
        <v>0.59305555555555556</v>
      </c>
      <c r="L45" s="127">
        <f>58.589-57.912</f>
        <v>0.6769999999999996</v>
      </c>
      <c r="M45" s="132">
        <f>(65.304-57.912)+0.086</f>
        <v>7.4780000000000033</v>
      </c>
      <c r="N45" s="88"/>
      <c r="O45" s="88"/>
      <c r="P45" s="88"/>
      <c r="Q45" s="79">
        <v>0.57999999999999996</v>
      </c>
      <c r="R45" s="79">
        <v>7.37</v>
      </c>
      <c r="S45" s="79">
        <v>7.5</v>
      </c>
      <c r="T45" s="79">
        <v>7.58</v>
      </c>
      <c r="U45" s="79" t="s">
        <v>955</v>
      </c>
      <c r="V45" s="79">
        <v>0.13</v>
      </c>
      <c r="W45" s="79">
        <v>0.21</v>
      </c>
      <c r="X45" s="34">
        <v>1</v>
      </c>
      <c r="Y45" s="34" t="s">
        <v>4</v>
      </c>
      <c r="Z45" s="34" t="s">
        <v>941</v>
      </c>
      <c r="AA45" s="34"/>
      <c r="AB45" s="35"/>
    </row>
    <row r="46" spans="1:29" x14ac:dyDescent="0.3">
      <c r="A46" s="124"/>
      <c r="B46" s="114">
        <v>45</v>
      </c>
      <c r="C46" s="38" t="s">
        <v>575</v>
      </c>
      <c r="D46" s="38">
        <v>7505</v>
      </c>
      <c r="E46" s="38" t="s">
        <v>730</v>
      </c>
      <c r="F46" s="29" t="s">
        <v>111</v>
      </c>
      <c r="G46" s="42" t="s">
        <v>29</v>
      </c>
      <c r="H46" s="51" t="s">
        <v>112</v>
      </c>
      <c r="I46" s="32">
        <v>43918</v>
      </c>
      <c r="J46" s="87">
        <v>43872</v>
      </c>
      <c r="K46" s="88">
        <v>0.60138888888888886</v>
      </c>
      <c r="L46" s="127">
        <f>58.933-57.912</f>
        <v>1.0210000000000008</v>
      </c>
      <c r="M46" s="132">
        <f>(64.397-57.912)+0.086</f>
        <v>6.5710000000000068</v>
      </c>
      <c r="N46" s="88"/>
      <c r="O46" s="88"/>
      <c r="P46" s="88">
        <v>0.61111111111111105</v>
      </c>
      <c r="Q46" s="79">
        <v>0.76</v>
      </c>
      <c r="R46" s="79">
        <v>7.49</v>
      </c>
      <c r="S46" s="81">
        <v>4.21</v>
      </c>
      <c r="T46" s="79">
        <v>6.94</v>
      </c>
      <c r="U46" s="79" t="s">
        <v>955</v>
      </c>
      <c r="V46" s="97">
        <v>-3.28</v>
      </c>
      <c r="W46" s="79">
        <v>-0.55000000000000004</v>
      </c>
      <c r="X46" s="34">
        <v>1</v>
      </c>
      <c r="Y46" s="34" t="s">
        <v>4</v>
      </c>
      <c r="Z46" s="34" t="s">
        <v>941</v>
      </c>
      <c r="AA46" s="34"/>
      <c r="AB46" s="33" t="s">
        <v>100</v>
      </c>
    </row>
    <row r="47" spans="1:29" x14ac:dyDescent="0.3">
      <c r="A47" s="124"/>
      <c r="B47" s="114">
        <v>46</v>
      </c>
      <c r="C47" s="38" t="s">
        <v>576</v>
      </c>
      <c r="D47" s="38">
        <v>7514</v>
      </c>
      <c r="E47" s="38" t="s">
        <v>731</v>
      </c>
      <c r="F47" s="39" t="s">
        <v>113</v>
      </c>
      <c r="G47" s="40" t="s">
        <v>18</v>
      </c>
      <c r="H47" s="33" t="s">
        <v>114</v>
      </c>
      <c r="I47" s="32">
        <v>43903</v>
      </c>
      <c r="J47" s="87">
        <v>43871</v>
      </c>
      <c r="K47" s="88">
        <v>0.6020833333333333</v>
      </c>
      <c r="L47" s="127">
        <f xml:space="preserve"> 59.232 - 57.912</f>
        <v>1.3200000000000003</v>
      </c>
      <c r="M47" s="132">
        <f>(65.345 - 57.912) + 0.086</f>
        <v>7.5190000000000001</v>
      </c>
      <c r="N47" s="88"/>
      <c r="O47" s="88"/>
      <c r="P47" s="88" t="s">
        <v>1153</v>
      </c>
      <c r="Q47" s="79">
        <v>1.07</v>
      </c>
      <c r="R47" s="79">
        <v>7.43</v>
      </c>
      <c r="S47" s="79">
        <v>7.54</v>
      </c>
      <c r="T47" s="79">
        <v>7.62</v>
      </c>
      <c r="U47" s="79" t="s">
        <v>955</v>
      </c>
      <c r="V47" s="79">
        <v>0.11</v>
      </c>
      <c r="W47" s="79">
        <v>0.19</v>
      </c>
      <c r="X47" s="34">
        <v>1</v>
      </c>
      <c r="Y47" s="34" t="s">
        <v>4</v>
      </c>
      <c r="Z47" s="34" t="s">
        <v>941</v>
      </c>
      <c r="AA47" s="34" t="s">
        <v>1154</v>
      </c>
      <c r="AB47" s="35"/>
    </row>
    <row r="48" spans="1:29" x14ac:dyDescent="0.3">
      <c r="A48" s="124"/>
      <c r="B48" s="114">
        <v>47</v>
      </c>
      <c r="C48" s="38" t="s">
        <v>577</v>
      </c>
      <c r="D48" s="38">
        <v>13680</v>
      </c>
      <c r="E48" s="38" t="s">
        <v>732</v>
      </c>
      <c r="F48" s="39" t="s">
        <v>115</v>
      </c>
      <c r="G48" s="40" t="s">
        <v>18</v>
      </c>
      <c r="H48" s="33" t="s">
        <v>116</v>
      </c>
      <c r="I48" s="32">
        <v>43904</v>
      </c>
      <c r="J48" s="87">
        <v>43872</v>
      </c>
      <c r="K48" s="88">
        <v>0.40763888888888888</v>
      </c>
      <c r="L48" s="127">
        <v>0.74299999999999999</v>
      </c>
      <c r="M48" s="132">
        <v>7.2619999999999996</v>
      </c>
      <c r="N48" s="88"/>
      <c r="O48" s="88"/>
      <c r="P48" s="88">
        <v>0.41666666666666669</v>
      </c>
      <c r="Q48" s="79">
        <v>0.57999999999999996</v>
      </c>
      <c r="R48" s="79">
        <v>7.23</v>
      </c>
      <c r="S48" s="79">
        <v>7.33</v>
      </c>
      <c r="T48" s="79">
        <v>7.81</v>
      </c>
      <c r="U48" s="79" t="s">
        <v>955</v>
      </c>
      <c r="V48" s="79">
        <v>0.1</v>
      </c>
      <c r="W48" s="79">
        <v>0.57999999999999996</v>
      </c>
      <c r="X48" s="34">
        <v>1</v>
      </c>
      <c r="Y48" s="34" t="s">
        <v>4</v>
      </c>
      <c r="Z48" s="34" t="s">
        <v>941</v>
      </c>
      <c r="AA48" s="34"/>
      <c r="AB48" s="35"/>
    </row>
    <row r="49" spans="1:29" x14ac:dyDescent="0.3">
      <c r="A49" s="124"/>
      <c r="B49" s="114">
        <v>48</v>
      </c>
      <c r="C49" s="38" t="s">
        <v>578</v>
      </c>
      <c r="D49" s="38">
        <v>9001</v>
      </c>
      <c r="E49" s="38" t="s">
        <v>733</v>
      </c>
      <c r="F49" s="39" t="s">
        <v>117</v>
      </c>
      <c r="G49" s="40" t="s">
        <v>18</v>
      </c>
      <c r="H49" s="33" t="s">
        <v>118</v>
      </c>
      <c r="I49" s="32">
        <v>43903</v>
      </c>
      <c r="J49" s="177">
        <v>43858</v>
      </c>
      <c r="K49" s="176">
        <v>0.59166666666666667</v>
      </c>
      <c r="L49" s="127">
        <v>1.8759999999999999</v>
      </c>
      <c r="M49" s="132">
        <v>7.8890000000000002</v>
      </c>
      <c r="N49" s="88"/>
      <c r="O49" s="88"/>
      <c r="P49" s="88">
        <v>0.59722222222222221</v>
      </c>
      <c r="Q49" s="79">
        <v>1.74</v>
      </c>
      <c r="R49" s="79">
        <v>7.84</v>
      </c>
      <c r="S49" s="79">
        <v>7.94</v>
      </c>
      <c r="T49" s="79">
        <v>7.44</v>
      </c>
      <c r="U49" s="79" t="s">
        <v>955</v>
      </c>
      <c r="V49" s="79">
        <v>0.1</v>
      </c>
      <c r="W49" s="79">
        <v>-0.4</v>
      </c>
      <c r="X49" s="34">
        <v>1</v>
      </c>
      <c r="Y49" s="34" t="s">
        <v>4</v>
      </c>
      <c r="Z49" s="34" t="s">
        <v>941</v>
      </c>
      <c r="AA49" s="34"/>
      <c r="AB49" s="35"/>
    </row>
    <row r="50" spans="1:29" x14ac:dyDescent="0.3">
      <c r="A50" s="124"/>
      <c r="B50" s="114">
        <v>49</v>
      </c>
      <c r="C50" s="38" t="s">
        <v>579</v>
      </c>
      <c r="D50" s="38">
        <v>9488</v>
      </c>
      <c r="E50" s="38" t="s">
        <v>734</v>
      </c>
      <c r="F50" s="39" t="s">
        <v>119</v>
      </c>
      <c r="G50" s="40" t="s">
        <v>18</v>
      </c>
      <c r="H50" s="33" t="s">
        <v>120</v>
      </c>
      <c r="I50" s="32">
        <v>43907</v>
      </c>
      <c r="J50" s="87">
        <v>43882</v>
      </c>
      <c r="K50" s="88">
        <v>0.60486111111111118</v>
      </c>
      <c r="L50" s="127">
        <f>59.319-57.912</f>
        <v>1.4070000000000036</v>
      </c>
      <c r="M50" s="132">
        <f>(65.486-57.912)+0.086</f>
        <v>7.6600000000000055</v>
      </c>
      <c r="N50" s="88"/>
      <c r="O50" s="88"/>
      <c r="P50" s="88" t="s">
        <v>1007</v>
      </c>
      <c r="Q50" s="79">
        <v>1.26</v>
      </c>
      <c r="R50" s="79">
        <v>7.55</v>
      </c>
      <c r="S50" s="79">
        <v>7.64</v>
      </c>
      <c r="T50" s="79">
        <v>7.71</v>
      </c>
      <c r="U50" s="79" t="s">
        <v>955</v>
      </c>
      <c r="V50" s="79">
        <v>0.09</v>
      </c>
      <c r="W50" s="79">
        <v>0.16</v>
      </c>
      <c r="X50" s="34">
        <v>1</v>
      </c>
      <c r="Y50" s="34" t="s">
        <v>4</v>
      </c>
      <c r="Z50" s="34" t="s">
        <v>941</v>
      </c>
      <c r="AA50" s="34"/>
      <c r="AB50" s="35"/>
    </row>
    <row r="51" spans="1:29" x14ac:dyDescent="0.3">
      <c r="A51" s="124"/>
      <c r="B51" s="114">
        <v>50</v>
      </c>
      <c r="C51" s="38" t="s">
        <v>580</v>
      </c>
      <c r="D51" s="38">
        <v>9496</v>
      </c>
      <c r="E51" s="38" t="s">
        <v>735</v>
      </c>
      <c r="F51" s="29" t="s">
        <v>121</v>
      </c>
      <c r="G51" s="42" t="s">
        <v>29</v>
      </c>
      <c r="H51" s="51" t="s">
        <v>122</v>
      </c>
      <c r="I51" s="32">
        <v>43910</v>
      </c>
      <c r="J51" s="87">
        <v>43868</v>
      </c>
      <c r="K51" s="88">
        <v>0.38958333333333334</v>
      </c>
      <c r="L51" s="127">
        <v>1.972</v>
      </c>
      <c r="M51" s="132">
        <v>6.3010000000000002</v>
      </c>
      <c r="N51" s="88"/>
      <c r="O51" s="88"/>
      <c r="P51" s="88">
        <v>0.39583333333333331</v>
      </c>
      <c r="Q51" s="79">
        <v>1.95</v>
      </c>
      <c r="R51" s="79">
        <v>6.25</v>
      </c>
      <c r="S51" s="79">
        <v>6.42</v>
      </c>
      <c r="T51" s="79">
        <v>6.49</v>
      </c>
      <c r="U51" s="79" t="s">
        <v>955</v>
      </c>
      <c r="V51" s="79">
        <v>0.17</v>
      </c>
      <c r="W51" s="79">
        <v>0.24</v>
      </c>
      <c r="X51" s="34">
        <v>1</v>
      </c>
      <c r="Y51" s="34" t="s">
        <v>4</v>
      </c>
      <c r="Z51" s="34" t="s">
        <v>941</v>
      </c>
      <c r="AA51" s="34" t="s">
        <v>1116</v>
      </c>
      <c r="AB51" s="35"/>
    </row>
    <row r="52" spans="1:29" x14ac:dyDescent="0.3">
      <c r="A52" s="124"/>
      <c r="B52" s="114">
        <v>51</v>
      </c>
      <c r="C52" s="38" t="s">
        <v>581</v>
      </c>
      <c r="D52" s="38">
        <v>9502</v>
      </c>
      <c r="E52" s="38" t="s">
        <v>736</v>
      </c>
      <c r="F52" s="39" t="s">
        <v>123</v>
      </c>
      <c r="G52" s="40" t="s">
        <v>29</v>
      </c>
      <c r="H52" s="33" t="s">
        <v>124</v>
      </c>
      <c r="I52" s="32">
        <v>43914</v>
      </c>
      <c r="J52" s="87">
        <v>43868</v>
      </c>
      <c r="K52" s="88">
        <v>0.53680555555555554</v>
      </c>
      <c r="L52" s="127">
        <v>1.2259999999999991</v>
      </c>
      <c r="M52" s="132">
        <v>7.3689999999999998</v>
      </c>
      <c r="N52" s="88"/>
      <c r="O52" s="88"/>
      <c r="P52" s="88" t="s">
        <v>1093</v>
      </c>
      <c r="Q52" s="79">
        <v>1.08</v>
      </c>
      <c r="R52" s="79">
        <v>7.34</v>
      </c>
      <c r="S52" s="79">
        <v>7.41</v>
      </c>
      <c r="T52" s="79">
        <v>6.7</v>
      </c>
      <c r="U52" s="79" t="s">
        <v>955</v>
      </c>
      <c r="V52" s="79">
        <v>7.0000000000000007E-2</v>
      </c>
      <c r="W52" s="79">
        <v>-0.64</v>
      </c>
      <c r="X52" s="34">
        <v>1</v>
      </c>
      <c r="Y52" s="34" t="s">
        <v>4</v>
      </c>
      <c r="Z52" s="34" t="s">
        <v>941</v>
      </c>
      <c r="AA52" s="34"/>
      <c r="AB52" s="35"/>
    </row>
    <row r="53" spans="1:29" x14ac:dyDescent="0.3">
      <c r="A53" s="124"/>
      <c r="B53" s="114">
        <v>52</v>
      </c>
      <c r="C53" s="38" t="s">
        <v>582</v>
      </c>
      <c r="D53" s="38">
        <v>9503</v>
      </c>
      <c r="E53" s="38" t="s">
        <v>737</v>
      </c>
      <c r="F53" s="39" t="s">
        <v>125</v>
      </c>
      <c r="G53" s="40" t="s">
        <v>29</v>
      </c>
      <c r="H53" s="33" t="s">
        <v>126</v>
      </c>
      <c r="I53" s="32">
        <v>43914</v>
      </c>
      <c r="J53" s="87">
        <v>43868</v>
      </c>
      <c r="K53" s="88">
        <v>0.55069444444444449</v>
      </c>
      <c r="L53" s="127">
        <v>1.5230000000000032</v>
      </c>
      <c r="M53" s="132">
        <v>4.2279999999999998</v>
      </c>
      <c r="N53" s="88"/>
      <c r="O53" s="88"/>
      <c r="P53" s="88">
        <v>0.55555555555555558</v>
      </c>
      <c r="Q53" s="79">
        <v>1.34</v>
      </c>
      <c r="R53" s="79">
        <v>4.28</v>
      </c>
      <c r="S53" s="79">
        <v>7.07</v>
      </c>
      <c r="T53" s="79">
        <v>6.71</v>
      </c>
      <c r="U53" s="79" t="s">
        <v>955</v>
      </c>
      <c r="V53" s="79">
        <v>2.79</v>
      </c>
      <c r="W53" s="79">
        <v>2.4300000000000002</v>
      </c>
      <c r="X53" s="34">
        <v>1</v>
      </c>
      <c r="Y53" s="34" t="s">
        <v>4</v>
      </c>
      <c r="Z53" s="34" t="s">
        <v>941</v>
      </c>
      <c r="AA53" s="34" t="s">
        <v>1121</v>
      </c>
      <c r="AB53" s="35"/>
    </row>
    <row r="54" spans="1:29" x14ac:dyDescent="0.3">
      <c r="A54" s="124"/>
      <c r="B54" s="114">
        <v>53</v>
      </c>
      <c r="C54" s="38" t="s">
        <v>583</v>
      </c>
      <c r="D54" s="38">
        <v>9510</v>
      </c>
      <c r="E54" s="38" t="s">
        <v>738</v>
      </c>
      <c r="F54" s="39" t="s">
        <v>127</v>
      </c>
      <c r="G54" s="40" t="s">
        <v>18</v>
      </c>
      <c r="H54" s="33" t="s">
        <v>128</v>
      </c>
      <c r="I54" s="32">
        <v>43907</v>
      </c>
      <c r="J54" s="87">
        <v>43875</v>
      </c>
      <c r="K54" s="88" t="s">
        <v>1188</v>
      </c>
      <c r="L54" s="127">
        <f>58.853-57.912</f>
        <v>0.9410000000000025</v>
      </c>
      <c r="M54" s="132">
        <f>(63.505-57.912)+0.086</f>
        <v>5.6790000000000038</v>
      </c>
      <c r="N54" s="88"/>
      <c r="O54" s="88"/>
      <c r="P54" s="88" t="s">
        <v>1011</v>
      </c>
      <c r="Q54" s="79">
        <v>0.84</v>
      </c>
      <c r="R54" s="79">
        <v>5.6</v>
      </c>
      <c r="S54" s="79">
        <v>5.69</v>
      </c>
      <c r="T54" s="79">
        <v>6.51</v>
      </c>
      <c r="U54" s="79" t="s">
        <v>955</v>
      </c>
      <c r="V54" s="79">
        <v>0.09</v>
      </c>
      <c r="W54" s="79">
        <v>0.91</v>
      </c>
      <c r="X54" s="34">
        <v>1</v>
      </c>
      <c r="Y54" s="34" t="s">
        <v>4</v>
      </c>
      <c r="Z54" s="34" t="s">
        <v>941</v>
      </c>
      <c r="AA54" s="34"/>
      <c r="AB54" s="35"/>
    </row>
    <row r="55" spans="1:29" x14ac:dyDescent="0.3">
      <c r="A55" s="124"/>
      <c r="B55" s="114">
        <v>54</v>
      </c>
      <c r="C55" s="38" t="s">
        <v>584</v>
      </c>
      <c r="D55" s="38">
        <v>9512</v>
      </c>
      <c r="E55" s="38" t="s">
        <v>739</v>
      </c>
      <c r="F55" s="39" t="s">
        <v>129</v>
      </c>
      <c r="G55" s="40" t="s">
        <v>18</v>
      </c>
      <c r="H55" s="33" t="s">
        <v>130</v>
      </c>
      <c r="I55" s="32">
        <v>43907</v>
      </c>
      <c r="J55" s="87">
        <v>43871</v>
      </c>
      <c r="K55" s="88" t="s">
        <v>1145</v>
      </c>
      <c r="L55" s="127">
        <f>59.075-57.912</f>
        <v>1.1630000000000038</v>
      </c>
      <c r="M55" s="132">
        <f>65.3 -57.912</f>
        <v>7.3879999999999981</v>
      </c>
      <c r="N55" s="88"/>
      <c r="O55" s="88"/>
      <c r="P55" s="88" t="s">
        <v>1054</v>
      </c>
      <c r="Q55" s="79">
        <v>1.02</v>
      </c>
      <c r="R55" s="79">
        <v>7.48</v>
      </c>
      <c r="S55" s="79">
        <v>7.48</v>
      </c>
      <c r="T55" s="79">
        <v>7.4</v>
      </c>
      <c r="U55" s="79" t="s">
        <v>955</v>
      </c>
      <c r="V55" s="79">
        <v>0</v>
      </c>
      <c r="W55" s="79">
        <v>-0.08</v>
      </c>
      <c r="X55" s="34">
        <v>1</v>
      </c>
      <c r="Y55" s="34" t="s">
        <v>4</v>
      </c>
      <c r="Z55" s="34" t="s">
        <v>941</v>
      </c>
      <c r="AA55" s="34" t="s">
        <v>1146</v>
      </c>
      <c r="AB55" s="35"/>
    </row>
    <row r="56" spans="1:29" s="192" customFormat="1" x14ac:dyDescent="0.3">
      <c r="A56" s="178"/>
      <c r="B56" s="115">
        <v>55</v>
      </c>
      <c r="C56" s="38" t="s">
        <v>585</v>
      </c>
      <c r="D56" s="38">
        <v>9521</v>
      </c>
      <c r="E56" s="38" t="s">
        <v>740</v>
      </c>
      <c r="F56" s="29" t="s">
        <v>131</v>
      </c>
      <c r="G56" s="42" t="s">
        <v>18</v>
      </c>
      <c r="H56" s="31" t="s">
        <v>132</v>
      </c>
      <c r="I56" s="32">
        <v>43903</v>
      </c>
      <c r="J56" s="87">
        <v>43857</v>
      </c>
      <c r="K56" s="90">
        <v>0.47083333333333338</v>
      </c>
      <c r="L56" s="128">
        <v>2.3319999999999999</v>
      </c>
      <c r="M56" s="82">
        <v>6.3390000000000004</v>
      </c>
      <c r="N56" s="90"/>
      <c r="O56" s="90"/>
      <c r="P56" s="90">
        <v>0.47916666666666669</v>
      </c>
      <c r="Q56" s="82">
        <v>2.27</v>
      </c>
      <c r="R56" s="82">
        <v>6.3</v>
      </c>
      <c r="S56" s="82">
        <v>6.41</v>
      </c>
      <c r="T56" s="79">
        <v>6.55</v>
      </c>
      <c r="U56" s="79" t="s">
        <v>955</v>
      </c>
      <c r="V56" s="82">
        <v>0.11</v>
      </c>
      <c r="W56" s="82">
        <v>0.25</v>
      </c>
      <c r="X56" s="37">
        <v>1</v>
      </c>
      <c r="Y56" s="34" t="s">
        <v>4</v>
      </c>
      <c r="Z56" s="34" t="s">
        <v>941</v>
      </c>
      <c r="AA56" s="34"/>
      <c r="AB56" s="35"/>
    </row>
    <row r="57" spans="1:29" ht="28.8" x14ac:dyDescent="0.3">
      <c r="A57" s="124"/>
      <c r="B57" s="115">
        <v>56</v>
      </c>
      <c r="C57" s="38" t="s">
        <v>586</v>
      </c>
      <c r="D57" s="38">
        <v>9966</v>
      </c>
      <c r="E57" s="38" t="s">
        <v>741</v>
      </c>
      <c r="F57" s="29" t="s">
        <v>133</v>
      </c>
      <c r="G57" s="42" t="s">
        <v>29</v>
      </c>
      <c r="H57" s="31" t="s">
        <v>134</v>
      </c>
      <c r="I57" s="32">
        <v>43925</v>
      </c>
      <c r="J57" s="87">
        <v>43882</v>
      </c>
      <c r="K57" s="88">
        <v>0.3840277777777778</v>
      </c>
      <c r="L57" s="127">
        <f>58.464-57.912</f>
        <v>0.5519999999999996</v>
      </c>
      <c r="M57" s="132">
        <f>(64.668-57.912)+0.086</f>
        <v>6.8420000000000076</v>
      </c>
      <c r="N57" s="88"/>
      <c r="O57" s="88"/>
      <c r="P57" s="88">
        <v>0.3888888888888889</v>
      </c>
      <c r="Q57" s="79">
        <v>0.41</v>
      </c>
      <c r="R57" s="79">
        <v>6.78</v>
      </c>
      <c r="S57" s="79">
        <v>6.88</v>
      </c>
      <c r="T57" s="79">
        <v>6.91</v>
      </c>
      <c r="U57" s="79" t="s">
        <v>955</v>
      </c>
      <c r="V57" s="79">
        <v>0.1</v>
      </c>
      <c r="W57" s="79">
        <v>0.13</v>
      </c>
      <c r="X57" s="34">
        <v>1</v>
      </c>
      <c r="Y57" s="34" t="s">
        <v>4</v>
      </c>
      <c r="Z57" s="34" t="s">
        <v>941</v>
      </c>
      <c r="AA57" s="34" t="s">
        <v>1129</v>
      </c>
      <c r="AB57" s="50" t="s">
        <v>135</v>
      </c>
      <c r="AC57" t="s">
        <v>954</v>
      </c>
    </row>
    <row r="58" spans="1:29" x14ac:dyDescent="0.3">
      <c r="A58" s="124"/>
      <c r="B58" s="114">
        <v>57</v>
      </c>
      <c r="C58" s="41" t="s">
        <v>587</v>
      </c>
      <c r="D58" s="41">
        <v>9967</v>
      </c>
      <c r="E58" s="41" t="s">
        <v>742</v>
      </c>
      <c r="F58" s="39" t="s">
        <v>136</v>
      </c>
      <c r="G58" s="40" t="s">
        <v>29</v>
      </c>
      <c r="H58" s="33" t="s">
        <v>137</v>
      </c>
      <c r="I58" s="32">
        <v>43914</v>
      </c>
      <c r="J58" s="87">
        <v>43865</v>
      </c>
      <c r="K58" s="88">
        <v>0.58819444444444446</v>
      </c>
      <c r="L58" s="127">
        <v>1.363</v>
      </c>
      <c r="M58" s="132">
        <v>7.3739999999999997</v>
      </c>
      <c r="N58" s="88"/>
      <c r="O58" s="88"/>
      <c r="P58" s="88">
        <v>0.59722222222222221</v>
      </c>
      <c r="Q58" s="79">
        <v>1.1499999999999999</v>
      </c>
      <c r="R58" s="79">
        <v>7.31</v>
      </c>
      <c r="S58" s="79">
        <v>7.39</v>
      </c>
      <c r="T58" s="79">
        <v>7.46</v>
      </c>
      <c r="U58" s="79" t="s">
        <v>955</v>
      </c>
      <c r="V58" s="79">
        <v>0.08</v>
      </c>
      <c r="W58" s="79">
        <v>0.15</v>
      </c>
      <c r="X58" s="34">
        <v>1</v>
      </c>
      <c r="Y58" s="34" t="s">
        <v>4</v>
      </c>
      <c r="Z58" s="34" t="s">
        <v>941</v>
      </c>
      <c r="AA58" s="34" t="s">
        <v>1114</v>
      </c>
      <c r="AB58" s="35"/>
    </row>
    <row r="59" spans="1:29" x14ac:dyDescent="0.3">
      <c r="A59" s="124"/>
      <c r="B59" s="115">
        <v>58</v>
      </c>
      <c r="C59" s="41" t="s">
        <v>588</v>
      </c>
      <c r="D59" s="41">
        <v>9968</v>
      </c>
      <c r="E59" s="41" t="s">
        <v>743</v>
      </c>
      <c r="F59" s="29" t="s">
        <v>138</v>
      </c>
      <c r="G59" s="42" t="s">
        <v>29</v>
      </c>
      <c r="H59" s="31" t="s">
        <v>139</v>
      </c>
      <c r="I59" s="32">
        <v>43910</v>
      </c>
      <c r="J59" s="87">
        <v>43868</v>
      </c>
      <c r="K59" s="88" t="s">
        <v>1122</v>
      </c>
      <c r="L59" s="127">
        <v>1.3740000000000023</v>
      </c>
      <c r="M59" s="132">
        <v>6.9169999999999998</v>
      </c>
      <c r="N59" s="88"/>
      <c r="O59" s="88"/>
      <c r="P59" s="88" t="s">
        <v>1123</v>
      </c>
      <c r="Q59" s="79">
        <v>1.17</v>
      </c>
      <c r="R59" s="79">
        <v>6.99</v>
      </c>
      <c r="S59" s="79">
        <v>6.98</v>
      </c>
      <c r="T59" s="79">
        <v>6.91</v>
      </c>
      <c r="U59" s="79" t="s">
        <v>955</v>
      </c>
      <c r="V59" s="79">
        <v>-0.01</v>
      </c>
      <c r="W59" s="79">
        <v>-0.08</v>
      </c>
      <c r="X59" s="34">
        <v>1</v>
      </c>
      <c r="Y59" s="34" t="s">
        <v>4</v>
      </c>
      <c r="Z59" s="34" t="s">
        <v>941</v>
      </c>
      <c r="AA59" s="34"/>
      <c r="AB59" s="35"/>
    </row>
    <row r="60" spans="1:29" x14ac:dyDescent="0.3">
      <c r="A60" s="124"/>
      <c r="B60" s="114">
        <v>59</v>
      </c>
      <c r="C60" s="38" t="s">
        <v>589</v>
      </c>
      <c r="D60" s="38">
        <v>10061</v>
      </c>
      <c r="E60" s="38" t="s">
        <v>744</v>
      </c>
      <c r="F60" s="39" t="s">
        <v>140</v>
      </c>
      <c r="G60" s="40" t="s">
        <v>18</v>
      </c>
      <c r="H60" s="33" t="s">
        <v>141</v>
      </c>
      <c r="I60" s="32">
        <v>43904</v>
      </c>
      <c r="J60" s="87">
        <v>43861</v>
      </c>
      <c r="K60" s="88">
        <v>0.39444444444444443</v>
      </c>
      <c r="L60" s="127">
        <v>1.0309999999999999</v>
      </c>
      <c r="M60" s="132">
        <v>7.1070000000000002</v>
      </c>
      <c r="N60" s="88"/>
      <c r="O60" s="88"/>
      <c r="P60" s="88">
        <v>0.40277777777777773</v>
      </c>
      <c r="Q60" s="79">
        <v>0.88</v>
      </c>
      <c r="R60" s="79">
        <v>7.07</v>
      </c>
      <c r="S60" s="79">
        <v>7.18</v>
      </c>
      <c r="T60" s="79">
        <v>7.17</v>
      </c>
      <c r="U60" s="79" t="s">
        <v>955</v>
      </c>
      <c r="V60" s="79">
        <v>0.11</v>
      </c>
      <c r="W60" s="79">
        <v>0.1</v>
      </c>
      <c r="X60" s="34">
        <v>1</v>
      </c>
      <c r="Y60" s="34" t="s">
        <v>4</v>
      </c>
      <c r="Z60" s="34" t="s">
        <v>941</v>
      </c>
      <c r="AA60" s="34"/>
      <c r="AB60" s="35"/>
    </row>
    <row r="61" spans="1:29" x14ac:dyDescent="0.3">
      <c r="A61" s="124"/>
      <c r="B61" s="114">
        <v>60</v>
      </c>
      <c r="C61" s="41" t="s">
        <v>590</v>
      </c>
      <c r="D61" s="41">
        <v>10068</v>
      </c>
      <c r="E61" s="41" t="s">
        <v>745</v>
      </c>
      <c r="F61" s="39" t="s">
        <v>142</v>
      </c>
      <c r="G61" s="40" t="s">
        <v>18</v>
      </c>
      <c r="H61" s="33" t="s">
        <v>143</v>
      </c>
      <c r="I61" s="32">
        <v>43904</v>
      </c>
      <c r="J61" s="87">
        <v>43861</v>
      </c>
      <c r="K61" s="88">
        <v>0.35555555555555557</v>
      </c>
      <c r="L61" s="127">
        <v>2.0179999999999998</v>
      </c>
      <c r="M61" s="132">
        <v>6.9580000000000002</v>
      </c>
      <c r="N61" s="88"/>
      <c r="O61" s="88"/>
      <c r="P61" s="88">
        <v>0.3611111111111111</v>
      </c>
      <c r="Q61" s="79">
        <v>1.8</v>
      </c>
      <c r="R61" s="79">
        <v>6.93</v>
      </c>
      <c r="S61" s="79">
        <v>7.03</v>
      </c>
      <c r="T61" s="79">
        <v>7.12</v>
      </c>
      <c r="U61" s="79" t="s">
        <v>955</v>
      </c>
      <c r="V61" s="79">
        <v>0.1</v>
      </c>
      <c r="W61" s="79">
        <v>0.19</v>
      </c>
      <c r="X61" s="34">
        <v>1</v>
      </c>
      <c r="Y61" s="34" t="s">
        <v>4</v>
      </c>
      <c r="Z61" s="34" t="s">
        <v>941</v>
      </c>
      <c r="AA61" s="34"/>
      <c r="AB61" s="35"/>
    </row>
    <row r="62" spans="1:29" x14ac:dyDescent="0.3">
      <c r="A62" s="124"/>
      <c r="B62" s="118">
        <v>61</v>
      </c>
      <c r="C62" s="164" t="s">
        <v>8</v>
      </c>
      <c r="D62" s="164">
        <v>10074</v>
      </c>
      <c r="E62" s="164" t="s">
        <v>7</v>
      </c>
      <c r="F62" s="101" t="s">
        <v>144</v>
      </c>
      <c r="G62" s="102" t="s">
        <v>29</v>
      </c>
      <c r="H62" s="162" t="s">
        <v>145</v>
      </c>
      <c r="I62" s="103">
        <v>43918</v>
      </c>
      <c r="J62" s="104"/>
      <c r="K62" s="105"/>
      <c r="L62" s="129"/>
      <c r="M62" s="135"/>
      <c r="N62" s="105"/>
      <c r="O62" s="105"/>
      <c r="P62" s="105"/>
      <c r="Q62" s="106" t="s">
        <v>949</v>
      </c>
      <c r="R62" s="106" t="s">
        <v>949</v>
      </c>
      <c r="S62" s="106">
        <v>6.67</v>
      </c>
      <c r="T62" s="106">
        <v>6.78</v>
      </c>
      <c r="U62" s="106" t="s">
        <v>955</v>
      </c>
      <c r="V62" s="106" t="s">
        <v>949</v>
      </c>
      <c r="W62" s="106" t="s">
        <v>949</v>
      </c>
      <c r="X62" s="107" t="s">
        <v>949</v>
      </c>
      <c r="Y62" s="107" t="s">
        <v>5</v>
      </c>
      <c r="Z62" s="107" t="s">
        <v>941</v>
      </c>
      <c r="AA62" s="107" t="s">
        <v>1130</v>
      </c>
      <c r="AB62" s="108" t="s">
        <v>146</v>
      </c>
    </row>
    <row r="63" spans="1:29" x14ac:dyDescent="0.3">
      <c r="A63" s="124"/>
      <c r="B63" s="115">
        <v>62</v>
      </c>
      <c r="C63" s="38" t="s">
        <v>591</v>
      </c>
      <c r="D63" s="38">
        <v>10078</v>
      </c>
      <c r="E63" s="38" t="s">
        <v>746</v>
      </c>
      <c r="F63" s="29" t="s">
        <v>147</v>
      </c>
      <c r="G63" s="42" t="s">
        <v>29</v>
      </c>
      <c r="H63" s="31" t="s">
        <v>148</v>
      </c>
      <c r="I63" s="32">
        <v>43908</v>
      </c>
      <c r="J63" s="87">
        <v>43873</v>
      </c>
      <c r="K63" s="88">
        <v>0.45</v>
      </c>
      <c r="L63" s="127">
        <f>59.515-57.92</f>
        <v>1.5949999999999989</v>
      </c>
      <c r="M63" s="132">
        <f>(64.912-57.912)+0.086</f>
        <v>7.0860000000000074</v>
      </c>
      <c r="N63" s="88"/>
      <c r="O63" s="88"/>
      <c r="P63" s="88">
        <v>0.45833333333333331</v>
      </c>
      <c r="Q63" s="79">
        <v>1.44</v>
      </c>
      <c r="R63" s="79">
        <v>7.09</v>
      </c>
      <c r="S63" s="79">
        <v>7.08</v>
      </c>
      <c r="T63" s="79">
        <v>6.98</v>
      </c>
      <c r="U63" s="79" t="s">
        <v>955</v>
      </c>
      <c r="V63" s="79">
        <v>-0.01</v>
      </c>
      <c r="W63" s="79">
        <v>-0.11</v>
      </c>
      <c r="X63" s="34">
        <v>1</v>
      </c>
      <c r="Y63" s="34" t="s">
        <v>4</v>
      </c>
      <c r="Z63" s="34" t="s">
        <v>941</v>
      </c>
      <c r="AA63" s="34"/>
      <c r="AB63" s="35"/>
    </row>
    <row r="64" spans="1:29" x14ac:dyDescent="0.3">
      <c r="A64" s="124"/>
      <c r="B64" s="114">
        <v>63</v>
      </c>
      <c r="C64" s="41" t="s">
        <v>592</v>
      </c>
      <c r="D64" s="41">
        <v>10087</v>
      </c>
      <c r="E64" s="41" t="s">
        <v>747</v>
      </c>
      <c r="F64" s="39" t="s">
        <v>149</v>
      </c>
      <c r="G64" s="40" t="s">
        <v>29</v>
      </c>
      <c r="H64" s="33" t="s">
        <v>150</v>
      </c>
      <c r="I64" s="32">
        <v>43909</v>
      </c>
      <c r="J64" s="87">
        <v>43853</v>
      </c>
      <c r="K64" s="88" t="s">
        <v>1058</v>
      </c>
      <c r="L64" s="127">
        <v>1.8120000000000001</v>
      </c>
      <c r="M64" s="132">
        <v>7.1429999999999998</v>
      </c>
      <c r="N64" s="88"/>
      <c r="O64" s="88"/>
      <c r="P64" s="88" t="s">
        <v>1060</v>
      </c>
      <c r="Q64" s="79">
        <v>1.58</v>
      </c>
      <c r="R64" s="79">
        <v>7.13</v>
      </c>
      <c r="S64" s="79">
        <v>7.22</v>
      </c>
      <c r="T64" s="79">
        <v>6.99</v>
      </c>
      <c r="U64" s="79" t="s">
        <v>955</v>
      </c>
      <c r="V64" s="79">
        <v>0.09</v>
      </c>
      <c r="W64" s="79">
        <v>-0.14000000000000001</v>
      </c>
      <c r="X64" s="34">
        <v>1</v>
      </c>
      <c r="Y64" s="34" t="s">
        <v>4</v>
      </c>
      <c r="Z64" s="34" t="s">
        <v>941</v>
      </c>
      <c r="AA64" s="34" t="s">
        <v>1059</v>
      </c>
      <c r="AB64" s="35"/>
    </row>
    <row r="65" spans="1:29" x14ac:dyDescent="0.3">
      <c r="A65" s="124"/>
      <c r="B65" s="113">
        <v>64</v>
      </c>
      <c r="C65" s="41" t="s">
        <v>593</v>
      </c>
      <c r="D65" s="41">
        <v>10376</v>
      </c>
      <c r="E65" s="41" t="s">
        <v>748</v>
      </c>
      <c r="F65" s="29" t="s">
        <v>151</v>
      </c>
      <c r="G65" s="30" t="s">
        <v>18</v>
      </c>
      <c r="H65" s="31" t="s">
        <v>152</v>
      </c>
      <c r="I65" s="32">
        <v>43904</v>
      </c>
      <c r="J65" s="87">
        <v>43861</v>
      </c>
      <c r="K65" s="88">
        <v>0.60902777777777783</v>
      </c>
      <c r="L65" s="127">
        <v>2.8239999999999998</v>
      </c>
      <c r="M65" s="132">
        <v>6.7770000000000001</v>
      </c>
      <c r="N65" s="88"/>
      <c r="O65" s="88"/>
      <c r="P65" s="88" t="s">
        <v>1108</v>
      </c>
      <c r="Q65" s="79">
        <v>2.63</v>
      </c>
      <c r="R65" s="79">
        <v>6.76</v>
      </c>
      <c r="S65" s="79">
        <v>6.86</v>
      </c>
      <c r="T65" s="79">
        <v>6.93</v>
      </c>
      <c r="U65" s="79" t="s">
        <v>955</v>
      </c>
      <c r="V65" s="79">
        <v>0.1</v>
      </c>
      <c r="W65" s="79">
        <v>0.17</v>
      </c>
      <c r="X65" s="34">
        <v>1</v>
      </c>
      <c r="Y65" s="34" t="s">
        <v>4</v>
      </c>
      <c r="Z65" s="34" t="s">
        <v>941</v>
      </c>
      <c r="AA65" s="34"/>
      <c r="AB65" s="35"/>
    </row>
    <row r="66" spans="1:29" x14ac:dyDescent="0.3">
      <c r="A66" s="124"/>
      <c r="B66" s="115">
        <v>65</v>
      </c>
      <c r="C66" s="38" t="s">
        <v>594</v>
      </c>
      <c r="D66" s="38">
        <v>10388</v>
      </c>
      <c r="E66" s="38" t="s">
        <v>749</v>
      </c>
      <c r="F66" s="29" t="s">
        <v>153</v>
      </c>
      <c r="G66" s="42" t="s">
        <v>29</v>
      </c>
      <c r="H66" s="31" t="s">
        <v>154</v>
      </c>
      <c r="I66" s="32">
        <v>43911</v>
      </c>
      <c r="J66" s="87">
        <v>43852</v>
      </c>
      <c r="K66" s="88" t="s">
        <v>1018</v>
      </c>
      <c r="L66" s="127">
        <v>0.78700000000000003</v>
      </c>
      <c r="M66" s="132">
        <v>5.4539999999999997</v>
      </c>
      <c r="N66" s="88"/>
      <c r="O66" s="88"/>
      <c r="P66" s="88" t="s">
        <v>1019</v>
      </c>
      <c r="Q66" s="79">
        <v>0.87</v>
      </c>
      <c r="R66" s="79">
        <v>5.45</v>
      </c>
      <c r="S66" s="79">
        <v>5.56</v>
      </c>
      <c r="T66" s="79">
        <v>5.6</v>
      </c>
      <c r="U66" s="79" t="s">
        <v>955</v>
      </c>
      <c r="V66" s="79">
        <v>0.11</v>
      </c>
      <c r="W66" s="79">
        <v>0.15</v>
      </c>
      <c r="X66" s="34">
        <v>1</v>
      </c>
      <c r="Y66" s="34" t="s">
        <v>4</v>
      </c>
      <c r="Z66" s="34" t="s">
        <v>941</v>
      </c>
      <c r="AA66" s="34" t="s">
        <v>1021</v>
      </c>
      <c r="AB66" s="35"/>
    </row>
    <row r="67" spans="1:29" x14ac:dyDescent="0.3">
      <c r="A67" s="124"/>
      <c r="B67" s="114">
        <v>66</v>
      </c>
      <c r="C67" s="28" t="s">
        <v>595</v>
      </c>
      <c r="D67" s="28">
        <v>12867</v>
      </c>
      <c r="E67" s="28" t="s">
        <v>750</v>
      </c>
      <c r="F67" s="39" t="s">
        <v>155</v>
      </c>
      <c r="G67" s="40" t="s">
        <v>18</v>
      </c>
      <c r="H67" s="33" t="s">
        <v>156</v>
      </c>
      <c r="I67" s="32">
        <v>43907</v>
      </c>
      <c r="J67" s="87">
        <v>43857</v>
      </c>
      <c r="K67" s="88" t="s">
        <v>1085</v>
      </c>
      <c r="L67" s="127">
        <v>0.45300000000000001</v>
      </c>
      <c r="M67" s="132">
        <v>7.3280000000000003</v>
      </c>
      <c r="N67" s="88"/>
      <c r="O67" s="88"/>
      <c r="P67" s="88" t="s">
        <v>1086</v>
      </c>
      <c r="Q67" s="79">
        <v>0.28999999999999998</v>
      </c>
      <c r="R67" s="79">
        <v>7.3</v>
      </c>
      <c r="S67" s="79">
        <v>7.39</v>
      </c>
      <c r="T67" s="79">
        <v>7.49</v>
      </c>
      <c r="U67" s="79" t="s">
        <v>955</v>
      </c>
      <c r="V67" s="79">
        <v>0.09</v>
      </c>
      <c r="W67" s="79">
        <v>0.19</v>
      </c>
      <c r="X67" s="34">
        <v>1</v>
      </c>
      <c r="Y67" s="34" t="s">
        <v>4</v>
      </c>
      <c r="Z67" s="34" t="s">
        <v>941</v>
      </c>
      <c r="AA67" s="34"/>
      <c r="AB67" s="35"/>
    </row>
    <row r="68" spans="1:29" x14ac:dyDescent="0.3">
      <c r="A68" s="124"/>
      <c r="B68" s="114">
        <v>67</v>
      </c>
      <c r="C68" s="41" t="s">
        <v>596</v>
      </c>
      <c r="D68" s="41">
        <v>12872</v>
      </c>
      <c r="E68" s="41" t="s">
        <v>751</v>
      </c>
      <c r="F68" s="39" t="s">
        <v>157</v>
      </c>
      <c r="G68" s="40" t="s">
        <v>29</v>
      </c>
      <c r="H68" s="33" t="s">
        <v>158</v>
      </c>
      <c r="I68" s="32">
        <v>43909</v>
      </c>
      <c r="J68" s="87">
        <v>43853</v>
      </c>
      <c r="K68" s="88">
        <v>0.60486111111111118</v>
      </c>
      <c r="L68" s="127">
        <v>0.97799999999999998</v>
      </c>
      <c r="M68" s="132">
        <v>7.4119999999999999</v>
      </c>
      <c r="N68" s="88"/>
      <c r="O68" s="88"/>
      <c r="P68" s="88">
        <v>0.61111111111111105</v>
      </c>
      <c r="Q68" s="79">
        <v>0.78</v>
      </c>
      <c r="R68" s="79">
        <v>7.4</v>
      </c>
      <c r="S68" s="79">
        <v>7.47</v>
      </c>
      <c r="T68" s="79">
        <v>7.56</v>
      </c>
      <c r="U68" s="79" t="s">
        <v>955</v>
      </c>
      <c r="V68" s="79">
        <v>7.0000000000000007E-2</v>
      </c>
      <c r="W68" s="79">
        <v>0.16</v>
      </c>
      <c r="X68" s="34">
        <v>1</v>
      </c>
      <c r="Y68" s="34" t="s">
        <v>4</v>
      </c>
      <c r="Z68" s="34" t="s">
        <v>941</v>
      </c>
      <c r="AA68" s="34" t="s">
        <v>1061</v>
      </c>
      <c r="AB68" s="35"/>
    </row>
    <row r="69" spans="1:29" s="98" customFormat="1" x14ac:dyDescent="0.3">
      <c r="A69" s="157"/>
      <c r="B69" s="115">
        <v>68</v>
      </c>
      <c r="C69" s="38" t="s">
        <v>597</v>
      </c>
      <c r="D69" s="38">
        <v>13044</v>
      </c>
      <c r="E69" s="38" t="s">
        <v>752</v>
      </c>
      <c r="F69" s="29" t="s">
        <v>159</v>
      </c>
      <c r="G69" s="42" t="s">
        <v>29</v>
      </c>
      <c r="H69" s="31" t="s">
        <v>160</v>
      </c>
      <c r="I69" s="32">
        <v>43910</v>
      </c>
      <c r="J69" s="87">
        <v>43868</v>
      </c>
      <c r="K69" s="88">
        <v>0.41180555555555554</v>
      </c>
      <c r="L69" s="127">
        <v>1.9089999999999989</v>
      </c>
      <c r="M69" s="132">
        <v>7.4139999999999997</v>
      </c>
      <c r="N69" s="88"/>
      <c r="O69" s="88"/>
      <c r="P69" s="88">
        <v>0.41666666666666669</v>
      </c>
      <c r="Q69" s="79">
        <v>1.91</v>
      </c>
      <c r="R69" s="79">
        <v>7.38</v>
      </c>
      <c r="S69" s="79">
        <v>7.48</v>
      </c>
      <c r="T69" s="79">
        <v>7.56</v>
      </c>
      <c r="U69" s="79" t="s">
        <v>955</v>
      </c>
      <c r="V69" s="79">
        <v>0.1</v>
      </c>
      <c r="W69" s="79">
        <v>0.18</v>
      </c>
      <c r="X69" s="34">
        <v>1</v>
      </c>
      <c r="Y69" s="34" t="s">
        <v>4</v>
      </c>
      <c r="Z69" s="34" t="s">
        <v>941</v>
      </c>
      <c r="AA69" s="34"/>
      <c r="AB69" s="35"/>
    </row>
    <row r="70" spans="1:29" x14ac:dyDescent="0.3">
      <c r="A70" s="124"/>
      <c r="B70" s="115">
        <v>69</v>
      </c>
      <c r="C70" s="38" t="s">
        <v>598</v>
      </c>
      <c r="D70" s="38">
        <v>13067</v>
      </c>
      <c r="E70" s="38" t="s">
        <v>753</v>
      </c>
      <c r="F70" s="29" t="s">
        <v>161</v>
      </c>
      <c r="G70" s="42" t="s">
        <v>29</v>
      </c>
      <c r="H70" s="31" t="s">
        <v>162</v>
      </c>
      <c r="I70" s="32">
        <v>43911</v>
      </c>
      <c r="J70" s="87">
        <v>43852</v>
      </c>
      <c r="K70" s="88" t="s">
        <v>1023</v>
      </c>
      <c r="L70" s="127">
        <v>1.155</v>
      </c>
      <c r="M70" s="132">
        <v>7.2160000000000002</v>
      </c>
      <c r="N70" s="88"/>
      <c r="O70" s="88"/>
      <c r="P70" s="88" t="s">
        <v>1022</v>
      </c>
      <c r="Q70" s="79">
        <v>1.1399999999999999</v>
      </c>
      <c r="R70" s="79">
        <v>7.2</v>
      </c>
      <c r="S70" s="79">
        <v>7.27</v>
      </c>
      <c r="T70" s="79">
        <v>7.62</v>
      </c>
      <c r="U70" s="79" t="s">
        <v>955</v>
      </c>
      <c r="V70" s="79">
        <v>7.0000000000000007E-2</v>
      </c>
      <c r="W70" s="79">
        <v>0.42</v>
      </c>
      <c r="X70" s="34">
        <v>1</v>
      </c>
      <c r="Y70" s="34" t="s">
        <v>4</v>
      </c>
      <c r="Z70" s="34" t="s">
        <v>941</v>
      </c>
      <c r="AA70" s="34"/>
      <c r="AB70" s="35"/>
    </row>
    <row r="71" spans="1:29" ht="28.8" x14ac:dyDescent="0.3">
      <c r="A71" s="124"/>
      <c r="B71" s="158">
        <v>70</v>
      </c>
      <c r="C71" s="193" t="s">
        <v>599</v>
      </c>
      <c r="D71" s="193">
        <v>13077</v>
      </c>
      <c r="E71" s="193" t="s">
        <v>754</v>
      </c>
      <c r="F71" s="159" t="s">
        <v>163</v>
      </c>
      <c r="G71" s="160" t="s">
        <v>18</v>
      </c>
      <c r="H71" s="161" t="s">
        <v>164</v>
      </c>
      <c r="I71" s="103">
        <v>43908</v>
      </c>
      <c r="J71" s="104">
        <v>43882</v>
      </c>
      <c r="K71" s="105">
        <v>0.53541666666666665</v>
      </c>
      <c r="L71" s="129"/>
      <c r="M71" s="135"/>
      <c r="N71" s="105"/>
      <c r="O71" s="105"/>
      <c r="P71" s="105"/>
      <c r="Q71" s="106">
        <v>1.47</v>
      </c>
      <c r="R71" s="106">
        <v>3.49</v>
      </c>
      <c r="S71" s="106">
        <v>3.91</v>
      </c>
      <c r="T71" s="106">
        <v>7.79</v>
      </c>
      <c r="U71" s="106" t="s">
        <v>955</v>
      </c>
      <c r="V71" s="106">
        <v>0.42</v>
      </c>
      <c r="W71" s="106">
        <v>4.3</v>
      </c>
      <c r="X71" s="107"/>
      <c r="Y71" s="107" t="s">
        <v>4</v>
      </c>
      <c r="Z71" s="107" t="s">
        <v>941</v>
      </c>
      <c r="AA71" s="107" t="s">
        <v>1197</v>
      </c>
      <c r="AB71" s="108" t="s">
        <v>165</v>
      </c>
      <c r="AC71" t="s">
        <v>954</v>
      </c>
    </row>
    <row r="72" spans="1:29" x14ac:dyDescent="0.3">
      <c r="A72" s="124"/>
      <c r="B72" s="114">
        <v>71</v>
      </c>
      <c r="C72" s="41" t="s">
        <v>600</v>
      </c>
      <c r="D72" s="41">
        <v>13118</v>
      </c>
      <c r="E72" s="41" t="s">
        <v>755</v>
      </c>
      <c r="F72" s="39" t="s">
        <v>166</v>
      </c>
      <c r="G72" s="40" t="s">
        <v>167</v>
      </c>
      <c r="H72" s="33" t="s">
        <v>168</v>
      </c>
      <c r="I72" s="32">
        <v>43915</v>
      </c>
      <c r="J72" s="87">
        <v>43875</v>
      </c>
      <c r="K72" s="88" t="s">
        <v>1184</v>
      </c>
      <c r="L72" s="127">
        <f>58.765-57.912</f>
        <v>0.85300000000000153</v>
      </c>
      <c r="M72" s="132">
        <f>(64.745-57.912)+0.086</f>
        <v>6.9190000000000058</v>
      </c>
      <c r="N72" s="88"/>
      <c r="O72" s="88"/>
      <c r="P72" s="88" t="s">
        <v>1140</v>
      </c>
      <c r="Q72" s="79">
        <v>0.56000000000000005</v>
      </c>
      <c r="R72" s="79">
        <v>6.78</v>
      </c>
      <c r="S72" s="79">
        <v>6.95</v>
      </c>
      <c r="T72" s="79">
        <v>7.0149999999999997</v>
      </c>
      <c r="U72" s="79" t="s">
        <v>955</v>
      </c>
      <c r="V72" s="79">
        <v>0.17</v>
      </c>
      <c r="W72" s="79">
        <v>0.23</v>
      </c>
      <c r="X72" s="34">
        <v>1</v>
      </c>
      <c r="Y72" s="34" t="s">
        <v>4</v>
      </c>
      <c r="Z72" s="34" t="s">
        <v>941</v>
      </c>
      <c r="AA72" s="34"/>
      <c r="AB72" s="35"/>
    </row>
    <row r="73" spans="1:29" x14ac:dyDescent="0.3">
      <c r="A73" s="124"/>
      <c r="B73" s="114">
        <v>72</v>
      </c>
      <c r="C73" s="38" t="s">
        <v>601</v>
      </c>
      <c r="D73" s="38">
        <v>13257</v>
      </c>
      <c r="E73" s="38" t="s">
        <v>756</v>
      </c>
      <c r="F73" s="39" t="s">
        <v>169</v>
      </c>
      <c r="G73" s="40" t="s">
        <v>167</v>
      </c>
      <c r="H73" s="33" t="s">
        <v>170</v>
      </c>
      <c r="I73" s="32">
        <v>43915</v>
      </c>
      <c r="J73" s="87">
        <v>43875</v>
      </c>
      <c r="K73" s="88" t="s">
        <v>1180</v>
      </c>
      <c r="L73" s="127">
        <f>59.924-57.912</f>
        <v>2.0120000000000005</v>
      </c>
      <c r="M73" s="132">
        <f>(64.834 - 57.912)+0.086</f>
        <v>7.0080000000000044</v>
      </c>
      <c r="N73" s="88"/>
      <c r="O73" s="88"/>
      <c r="P73" s="88" t="s">
        <v>1181</v>
      </c>
      <c r="Q73" s="79">
        <v>1.92</v>
      </c>
      <c r="R73" s="79">
        <v>6.95</v>
      </c>
      <c r="S73" s="79">
        <v>7.05</v>
      </c>
      <c r="T73" s="79">
        <v>7.09</v>
      </c>
      <c r="U73" s="79" t="s">
        <v>955</v>
      </c>
      <c r="V73" s="79">
        <v>0.1</v>
      </c>
      <c r="W73" s="79">
        <v>0.14000000000000001</v>
      </c>
      <c r="X73" s="34">
        <v>1</v>
      </c>
      <c r="Y73" s="34" t="s">
        <v>4</v>
      </c>
      <c r="Z73" s="34" t="s">
        <v>941</v>
      </c>
      <c r="AA73" s="34"/>
      <c r="AB73" s="35"/>
    </row>
    <row r="74" spans="1:29" ht="28.8" x14ac:dyDescent="0.3">
      <c r="A74" s="124"/>
      <c r="B74" s="114">
        <v>73</v>
      </c>
      <c r="C74" s="38" t="s">
        <v>602</v>
      </c>
      <c r="D74" s="38">
        <v>13269</v>
      </c>
      <c r="E74" s="38" t="s">
        <v>757</v>
      </c>
      <c r="F74" s="39" t="s">
        <v>171</v>
      </c>
      <c r="G74" s="40" t="s">
        <v>167</v>
      </c>
      <c r="H74" s="33" t="s">
        <v>172</v>
      </c>
      <c r="I74" s="32">
        <v>43922</v>
      </c>
      <c r="J74" s="87">
        <v>43847</v>
      </c>
      <c r="K74" s="88">
        <v>0.45694444444444443</v>
      </c>
      <c r="L74" s="127">
        <v>2.2999999999999998</v>
      </c>
      <c r="M74" s="132">
        <v>7.5549999999999997</v>
      </c>
      <c r="N74" s="88"/>
      <c r="O74" s="88"/>
      <c r="P74" s="88"/>
      <c r="Q74" s="79">
        <v>2.13</v>
      </c>
      <c r="R74" s="79">
        <v>7.54</v>
      </c>
      <c r="S74" s="79">
        <v>7.62</v>
      </c>
      <c r="T74" s="79">
        <v>7.08</v>
      </c>
      <c r="U74" s="79" t="s">
        <v>955</v>
      </c>
      <c r="V74" s="79">
        <v>0.08</v>
      </c>
      <c r="W74" s="79">
        <v>-0.46</v>
      </c>
      <c r="X74" s="34">
        <v>1</v>
      </c>
      <c r="Y74" s="34" t="s">
        <v>4</v>
      </c>
      <c r="Z74" s="34" t="s">
        <v>941</v>
      </c>
      <c r="AA74" s="34" t="s">
        <v>979</v>
      </c>
      <c r="AB74" s="35" t="s">
        <v>173</v>
      </c>
      <c r="AC74" t="s">
        <v>954</v>
      </c>
    </row>
    <row r="75" spans="1:29" x14ac:dyDescent="0.3">
      <c r="A75" s="124"/>
      <c r="B75" s="119">
        <v>74</v>
      </c>
      <c r="C75" s="38" t="s">
        <v>603</v>
      </c>
      <c r="D75" s="38">
        <v>13307</v>
      </c>
      <c r="E75" s="38" t="s">
        <v>758</v>
      </c>
      <c r="F75" s="44" t="s">
        <v>174</v>
      </c>
      <c r="G75" s="47" t="s">
        <v>29</v>
      </c>
      <c r="H75" s="46" t="s">
        <v>175</v>
      </c>
      <c r="I75" s="32">
        <v>43909</v>
      </c>
      <c r="J75" s="87">
        <v>43854</v>
      </c>
      <c r="K75" s="88" t="s">
        <v>1064</v>
      </c>
      <c r="L75" s="127">
        <v>2.5249999999999999</v>
      </c>
      <c r="M75" s="132">
        <v>7.0129999999999999</v>
      </c>
      <c r="N75" s="88"/>
      <c r="O75" s="88"/>
      <c r="P75" s="88" t="s">
        <v>1019</v>
      </c>
      <c r="Q75" s="79">
        <v>2.15</v>
      </c>
      <c r="R75" s="79">
        <v>7</v>
      </c>
      <c r="S75" s="79">
        <v>7.02</v>
      </c>
      <c r="T75" s="79">
        <v>7.23</v>
      </c>
      <c r="U75" s="79" t="s">
        <v>955</v>
      </c>
      <c r="V75" s="79">
        <v>0.02</v>
      </c>
      <c r="W75" s="79">
        <v>0.23</v>
      </c>
      <c r="X75" s="34">
        <v>1</v>
      </c>
      <c r="Y75" s="34" t="s">
        <v>4</v>
      </c>
      <c r="Z75" s="34" t="s">
        <v>941</v>
      </c>
      <c r="AA75" s="34" t="s">
        <v>1065</v>
      </c>
      <c r="AB75" s="35"/>
    </row>
    <row r="76" spans="1:29" x14ac:dyDescent="0.3">
      <c r="A76" s="124"/>
      <c r="B76" s="115">
        <v>75</v>
      </c>
      <c r="C76" s="38" t="s">
        <v>604</v>
      </c>
      <c r="D76" s="38">
        <v>13519</v>
      </c>
      <c r="E76" s="38" t="s">
        <v>759</v>
      </c>
      <c r="F76" s="29" t="s">
        <v>176</v>
      </c>
      <c r="G76" s="42" t="s">
        <v>29</v>
      </c>
      <c r="H76" s="31" t="s">
        <v>177</v>
      </c>
      <c r="I76" s="32">
        <v>43916</v>
      </c>
      <c r="J76" s="87">
        <v>43873</v>
      </c>
      <c r="K76" s="88">
        <v>0.36319444444444443</v>
      </c>
      <c r="L76" s="127">
        <f>58.37-57.912</f>
        <v>0.45799999999999841</v>
      </c>
      <c r="M76" s="132">
        <f>(64.91-57.912)+0.086</f>
        <v>7.0839999999999979</v>
      </c>
      <c r="N76" s="88"/>
      <c r="O76" s="88"/>
      <c r="P76" s="88">
        <v>0.36805555555555558</v>
      </c>
      <c r="Q76" s="79">
        <v>0.32</v>
      </c>
      <c r="R76" s="79">
        <v>7.08</v>
      </c>
      <c r="S76" s="79">
        <v>7.08</v>
      </c>
      <c r="T76" s="79">
        <v>7.15</v>
      </c>
      <c r="U76" s="79" t="s">
        <v>955</v>
      </c>
      <c r="V76" s="79">
        <v>0</v>
      </c>
      <c r="W76" s="79">
        <v>7.0000000000000007E-2</v>
      </c>
      <c r="X76" s="34">
        <v>1</v>
      </c>
      <c r="Y76" s="34" t="s">
        <v>4</v>
      </c>
      <c r="Z76" s="34" t="s">
        <v>941</v>
      </c>
      <c r="AA76" s="34"/>
      <c r="AB76" s="35"/>
    </row>
    <row r="77" spans="1:29" x14ac:dyDescent="0.3">
      <c r="A77" s="124"/>
      <c r="B77" s="114">
        <v>76</v>
      </c>
      <c r="C77" s="53" t="s">
        <v>605</v>
      </c>
      <c r="D77" s="53">
        <v>13671</v>
      </c>
      <c r="E77" s="53" t="s">
        <v>760</v>
      </c>
      <c r="F77" s="39" t="s">
        <v>178</v>
      </c>
      <c r="G77" s="40" t="s">
        <v>18</v>
      </c>
      <c r="H77" s="33" t="s">
        <v>179</v>
      </c>
      <c r="I77" s="32">
        <v>43904</v>
      </c>
      <c r="J77" s="87">
        <v>43861</v>
      </c>
      <c r="K77" s="88">
        <v>0.45208333333333334</v>
      </c>
      <c r="L77" s="127">
        <v>0.56599999999999995</v>
      </c>
      <c r="M77" s="132">
        <v>6.6870000000000003</v>
      </c>
      <c r="N77" s="88"/>
      <c r="O77" s="88"/>
      <c r="P77" s="88">
        <v>0.45833333333333331</v>
      </c>
      <c r="Q77" s="79">
        <v>0.41</v>
      </c>
      <c r="R77" s="79">
        <v>6.65</v>
      </c>
      <c r="S77" s="79">
        <v>6.78</v>
      </c>
      <c r="T77" s="79">
        <v>6.89</v>
      </c>
      <c r="U77" s="79" t="s">
        <v>955</v>
      </c>
      <c r="V77" s="79">
        <v>0.13</v>
      </c>
      <c r="W77" s="79">
        <v>0.24</v>
      </c>
      <c r="X77" s="34">
        <v>1</v>
      </c>
      <c r="Y77" s="34" t="s">
        <v>4</v>
      </c>
      <c r="Z77" s="34" t="s">
        <v>941</v>
      </c>
      <c r="AA77" s="34" t="s">
        <v>1099</v>
      </c>
      <c r="AB77" s="35"/>
    </row>
    <row r="78" spans="1:29" x14ac:dyDescent="0.3">
      <c r="A78" s="124"/>
      <c r="B78" s="114">
        <v>77</v>
      </c>
      <c r="C78" s="41" t="s">
        <v>606</v>
      </c>
      <c r="D78" s="41">
        <v>13678</v>
      </c>
      <c r="E78" s="41" t="s">
        <v>761</v>
      </c>
      <c r="F78" s="39" t="s">
        <v>180</v>
      </c>
      <c r="G78" s="40" t="s">
        <v>18</v>
      </c>
      <c r="H78" s="33" t="s">
        <v>181</v>
      </c>
      <c r="I78" s="32">
        <v>43904</v>
      </c>
      <c r="J78" s="87">
        <v>43861</v>
      </c>
      <c r="K78" s="88">
        <v>0.4291666666666667</v>
      </c>
      <c r="L78" s="127">
        <v>1.595</v>
      </c>
      <c r="M78" s="132">
        <v>7.3890000000000002</v>
      </c>
      <c r="N78" s="88"/>
      <c r="O78" s="88"/>
      <c r="P78" s="88">
        <v>0.4375</v>
      </c>
      <c r="Q78" s="79">
        <v>2.4300000000000002</v>
      </c>
      <c r="R78" s="79">
        <v>7.35</v>
      </c>
      <c r="S78" s="79">
        <v>7.47</v>
      </c>
      <c r="T78" s="79">
        <v>7.53</v>
      </c>
      <c r="U78" s="79" t="s">
        <v>955</v>
      </c>
      <c r="V78" s="79">
        <v>0.12</v>
      </c>
      <c r="W78" s="79">
        <v>0.18</v>
      </c>
      <c r="X78" s="34">
        <v>1</v>
      </c>
      <c r="Y78" s="34" t="s">
        <v>4</v>
      </c>
      <c r="Z78" s="34" t="s">
        <v>941</v>
      </c>
      <c r="AA78" s="34"/>
      <c r="AB78" s="35"/>
    </row>
    <row r="79" spans="1:29" x14ac:dyDescent="0.3">
      <c r="A79" s="124"/>
      <c r="B79" s="114">
        <v>78</v>
      </c>
      <c r="C79" s="38" t="s">
        <v>607</v>
      </c>
      <c r="D79" s="38">
        <v>13679</v>
      </c>
      <c r="E79" s="38" t="s">
        <v>762</v>
      </c>
      <c r="F79" s="39" t="s">
        <v>182</v>
      </c>
      <c r="G79" s="40" t="s">
        <v>18</v>
      </c>
      <c r="H79" s="33" t="s">
        <v>183</v>
      </c>
      <c r="I79" s="32">
        <v>43904</v>
      </c>
      <c r="J79" s="87">
        <v>43882</v>
      </c>
      <c r="K79" s="88">
        <v>0.41944444444444445</v>
      </c>
      <c r="L79" s="127">
        <v>0.90800000000000003</v>
      </c>
      <c r="M79" s="132">
        <v>7.1059999999999999</v>
      </c>
      <c r="N79" s="88"/>
      <c r="O79" s="88"/>
      <c r="P79" s="88">
        <v>0.4236111111111111</v>
      </c>
      <c r="Q79" s="79">
        <v>0.72</v>
      </c>
      <c r="R79" s="79">
        <v>7.08</v>
      </c>
      <c r="S79" s="79">
        <v>7.17</v>
      </c>
      <c r="T79" s="79">
        <v>6.58</v>
      </c>
      <c r="U79" s="79" t="s">
        <v>955</v>
      </c>
      <c r="V79" s="79">
        <v>0.09</v>
      </c>
      <c r="W79" s="79">
        <v>-0.5</v>
      </c>
      <c r="X79" s="34">
        <v>1</v>
      </c>
      <c r="Y79" s="34" t="s">
        <v>4</v>
      </c>
      <c r="Z79" s="34" t="s">
        <v>941</v>
      </c>
      <c r="AA79" s="34"/>
      <c r="AB79" s="35"/>
    </row>
    <row r="80" spans="1:29" x14ac:dyDescent="0.3">
      <c r="A80" s="124"/>
      <c r="B80" s="114">
        <v>79</v>
      </c>
      <c r="C80" s="38" t="s">
        <v>608</v>
      </c>
      <c r="D80" s="38">
        <v>13698</v>
      </c>
      <c r="E80" s="38" t="s">
        <v>763</v>
      </c>
      <c r="F80" s="39" t="s">
        <v>184</v>
      </c>
      <c r="G80" s="40" t="s">
        <v>18</v>
      </c>
      <c r="H80" s="33" t="s">
        <v>185</v>
      </c>
      <c r="I80" s="32">
        <v>43907</v>
      </c>
      <c r="J80" s="87">
        <v>43875</v>
      </c>
      <c r="K80" s="88">
        <v>0.53333333333333333</v>
      </c>
      <c r="L80" s="127">
        <f>58.965-57.912</f>
        <v>1.0530000000000044</v>
      </c>
      <c r="M80" s="132">
        <f>(66.05-57.912)+0.086</f>
        <v>8.2239999999999984</v>
      </c>
      <c r="N80" s="88"/>
      <c r="O80" s="88"/>
      <c r="P80" s="88" t="s">
        <v>1093</v>
      </c>
      <c r="Q80" s="79">
        <v>0.93</v>
      </c>
      <c r="R80" s="79">
        <v>8.18</v>
      </c>
      <c r="S80" s="79">
        <v>8.27</v>
      </c>
      <c r="T80" s="79">
        <v>8.2100000000000009</v>
      </c>
      <c r="U80" s="79" t="s">
        <v>955</v>
      </c>
      <c r="V80" s="79">
        <v>0.09</v>
      </c>
      <c r="W80" s="79">
        <v>0.03</v>
      </c>
      <c r="X80" s="34">
        <v>1</v>
      </c>
      <c r="Y80" s="34" t="s">
        <v>4</v>
      </c>
      <c r="Z80" s="34" t="s">
        <v>941</v>
      </c>
      <c r="AA80" s="34"/>
      <c r="AB80" s="35"/>
    </row>
    <row r="81" spans="1:28" x14ac:dyDescent="0.3">
      <c r="A81" s="124"/>
      <c r="B81" s="115">
        <v>80</v>
      </c>
      <c r="C81" s="38" t="s">
        <v>609</v>
      </c>
      <c r="D81" s="38">
        <v>13699</v>
      </c>
      <c r="E81" s="38" t="s">
        <v>764</v>
      </c>
      <c r="F81" s="29" t="s">
        <v>186</v>
      </c>
      <c r="G81" s="170" t="s">
        <v>18</v>
      </c>
      <c r="H81" s="171" t="s">
        <v>187</v>
      </c>
      <c r="I81" s="75">
        <v>43908</v>
      </c>
      <c r="J81" s="95">
        <v>43857</v>
      </c>
      <c r="K81" s="172">
        <v>0.51111111111111118</v>
      </c>
      <c r="L81" s="173">
        <v>2.0529999999999999</v>
      </c>
      <c r="M81" s="174">
        <v>7.45</v>
      </c>
      <c r="N81" s="172"/>
      <c r="O81" s="172"/>
      <c r="P81" s="172">
        <v>0.52083333333333337</v>
      </c>
      <c r="Q81" s="174">
        <v>1.95</v>
      </c>
      <c r="R81" s="174">
        <v>7.43</v>
      </c>
      <c r="S81" s="174">
        <v>7.57</v>
      </c>
      <c r="T81" s="81">
        <v>7.65</v>
      </c>
      <c r="U81" s="81" t="s">
        <v>955</v>
      </c>
      <c r="V81" s="174">
        <v>0.14000000000000001</v>
      </c>
      <c r="W81" s="174">
        <v>0.22</v>
      </c>
      <c r="X81" s="175">
        <v>1</v>
      </c>
      <c r="Y81" s="76" t="s">
        <v>4</v>
      </c>
      <c r="Z81" s="76" t="s">
        <v>941</v>
      </c>
      <c r="AA81" s="76" t="s">
        <v>1078</v>
      </c>
      <c r="AB81" s="35"/>
    </row>
    <row r="82" spans="1:28" x14ac:dyDescent="0.3">
      <c r="A82" s="124"/>
      <c r="B82" s="117">
        <v>81</v>
      </c>
      <c r="C82" s="38" t="s">
        <v>610</v>
      </c>
      <c r="D82" s="38">
        <v>13970</v>
      </c>
      <c r="E82" s="38" t="s">
        <v>765</v>
      </c>
      <c r="F82" s="39" t="s">
        <v>188</v>
      </c>
      <c r="G82" s="47" t="s">
        <v>29</v>
      </c>
      <c r="H82" s="48" t="s">
        <v>189</v>
      </c>
      <c r="I82" s="32">
        <v>43909</v>
      </c>
      <c r="J82" s="87">
        <v>43854</v>
      </c>
      <c r="K82" s="88">
        <v>0.40625</v>
      </c>
      <c r="L82" s="127">
        <v>2.165</v>
      </c>
      <c r="M82" s="132">
        <v>7.4829999999999997</v>
      </c>
      <c r="N82" s="88"/>
      <c r="O82" s="88"/>
      <c r="P82" s="88">
        <v>0.40972222222222227</v>
      </c>
      <c r="Q82" s="79">
        <v>2.11</v>
      </c>
      <c r="R82" s="79">
        <v>7.42</v>
      </c>
      <c r="S82" s="79">
        <v>7.45</v>
      </c>
      <c r="T82" s="79">
        <v>7.6</v>
      </c>
      <c r="U82" s="79" t="s">
        <v>955</v>
      </c>
      <c r="V82" s="79">
        <v>0.03</v>
      </c>
      <c r="W82" s="79">
        <v>0.18</v>
      </c>
      <c r="X82" s="34">
        <v>1</v>
      </c>
      <c r="Y82" s="34" t="s">
        <v>4</v>
      </c>
      <c r="Z82" s="34" t="s">
        <v>941</v>
      </c>
      <c r="AA82" s="34"/>
      <c r="AB82" s="35"/>
    </row>
    <row r="83" spans="1:28" x14ac:dyDescent="0.3">
      <c r="A83" s="124"/>
      <c r="B83" s="117">
        <v>82</v>
      </c>
      <c r="C83" s="41" t="s">
        <v>611</v>
      </c>
      <c r="D83" s="41">
        <v>14118</v>
      </c>
      <c r="E83" s="41" t="s">
        <v>766</v>
      </c>
      <c r="F83" s="39" t="s">
        <v>190</v>
      </c>
      <c r="G83" s="47" t="s">
        <v>18</v>
      </c>
      <c r="H83" s="48" t="s">
        <v>191</v>
      </c>
      <c r="I83" s="32">
        <v>43903</v>
      </c>
      <c r="J83" s="87">
        <v>43857</v>
      </c>
      <c r="K83" s="90">
        <v>0.55277777777777781</v>
      </c>
      <c r="L83" s="128">
        <v>0.38200000000000001</v>
      </c>
      <c r="M83" s="82">
        <v>7.05</v>
      </c>
      <c r="N83" s="90"/>
      <c r="O83" s="90"/>
      <c r="P83" s="90" t="s">
        <v>1080</v>
      </c>
      <c r="Q83" s="82">
        <v>0.1</v>
      </c>
      <c r="R83" s="82">
        <v>7</v>
      </c>
      <c r="S83" s="82">
        <v>7.13</v>
      </c>
      <c r="T83" s="79">
        <v>6.77</v>
      </c>
      <c r="U83" s="79" t="s">
        <v>955</v>
      </c>
      <c r="V83" s="82">
        <v>0.13</v>
      </c>
      <c r="W83" s="82">
        <v>-0.23</v>
      </c>
      <c r="X83" s="37">
        <v>1</v>
      </c>
      <c r="Y83" s="34" t="s">
        <v>4</v>
      </c>
      <c r="Z83" s="34" t="s">
        <v>941</v>
      </c>
      <c r="AA83" s="34" t="s">
        <v>1081</v>
      </c>
      <c r="AB83" s="35"/>
    </row>
    <row r="84" spans="1:28" x14ac:dyDescent="0.3">
      <c r="A84" s="124"/>
      <c r="B84" s="114">
        <v>83</v>
      </c>
      <c r="C84" s="39" t="s">
        <v>612</v>
      </c>
      <c r="D84" s="39">
        <v>14121</v>
      </c>
      <c r="E84" s="39" t="s">
        <v>767</v>
      </c>
      <c r="F84" s="39" t="s">
        <v>192</v>
      </c>
      <c r="G84" s="40" t="s">
        <v>18</v>
      </c>
      <c r="H84" s="33" t="s">
        <v>193</v>
      </c>
      <c r="I84" s="32">
        <v>43907</v>
      </c>
      <c r="J84" s="87">
        <v>43858</v>
      </c>
      <c r="K84" s="88">
        <v>0.39374999999999999</v>
      </c>
      <c r="L84" s="127">
        <v>0.78400000000000003</v>
      </c>
      <c r="M84" s="132">
        <v>7.4690000000000003</v>
      </c>
      <c r="N84" s="88"/>
      <c r="O84" s="88"/>
      <c r="P84" s="88">
        <v>0.40277777777777773</v>
      </c>
      <c r="Q84" s="79">
        <v>0.79</v>
      </c>
      <c r="R84" s="79">
        <v>7.34</v>
      </c>
      <c r="S84" s="79">
        <v>7.51</v>
      </c>
      <c r="T84" s="79">
        <v>7.65</v>
      </c>
      <c r="U84" s="79" t="s">
        <v>955</v>
      </c>
      <c r="V84" s="79">
        <v>0.17</v>
      </c>
      <c r="W84" s="79">
        <v>0.31</v>
      </c>
      <c r="X84" s="34">
        <v>1</v>
      </c>
      <c r="Y84" s="34" t="s">
        <v>4</v>
      </c>
      <c r="Z84" s="34" t="s">
        <v>941</v>
      </c>
      <c r="AA84" s="34"/>
      <c r="AB84" s="35"/>
    </row>
    <row r="85" spans="1:28" x14ac:dyDescent="0.3">
      <c r="A85" s="124"/>
      <c r="B85" s="115">
        <v>84</v>
      </c>
      <c r="C85" s="39" t="s">
        <v>613</v>
      </c>
      <c r="D85" s="39">
        <v>14124</v>
      </c>
      <c r="E85" s="39" t="s">
        <v>768</v>
      </c>
      <c r="F85" s="29" t="s">
        <v>194</v>
      </c>
      <c r="G85" s="42" t="s">
        <v>29</v>
      </c>
      <c r="H85" s="49" t="s">
        <v>195</v>
      </c>
      <c r="I85" s="32">
        <v>43911</v>
      </c>
      <c r="J85" s="87">
        <v>43868</v>
      </c>
      <c r="K85" s="88">
        <v>0.4381944444444445</v>
      </c>
      <c r="L85" s="127">
        <f>59.371-57.912</f>
        <v>1.4590000000000032</v>
      </c>
      <c r="M85" s="132">
        <v>7.54</v>
      </c>
      <c r="N85" s="88"/>
      <c r="O85" s="88"/>
      <c r="P85" s="88">
        <v>0.44444444444444442</v>
      </c>
      <c r="Q85" s="79">
        <v>1.4</v>
      </c>
      <c r="R85" s="79">
        <v>7.5</v>
      </c>
      <c r="S85" s="81">
        <v>4.3600000000000003</v>
      </c>
      <c r="T85" s="79">
        <v>7.66</v>
      </c>
      <c r="U85" s="79" t="s">
        <v>955</v>
      </c>
      <c r="V85" s="97">
        <v>-3.14</v>
      </c>
      <c r="W85" s="79">
        <v>0.16</v>
      </c>
      <c r="X85" s="34">
        <v>1</v>
      </c>
      <c r="Y85" s="34" t="s">
        <v>4</v>
      </c>
      <c r="Z85" s="34" t="s">
        <v>941</v>
      </c>
      <c r="AA85" s="34" t="s">
        <v>1117</v>
      </c>
      <c r="AB85" s="35"/>
    </row>
    <row r="86" spans="1:28" x14ac:dyDescent="0.3">
      <c r="A86" s="124"/>
      <c r="B86" s="210">
        <v>85</v>
      </c>
      <c r="C86" s="211" t="s">
        <v>614</v>
      </c>
      <c r="D86" s="211">
        <v>14127</v>
      </c>
      <c r="E86" s="211" t="s">
        <v>769</v>
      </c>
      <c r="F86" s="212" t="s">
        <v>196</v>
      </c>
      <c r="G86" s="213" t="s">
        <v>29</v>
      </c>
      <c r="H86" s="214" t="s">
        <v>197</v>
      </c>
      <c r="I86" s="215">
        <v>43910</v>
      </c>
      <c r="J86" s="216">
        <v>43850</v>
      </c>
      <c r="K86" s="217" t="s">
        <v>1001</v>
      </c>
      <c r="L86" s="218">
        <v>0.84</v>
      </c>
      <c r="M86" s="219">
        <v>6.98</v>
      </c>
      <c r="N86" s="217"/>
      <c r="O86" s="217"/>
      <c r="P86" s="217" t="s">
        <v>1002</v>
      </c>
      <c r="Q86" s="220">
        <v>0.93</v>
      </c>
      <c r="R86" s="220">
        <v>4.25</v>
      </c>
      <c r="S86" s="220">
        <v>7.24</v>
      </c>
      <c r="T86" s="220">
        <v>7.27</v>
      </c>
      <c r="U86" s="220" t="s">
        <v>955</v>
      </c>
      <c r="V86" s="220">
        <v>2.99</v>
      </c>
      <c r="W86" s="220">
        <v>3.02</v>
      </c>
      <c r="X86" s="221">
        <v>1</v>
      </c>
      <c r="Y86" s="221" t="s">
        <v>4</v>
      </c>
      <c r="Z86" s="221" t="s">
        <v>941</v>
      </c>
      <c r="AA86" s="221" t="s">
        <v>1119</v>
      </c>
      <c r="AB86" s="222"/>
    </row>
    <row r="87" spans="1:28" x14ac:dyDescent="0.3">
      <c r="A87" s="124"/>
      <c r="B87" s="115">
        <v>86</v>
      </c>
      <c r="C87" s="41">
        <v>86</v>
      </c>
      <c r="D87" s="41">
        <v>74921</v>
      </c>
      <c r="E87" s="41" t="s">
        <v>770</v>
      </c>
      <c r="F87" s="29" t="s">
        <v>198</v>
      </c>
      <c r="G87" s="42" t="s">
        <v>18</v>
      </c>
      <c r="H87" s="31" t="s">
        <v>199</v>
      </c>
      <c r="I87" s="32">
        <v>43903</v>
      </c>
      <c r="J87" s="87">
        <v>43857</v>
      </c>
      <c r="K87" s="90">
        <v>0.54305555555555551</v>
      </c>
      <c r="L87" s="128">
        <v>0.5</v>
      </c>
      <c r="M87" s="82">
        <v>5.9989999999999997</v>
      </c>
      <c r="N87" s="90"/>
      <c r="O87" s="90"/>
      <c r="P87" s="90"/>
      <c r="Q87" s="82">
        <v>0.2</v>
      </c>
      <c r="R87" s="82">
        <v>5.97</v>
      </c>
      <c r="S87" s="82">
        <v>6.07</v>
      </c>
      <c r="T87" s="79" t="e">
        <v>#N/A</v>
      </c>
      <c r="U87" s="79">
        <v>6.05</v>
      </c>
      <c r="V87" s="82">
        <v>0.1</v>
      </c>
      <c r="W87" s="82" t="s">
        <v>946</v>
      </c>
      <c r="X87" s="37">
        <v>1</v>
      </c>
      <c r="Y87" s="34" t="s">
        <v>4</v>
      </c>
      <c r="Z87" s="34" t="s">
        <v>937</v>
      </c>
      <c r="AA87" s="34"/>
      <c r="AB87" s="35"/>
    </row>
    <row r="88" spans="1:28" x14ac:dyDescent="0.3">
      <c r="A88" s="124"/>
      <c r="B88" s="114">
        <v>87</v>
      </c>
      <c r="C88" s="41" t="s">
        <v>615</v>
      </c>
      <c r="D88" s="41">
        <v>14271</v>
      </c>
      <c r="E88" s="41" t="s">
        <v>771</v>
      </c>
      <c r="F88" s="39" t="s">
        <v>200</v>
      </c>
      <c r="G88" s="40" t="s">
        <v>29</v>
      </c>
      <c r="H88" s="33" t="s">
        <v>201</v>
      </c>
      <c r="I88" s="32">
        <v>43908</v>
      </c>
      <c r="J88" s="87">
        <v>43857</v>
      </c>
      <c r="K88" s="88">
        <v>0.39166666666666666</v>
      </c>
      <c r="L88" s="127">
        <v>1.9</v>
      </c>
      <c r="M88" s="132">
        <v>6.7830000000000004</v>
      </c>
      <c r="N88" s="88"/>
      <c r="O88" s="88"/>
      <c r="P88" s="88">
        <v>0.39583333333333331</v>
      </c>
      <c r="Q88" s="79">
        <v>1.34</v>
      </c>
      <c r="R88" s="79">
        <v>6.74</v>
      </c>
      <c r="S88" s="79">
        <v>7</v>
      </c>
      <c r="T88" s="79">
        <v>7.06</v>
      </c>
      <c r="U88" s="79" t="s">
        <v>955</v>
      </c>
      <c r="V88" s="79">
        <v>0.26</v>
      </c>
      <c r="W88" s="79">
        <v>0.32</v>
      </c>
      <c r="X88" s="34">
        <v>1</v>
      </c>
      <c r="Y88" s="34" t="s">
        <v>4</v>
      </c>
      <c r="Z88" s="34" t="s">
        <v>941</v>
      </c>
      <c r="AA88" s="34" t="s">
        <v>1073</v>
      </c>
      <c r="AB88" s="35"/>
    </row>
    <row r="89" spans="1:28" x14ac:dyDescent="0.3">
      <c r="A89" s="124"/>
      <c r="B89" s="115">
        <v>88</v>
      </c>
      <c r="C89" s="41" t="s">
        <v>616</v>
      </c>
      <c r="D89" s="41">
        <v>14273</v>
      </c>
      <c r="E89" s="41" t="s">
        <v>772</v>
      </c>
      <c r="F89" s="29" t="s">
        <v>202</v>
      </c>
      <c r="G89" s="42" t="s">
        <v>29</v>
      </c>
      <c r="H89" s="31" t="s">
        <v>203</v>
      </c>
      <c r="I89" s="32">
        <v>43914</v>
      </c>
      <c r="J89" s="87">
        <v>43873</v>
      </c>
      <c r="K89" s="88">
        <v>0.4069444444444445</v>
      </c>
      <c r="L89" s="127">
        <f>59.706-57.912</f>
        <v>1.794000000000004</v>
      </c>
      <c r="M89" s="132">
        <f>(65.534-57.912)+0.86</f>
        <v>8.4820000000000064</v>
      </c>
      <c r="N89" s="88"/>
      <c r="O89" s="88"/>
      <c r="P89" s="88">
        <v>0.41666666666666669</v>
      </c>
      <c r="Q89" s="79">
        <v>1.65</v>
      </c>
      <c r="R89" s="79">
        <v>7.61</v>
      </c>
      <c r="S89" s="79">
        <v>7.7</v>
      </c>
      <c r="T89" s="79">
        <v>7.84</v>
      </c>
      <c r="U89" s="79" t="s">
        <v>955</v>
      </c>
      <c r="V89" s="79">
        <v>0.09</v>
      </c>
      <c r="W89" s="79">
        <v>0.23</v>
      </c>
      <c r="X89" s="34">
        <v>1</v>
      </c>
      <c r="Y89" s="34" t="s">
        <v>4</v>
      </c>
      <c r="Z89" s="34" t="s">
        <v>941</v>
      </c>
      <c r="AA89" s="34"/>
      <c r="AB89" s="35"/>
    </row>
    <row r="90" spans="1:28" x14ac:dyDescent="0.3">
      <c r="A90" s="124"/>
      <c r="B90" s="116">
        <v>89</v>
      </c>
      <c r="C90" s="38" t="s">
        <v>617</v>
      </c>
      <c r="D90" s="38">
        <v>14274</v>
      </c>
      <c r="E90" s="38" t="s">
        <v>773</v>
      </c>
      <c r="F90" s="44" t="s">
        <v>204</v>
      </c>
      <c r="G90" s="45" t="s">
        <v>29</v>
      </c>
      <c r="H90" s="50" t="s">
        <v>205</v>
      </c>
      <c r="I90" s="32">
        <v>43911</v>
      </c>
      <c r="J90" s="87">
        <v>43850</v>
      </c>
      <c r="K90" s="88" t="s">
        <v>1003</v>
      </c>
      <c r="L90" s="127">
        <v>1.36</v>
      </c>
      <c r="M90" s="132">
        <v>7.4550000000000001</v>
      </c>
      <c r="N90" s="88"/>
      <c r="O90" s="88"/>
      <c r="P90" s="88">
        <v>0.59027777777777779</v>
      </c>
      <c r="Q90" s="79">
        <v>1.25</v>
      </c>
      <c r="R90" s="79">
        <v>7.43</v>
      </c>
      <c r="S90" s="79">
        <v>7.5</v>
      </c>
      <c r="T90" s="79">
        <v>7.59</v>
      </c>
      <c r="U90" s="79" t="s">
        <v>955</v>
      </c>
      <c r="V90" s="79">
        <v>7.0000000000000007E-2</v>
      </c>
      <c r="W90" s="79">
        <v>0.16</v>
      </c>
      <c r="X90" s="34">
        <v>1</v>
      </c>
      <c r="Y90" s="34" t="s">
        <v>4</v>
      </c>
      <c r="Z90" s="34" t="s">
        <v>941</v>
      </c>
      <c r="AA90" s="34" t="s">
        <v>1004</v>
      </c>
      <c r="AB90" s="35"/>
    </row>
    <row r="91" spans="1:28" x14ac:dyDescent="0.3">
      <c r="A91" s="124"/>
      <c r="B91" s="116">
        <v>90</v>
      </c>
      <c r="C91" s="41" t="s">
        <v>618</v>
      </c>
      <c r="D91" s="41">
        <v>14276</v>
      </c>
      <c r="E91" s="41" t="s">
        <v>774</v>
      </c>
      <c r="F91" s="44" t="s">
        <v>206</v>
      </c>
      <c r="G91" s="45" t="s">
        <v>29</v>
      </c>
      <c r="H91" s="50" t="s">
        <v>207</v>
      </c>
      <c r="I91" s="32">
        <v>43910</v>
      </c>
      <c r="J91" s="87">
        <v>43868</v>
      </c>
      <c r="K91" s="88">
        <v>0.50972222222222219</v>
      </c>
      <c r="L91" s="127">
        <v>1.8190000000000026</v>
      </c>
      <c r="M91" s="132">
        <v>7.1059999999999999</v>
      </c>
      <c r="N91" s="88"/>
      <c r="O91" s="88"/>
      <c r="P91" s="88">
        <v>0.52083333333333337</v>
      </c>
      <c r="Q91" s="79">
        <v>1.75</v>
      </c>
      <c r="R91" s="79">
        <v>7.05</v>
      </c>
      <c r="S91" s="79">
        <v>7.17</v>
      </c>
      <c r="T91" s="79">
        <v>7.14</v>
      </c>
      <c r="U91" s="79" t="s">
        <v>955</v>
      </c>
      <c r="V91" s="79">
        <v>0.12</v>
      </c>
      <c r="W91" s="79">
        <v>0.09</v>
      </c>
      <c r="X91" s="34">
        <v>1</v>
      </c>
      <c r="Y91" s="34" t="s">
        <v>4</v>
      </c>
      <c r="Z91" s="34" t="s">
        <v>941</v>
      </c>
      <c r="AA91" s="34"/>
      <c r="AB91" s="35"/>
    </row>
    <row r="92" spans="1:28" s="109" customFormat="1" x14ac:dyDescent="0.3">
      <c r="A92" s="139"/>
      <c r="B92" s="117">
        <v>91</v>
      </c>
      <c r="C92" s="43" t="s">
        <v>619</v>
      </c>
      <c r="D92" s="43">
        <v>14845</v>
      </c>
      <c r="E92" s="43" t="s">
        <v>775</v>
      </c>
      <c r="F92" s="44" t="s">
        <v>208</v>
      </c>
      <c r="G92" s="47" t="s">
        <v>29</v>
      </c>
      <c r="H92" s="50" t="s">
        <v>209</v>
      </c>
      <c r="I92" s="32">
        <v>43909</v>
      </c>
      <c r="J92" s="87">
        <v>43853</v>
      </c>
      <c r="K92" s="88" t="s">
        <v>1052</v>
      </c>
      <c r="L92" s="127">
        <v>1.7549999999999999</v>
      </c>
      <c r="M92" s="132">
        <v>6.42</v>
      </c>
      <c r="N92" s="88"/>
      <c r="O92" s="88"/>
      <c r="P92" s="88" t="s">
        <v>1054</v>
      </c>
      <c r="Q92" s="79">
        <v>1.64</v>
      </c>
      <c r="R92" s="79">
        <v>6.88</v>
      </c>
      <c r="S92" s="79">
        <v>7.09</v>
      </c>
      <c r="T92" s="79">
        <v>7.28</v>
      </c>
      <c r="U92" s="79" t="s">
        <v>955</v>
      </c>
      <c r="V92" s="79">
        <v>0.21</v>
      </c>
      <c r="W92" s="79">
        <v>0.4</v>
      </c>
      <c r="X92" s="34">
        <v>1</v>
      </c>
      <c r="Y92" s="34" t="s">
        <v>4</v>
      </c>
      <c r="Z92" s="34" t="s">
        <v>941</v>
      </c>
      <c r="AA92" s="34" t="s">
        <v>1053</v>
      </c>
      <c r="AB92" s="35"/>
    </row>
    <row r="93" spans="1:28" x14ac:dyDescent="0.3">
      <c r="A93" s="124"/>
      <c r="B93" s="114">
        <v>92</v>
      </c>
      <c r="C93" s="43" t="s">
        <v>620</v>
      </c>
      <c r="D93" s="43">
        <v>14849</v>
      </c>
      <c r="E93" s="43" t="s">
        <v>776</v>
      </c>
      <c r="F93" s="39" t="s">
        <v>210</v>
      </c>
      <c r="G93" s="40" t="s">
        <v>29</v>
      </c>
      <c r="H93" s="33" t="s">
        <v>211</v>
      </c>
      <c r="I93" s="32">
        <v>43914</v>
      </c>
      <c r="J93" s="87">
        <v>43874</v>
      </c>
      <c r="K93" s="88">
        <v>0.53263888888888888</v>
      </c>
      <c r="L93" s="127">
        <f>58.884-57.912</f>
        <v>0.97200000000000131</v>
      </c>
      <c r="M93" s="132">
        <f>(64.513-57.912)+0.086</f>
        <v>6.6870000000000065</v>
      </c>
      <c r="N93" s="88"/>
      <c r="O93" s="88"/>
      <c r="P93" s="88" t="s">
        <v>1093</v>
      </c>
      <c r="Q93" s="79">
        <v>0.83</v>
      </c>
      <c r="R93" s="79">
        <v>6.61</v>
      </c>
      <c r="S93" s="79">
        <v>6.68</v>
      </c>
      <c r="T93" s="79">
        <v>6.95</v>
      </c>
      <c r="U93" s="79" t="s">
        <v>955</v>
      </c>
      <c r="V93" s="79">
        <v>7.0000000000000007E-2</v>
      </c>
      <c r="W93" s="79">
        <v>0.34</v>
      </c>
      <c r="X93" s="34">
        <v>1</v>
      </c>
      <c r="Y93" s="34" t="s">
        <v>4</v>
      </c>
      <c r="Z93" s="34" t="s">
        <v>941</v>
      </c>
      <c r="AA93" s="34"/>
      <c r="AB93" s="35"/>
    </row>
    <row r="94" spans="1:28" x14ac:dyDescent="0.3">
      <c r="A94" s="124"/>
      <c r="B94" s="114">
        <v>93</v>
      </c>
      <c r="C94" s="39" t="s">
        <v>621</v>
      </c>
      <c r="D94" s="39">
        <v>14850</v>
      </c>
      <c r="E94" s="39" t="s">
        <v>777</v>
      </c>
      <c r="F94" s="29" t="s">
        <v>212</v>
      </c>
      <c r="G94" s="42" t="s">
        <v>29</v>
      </c>
      <c r="H94" s="51" t="s">
        <v>213</v>
      </c>
      <c r="I94" s="32">
        <v>43916</v>
      </c>
      <c r="J94" s="87">
        <v>43874</v>
      </c>
      <c r="K94" s="88">
        <v>0.52361111111111114</v>
      </c>
      <c r="L94" s="127">
        <f>58.829-57.912</f>
        <v>0.91700000000000159</v>
      </c>
      <c r="M94" s="132">
        <f>(64.803-57.912)+0.086</f>
        <v>6.9769999999999985</v>
      </c>
      <c r="N94" s="88"/>
      <c r="O94" s="88"/>
      <c r="P94" s="88">
        <v>0.52777777777777779</v>
      </c>
      <c r="Q94" s="79">
        <v>0.79</v>
      </c>
      <c r="R94" s="79">
        <v>4.13</v>
      </c>
      <c r="S94" s="79">
        <v>6.97</v>
      </c>
      <c r="T94" s="79">
        <v>6.62</v>
      </c>
      <c r="U94" s="79" t="s">
        <v>955</v>
      </c>
      <c r="V94" s="79">
        <v>2.84</v>
      </c>
      <c r="W94" s="79">
        <v>2.4900000000000002</v>
      </c>
      <c r="X94" s="34">
        <v>1</v>
      </c>
      <c r="Y94" s="34" t="s">
        <v>4</v>
      </c>
      <c r="Z94" s="34" t="s">
        <v>941</v>
      </c>
      <c r="AA94" s="34"/>
      <c r="AB94" s="35"/>
    </row>
    <row r="95" spans="1:28" x14ac:dyDescent="0.3">
      <c r="A95" s="124"/>
      <c r="B95" s="114">
        <v>94</v>
      </c>
      <c r="C95" s="38" t="s">
        <v>622</v>
      </c>
      <c r="D95" s="38">
        <v>14974</v>
      </c>
      <c r="E95" s="38" t="s">
        <v>778</v>
      </c>
      <c r="F95" s="29" t="s">
        <v>214</v>
      </c>
      <c r="G95" s="42" t="s">
        <v>29</v>
      </c>
      <c r="H95" s="51" t="s">
        <v>215</v>
      </c>
      <c r="I95" s="32">
        <v>43911</v>
      </c>
      <c r="J95" s="87">
        <v>43852</v>
      </c>
      <c r="K95" s="88" t="s">
        <v>1028</v>
      </c>
      <c r="L95" s="127">
        <v>0.99</v>
      </c>
      <c r="M95" s="132">
        <v>6.36</v>
      </c>
      <c r="N95" s="88"/>
      <c r="O95" s="88"/>
      <c r="P95" s="88"/>
      <c r="Q95" s="79">
        <v>0.92</v>
      </c>
      <c r="R95" s="79" t="s">
        <v>1029</v>
      </c>
      <c r="S95" s="79">
        <v>6.48</v>
      </c>
      <c r="T95" s="79">
        <v>6.83</v>
      </c>
      <c r="U95" s="79" t="s">
        <v>955</v>
      </c>
      <c r="V95" s="79">
        <v>0.1</v>
      </c>
      <c r="W95" s="79">
        <v>0.45</v>
      </c>
      <c r="X95" s="34">
        <v>1</v>
      </c>
      <c r="Y95" s="34" t="s">
        <v>4</v>
      </c>
      <c r="Z95" s="34" t="s">
        <v>941</v>
      </c>
      <c r="AA95" s="34"/>
      <c r="AB95" s="35"/>
    </row>
    <row r="96" spans="1:28" x14ac:dyDescent="0.3">
      <c r="A96" s="124"/>
      <c r="B96" s="111">
        <v>95</v>
      </c>
      <c r="C96" s="7" t="s">
        <v>623</v>
      </c>
      <c r="D96" s="7">
        <v>14975</v>
      </c>
      <c r="E96" s="7" t="s">
        <v>779</v>
      </c>
      <c r="F96" s="6" t="s">
        <v>216</v>
      </c>
      <c r="G96" s="5" t="s">
        <v>29</v>
      </c>
      <c r="H96" s="2" t="s">
        <v>217</v>
      </c>
      <c r="I96" s="3">
        <v>43911</v>
      </c>
      <c r="J96" s="89">
        <v>43852</v>
      </c>
      <c r="K96" s="86" t="s">
        <v>1027</v>
      </c>
      <c r="L96" s="125">
        <v>1.1459999999999999</v>
      </c>
      <c r="M96" s="133">
        <v>7.4619999999999997</v>
      </c>
      <c r="N96" s="86"/>
      <c r="O96" s="86"/>
      <c r="P96" s="86" t="s">
        <v>995</v>
      </c>
      <c r="Q96" s="80">
        <v>1.1499999999999999</v>
      </c>
      <c r="R96" s="80">
        <v>7.42</v>
      </c>
      <c r="S96" s="80">
        <v>7.54</v>
      </c>
      <c r="T96" s="80">
        <v>7.29</v>
      </c>
      <c r="U96" s="80" t="s">
        <v>955</v>
      </c>
      <c r="V96" s="80">
        <v>0.12</v>
      </c>
      <c r="W96" s="80">
        <v>-0.13</v>
      </c>
      <c r="X96" s="4">
        <v>1</v>
      </c>
      <c r="Y96" s="4" t="s">
        <v>6</v>
      </c>
      <c r="Z96" s="4" t="s">
        <v>941</v>
      </c>
      <c r="AA96" s="4"/>
      <c r="AB96" s="8" t="s">
        <v>939</v>
      </c>
    </row>
    <row r="97" spans="1:28" s="223" customFormat="1" x14ac:dyDescent="0.3">
      <c r="A97" s="209"/>
      <c r="B97" s="114">
        <v>96</v>
      </c>
      <c r="C97" s="38" t="s">
        <v>624</v>
      </c>
      <c r="D97" s="38">
        <v>14985</v>
      </c>
      <c r="E97" s="38" t="s">
        <v>780</v>
      </c>
      <c r="F97" s="39" t="s">
        <v>218</v>
      </c>
      <c r="G97" s="40" t="s">
        <v>29</v>
      </c>
      <c r="H97" s="33" t="s">
        <v>219</v>
      </c>
      <c r="I97" s="32">
        <v>43915</v>
      </c>
      <c r="J97" s="87">
        <v>43852</v>
      </c>
      <c r="K97" s="88" t="s">
        <v>1020</v>
      </c>
      <c r="L97" s="127">
        <v>1.377</v>
      </c>
      <c r="M97" s="132">
        <v>6.64</v>
      </c>
      <c r="N97" s="88"/>
      <c r="O97" s="88"/>
      <c r="P97" s="88" t="s">
        <v>1022</v>
      </c>
      <c r="Q97" s="79">
        <v>1.32</v>
      </c>
      <c r="R97" s="79">
        <v>6.62</v>
      </c>
      <c r="S97" s="79">
        <v>6.7</v>
      </c>
      <c r="T97" s="79">
        <v>7.63</v>
      </c>
      <c r="U97" s="79" t="s">
        <v>955</v>
      </c>
      <c r="V97" s="79">
        <v>0.08</v>
      </c>
      <c r="W97" s="79">
        <v>1.01</v>
      </c>
      <c r="X97" s="34">
        <v>1</v>
      </c>
      <c r="Y97" s="34" t="s">
        <v>4</v>
      </c>
      <c r="Z97" s="34" t="s">
        <v>941</v>
      </c>
      <c r="AA97" s="34" t="s">
        <v>1021</v>
      </c>
      <c r="AB97" s="35"/>
    </row>
    <row r="98" spans="1:28" x14ac:dyDescent="0.3">
      <c r="A98" s="124"/>
      <c r="B98" s="114">
        <v>97</v>
      </c>
      <c r="C98" s="38" t="s">
        <v>625</v>
      </c>
      <c r="D98" s="38">
        <v>15050</v>
      </c>
      <c r="E98" s="38" t="s">
        <v>781</v>
      </c>
      <c r="F98" s="39" t="s">
        <v>220</v>
      </c>
      <c r="G98" s="40" t="s">
        <v>18</v>
      </c>
      <c r="H98" s="33" t="s">
        <v>221</v>
      </c>
      <c r="I98" s="32">
        <v>43904</v>
      </c>
      <c r="J98" s="87">
        <v>43861</v>
      </c>
      <c r="K98" s="88">
        <v>7.013888888888889E-2</v>
      </c>
      <c r="L98" s="127">
        <v>1.2909999999999999</v>
      </c>
      <c r="M98" s="132">
        <v>7.19</v>
      </c>
      <c r="N98" s="88"/>
      <c r="O98" s="88"/>
      <c r="P98" s="88">
        <v>0.57638888888888895</v>
      </c>
      <c r="Q98" s="79">
        <v>1.1599999999999999</v>
      </c>
      <c r="R98" s="79">
        <v>7.15</v>
      </c>
      <c r="S98" s="79">
        <v>7.25</v>
      </c>
      <c r="T98" s="79">
        <v>7.28</v>
      </c>
      <c r="U98" s="79" t="s">
        <v>955</v>
      </c>
      <c r="V98" s="79">
        <v>0.1</v>
      </c>
      <c r="W98" s="79">
        <v>0.13</v>
      </c>
      <c r="X98" s="34">
        <v>1</v>
      </c>
      <c r="Y98" s="34" t="s">
        <v>4</v>
      </c>
      <c r="Z98" s="34" t="s">
        <v>941</v>
      </c>
      <c r="AA98" s="34"/>
      <c r="AB98" s="35"/>
    </row>
    <row r="99" spans="1:28" s="109" customFormat="1" x14ac:dyDescent="0.3">
      <c r="A99" s="139"/>
      <c r="B99" s="114">
        <v>98</v>
      </c>
      <c r="C99" s="38" t="s">
        <v>626</v>
      </c>
      <c r="D99" s="38">
        <v>15053</v>
      </c>
      <c r="E99" s="38" t="s">
        <v>782</v>
      </c>
      <c r="F99" s="39" t="s">
        <v>222</v>
      </c>
      <c r="G99" s="40" t="s">
        <v>29</v>
      </c>
      <c r="H99" s="33" t="s">
        <v>223</v>
      </c>
      <c r="I99" s="32">
        <v>43909</v>
      </c>
      <c r="J99" s="87">
        <v>43857</v>
      </c>
      <c r="K99" s="88">
        <v>0.43194444444444446</v>
      </c>
      <c r="L99" s="127">
        <v>2.444</v>
      </c>
      <c r="M99" s="132">
        <v>6.75</v>
      </c>
      <c r="N99" s="88"/>
      <c r="O99" s="88"/>
      <c r="P99" s="88">
        <v>0.4375</v>
      </c>
      <c r="Q99" s="79">
        <v>2.2999999999999998</v>
      </c>
      <c r="R99" s="79">
        <v>6.71</v>
      </c>
      <c r="S99" s="79">
        <v>6.78</v>
      </c>
      <c r="T99" s="79">
        <v>6.52</v>
      </c>
      <c r="U99" s="79" t="s">
        <v>955</v>
      </c>
      <c r="V99" s="79">
        <v>7.0000000000000007E-2</v>
      </c>
      <c r="W99" s="79">
        <v>-0.19</v>
      </c>
      <c r="X99" s="34">
        <v>1</v>
      </c>
      <c r="Y99" s="34" t="s">
        <v>4</v>
      </c>
      <c r="Z99" s="34" t="s">
        <v>941</v>
      </c>
      <c r="AA99" s="34" t="s">
        <v>1074</v>
      </c>
      <c r="AB99" s="35"/>
    </row>
    <row r="100" spans="1:28" x14ac:dyDescent="0.3">
      <c r="A100" s="124"/>
      <c r="B100" s="114">
        <v>99</v>
      </c>
      <c r="C100" s="38" t="s">
        <v>627</v>
      </c>
      <c r="D100" s="38">
        <v>15345</v>
      </c>
      <c r="E100" s="38" t="s">
        <v>783</v>
      </c>
      <c r="F100" s="39" t="s">
        <v>224</v>
      </c>
      <c r="G100" s="40" t="s">
        <v>29</v>
      </c>
      <c r="H100" s="33" t="s">
        <v>225</v>
      </c>
      <c r="I100" s="32">
        <v>43910</v>
      </c>
      <c r="J100" s="87">
        <v>43852</v>
      </c>
      <c r="K100" s="88">
        <v>0.37152777777777773</v>
      </c>
      <c r="L100" s="127">
        <v>1.6140000000000001</v>
      </c>
      <c r="M100" s="132">
        <v>6.6059999999999999</v>
      </c>
      <c r="N100" s="88"/>
      <c r="O100" s="88"/>
      <c r="P100" s="88">
        <v>0.375</v>
      </c>
      <c r="Q100" s="79">
        <v>1.55</v>
      </c>
      <c r="R100" s="79">
        <v>6.56</v>
      </c>
      <c r="S100" s="79">
        <v>6.67</v>
      </c>
      <c r="T100" s="79">
        <v>6.74</v>
      </c>
      <c r="U100" s="79" t="s">
        <v>955</v>
      </c>
      <c r="V100" s="79">
        <v>0.11</v>
      </c>
      <c r="W100" s="79">
        <v>0.18</v>
      </c>
      <c r="X100" s="34">
        <v>1</v>
      </c>
      <c r="Y100" s="34" t="s">
        <v>4</v>
      </c>
      <c r="Z100" s="34" t="s">
        <v>941</v>
      </c>
      <c r="AA100" s="34" t="s">
        <v>1015</v>
      </c>
      <c r="AB100" s="35"/>
    </row>
    <row r="101" spans="1:28" x14ac:dyDescent="0.3">
      <c r="A101" s="124"/>
      <c r="B101" s="114">
        <v>100</v>
      </c>
      <c r="C101" s="38" t="s">
        <v>628</v>
      </c>
      <c r="D101" s="38">
        <v>15436</v>
      </c>
      <c r="E101" s="38" t="s">
        <v>784</v>
      </c>
      <c r="F101" s="39" t="s">
        <v>226</v>
      </c>
      <c r="G101" s="40" t="s">
        <v>29</v>
      </c>
      <c r="H101" s="33" t="s">
        <v>227</v>
      </c>
      <c r="I101" s="32">
        <v>43908</v>
      </c>
      <c r="J101" s="87">
        <v>43857</v>
      </c>
      <c r="K101" s="88">
        <v>0.40625</v>
      </c>
      <c r="L101" s="127">
        <v>1.5760000000000001</v>
      </c>
      <c r="M101" s="132">
        <v>5.83</v>
      </c>
      <c r="N101" s="88"/>
      <c r="O101" s="88"/>
      <c r="P101" s="88">
        <v>0.375</v>
      </c>
      <c r="Q101" s="79">
        <v>0.99</v>
      </c>
      <c r="R101" s="79">
        <v>5.78</v>
      </c>
      <c r="S101" s="79">
        <v>5.78</v>
      </c>
      <c r="T101" s="79">
        <v>5.98</v>
      </c>
      <c r="U101" s="79" t="s">
        <v>955</v>
      </c>
      <c r="V101" s="79">
        <v>0</v>
      </c>
      <c r="W101" s="79">
        <v>0.2</v>
      </c>
      <c r="X101" s="34">
        <v>1</v>
      </c>
      <c r="Y101" s="34" t="s">
        <v>4</v>
      </c>
      <c r="Z101" s="34" t="s">
        <v>941</v>
      </c>
      <c r="AA101" s="34" t="s">
        <v>1041</v>
      </c>
      <c r="AB101" s="35"/>
    </row>
    <row r="102" spans="1:28" x14ac:dyDescent="0.3">
      <c r="A102" s="124"/>
      <c r="B102" s="114">
        <v>101</v>
      </c>
      <c r="C102" s="38" t="s">
        <v>629</v>
      </c>
      <c r="D102" s="38">
        <v>15441</v>
      </c>
      <c r="E102" s="38" t="s">
        <v>785</v>
      </c>
      <c r="F102" s="39" t="s">
        <v>228</v>
      </c>
      <c r="G102" s="40" t="s">
        <v>167</v>
      </c>
      <c r="H102" s="33" t="s">
        <v>229</v>
      </c>
      <c r="I102" s="32">
        <v>43916</v>
      </c>
      <c r="J102" s="87">
        <v>43847</v>
      </c>
      <c r="K102" s="88">
        <v>0.36458333333333331</v>
      </c>
      <c r="L102" s="127">
        <v>1.234</v>
      </c>
      <c r="M102" s="132"/>
      <c r="N102" s="88"/>
      <c r="O102" s="88"/>
      <c r="P102" s="88">
        <v>0.375</v>
      </c>
      <c r="Q102" s="79">
        <v>1.1200000000000001</v>
      </c>
      <c r="R102" s="79">
        <v>7.63</v>
      </c>
      <c r="S102" s="79">
        <v>7.71</v>
      </c>
      <c r="T102" s="79">
        <v>7.42</v>
      </c>
      <c r="U102" s="79" t="s">
        <v>955</v>
      </c>
      <c r="V102" s="79">
        <v>0.08</v>
      </c>
      <c r="W102" s="79">
        <v>-0.21</v>
      </c>
      <c r="X102" s="34">
        <v>1</v>
      </c>
      <c r="Y102" s="34" t="s">
        <v>4</v>
      </c>
      <c r="Z102" s="34" t="s">
        <v>941</v>
      </c>
      <c r="AA102" s="34" t="s">
        <v>975</v>
      </c>
      <c r="AB102" s="35"/>
    </row>
    <row r="103" spans="1:28" x14ac:dyDescent="0.3">
      <c r="A103" s="124"/>
      <c r="B103" s="114">
        <v>102</v>
      </c>
      <c r="C103" s="38" t="s">
        <v>630</v>
      </c>
      <c r="D103" s="38">
        <v>15462</v>
      </c>
      <c r="E103" s="38" t="s">
        <v>786</v>
      </c>
      <c r="F103" s="39" t="s">
        <v>230</v>
      </c>
      <c r="G103" s="40" t="s">
        <v>29</v>
      </c>
      <c r="H103" s="33" t="s">
        <v>231</v>
      </c>
      <c r="I103" s="32">
        <v>43911</v>
      </c>
      <c r="J103" s="87">
        <v>43874</v>
      </c>
      <c r="K103" s="88">
        <v>0.38263888888888892</v>
      </c>
      <c r="L103" s="127">
        <f>58.784-57.912</f>
        <v>0.87199999999999989</v>
      </c>
      <c r="M103" s="132">
        <f>(65.07-57.912)+0.086</f>
        <v>7.2439999999999944</v>
      </c>
      <c r="N103" s="88"/>
      <c r="O103" s="88"/>
      <c r="P103" s="88">
        <v>0.3888888888888889</v>
      </c>
      <c r="Q103" s="79">
        <v>0.71</v>
      </c>
      <c r="R103" s="79">
        <v>7.16</v>
      </c>
      <c r="S103" s="81">
        <v>4.16</v>
      </c>
      <c r="T103" s="79">
        <v>7.39</v>
      </c>
      <c r="U103" s="79" t="s">
        <v>955</v>
      </c>
      <c r="V103" s="97">
        <v>-3</v>
      </c>
      <c r="W103" s="79">
        <v>0.23</v>
      </c>
      <c r="X103" s="34">
        <v>1</v>
      </c>
      <c r="Y103" s="34" t="s">
        <v>4</v>
      </c>
      <c r="Z103" s="34" t="s">
        <v>941</v>
      </c>
      <c r="AA103" s="34" t="s">
        <v>1173</v>
      </c>
      <c r="AB103" s="35"/>
    </row>
    <row r="104" spans="1:28" x14ac:dyDescent="0.3">
      <c r="A104" s="124"/>
      <c r="B104" s="114">
        <v>103</v>
      </c>
      <c r="C104" s="38" t="s">
        <v>631</v>
      </c>
      <c r="D104" s="38">
        <v>15471</v>
      </c>
      <c r="E104" s="38" t="s">
        <v>787</v>
      </c>
      <c r="F104" s="39" t="s">
        <v>232</v>
      </c>
      <c r="G104" s="40" t="s">
        <v>18</v>
      </c>
      <c r="H104" s="33" t="s">
        <v>233</v>
      </c>
      <c r="I104" s="32">
        <v>43902</v>
      </c>
      <c r="J104" s="92">
        <v>43861</v>
      </c>
      <c r="K104" s="88" t="s">
        <v>1104</v>
      </c>
      <c r="L104" s="127">
        <v>2.859</v>
      </c>
      <c r="M104" s="132">
        <v>7.1879999999999997</v>
      </c>
      <c r="N104" s="88"/>
      <c r="O104" s="88"/>
      <c r="P104" s="88" t="s">
        <v>1105</v>
      </c>
      <c r="Q104" s="79">
        <v>2.57</v>
      </c>
      <c r="R104" s="79">
        <v>7.14</v>
      </c>
      <c r="S104" s="79">
        <v>7.25</v>
      </c>
      <c r="T104" s="79">
        <v>7.34</v>
      </c>
      <c r="U104" s="79" t="s">
        <v>955</v>
      </c>
      <c r="V104" s="79">
        <v>0.11</v>
      </c>
      <c r="W104" s="79">
        <v>0.2</v>
      </c>
      <c r="X104" s="34">
        <v>1</v>
      </c>
      <c r="Y104" s="34" t="s">
        <v>4</v>
      </c>
      <c r="Z104" s="34" t="s">
        <v>941</v>
      </c>
      <c r="AA104" s="34"/>
      <c r="AB104" s="35" t="s">
        <v>234</v>
      </c>
    </row>
    <row r="105" spans="1:28" x14ac:dyDescent="0.3">
      <c r="A105" s="124"/>
      <c r="B105" s="114">
        <v>104</v>
      </c>
      <c r="C105" s="38" t="s">
        <v>632</v>
      </c>
      <c r="D105" s="38">
        <v>16131</v>
      </c>
      <c r="E105" s="38" t="s">
        <v>788</v>
      </c>
      <c r="F105" s="39" t="s">
        <v>235</v>
      </c>
      <c r="G105" s="40" t="s">
        <v>167</v>
      </c>
      <c r="H105" s="33" t="s">
        <v>236</v>
      </c>
      <c r="I105" s="32">
        <v>43915</v>
      </c>
      <c r="J105" s="87">
        <v>43875</v>
      </c>
      <c r="K105" s="88" t="s">
        <v>1183</v>
      </c>
      <c r="L105" s="127">
        <f>58.906-57.912</f>
        <v>0.99399999999999977</v>
      </c>
      <c r="M105" s="132">
        <f>(64.64-57.912)+0.086</f>
        <v>6.8140000000000018</v>
      </c>
      <c r="N105" s="88"/>
      <c r="O105" s="88"/>
      <c r="P105" s="88" t="s">
        <v>1137</v>
      </c>
      <c r="Q105" s="79">
        <v>1.04</v>
      </c>
      <c r="R105" s="79">
        <v>6.72</v>
      </c>
      <c r="S105" s="79">
        <v>6.93</v>
      </c>
      <c r="T105" s="79">
        <v>7.01</v>
      </c>
      <c r="U105" s="79" t="s">
        <v>955</v>
      </c>
      <c r="V105" s="79">
        <v>0.21</v>
      </c>
      <c r="W105" s="79">
        <v>0.28999999999999998</v>
      </c>
      <c r="X105" s="34">
        <v>1</v>
      </c>
      <c r="Y105" s="34" t="s">
        <v>4</v>
      </c>
      <c r="Z105" s="34" t="s">
        <v>941</v>
      </c>
      <c r="AA105" s="34"/>
      <c r="AB105" s="35"/>
    </row>
    <row r="106" spans="1:28" x14ac:dyDescent="0.3">
      <c r="A106" s="124"/>
      <c r="B106" s="179">
        <v>105</v>
      </c>
      <c r="C106" s="180" t="s">
        <v>633</v>
      </c>
      <c r="D106" s="180">
        <v>16159</v>
      </c>
      <c r="E106" s="180" t="s">
        <v>789</v>
      </c>
      <c r="F106" s="181" t="s">
        <v>237</v>
      </c>
      <c r="G106" s="182" t="s">
        <v>18</v>
      </c>
      <c r="H106" s="183" t="s">
        <v>238</v>
      </c>
      <c r="I106" s="184">
        <v>43904</v>
      </c>
      <c r="J106" s="185">
        <v>43872</v>
      </c>
      <c r="K106" s="186">
        <v>0.45833333333333331</v>
      </c>
      <c r="L106" s="187">
        <f>58.615-57.912</f>
        <v>0.70300000000000296</v>
      </c>
      <c r="M106" s="188">
        <f>(60.938-57.912)+0.086</f>
        <v>3.1120000000000032</v>
      </c>
      <c r="N106" s="186"/>
      <c r="O106" s="186"/>
      <c r="P106" s="186">
        <v>0.46527777777777773</v>
      </c>
      <c r="Q106" s="189">
        <v>0.52</v>
      </c>
      <c r="R106" s="189">
        <v>3</v>
      </c>
      <c r="S106" s="189">
        <v>3.05</v>
      </c>
      <c r="T106" s="189">
        <v>3.6</v>
      </c>
      <c r="U106" s="189" t="s">
        <v>955</v>
      </c>
      <c r="V106" s="189">
        <v>0.05</v>
      </c>
      <c r="W106" s="189">
        <v>0.6</v>
      </c>
      <c r="X106" s="190">
        <v>1</v>
      </c>
      <c r="Y106" s="190" t="s">
        <v>4</v>
      </c>
      <c r="Z106" s="190" t="s">
        <v>941</v>
      </c>
      <c r="AA106" s="190"/>
      <c r="AB106" s="191"/>
    </row>
    <row r="107" spans="1:28" x14ac:dyDescent="0.3">
      <c r="A107" s="124"/>
      <c r="B107" s="114">
        <v>106</v>
      </c>
      <c r="C107" s="38" t="s">
        <v>634</v>
      </c>
      <c r="D107" s="38">
        <v>16163</v>
      </c>
      <c r="E107" s="38" t="s">
        <v>790</v>
      </c>
      <c r="F107" s="39" t="s">
        <v>239</v>
      </c>
      <c r="G107" s="40" t="s">
        <v>29</v>
      </c>
      <c r="H107" s="33" t="s">
        <v>240</v>
      </c>
      <c r="I107" s="32">
        <v>43914</v>
      </c>
      <c r="J107" s="87">
        <v>43865</v>
      </c>
      <c r="K107" s="88">
        <v>0.5444444444444444</v>
      </c>
      <c r="L107" s="127">
        <v>1.256</v>
      </c>
      <c r="M107" s="132">
        <v>7.4539999999999997</v>
      </c>
      <c r="N107" s="88"/>
      <c r="O107" s="88"/>
      <c r="P107" s="88">
        <v>0.54861111111111105</v>
      </c>
      <c r="Q107" s="79">
        <v>1.24</v>
      </c>
      <c r="R107" s="79">
        <v>7.42</v>
      </c>
      <c r="S107" s="79">
        <v>7.51</v>
      </c>
      <c r="T107" s="79">
        <v>7.61</v>
      </c>
      <c r="U107" s="79" t="s">
        <v>955</v>
      </c>
      <c r="V107" s="79">
        <v>0.09</v>
      </c>
      <c r="W107" s="79">
        <v>0.19</v>
      </c>
      <c r="X107" s="34">
        <v>1</v>
      </c>
      <c r="Y107" s="34" t="s">
        <v>4</v>
      </c>
      <c r="Z107" s="34" t="s">
        <v>941</v>
      </c>
      <c r="AA107" s="34"/>
      <c r="AB107" s="35"/>
    </row>
    <row r="108" spans="1:28" x14ac:dyDescent="0.3">
      <c r="A108" s="124"/>
      <c r="B108" s="111">
        <v>107</v>
      </c>
      <c r="C108" s="7" t="s">
        <v>635</v>
      </c>
      <c r="D108" s="7">
        <v>16248</v>
      </c>
      <c r="E108" s="7" t="s">
        <v>791</v>
      </c>
      <c r="F108" s="6" t="s">
        <v>241</v>
      </c>
      <c r="G108" s="5" t="s">
        <v>18</v>
      </c>
      <c r="H108" s="2" t="s">
        <v>242</v>
      </c>
      <c r="I108" s="3">
        <v>43904</v>
      </c>
      <c r="J108" s="89">
        <v>43872</v>
      </c>
      <c r="K108" s="86">
        <v>0.53541666666666665</v>
      </c>
      <c r="L108" s="125">
        <f>59.28-57.912</f>
        <v>1.3680000000000021</v>
      </c>
      <c r="M108" s="133">
        <f>(65.102-57.912)+0.086</f>
        <v>7.2760000000000051</v>
      </c>
      <c r="N108" s="86"/>
      <c r="O108" s="86"/>
      <c r="P108" s="86">
        <v>0.54166666666666663</v>
      </c>
      <c r="Q108" s="80">
        <v>1.1299999999999999</v>
      </c>
      <c r="R108" s="80">
        <v>7.18</v>
      </c>
      <c r="S108" s="80">
        <v>7.28</v>
      </c>
      <c r="T108" s="80">
        <v>7.34</v>
      </c>
      <c r="U108" s="80" t="s">
        <v>955</v>
      </c>
      <c r="V108" s="80">
        <v>0.1</v>
      </c>
      <c r="W108" s="80">
        <v>0.16</v>
      </c>
      <c r="X108" s="4">
        <v>1</v>
      </c>
      <c r="Y108" s="4" t="s">
        <v>6</v>
      </c>
      <c r="Z108" s="4" t="s">
        <v>941</v>
      </c>
      <c r="AA108" s="4" t="s">
        <v>1161</v>
      </c>
      <c r="AB108" s="8" t="s">
        <v>243</v>
      </c>
    </row>
    <row r="109" spans="1:28" s="109" customFormat="1" x14ac:dyDescent="0.3">
      <c r="A109" s="139"/>
      <c r="B109" s="114">
        <v>108</v>
      </c>
      <c r="C109" s="38" t="s">
        <v>636</v>
      </c>
      <c r="D109" s="38">
        <v>16407</v>
      </c>
      <c r="E109" s="38" t="s">
        <v>792</v>
      </c>
      <c r="F109" s="39" t="s">
        <v>244</v>
      </c>
      <c r="G109" s="40" t="s">
        <v>29</v>
      </c>
      <c r="H109" s="33" t="s">
        <v>245</v>
      </c>
      <c r="I109" s="32">
        <v>43910</v>
      </c>
      <c r="J109" s="87">
        <v>43850</v>
      </c>
      <c r="K109" s="88">
        <v>0.4513888888888889</v>
      </c>
      <c r="L109" s="127">
        <v>1.1220000000000001</v>
      </c>
      <c r="M109" s="132">
        <v>7.2690000000000001</v>
      </c>
      <c r="N109" s="88"/>
      <c r="O109" s="88"/>
      <c r="P109" s="88" t="s">
        <v>995</v>
      </c>
      <c r="Q109" s="79">
        <v>1.0900000000000001</v>
      </c>
      <c r="R109" s="79">
        <v>7.27</v>
      </c>
      <c r="S109" s="79">
        <v>7.36</v>
      </c>
      <c r="T109" s="79">
        <v>7.43</v>
      </c>
      <c r="U109" s="79" t="s">
        <v>955</v>
      </c>
      <c r="V109" s="79">
        <v>0.09</v>
      </c>
      <c r="W109" s="79">
        <v>0.16</v>
      </c>
      <c r="X109" s="34">
        <v>1</v>
      </c>
      <c r="Y109" s="34" t="s">
        <v>4</v>
      </c>
      <c r="Z109" s="34" t="s">
        <v>941</v>
      </c>
      <c r="AA109" s="34"/>
      <c r="AB109" s="35"/>
    </row>
    <row r="110" spans="1:28" x14ac:dyDescent="0.3">
      <c r="A110" s="124"/>
      <c r="B110" s="114">
        <v>109</v>
      </c>
      <c r="C110" s="38" t="s">
        <v>637</v>
      </c>
      <c r="D110" s="38">
        <v>16412</v>
      </c>
      <c r="E110" s="38" t="s">
        <v>793</v>
      </c>
      <c r="F110" s="39" t="s">
        <v>246</v>
      </c>
      <c r="G110" s="40" t="s">
        <v>29</v>
      </c>
      <c r="H110" s="33" t="s">
        <v>247</v>
      </c>
      <c r="I110" s="32">
        <v>43908</v>
      </c>
      <c r="J110" s="87">
        <v>43853</v>
      </c>
      <c r="K110" s="88">
        <v>0.50486111111111109</v>
      </c>
      <c r="L110" s="127">
        <v>1.5329999999999999</v>
      </c>
      <c r="M110" s="132">
        <v>7.0609999999999999</v>
      </c>
      <c r="N110" s="88"/>
      <c r="O110" s="88"/>
      <c r="P110" s="88">
        <v>0.50694444444444442</v>
      </c>
      <c r="Q110" s="79">
        <v>1.1499999999999999</v>
      </c>
      <c r="R110" s="79">
        <v>7.03</v>
      </c>
      <c r="S110" s="79">
        <v>7.06</v>
      </c>
      <c r="T110" s="79">
        <v>7.09</v>
      </c>
      <c r="U110" s="79" t="s">
        <v>955</v>
      </c>
      <c r="V110" s="79">
        <v>0.03</v>
      </c>
      <c r="W110" s="79">
        <v>0.06</v>
      </c>
      <c r="X110" s="34">
        <v>1</v>
      </c>
      <c r="Y110" s="34" t="s">
        <v>4</v>
      </c>
      <c r="Z110" s="34" t="s">
        <v>941</v>
      </c>
      <c r="AA110" s="34"/>
      <c r="AB110" s="35"/>
    </row>
    <row r="111" spans="1:28" x14ac:dyDescent="0.3">
      <c r="A111" s="124"/>
      <c r="B111" s="114">
        <v>110</v>
      </c>
      <c r="C111" s="38" t="s">
        <v>638</v>
      </c>
      <c r="D111" s="38">
        <v>16449</v>
      </c>
      <c r="E111" s="38" t="s">
        <v>794</v>
      </c>
      <c r="F111" s="39" t="s">
        <v>248</v>
      </c>
      <c r="G111" s="40" t="s">
        <v>167</v>
      </c>
      <c r="H111" s="33" t="s">
        <v>249</v>
      </c>
      <c r="I111" s="32">
        <v>43915</v>
      </c>
      <c r="J111" s="87">
        <v>43847</v>
      </c>
      <c r="K111" s="88">
        <v>0.51180555555555551</v>
      </c>
      <c r="L111" s="127">
        <v>1.135</v>
      </c>
      <c r="M111" s="132">
        <v>7.46</v>
      </c>
      <c r="N111" s="88"/>
      <c r="O111" s="88"/>
      <c r="P111" s="88"/>
      <c r="Q111" s="79">
        <v>1.01</v>
      </c>
      <c r="R111" s="79">
        <v>7.44</v>
      </c>
      <c r="S111" s="79">
        <v>7.53</v>
      </c>
      <c r="T111" s="79">
        <v>7.6</v>
      </c>
      <c r="U111" s="79" t="s">
        <v>955</v>
      </c>
      <c r="V111" s="79">
        <v>0.09</v>
      </c>
      <c r="W111" s="79">
        <v>0.16</v>
      </c>
      <c r="X111" s="34">
        <v>1</v>
      </c>
      <c r="Y111" s="34" t="s">
        <v>4</v>
      </c>
      <c r="Z111" s="34" t="s">
        <v>941</v>
      </c>
      <c r="AA111" s="34" t="s">
        <v>980</v>
      </c>
      <c r="AB111" s="35"/>
    </row>
    <row r="112" spans="1:28" x14ac:dyDescent="0.3">
      <c r="A112" s="124"/>
      <c r="B112" s="114">
        <v>111</v>
      </c>
      <c r="C112" s="38" t="s">
        <v>639</v>
      </c>
      <c r="D112" s="38">
        <v>16451</v>
      </c>
      <c r="E112" s="38" t="s">
        <v>795</v>
      </c>
      <c r="F112" s="39" t="s">
        <v>250</v>
      </c>
      <c r="G112" s="40" t="s">
        <v>167</v>
      </c>
      <c r="H112" s="33" t="s">
        <v>251</v>
      </c>
      <c r="I112" s="32">
        <v>43915</v>
      </c>
      <c r="J112" s="87">
        <v>43847</v>
      </c>
      <c r="K112" s="88">
        <v>0.52222222222222225</v>
      </c>
      <c r="L112" s="127">
        <v>1</v>
      </c>
      <c r="M112" s="132">
        <v>7.29</v>
      </c>
      <c r="N112" s="88"/>
      <c r="O112" s="88"/>
      <c r="P112" s="88">
        <v>0.53472222222222221</v>
      </c>
      <c r="Q112" s="79">
        <v>0.9</v>
      </c>
      <c r="R112" s="79">
        <v>7.18</v>
      </c>
      <c r="S112" s="79">
        <v>7.34</v>
      </c>
      <c r="T112" s="79">
        <v>7.38</v>
      </c>
      <c r="U112" s="79" t="s">
        <v>955</v>
      </c>
      <c r="V112" s="79">
        <v>0.16</v>
      </c>
      <c r="W112" s="79">
        <v>0.2</v>
      </c>
      <c r="X112" s="34">
        <v>1</v>
      </c>
      <c r="Y112" s="34" t="s">
        <v>4</v>
      </c>
      <c r="Z112" s="34" t="s">
        <v>941</v>
      </c>
      <c r="AA112" s="34" t="s">
        <v>981</v>
      </c>
      <c r="AB112" s="35"/>
    </row>
    <row r="113" spans="1:28" x14ac:dyDescent="0.3">
      <c r="A113" s="124"/>
      <c r="B113" s="114">
        <v>112</v>
      </c>
      <c r="C113" s="38" t="s">
        <v>640</v>
      </c>
      <c r="D113" s="38">
        <v>16496</v>
      </c>
      <c r="E113" s="38" t="s">
        <v>796</v>
      </c>
      <c r="F113" s="39" t="s">
        <v>252</v>
      </c>
      <c r="G113" s="40" t="s">
        <v>29</v>
      </c>
      <c r="H113" s="33" t="s">
        <v>253</v>
      </c>
      <c r="I113" s="32">
        <v>43908</v>
      </c>
      <c r="J113" s="87">
        <v>43853</v>
      </c>
      <c r="K113" s="88">
        <v>0.39166666666666666</v>
      </c>
      <c r="L113" s="127">
        <v>0.81</v>
      </c>
      <c r="M113" s="132">
        <v>7.59</v>
      </c>
      <c r="N113" s="88"/>
      <c r="O113" s="88"/>
      <c r="P113" s="88">
        <v>0.40277777777777773</v>
      </c>
      <c r="Q113" s="79">
        <v>0.67</v>
      </c>
      <c r="R113" s="79">
        <v>7.03</v>
      </c>
      <c r="S113" s="79">
        <v>7.12</v>
      </c>
      <c r="T113" s="79">
        <v>7.16</v>
      </c>
      <c r="U113" s="79" t="s">
        <v>955</v>
      </c>
      <c r="V113" s="79">
        <v>0.09</v>
      </c>
      <c r="W113" s="79">
        <v>0.13</v>
      </c>
      <c r="X113" s="34">
        <v>1</v>
      </c>
      <c r="Y113" s="34" t="s">
        <v>4</v>
      </c>
      <c r="Z113" s="34" t="s">
        <v>941</v>
      </c>
      <c r="AA113" s="34" t="s">
        <v>1043</v>
      </c>
      <c r="AB113" s="35"/>
    </row>
    <row r="114" spans="1:28" x14ac:dyDescent="0.3">
      <c r="A114" s="124"/>
      <c r="B114" s="114">
        <v>113</v>
      </c>
      <c r="C114" s="38" t="s">
        <v>641</v>
      </c>
      <c r="D114" s="38">
        <v>16958</v>
      </c>
      <c r="E114" s="38" t="s">
        <v>797</v>
      </c>
      <c r="F114" s="39" t="s">
        <v>254</v>
      </c>
      <c r="G114" s="40" t="s">
        <v>29</v>
      </c>
      <c r="H114" s="33" t="s">
        <v>255</v>
      </c>
      <c r="I114" s="32">
        <v>43909</v>
      </c>
      <c r="J114" s="87">
        <v>43853</v>
      </c>
      <c r="K114" s="88">
        <v>0.57916666666666672</v>
      </c>
      <c r="L114" s="127">
        <v>1.33</v>
      </c>
      <c r="M114" s="132">
        <v>7.3959999999999999</v>
      </c>
      <c r="N114" s="88"/>
      <c r="O114" s="88"/>
      <c r="P114" s="88">
        <v>0.54861111111111105</v>
      </c>
      <c r="Q114" s="79">
        <v>1.0900000000000001</v>
      </c>
      <c r="R114" s="79">
        <v>7.38</v>
      </c>
      <c r="S114" s="79">
        <v>7.46</v>
      </c>
      <c r="T114" s="79">
        <v>7.53</v>
      </c>
      <c r="U114" s="79" t="s">
        <v>955</v>
      </c>
      <c r="V114" s="79">
        <v>0.08</v>
      </c>
      <c r="W114" s="79">
        <v>0.15</v>
      </c>
      <c r="X114" s="34">
        <v>1</v>
      </c>
      <c r="Y114" s="34" t="s">
        <v>4</v>
      </c>
      <c r="Z114" s="34" t="s">
        <v>941</v>
      </c>
      <c r="AA114" s="34" t="s">
        <v>1057</v>
      </c>
      <c r="AB114" s="35"/>
    </row>
    <row r="115" spans="1:28" x14ac:dyDescent="0.3">
      <c r="A115" s="124"/>
      <c r="B115" s="114">
        <v>114</v>
      </c>
      <c r="C115" s="38" t="s">
        <v>642</v>
      </c>
      <c r="D115" s="38">
        <v>17003</v>
      </c>
      <c r="E115" s="38" t="s">
        <v>798</v>
      </c>
      <c r="F115" s="39" t="s">
        <v>256</v>
      </c>
      <c r="G115" s="40" t="s">
        <v>167</v>
      </c>
      <c r="H115" s="33" t="s">
        <v>257</v>
      </c>
      <c r="I115" s="32">
        <v>43916</v>
      </c>
      <c r="J115" s="87">
        <v>43847</v>
      </c>
      <c r="K115" s="88">
        <v>0.34930555555555554</v>
      </c>
      <c r="L115" s="127">
        <v>1.0740000000000001</v>
      </c>
      <c r="M115" s="132"/>
      <c r="N115" s="88"/>
      <c r="O115" s="88"/>
      <c r="P115" s="88">
        <v>0.3611111111111111</v>
      </c>
      <c r="Q115" s="79">
        <v>0.97</v>
      </c>
      <c r="R115" s="79">
        <v>7.51</v>
      </c>
      <c r="S115" s="79">
        <v>7.58</v>
      </c>
      <c r="T115" s="79">
        <v>7.66</v>
      </c>
      <c r="U115" s="79" t="s">
        <v>955</v>
      </c>
      <c r="V115" s="79">
        <v>7.0000000000000007E-2</v>
      </c>
      <c r="W115" s="79">
        <v>0.15</v>
      </c>
      <c r="X115" s="34">
        <v>1</v>
      </c>
      <c r="Y115" s="34" t="s">
        <v>4</v>
      </c>
      <c r="Z115" s="34" t="s">
        <v>941</v>
      </c>
      <c r="AA115" s="34"/>
      <c r="AB115" s="35"/>
    </row>
    <row r="116" spans="1:28" s="98" customFormat="1" x14ac:dyDescent="0.3">
      <c r="A116" s="157" t="s">
        <v>1098</v>
      </c>
      <c r="B116" s="114">
        <v>115</v>
      </c>
      <c r="C116" s="38" t="s">
        <v>643</v>
      </c>
      <c r="D116" s="38">
        <v>17380</v>
      </c>
      <c r="E116" s="38" t="s">
        <v>799</v>
      </c>
      <c r="F116" s="39" t="s">
        <v>258</v>
      </c>
      <c r="G116" s="40" t="s">
        <v>18</v>
      </c>
      <c r="H116" s="33" t="s">
        <v>259</v>
      </c>
      <c r="I116" s="32">
        <v>43902</v>
      </c>
      <c r="J116" s="87">
        <v>43861</v>
      </c>
      <c r="K116" s="88" t="s">
        <v>1101</v>
      </c>
      <c r="L116" s="127">
        <v>3.0910000000000002</v>
      </c>
      <c r="M116" s="132">
        <v>7.7969999999999997</v>
      </c>
      <c r="N116" s="88"/>
      <c r="O116" s="88"/>
      <c r="P116" s="88" t="s">
        <v>1103</v>
      </c>
      <c r="Q116" s="79">
        <v>2.8</v>
      </c>
      <c r="R116" s="79">
        <v>7.78</v>
      </c>
      <c r="S116" s="79">
        <v>7.92</v>
      </c>
      <c r="T116" s="79">
        <v>8.0299999999999994</v>
      </c>
      <c r="U116" s="79" t="s">
        <v>955</v>
      </c>
      <c r="V116" s="79">
        <v>0.14000000000000001</v>
      </c>
      <c r="W116" s="79">
        <v>0.25</v>
      </c>
      <c r="X116" s="34">
        <v>1</v>
      </c>
      <c r="Y116" s="34" t="s">
        <v>4</v>
      </c>
      <c r="Z116" s="34" t="s">
        <v>941</v>
      </c>
      <c r="AA116" s="34" t="s">
        <v>1102</v>
      </c>
      <c r="AB116" s="35" t="s">
        <v>234</v>
      </c>
    </row>
    <row r="117" spans="1:28" x14ac:dyDescent="0.3">
      <c r="A117" s="124"/>
      <c r="B117" s="114">
        <v>116</v>
      </c>
      <c r="C117" s="38" t="s">
        <v>644</v>
      </c>
      <c r="D117" s="38">
        <v>17405</v>
      </c>
      <c r="E117" s="38" t="s">
        <v>800</v>
      </c>
      <c r="F117" s="39" t="s">
        <v>260</v>
      </c>
      <c r="G117" s="40" t="s">
        <v>167</v>
      </c>
      <c r="H117" s="33" t="s">
        <v>261</v>
      </c>
      <c r="I117" s="32">
        <v>43916</v>
      </c>
      <c r="J117" s="87">
        <v>43847</v>
      </c>
      <c r="K117" s="88">
        <v>0.37986111111111115</v>
      </c>
      <c r="L117" s="127">
        <v>0.81200000000000006</v>
      </c>
      <c r="M117" s="132"/>
      <c r="N117" s="88"/>
      <c r="O117" s="88"/>
      <c r="P117" s="88"/>
      <c r="Q117" s="79">
        <v>0.66</v>
      </c>
      <c r="R117" s="79">
        <v>7.53</v>
      </c>
      <c r="S117" s="79">
        <v>7.61</v>
      </c>
      <c r="T117" s="79">
        <v>7.75</v>
      </c>
      <c r="U117" s="79" t="s">
        <v>955</v>
      </c>
      <c r="V117" s="79">
        <v>0.08</v>
      </c>
      <c r="W117" s="79">
        <v>0.22</v>
      </c>
      <c r="X117" s="34">
        <v>1</v>
      </c>
      <c r="Y117" s="34" t="s">
        <v>4</v>
      </c>
      <c r="Z117" s="34" t="s">
        <v>941</v>
      </c>
      <c r="AA117" s="34"/>
      <c r="AB117" s="35"/>
    </row>
    <row r="118" spans="1:28" x14ac:dyDescent="0.3">
      <c r="A118" s="124"/>
      <c r="B118" s="111">
        <v>117</v>
      </c>
      <c r="C118" s="7" t="s">
        <v>645</v>
      </c>
      <c r="D118" s="7">
        <v>17437</v>
      </c>
      <c r="E118" s="7" t="s">
        <v>801</v>
      </c>
      <c r="F118" s="6" t="s">
        <v>262</v>
      </c>
      <c r="G118" s="5" t="s">
        <v>29</v>
      </c>
      <c r="H118" s="2" t="s">
        <v>263</v>
      </c>
      <c r="I118" s="3">
        <v>43915</v>
      </c>
      <c r="J118" s="89">
        <v>43850</v>
      </c>
      <c r="K118" s="86" t="s">
        <v>1005</v>
      </c>
      <c r="L118" s="125">
        <v>2.2559999999999998</v>
      </c>
      <c r="M118" s="133">
        <v>7.4279999999999999</v>
      </c>
      <c r="N118" s="86"/>
      <c r="O118" s="86"/>
      <c r="P118" s="86">
        <v>0.60416666666666663</v>
      </c>
      <c r="Q118" s="80">
        <v>2.21</v>
      </c>
      <c r="R118" s="80">
        <v>7.41</v>
      </c>
      <c r="S118" s="80">
        <v>7.51</v>
      </c>
      <c r="T118" s="80">
        <v>7.6</v>
      </c>
      <c r="U118" s="80" t="s">
        <v>955</v>
      </c>
      <c r="V118" s="80">
        <v>0.1</v>
      </c>
      <c r="W118" s="80">
        <v>0.19</v>
      </c>
      <c r="X118" s="4">
        <v>1</v>
      </c>
      <c r="Y118" s="4" t="s">
        <v>6</v>
      </c>
      <c r="Z118" s="4" t="s">
        <v>941</v>
      </c>
      <c r="AA118" s="4" t="s">
        <v>1006</v>
      </c>
      <c r="AB118" s="8" t="s">
        <v>264</v>
      </c>
    </row>
    <row r="119" spans="1:28" x14ac:dyDescent="0.3">
      <c r="A119" s="124"/>
      <c r="B119" s="114">
        <v>118</v>
      </c>
      <c r="C119" s="38" t="s">
        <v>646</v>
      </c>
      <c r="D119" s="38">
        <v>17441</v>
      </c>
      <c r="E119" s="38" t="s">
        <v>802</v>
      </c>
      <c r="F119" s="39" t="s">
        <v>265</v>
      </c>
      <c r="G119" s="40" t="s">
        <v>29</v>
      </c>
      <c r="H119" s="33" t="s">
        <v>266</v>
      </c>
      <c r="I119" s="32">
        <v>43908</v>
      </c>
      <c r="J119" s="87">
        <v>43853</v>
      </c>
      <c r="K119" s="88" t="s">
        <v>993</v>
      </c>
      <c r="L119" s="127">
        <v>2.2869999999999999</v>
      </c>
      <c r="M119" s="132">
        <v>6.3609999999999998</v>
      </c>
      <c r="N119" s="88"/>
      <c r="O119" s="88"/>
      <c r="P119" s="88" t="s">
        <v>1044</v>
      </c>
      <c r="Q119" s="79">
        <v>2.19</v>
      </c>
      <c r="R119" s="79">
        <v>6.33</v>
      </c>
      <c r="S119" s="79">
        <v>6.43</v>
      </c>
      <c r="T119" s="79">
        <v>6.5</v>
      </c>
      <c r="U119" s="79" t="s">
        <v>955</v>
      </c>
      <c r="V119" s="79">
        <v>0.1</v>
      </c>
      <c r="W119" s="79">
        <v>0.17</v>
      </c>
      <c r="X119" s="34">
        <v>1</v>
      </c>
      <c r="Y119" s="34" t="s">
        <v>4</v>
      </c>
      <c r="Z119" s="34" t="s">
        <v>941</v>
      </c>
      <c r="AA119" s="34" t="s">
        <v>1062</v>
      </c>
      <c r="AB119" s="35"/>
    </row>
    <row r="120" spans="1:28" x14ac:dyDescent="0.3">
      <c r="A120" s="124"/>
      <c r="B120" s="114">
        <v>119</v>
      </c>
      <c r="C120" s="38" t="s">
        <v>647</v>
      </c>
      <c r="D120" s="38">
        <v>17487</v>
      </c>
      <c r="E120" s="38" t="s">
        <v>803</v>
      </c>
      <c r="F120" s="39" t="s">
        <v>267</v>
      </c>
      <c r="G120" s="40" t="s">
        <v>29</v>
      </c>
      <c r="H120" s="33" t="s">
        <v>268</v>
      </c>
      <c r="I120" s="32">
        <v>43909</v>
      </c>
      <c r="J120" s="87">
        <v>43857</v>
      </c>
      <c r="K120" s="88">
        <v>0.4458333333333333</v>
      </c>
      <c r="L120" s="127">
        <v>0.88300000000000001</v>
      </c>
      <c r="M120" s="132">
        <v>7.0350000000000001</v>
      </c>
      <c r="N120" s="88"/>
      <c r="O120" s="88"/>
      <c r="P120" s="88">
        <v>0.4513888888888889</v>
      </c>
      <c r="Q120" s="79">
        <v>0.69</v>
      </c>
      <c r="R120" s="79">
        <v>7.01</v>
      </c>
      <c r="S120" s="79">
        <v>7.1</v>
      </c>
      <c r="T120" s="79">
        <v>7.19</v>
      </c>
      <c r="U120" s="79" t="s">
        <v>955</v>
      </c>
      <c r="V120" s="79">
        <v>0.09</v>
      </c>
      <c r="W120" s="79">
        <v>0.18</v>
      </c>
      <c r="X120" s="34">
        <v>1</v>
      </c>
      <c r="Y120" s="34" t="s">
        <v>4</v>
      </c>
      <c r="Z120" s="34" t="s">
        <v>941</v>
      </c>
      <c r="AA120" s="34" t="s">
        <v>1075</v>
      </c>
      <c r="AB120" s="35"/>
    </row>
    <row r="121" spans="1:28" x14ac:dyDescent="0.3">
      <c r="A121" s="124"/>
      <c r="B121" s="114">
        <v>120</v>
      </c>
      <c r="C121" s="38" t="s">
        <v>648</v>
      </c>
      <c r="D121" s="38">
        <v>17499</v>
      </c>
      <c r="E121" s="38" t="s">
        <v>804</v>
      </c>
      <c r="F121" s="39" t="s">
        <v>269</v>
      </c>
      <c r="G121" s="40" t="s">
        <v>29</v>
      </c>
      <c r="H121" s="33" t="s">
        <v>270</v>
      </c>
      <c r="I121" s="32">
        <v>43911</v>
      </c>
      <c r="J121" s="87">
        <v>43882</v>
      </c>
      <c r="K121" s="88">
        <v>0.4916666666666667</v>
      </c>
      <c r="L121" s="127">
        <f>60.433-57.912</f>
        <v>2.5210000000000008</v>
      </c>
      <c r="M121" s="132">
        <f>(64.969-57.912)+0.086</f>
        <v>7.1429999999999954</v>
      </c>
      <c r="N121" s="88"/>
      <c r="O121" s="88"/>
      <c r="P121" s="88">
        <v>0.5</v>
      </c>
      <c r="Q121" s="79">
        <v>2.39</v>
      </c>
      <c r="R121" s="79" t="s">
        <v>1046</v>
      </c>
      <c r="S121" s="79">
        <v>7.16</v>
      </c>
      <c r="T121" s="79">
        <v>7.25</v>
      </c>
      <c r="U121" s="79" t="s">
        <v>955</v>
      </c>
      <c r="V121" s="79">
        <v>0.1</v>
      </c>
      <c r="W121" s="79">
        <v>0.19</v>
      </c>
      <c r="X121" s="34">
        <v>1</v>
      </c>
      <c r="Y121" s="34" t="s">
        <v>4</v>
      </c>
      <c r="Z121" s="34" t="s">
        <v>941</v>
      </c>
      <c r="AA121" s="34" t="s">
        <v>1195</v>
      </c>
      <c r="AB121" s="35"/>
    </row>
    <row r="122" spans="1:28" x14ac:dyDescent="0.3">
      <c r="A122" s="124"/>
      <c r="B122" s="114">
        <v>121</v>
      </c>
      <c r="C122" s="38" t="s">
        <v>649</v>
      </c>
      <c r="D122" s="38">
        <v>17512</v>
      </c>
      <c r="E122" s="38" t="s">
        <v>805</v>
      </c>
      <c r="F122" s="39" t="s">
        <v>271</v>
      </c>
      <c r="G122" s="40" t="s">
        <v>29</v>
      </c>
      <c r="H122" s="33" t="s">
        <v>272</v>
      </c>
      <c r="I122" s="32">
        <v>43911</v>
      </c>
      <c r="J122" s="87">
        <v>43873</v>
      </c>
      <c r="K122" s="88">
        <v>0.56805555555555554</v>
      </c>
      <c r="L122" s="127">
        <f>59.877-57.912</f>
        <v>1.9650000000000034</v>
      </c>
      <c r="M122" s="132">
        <f>(64.908-57.912)+0.086</f>
        <v>7.0820000000000025</v>
      </c>
      <c r="N122" s="88"/>
      <c r="O122" s="88"/>
      <c r="P122" s="88">
        <v>0.57638888888888895</v>
      </c>
      <c r="Q122" s="79">
        <v>1.77</v>
      </c>
      <c r="R122" s="79">
        <v>6.99</v>
      </c>
      <c r="S122" s="79">
        <v>7.08</v>
      </c>
      <c r="T122" s="79">
        <v>7.13</v>
      </c>
      <c r="U122" s="79" t="s">
        <v>955</v>
      </c>
      <c r="V122" s="79">
        <v>0.09</v>
      </c>
      <c r="W122" s="79">
        <v>0.14000000000000001</v>
      </c>
      <c r="X122" s="34">
        <v>1</v>
      </c>
      <c r="Y122" s="34" t="s">
        <v>4</v>
      </c>
      <c r="Z122" s="34" t="s">
        <v>941</v>
      </c>
      <c r="AA122" s="34"/>
      <c r="AB122" s="35"/>
    </row>
    <row r="123" spans="1:28" x14ac:dyDescent="0.3">
      <c r="A123" s="124"/>
      <c r="B123" s="114">
        <v>122</v>
      </c>
      <c r="C123" s="38" t="s">
        <v>650</v>
      </c>
      <c r="D123" s="38">
        <v>17514</v>
      </c>
      <c r="E123" s="38" t="s">
        <v>806</v>
      </c>
      <c r="F123" s="39" t="s">
        <v>273</v>
      </c>
      <c r="G123" s="40" t="s">
        <v>167</v>
      </c>
      <c r="H123" s="33" t="s">
        <v>274</v>
      </c>
      <c r="I123" s="32">
        <v>43916</v>
      </c>
      <c r="J123" s="87">
        <v>43847</v>
      </c>
      <c r="K123" s="88" t="s">
        <v>983</v>
      </c>
      <c r="L123" s="127">
        <v>1.73</v>
      </c>
      <c r="M123" s="132">
        <v>7.43</v>
      </c>
      <c r="N123" s="88"/>
      <c r="O123" s="88"/>
      <c r="P123" s="88"/>
      <c r="Q123" s="79">
        <v>1.58</v>
      </c>
      <c r="R123" s="79">
        <v>7.4</v>
      </c>
      <c r="S123" s="79">
        <v>7.48</v>
      </c>
      <c r="T123" s="79">
        <v>7.51</v>
      </c>
      <c r="U123" s="79" t="s">
        <v>955</v>
      </c>
      <c r="V123" s="79">
        <v>0.08</v>
      </c>
      <c r="W123" s="79">
        <v>0.11</v>
      </c>
      <c r="X123" s="34">
        <v>1</v>
      </c>
      <c r="Y123" s="34" t="s">
        <v>4</v>
      </c>
      <c r="Z123" s="34" t="s">
        <v>941</v>
      </c>
      <c r="AA123" s="34"/>
      <c r="AB123" s="35"/>
    </row>
    <row r="124" spans="1:28" x14ac:dyDescent="0.3">
      <c r="A124" s="124"/>
      <c r="B124" s="114">
        <v>123</v>
      </c>
      <c r="C124" s="38" t="s">
        <v>651</v>
      </c>
      <c r="D124" s="38">
        <v>17535</v>
      </c>
      <c r="E124" s="38" t="s">
        <v>807</v>
      </c>
      <c r="F124" s="39" t="s">
        <v>275</v>
      </c>
      <c r="G124" s="40" t="s">
        <v>29</v>
      </c>
      <c r="H124" s="33" t="s">
        <v>276</v>
      </c>
      <c r="I124" s="32">
        <v>43911</v>
      </c>
      <c r="J124" s="87">
        <v>43882</v>
      </c>
      <c r="K124" s="88">
        <v>0.43333333333333335</v>
      </c>
      <c r="L124" s="127">
        <f>58.64-57.912</f>
        <v>0.72800000000000153</v>
      </c>
      <c r="M124" s="132">
        <f>(64.211-57.912)+0.086</f>
        <v>6.3849999999999998</v>
      </c>
      <c r="N124" s="88"/>
      <c r="O124" s="88"/>
      <c r="P124" s="88">
        <v>0.44444444444444442</v>
      </c>
      <c r="Q124" s="79">
        <v>0.93</v>
      </c>
      <c r="R124" s="79">
        <v>6.35</v>
      </c>
      <c r="S124" s="79">
        <v>6.96</v>
      </c>
      <c r="T124" s="79">
        <v>6.87</v>
      </c>
      <c r="U124" s="79" t="s">
        <v>955</v>
      </c>
      <c r="V124" s="79">
        <v>0.61</v>
      </c>
      <c r="W124" s="79">
        <v>0.52</v>
      </c>
      <c r="X124" s="34">
        <v>1</v>
      </c>
      <c r="Y124" s="34" t="s">
        <v>4</v>
      </c>
      <c r="Z124" s="34" t="s">
        <v>941</v>
      </c>
      <c r="AA124" s="34" t="s">
        <v>1194</v>
      </c>
      <c r="AB124" s="35"/>
    </row>
    <row r="125" spans="1:28" x14ac:dyDescent="0.3">
      <c r="A125" s="124"/>
      <c r="B125" s="114">
        <v>124</v>
      </c>
      <c r="C125" s="38" t="s">
        <v>652</v>
      </c>
      <c r="D125" s="38">
        <v>17538</v>
      </c>
      <c r="E125" s="38" t="s">
        <v>808</v>
      </c>
      <c r="F125" s="39" t="s">
        <v>277</v>
      </c>
      <c r="G125" s="40" t="s">
        <v>29</v>
      </c>
      <c r="H125" s="33" t="s">
        <v>278</v>
      </c>
      <c r="I125" s="32">
        <v>43909</v>
      </c>
      <c r="J125" s="87">
        <v>43854</v>
      </c>
      <c r="K125" s="88">
        <v>0.3743055555555555</v>
      </c>
      <c r="L125" s="127">
        <v>1.9550000000000001</v>
      </c>
      <c r="M125" s="132">
        <v>6.3330000000000002</v>
      </c>
      <c r="N125" s="88"/>
      <c r="O125" s="88"/>
      <c r="P125" s="88" t="s">
        <v>1017</v>
      </c>
      <c r="Q125" s="79">
        <v>1.81</v>
      </c>
      <c r="R125" s="79">
        <v>6.34</v>
      </c>
      <c r="S125" s="79">
        <v>6.34</v>
      </c>
      <c r="T125" s="79">
        <v>6.53</v>
      </c>
      <c r="U125" s="79" t="s">
        <v>955</v>
      </c>
      <c r="V125" s="79">
        <v>0</v>
      </c>
      <c r="W125" s="79">
        <v>0.19</v>
      </c>
      <c r="X125" s="34">
        <v>1</v>
      </c>
      <c r="Y125" s="34" t="s">
        <v>4</v>
      </c>
      <c r="Z125" s="34" t="s">
        <v>941</v>
      </c>
      <c r="AA125" s="34" t="s">
        <v>1063</v>
      </c>
      <c r="AB125" s="35"/>
    </row>
    <row r="126" spans="1:28" x14ac:dyDescent="0.3">
      <c r="A126" s="124"/>
      <c r="B126" s="114">
        <v>125</v>
      </c>
      <c r="C126" s="38" t="s">
        <v>653</v>
      </c>
      <c r="D126" s="38">
        <v>17773</v>
      </c>
      <c r="E126" s="38" t="s">
        <v>809</v>
      </c>
      <c r="F126" s="39" t="s">
        <v>279</v>
      </c>
      <c r="G126" s="40" t="s">
        <v>18</v>
      </c>
      <c r="H126" s="33" t="s">
        <v>280</v>
      </c>
      <c r="I126" s="32">
        <v>43904</v>
      </c>
      <c r="J126" s="87">
        <v>43872</v>
      </c>
      <c r="K126" s="88">
        <v>0.41111111111111115</v>
      </c>
      <c r="L126" s="127">
        <f>60.695-57.912</f>
        <v>2.7830000000000013</v>
      </c>
      <c r="M126" s="132">
        <f>(65.198-57.912)+0.086</f>
        <v>7.3719999999999946</v>
      </c>
      <c r="N126" s="88"/>
      <c r="O126" s="88"/>
      <c r="P126" s="88">
        <v>0.41666666666666669</v>
      </c>
      <c r="Q126" s="79">
        <v>2.61</v>
      </c>
      <c r="R126" s="79">
        <v>7.3</v>
      </c>
      <c r="S126" s="79">
        <v>7.44</v>
      </c>
      <c r="T126" s="79">
        <v>7.54</v>
      </c>
      <c r="U126" s="79" t="s">
        <v>955</v>
      </c>
      <c r="V126" s="79">
        <v>0.14000000000000001</v>
      </c>
      <c r="W126" s="79">
        <v>0.24</v>
      </c>
      <c r="X126" s="34">
        <v>1</v>
      </c>
      <c r="Y126" s="34" t="s">
        <v>4</v>
      </c>
      <c r="Z126" s="34" t="s">
        <v>941</v>
      </c>
      <c r="AA126" s="34"/>
      <c r="AB126" s="35"/>
    </row>
    <row r="127" spans="1:28" x14ac:dyDescent="0.3">
      <c r="A127" s="124"/>
      <c r="B127" s="114">
        <v>126</v>
      </c>
      <c r="C127" s="38" t="s">
        <v>654</v>
      </c>
      <c r="D127" s="38">
        <v>17924</v>
      </c>
      <c r="E127" s="38" t="s">
        <v>810</v>
      </c>
      <c r="F127" s="39" t="s">
        <v>281</v>
      </c>
      <c r="G127" s="40" t="s">
        <v>167</v>
      </c>
      <c r="H127" s="33" t="s">
        <v>282</v>
      </c>
      <c r="I127" s="32">
        <v>43916</v>
      </c>
      <c r="J127" s="87">
        <v>43847</v>
      </c>
      <c r="K127" s="88" t="s">
        <v>987</v>
      </c>
      <c r="L127" s="127">
        <v>2.27</v>
      </c>
      <c r="M127" s="132">
        <v>8.56</v>
      </c>
      <c r="N127" s="88"/>
      <c r="O127" s="88"/>
      <c r="P127" s="88"/>
      <c r="Q127" s="79">
        <v>2.13</v>
      </c>
      <c r="R127" s="79">
        <v>8.52</v>
      </c>
      <c r="S127" s="79">
        <v>8.6</v>
      </c>
      <c r="T127" s="79">
        <v>8.7100000000000009</v>
      </c>
      <c r="U127" s="79" t="s">
        <v>955</v>
      </c>
      <c r="V127" s="79">
        <v>0.08</v>
      </c>
      <c r="W127" s="79">
        <v>0.19</v>
      </c>
      <c r="X127" s="34">
        <v>1</v>
      </c>
      <c r="Y127" s="34" t="s">
        <v>4</v>
      </c>
      <c r="Z127" s="34" t="s">
        <v>941</v>
      </c>
      <c r="AA127" s="34"/>
      <c r="AB127" s="35"/>
    </row>
    <row r="128" spans="1:28" x14ac:dyDescent="0.3">
      <c r="A128" s="124"/>
      <c r="B128" s="114">
        <v>127</v>
      </c>
      <c r="C128" s="38" t="s">
        <v>655</v>
      </c>
      <c r="D128" s="38">
        <v>17954</v>
      </c>
      <c r="E128" s="38" t="s">
        <v>811</v>
      </c>
      <c r="F128" s="39" t="s">
        <v>283</v>
      </c>
      <c r="G128" s="40" t="s">
        <v>18</v>
      </c>
      <c r="H128" s="33" t="s">
        <v>284</v>
      </c>
      <c r="I128" s="32">
        <v>43907</v>
      </c>
      <c r="J128" s="87">
        <v>43882</v>
      </c>
      <c r="K128" s="88" t="s">
        <v>1200</v>
      </c>
      <c r="L128" s="127">
        <f>59.322-57.912</f>
        <v>1.4100000000000037</v>
      </c>
      <c r="M128" s="132">
        <f>(65.426-57.912)+0.086</f>
        <v>7.6000000000000032</v>
      </c>
      <c r="N128" s="88"/>
      <c r="O128" s="88"/>
      <c r="P128" s="88" t="s">
        <v>1201</v>
      </c>
      <c r="Q128" s="79">
        <v>1.31</v>
      </c>
      <c r="R128" s="79">
        <v>7.5</v>
      </c>
      <c r="S128" s="79">
        <v>7.6</v>
      </c>
      <c r="T128" s="79">
        <v>7.66</v>
      </c>
      <c r="U128" s="79" t="s">
        <v>955</v>
      </c>
      <c r="V128" s="79">
        <v>0.1</v>
      </c>
      <c r="W128" s="79">
        <v>0.16</v>
      </c>
      <c r="X128" s="34">
        <v>1</v>
      </c>
      <c r="Y128" s="34" t="s">
        <v>4</v>
      </c>
      <c r="Z128" s="34" t="s">
        <v>941</v>
      </c>
      <c r="AA128" s="34"/>
      <c r="AB128" s="35"/>
    </row>
    <row r="129" spans="1:28" x14ac:dyDescent="0.3">
      <c r="A129" s="124"/>
      <c r="B129" s="114">
        <v>128</v>
      </c>
      <c r="C129" s="38" t="s">
        <v>656</v>
      </c>
      <c r="D129" s="38">
        <v>17972</v>
      </c>
      <c r="E129" s="38" t="s">
        <v>812</v>
      </c>
      <c r="F129" s="39" t="s">
        <v>285</v>
      </c>
      <c r="G129" s="40" t="s">
        <v>29</v>
      </c>
      <c r="H129" s="33" t="s">
        <v>286</v>
      </c>
      <c r="I129" s="32">
        <v>43911</v>
      </c>
      <c r="J129" s="87">
        <v>43852</v>
      </c>
      <c r="K129" s="88">
        <v>0.5395833333333333</v>
      </c>
      <c r="L129" s="127">
        <v>1.1200000000000001</v>
      </c>
      <c r="M129" s="132">
        <v>7.44</v>
      </c>
      <c r="N129" s="88"/>
      <c r="O129" s="88"/>
      <c r="P129" s="88">
        <v>0.54861111111111105</v>
      </c>
      <c r="Q129" s="79">
        <v>1.04</v>
      </c>
      <c r="R129" s="79">
        <v>7.42</v>
      </c>
      <c r="S129" s="79">
        <v>7.49</v>
      </c>
      <c r="T129" s="79">
        <v>7.57</v>
      </c>
      <c r="U129" s="79" t="s">
        <v>955</v>
      </c>
      <c r="V129" s="79">
        <v>7.0000000000000007E-2</v>
      </c>
      <c r="W129" s="79">
        <v>0.15</v>
      </c>
      <c r="X129" s="34">
        <v>1</v>
      </c>
      <c r="Y129" s="34" t="s">
        <v>4</v>
      </c>
      <c r="Z129" s="34" t="s">
        <v>941</v>
      </c>
      <c r="AA129" s="34" t="s">
        <v>1032</v>
      </c>
      <c r="AB129" s="35"/>
    </row>
    <row r="130" spans="1:28" x14ac:dyDescent="0.3">
      <c r="A130" s="124"/>
      <c r="B130" s="114">
        <v>129</v>
      </c>
      <c r="C130" s="38" t="s">
        <v>657</v>
      </c>
      <c r="D130" s="38">
        <v>17983</v>
      </c>
      <c r="E130" s="38" t="s">
        <v>813</v>
      </c>
      <c r="F130" s="39" t="s">
        <v>287</v>
      </c>
      <c r="G130" s="40" t="s">
        <v>29</v>
      </c>
      <c r="H130" s="33" t="s">
        <v>288</v>
      </c>
      <c r="I130" s="32">
        <v>43911</v>
      </c>
      <c r="J130" s="87">
        <v>43873</v>
      </c>
      <c r="K130" s="88">
        <v>0.60555555555555551</v>
      </c>
      <c r="L130" s="127">
        <f>60.662-57.912</f>
        <v>2.75</v>
      </c>
      <c r="M130" s="132">
        <f>(64.649-57.912)+0.086</f>
        <v>6.8230000000000022</v>
      </c>
      <c r="N130" s="88"/>
      <c r="O130" s="88"/>
      <c r="P130" s="88" t="s">
        <v>1007</v>
      </c>
      <c r="Q130" s="79">
        <v>2.5299999999999998</v>
      </c>
      <c r="R130" s="79">
        <v>6.71</v>
      </c>
      <c r="S130" s="79">
        <v>6.82</v>
      </c>
      <c r="T130" s="79">
        <v>7.9</v>
      </c>
      <c r="U130" s="79" t="s">
        <v>955</v>
      </c>
      <c r="V130" s="79">
        <v>0.11</v>
      </c>
      <c r="W130" s="79">
        <v>1.19</v>
      </c>
      <c r="X130" s="34">
        <v>1</v>
      </c>
      <c r="Y130" s="34" t="s">
        <v>4</v>
      </c>
      <c r="Z130" s="34" t="s">
        <v>941</v>
      </c>
      <c r="AA130" s="34"/>
      <c r="AB130" s="35"/>
    </row>
    <row r="131" spans="1:28" x14ac:dyDescent="0.3">
      <c r="A131" s="124"/>
      <c r="B131" s="114">
        <v>130</v>
      </c>
      <c r="C131" s="38" t="s">
        <v>658</v>
      </c>
      <c r="D131" s="38">
        <v>17990</v>
      </c>
      <c r="E131" s="38" t="s">
        <v>814</v>
      </c>
      <c r="F131" s="39" t="s">
        <v>289</v>
      </c>
      <c r="G131" s="40" t="s">
        <v>29</v>
      </c>
      <c r="H131" s="33" t="s">
        <v>290</v>
      </c>
      <c r="I131" s="32">
        <v>43908</v>
      </c>
      <c r="J131" s="87">
        <v>43853</v>
      </c>
      <c r="K131" s="88">
        <v>0.46249999999999997</v>
      </c>
      <c r="L131" s="127">
        <v>3.2989999999999999</v>
      </c>
      <c r="M131" s="132">
        <v>6.75</v>
      </c>
      <c r="N131" s="88"/>
      <c r="O131" s="88"/>
      <c r="P131" s="88">
        <v>0.47222222222222227</v>
      </c>
      <c r="Q131" s="79">
        <v>2.72</v>
      </c>
      <c r="R131" s="79">
        <v>6.73</v>
      </c>
      <c r="S131" s="79">
        <v>6.76</v>
      </c>
      <c r="T131" s="79">
        <v>6.94</v>
      </c>
      <c r="U131" s="79" t="s">
        <v>955</v>
      </c>
      <c r="V131" s="79">
        <v>0.03</v>
      </c>
      <c r="W131" s="79">
        <v>0.21</v>
      </c>
      <c r="X131" s="34">
        <v>1</v>
      </c>
      <c r="Y131" s="34" t="s">
        <v>4</v>
      </c>
      <c r="Z131" s="34" t="s">
        <v>941</v>
      </c>
      <c r="AA131" s="34" t="s">
        <v>1049</v>
      </c>
      <c r="AB131" s="35"/>
    </row>
    <row r="132" spans="1:28" x14ac:dyDescent="0.3">
      <c r="A132" s="124"/>
      <c r="B132" s="114">
        <v>131</v>
      </c>
      <c r="C132" s="38" t="s">
        <v>659</v>
      </c>
      <c r="D132" s="38">
        <v>18037</v>
      </c>
      <c r="E132" s="38" t="s">
        <v>815</v>
      </c>
      <c r="F132" s="39" t="s">
        <v>291</v>
      </c>
      <c r="G132" s="40" t="s">
        <v>29</v>
      </c>
      <c r="H132" s="33" t="s">
        <v>292</v>
      </c>
      <c r="I132" s="32">
        <v>43910</v>
      </c>
      <c r="J132" s="87">
        <v>43850</v>
      </c>
      <c r="K132" s="88">
        <v>0.5083333333333333</v>
      </c>
      <c r="L132" s="127">
        <v>1.6180000000000001</v>
      </c>
      <c r="M132" s="132">
        <v>7.5590000000000002</v>
      </c>
      <c r="N132" s="88"/>
      <c r="O132" s="88"/>
      <c r="P132" s="88">
        <v>0.5625</v>
      </c>
      <c r="Q132" s="79">
        <v>1.58</v>
      </c>
      <c r="R132" s="79">
        <v>7.51</v>
      </c>
      <c r="S132" s="79">
        <v>7.62</v>
      </c>
      <c r="T132" s="79">
        <v>7.7</v>
      </c>
      <c r="U132" s="79" t="s">
        <v>955</v>
      </c>
      <c r="V132" s="79">
        <v>0.11</v>
      </c>
      <c r="W132" s="79">
        <v>0.19</v>
      </c>
      <c r="X132" s="34">
        <v>1</v>
      </c>
      <c r="Y132" s="34" t="s">
        <v>4</v>
      </c>
      <c r="Z132" s="34" t="s">
        <v>941</v>
      </c>
      <c r="AA132" s="34" t="s">
        <v>1000</v>
      </c>
      <c r="AB132" s="35"/>
    </row>
    <row r="133" spans="1:28" x14ac:dyDescent="0.3">
      <c r="A133" s="124"/>
      <c r="B133" s="114">
        <v>132</v>
      </c>
      <c r="C133" s="38" t="s">
        <v>660</v>
      </c>
      <c r="D133" s="38">
        <v>18048</v>
      </c>
      <c r="E133" s="38" t="s">
        <v>816</v>
      </c>
      <c r="F133" s="39" t="s">
        <v>293</v>
      </c>
      <c r="G133" s="40" t="s">
        <v>29</v>
      </c>
      <c r="H133" s="33" t="s">
        <v>294</v>
      </c>
      <c r="I133" s="32">
        <v>43910</v>
      </c>
      <c r="J133" s="87">
        <v>43868</v>
      </c>
      <c r="K133" s="88">
        <v>0.39999999999999997</v>
      </c>
      <c r="L133" s="127">
        <v>1.2809999999999988</v>
      </c>
      <c r="M133" s="132">
        <v>7.3310000000000004</v>
      </c>
      <c r="N133" s="88"/>
      <c r="O133" s="88"/>
      <c r="P133" s="88">
        <v>0.40972222222222227</v>
      </c>
      <c r="Q133" s="79">
        <v>1.29</v>
      </c>
      <c r="R133" s="79">
        <v>7.29</v>
      </c>
      <c r="S133" s="81">
        <v>4.21</v>
      </c>
      <c r="T133" s="79">
        <v>7.47</v>
      </c>
      <c r="U133" s="79" t="s">
        <v>955</v>
      </c>
      <c r="V133" s="97">
        <v>-3.08</v>
      </c>
      <c r="W133" s="79">
        <v>0.18</v>
      </c>
      <c r="X133" s="34">
        <v>1</v>
      </c>
      <c r="Y133" s="34" t="s">
        <v>4</v>
      </c>
      <c r="Z133" s="34" t="s">
        <v>941</v>
      </c>
      <c r="AA133" s="34"/>
      <c r="AB133" s="35"/>
    </row>
    <row r="134" spans="1:28" x14ac:dyDescent="0.3">
      <c r="A134" s="124"/>
      <c r="B134" s="114">
        <v>133</v>
      </c>
      <c r="C134" s="38" t="s">
        <v>661</v>
      </c>
      <c r="D134" s="38">
        <v>18099</v>
      </c>
      <c r="E134" s="38" t="s">
        <v>817</v>
      </c>
      <c r="F134" s="39" t="s">
        <v>295</v>
      </c>
      <c r="G134" s="40" t="s">
        <v>29</v>
      </c>
      <c r="H134" s="33" t="s">
        <v>296</v>
      </c>
      <c r="I134" s="32">
        <v>43908</v>
      </c>
      <c r="J134" s="87">
        <v>43853</v>
      </c>
      <c r="K134" s="88">
        <v>0.37222222222222223</v>
      </c>
      <c r="L134" s="127">
        <v>0.53600000000000003</v>
      </c>
      <c r="M134" s="132">
        <v>7.2549999999999999</v>
      </c>
      <c r="N134" s="88"/>
      <c r="O134" s="88"/>
      <c r="P134" s="88">
        <v>0.38194444444444442</v>
      </c>
      <c r="Q134" s="79">
        <v>0.42</v>
      </c>
      <c r="R134" s="79">
        <v>7.25</v>
      </c>
      <c r="S134" s="79">
        <v>7.29</v>
      </c>
      <c r="T134" s="79">
        <v>7.49</v>
      </c>
      <c r="U134" s="79" t="s">
        <v>955</v>
      </c>
      <c r="V134" s="79">
        <v>0.04</v>
      </c>
      <c r="W134" s="79">
        <v>0.24</v>
      </c>
      <c r="X134" s="34">
        <v>1</v>
      </c>
      <c r="Y134" s="34" t="s">
        <v>4</v>
      </c>
      <c r="Z134" s="34" t="s">
        <v>941</v>
      </c>
      <c r="AA134" s="34" t="s">
        <v>1042</v>
      </c>
      <c r="AB134" s="35"/>
    </row>
    <row r="135" spans="1:28" x14ac:dyDescent="0.3">
      <c r="A135" s="124"/>
      <c r="B135" s="114">
        <v>134</v>
      </c>
      <c r="C135" s="38" t="s">
        <v>996</v>
      </c>
      <c r="D135" s="38">
        <v>18108</v>
      </c>
      <c r="E135" s="38" t="s">
        <v>818</v>
      </c>
      <c r="F135" s="39" t="s">
        <v>297</v>
      </c>
      <c r="G135" s="40" t="s">
        <v>29</v>
      </c>
      <c r="H135" s="33" t="s">
        <v>298</v>
      </c>
      <c r="I135" s="32">
        <v>43910</v>
      </c>
      <c r="J135" s="87">
        <v>43850</v>
      </c>
      <c r="K135" s="88">
        <v>0.48958333333333331</v>
      </c>
      <c r="L135" s="127">
        <v>0.92500000000000004</v>
      </c>
      <c r="M135" s="132">
        <v>10.622999999999999</v>
      </c>
      <c r="N135" s="88"/>
      <c r="O135" s="88"/>
      <c r="P135" s="88">
        <v>0.5</v>
      </c>
      <c r="Q135" s="79">
        <v>0.89</v>
      </c>
      <c r="R135" s="79">
        <v>10.6</v>
      </c>
      <c r="S135" s="79">
        <v>10.69</v>
      </c>
      <c r="T135" s="79">
        <v>10.78</v>
      </c>
      <c r="U135" s="79" t="s">
        <v>955</v>
      </c>
      <c r="V135" s="79">
        <v>0.09</v>
      </c>
      <c r="W135" s="79">
        <v>0.18</v>
      </c>
      <c r="X135" s="34">
        <v>1</v>
      </c>
      <c r="Y135" s="34" t="s">
        <v>4</v>
      </c>
      <c r="Z135" s="34" t="s">
        <v>941</v>
      </c>
      <c r="AA135" s="34"/>
      <c r="AB135" s="35"/>
    </row>
    <row r="136" spans="1:28" x14ac:dyDescent="0.3">
      <c r="A136" s="124"/>
      <c r="B136" s="158">
        <v>135</v>
      </c>
      <c r="C136" s="164" t="s">
        <v>662</v>
      </c>
      <c r="D136" s="164">
        <v>18135</v>
      </c>
      <c r="E136" s="164" t="s">
        <v>819</v>
      </c>
      <c r="F136" s="159" t="s">
        <v>299</v>
      </c>
      <c r="G136" s="160" t="s">
        <v>29</v>
      </c>
      <c r="H136" s="161" t="s">
        <v>300</v>
      </c>
      <c r="I136" s="103">
        <v>43911</v>
      </c>
      <c r="J136" s="165">
        <v>43852</v>
      </c>
      <c r="K136" s="166">
        <v>0.45694444444444443</v>
      </c>
      <c r="L136" s="167"/>
      <c r="M136" s="168"/>
      <c r="N136" s="166"/>
      <c r="O136" s="166"/>
      <c r="P136" s="105"/>
      <c r="Q136" s="106">
        <v>0.79</v>
      </c>
      <c r="R136" s="106">
        <v>7.42</v>
      </c>
      <c r="S136" s="106" t="s">
        <v>949</v>
      </c>
      <c r="T136" s="106">
        <v>7.6</v>
      </c>
      <c r="U136" s="106" t="s">
        <v>955</v>
      </c>
      <c r="V136" s="106" t="s">
        <v>949</v>
      </c>
      <c r="W136" s="106">
        <v>0.18</v>
      </c>
      <c r="X136" s="107"/>
      <c r="Y136" s="107" t="s">
        <v>4</v>
      </c>
      <c r="Z136" s="107" t="s">
        <v>941</v>
      </c>
      <c r="AA136" s="107" t="s">
        <v>1072</v>
      </c>
      <c r="AB136" s="108"/>
    </row>
    <row r="137" spans="1:28" x14ac:dyDescent="0.3">
      <c r="A137" s="124"/>
      <c r="B137" s="141">
        <v>136</v>
      </c>
      <c r="C137" s="142" t="s">
        <v>663</v>
      </c>
      <c r="D137" s="142">
        <v>18179</v>
      </c>
      <c r="E137" s="142" t="s">
        <v>820</v>
      </c>
      <c r="F137" s="143" t="s">
        <v>301</v>
      </c>
      <c r="G137" s="144" t="s">
        <v>29</v>
      </c>
      <c r="H137" s="145" t="s">
        <v>302</v>
      </c>
      <c r="I137" s="146">
        <v>43918</v>
      </c>
      <c r="J137" s="147">
        <v>43850</v>
      </c>
      <c r="K137" s="148" t="s">
        <v>1007</v>
      </c>
      <c r="L137" s="149"/>
      <c r="M137" s="150"/>
      <c r="N137" s="148"/>
      <c r="O137" s="148"/>
      <c r="P137" s="148"/>
      <c r="Q137" s="97">
        <v>1.23</v>
      </c>
      <c r="R137" s="97">
        <v>6.63</v>
      </c>
      <c r="S137" s="97">
        <v>6.95</v>
      </c>
      <c r="T137" s="97">
        <v>6.76</v>
      </c>
      <c r="U137" s="97" t="s">
        <v>955</v>
      </c>
      <c r="V137" s="97">
        <v>0.32</v>
      </c>
      <c r="W137" s="97">
        <v>0.13</v>
      </c>
      <c r="X137" s="151"/>
      <c r="Y137" s="151" t="s">
        <v>4</v>
      </c>
      <c r="Z137" s="151" t="s">
        <v>941</v>
      </c>
      <c r="AA137" s="151" t="s">
        <v>1008</v>
      </c>
      <c r="AB137" s="152"/>
    </row>
    <row r="138" spans="1:28" x14ac:dyDescent="0.3">
      <c r="A138" s="124"/>
      <c r="B138" s="114">
        <v>137</v>
      </c>
      <c r="C138" s="38" t="s">
        <v>664</v>
      </c>
      <c r="D138" s="38">
        <v>18187</v>
      </c>
      <c r="E138" s="38" t="s">
        <v>821</v>
      </c>
      <c r="F138" s="39" t="s">
        <v>303</v>
      </c>
      <c r="G138" s="40" t="s">
        <v>29</v>
      </c>
      <c r="H138" s="33" t="s">
        <v>304</v>
      </c>
      <c r="I138" s="32">
        <v>43914</v>
      </c>
      <c r="J138" s="87">
        <v>43850</v>
      </c>
      <c r="K138" s="88">
        <v>0.61875000000000002</v>
      </c>
      <c r="L138" s="127">
        <v>0.96799999999999997</v>
      </c>
      <c r="M138" s="132">
        <v>1.9159999999999999</v>
      </c>
      <c r="N138" s="88"/>
      <c r="O138" s="88"/>
      <c r="P138" s="88">
        <v>0.625</v>
      </c>
      <c r="Q138" s="79">
        <v>0.74</v>
      </c>
      <c r="R138" s="79">
        <v>1.89</v>
      </c>
      <c r="S138" s="79">
        <v>1.98</v>
      </c>
      <c r="T138" s="79">
        <v>1.98</v>
      </c>
      <c r="U138" s="79" t="s">
        <v>955</v>
      </c>
      <c r="V138" s="79">
        <v>0.09</v>
      </c>
      <c r="W138" s="79">
        <v>0.09</v>
      </c>
      <c r="X138" s="34">
        <v>1</v>
      </c>
      <c r="Y138" s="34" t="s">
        <v>4</v>
      </c>
      <c r="Z138" s="34" t="s">
        <v>941</v>
      </c>
      <c r="AA138" s="34"/>
      <c r="AB138" s="35"/>
    </row>
    <row r="139" spans="1:28" x14ac:dyDescent="0.3">
      <c r="A139" s="124"/>
      <c r="B139" s="114">
        <v>138</v>
      </c>
      <c r="C139" s="38" t="s">
        <v>665</v>
      </c>
      <c r="D139" s="38">
        <v>18194</v>
      </c>
      <c r="E139" s="38" t="s">
        <v>822</v>
      </c>
      <c r="F139" s="39" t="s">
        <v>305</v>
      </c>
      <c r="G139" s="40" t="s">
        <v>29</v>
      </c>
      <c r="H139" s="33" t="s">
        <v>306</v>
      </c>
      <c r="I139" s="32">
        <v>43914</v>
      </c>
      <c r="J139" s="87">
        <v>43865</v>
      </c>
      <c r="K139" s="88">
        <v>0.57916666666666672</v>
      </c>
      <c r="L139" s="127">
        <v>1.2230000000000001</v>
      </c>
      <c r="M139" s="132">
        <v>6.8639999999999999</v>
      </c>
      <c r="N139" s="88"/>
      <c r="O139" s="88"/>
      <c r="P139" s="88">
        <v>0.59027777777777779</v>
      </c>
      <c r="Q139" s="79">
        <v>1.08</v>
      </c>
      <c r="R139" s="79">
        <v>6.83</v>
      </c>
      <c r="S139" s="79">
        <v>6.91</v>
      </c>
      <c r="T139" s="79">
        <v>7.77</v>
      </c>
      <c r="U139" s="79" t="s">
        <v>955</v>
      </c>
      <c r="V139" s="79">
        <v>0.08</v>
      </c>
      <c r="W139" s="79">
        <v>0.94</v>
      </c>
      <c r="X139" s="34">
        <v>1</v>
      </c>
      <c r="Y139" s="34" t="s">
        <v>4</v>
      </c>
      <c r="Z139" s="34" t="s">
        <v>941</v>
      </c>
      <c r="AA139" s="34" t="s">
        <v>1113</v>
      </c>
      <c r="AB139" s="35"/>
    </row>
    <row r="140" spans="1:28" s="109" customFormat="1" x14ac:dyDescent="0.3">
      <c r="A140" s="139"/>
      <c r="B140" s="114">
        <v>139</v>
      </c>
      <c r="C140" s="38" t="s">
        <v>666</v>
      </c>
      <c r="D140" s="38">
        <v>18272</v>
      </c>
      <c r="E140" s="38" t="s">
        <v>823</v>
      </c>
      <c r="F140" s="39" t="s">
        <v>307</v>
      </c>
      <c r="G140" s="40" t="s">
        <v>29</v>
      </c>
      <c r="H140" s="33" t="s">
        <v>308</v>
      </c>
      <c r="I140" s="32">
        <v>43917</v>
      </c>
      <c r="J140" s="87">
        <v>43872</v>
      </c>
      <c r="K140" s="88" t="s">
        <v>1127</v>
      </c>
      <c r="L140" s="127">
        <f>59.233-57.912</f>
        <v>1.320999999999998</v>
      </c>
      <c r="M140" s="132">
        <f>(65.171-57.912)+0.086</f>
        <v>7.3450000000000077</v>
      </c>
      <c r="N140" s="88"/>
      <c r="O140" s="88"/>
      <c r="P140" s="88">
        <v>0.59722222222222221</v>
      </c>
      <c r="Q140" s="79">
        <v>1.1200000000000001</v>
      </c>
      <c r="R140" s="79">
        <v>7.39</v>
      </c>
      <c r="S140" s="79">
        <v>7.55</v>
      </c>
      <c r="T140" s="79">
        <v>7.67</v>
      </c>
      <c r="U140" s="79" t="s">
        <v>955</v>
      </c>
      <c r="V140" s="79">
        <v>0.16</v>
      </c>
      <c r="W140" s="79">
        <v>0.28000000000000003</v>
      </c>
      <c r="X140" s="34">
        <v>1</v>
      </c>
      <c r="Y140" s="34" t="s">
        <v>4</v>
      </c>
      <c r="Z140" s="34" t="s">
        <v>941</v>
      </c>
      <c r="AA140" s="34" t="s">
        <v>1164</v>
      </c>
      <c r="AB140" s="35"/>
    </row>
    <row r="141" spans="1:28" x14ac:dyDescent="0.3">
      <c r="A141" s="124"/>
      <c r="B141" s="114">
        <v>140</v>
      </c>
      <c r="C141" s="38" t="s">
        <v>667</v>
      </c>
      <c r="D141" s="38">
        <v>18282</v>
      </c>
      <c r="E141" s="38" t="s">
        <v>824</v>
      </c>
      <c r="F141" s="39" t="s">
        <v>309</v>
      </c>
      <c r="G141" s="40" t="s">
        <v>29</v>
      </c>
      <c r="H141" s="33" t="s">
        <v>310</v>
      </c>
      <c r="I141" s="32">
        <v>43909</v>
      </c>
      <c r="J141" s="87">
        <v>43853</v>
      </c>
      <c r="K141" s="88" t="s">
        <v>1045</v>
      </c>
      <c r="L141" s="127">
        <v>2.2160000000000002</v>
      </c>
      <c r="M141" s="132">
        <v>6.5</v>
      </c>
      <c r="N141" s="88"/>
      <c r="O141" s="88"/>
      <c r="P141" s="88"/>
      <c r="Q141" s="79">
        <v>1.87</v>
      </c>
      <c r="R141" s="79">
        <v>6.48</v>
      </c>
      <c r="S141" s="79">
        <v>6.6</v>
      </c>
      <c r="T141" s="79">
        <v>6.97</v>
      </c>
      <c r="U141" s="79" t="s">
        <v>955</v>
      </c>
      <c r="V141" s="79">
        <v>0.12</v>
      </c>
      <c r="W141" s="79">
        <v>0.49</v>
      </c>
      <c r="X141" s="34">
        <v>1</v>
      </c>
      <c r="Y141" s="34" t="s">
        <v>4</v>
      </c>
      <c r="Z141" s="34" t="s">
        <v>941</v>
      </c>
      <c r="AA141" s="34" t="s">
        <v>1047</v>
      </c>
      <c r="AB141" s="36"/>
    </row>
    <row r="142" spans="1:28" x14ac:dyDescent="0.3">
      <c r="A142" s="124"/>
      <c r="B142" s="114">
        <v>141</v>
      </c>
      <c r="C142" s="38" t="s">
        <v>668</v>
      </c>
      <c r="D142" s="38">
        <v>18283</v>
      </c>
      <c r="E142" s="38" t="s">
        <v>825</v>
      </c>
      <c r="F142" s="39" t="s">
        <v>311</v>
      </c>
      <c r="G142" s="40" t="s">
        <v>29</v>
      </c>
      <c r="H142" s="33" t="s">
        <v>312</v>
      </c>
      <c r="I142" s="32">
        <v>43914</v>
      </c>
      <c r="J142" s="87">
        <v>43865</v>
      </c>
      <c r="K142" s="88" t="s">
        <v>1110</v>
      </c>
      <c r="L142" s="127">
        <v>1.073</v>
      </c>
      <c r="M142" s="132">
        <v>6.5810000000000004</v>
      </c>
      <c r="N142" s="88"/>
      <c r="O142" s="88"/>
      <c r="P142" s="88" t="s">
        <v>1111</v>
      </c>
      <c r="Q142" s="79">
        <v>0.91</v>
      </c>
      <c r="R142" s="79">
        <v>6.62</v>
      </c>
      <c r="S142" s="79">
        <v>6.62</v>
      </c>
      <c r="T142" s="79">
        <v>6.71</v>
      </c>
      <c r="U142" s="79" t="s">
        <v>955</v>
      </c>
      <c r="V142" s="79">
        <v>0</v>
      </c>
      <c r="W142" s="79">
        <v>0.09</v>
      </c>
      <c r="X142" s="34">
        <v>1</v>
      </c>
      <c r="Y142" s="34" t="s">
        <v>4</v>
      </c>
      <c r="Z142" s="34" t="s">
        <v>941</v>
      </c>
      <c r="AA142" s="34" t="s">
        <v>1112</v>
      </c>
      <c r="AB142" s="35"/>
    </row>
    <row r="143" spans="1:28" x14ac:dyDescent="0.3">
      <c r="A143" s="124"/>
      <c r="B143" s="114">
        <v>142</v>
      </c>
      <c r="C143" s="38" t="s">
        <v>669</v>
      </c>
      <c r="D143" s="38">
        <v>18296</v>
      </c>
      <c r="E143" s="38" t="s">
        <v>826</v>
      </c>
      <c r="F143" s="39" t="s">
        <v>313</v>
      </c>
      <c r="G143" s="40" t="s">
        <v>29</v>
      </c>
      <c r="H143" s="33" t="s">
        <v>314</v>
      </c>
      <c r="I143" s="32">
        <v>43915</v>
      </c>
      <c r="J143" s="87">
        <v>43882</v>
      </c>
      <c r="K143" s="88">
        <v>0.3979166666666667</v>
      </c>
      <c r="L143" s="127">
        <f>60.073-57.912</f>
        <v>2.1610000000000014</v>
      </c>
      <c r="M143" s="132">
        <f>(65.113-57.912)+0.086</f>
        <v>7.2870000000000008</v>
      </c>
      <c r="N143" s="88"/>
      <c r="O143" s="88"/>
      <c r="P143" s="88">
        <v>0.40972222222222227</v>
      </c>
      <c r="Q143" s="79">
        <v>1.99</v>
      </c>
      <c r="R143" s="79">
        <v>7.2</v>
      </c>
      <c r="S143" s="79">
        <v>7.31</v>
      </c>
      <c r="T143" s="79">
        <v>7.37</v>
      </c>
      <c r="U143" s="79" t="s">
        <v>955</v>
      </c>
      <c r="V143" s="79">
        <v>0.11</v>
      </c>
      <c r="W143" s="79">
        <v>0.17</v>
      </c>
      <c r="X143" s="34">
        <v>1</v>
      </c>
      <c r="Y143" s="34" t="s">
        <v>4</v>
      </c>
      <c r="Z143" s="34" t="s">
        <v>941</v>
      </c>
      <c r="AA143" s="34" t="s">
        <v>1193</v>
      </c>
      <c r="AB143" s="36" t="s">
        <v>315</v>
      </c>
    </row>
    <row r="144" spans="1:28" x14ac:dyDescent="0.3">
      <c r="A144" s="157"/>
      <c r="B144" s="114">
        <v>143</v>
      </c>
      <c r="C144" s="38" t="s">
        <v>670</v>
      </c>
      <c r="D144" s="38">
        <v>18316</v>
      </c>
      <c r="E144" s="38" t="s">
        <v>827</v>
      </c>
      <c r="F144" s="39" t="s">
        <v>316</v>
      </c>
      <c r="G144" s="40" t="s">
        <v>29</v>
      </c>
      <c r="H144" s="33" t="s">
        <v>317</v>
      </c>
      <c r="I144" s="32">
        <v>43914</v>
      </c>
      <c r="J144" s="87">
        <v>43868</v>
      </c>
      <c r="K144" s="88" t="s">
        <v>1124</v>
      </c>
      <c r="L144" s="127">
        <v>0.81599999999999995</v>
      </c>
      <c r="M144" s="132">
        <v>6.94</v>
      </c>
      <c r="N144" s="88"/>
      <c r="O144" s="88"/>
      <c r="P144" s="88">
        <v>0.59027777777777779</v>
      </c>
      <c r="Q144" s="79">
        <v>0.66</v>
      </c>
      <c r="R144" s="79">
        <v>6.98</v>
      </c>
      <c r="S144" s="79">
        <v>6.98</v>
      </c>
      <c r="T144" s="79">
        <v>7.9</v>
      </c>
      <c r="U144" s="79" t="s">
        <v>955</v>
      </c>
      <c r="V144" s="79">
        <v>0</v>
      </c>
      <c r="W144" s="79">
        <v>0.92</v>
      </c>
      <c r="X144" s="34">
        <v>1</v>
      </c>
      <c r="Y144" s="34" t="s">
        <v>4</v>
      </c>
      <c r="Z144" s="34" t="s">
        <v>941</v>
      </c>
      <c r="AA144" s="34" t="s">
        <v>1125</v>
      </c>
      <c r="AB144" s="35"/>
    </row>
    <row r="145" spans="1:29" x14ac:dyDescent="0.3">
      <c r="A145" s="140"/>
      <c r="B145" s="158">
        <v>144</v>
      </c>
      <c r="C145" s="164" t="s">
        <v>671</v>
      </c>
      <c r="D145" s="164">
        <v>18321</v>
      </c>
      <c r="E145" s="164" t="s">
        <v>828</v>
      </c>
      <c r="F145" s="159" t="s">
        <v>318</v>
      </c>
      <c r="G145" s="160" t="s">
        <v>29</v>
      </c>
      <c r="H145" s="161" t="s">
        <v>319</v>
      </c>
      <c r="I145" s="103">
        <v>43917</v>
      </c>
      <c r="J145" s="104"/>
      <c r="K145" s="105"/>
      <c r="L145" s="129"/>
      <c r="M145" s="135"/>
      <c r="N145" s="105"/>
      <c r="O145" s="105"/>
      <c r="P145" s="105"/>
      <c r="Q145" s="106">
        <v>0</v>
      </c>
      <c r="R145" s="106">
        <v>10.17</v>
      </c>
      <c r="S145" s="106">
        <v>10.16</v>
      </c>
      <c r="T145" s="106">
        <v>10.08</v>
      </c>
      <c r="U145" s="106" t="s">
        <v>955</v>
      </c>
      <c r="V145" s="106">
        <v>-0.01</v>
      </c>
      <c r="W145" s="106">
        <v>-0.09</v>
      </c>
      <c r="X145" s="107"/>
      <c r="Y145" s="107" t="s">
        <v>6</v>
      </c>
      <c r="Z145" s="107" t="s">
        <v>941</v>
      </c>
      <c r="AA145" s="107" t="s">
        <v>1130</v>
      </c>
      <c r="AB145" s="108" t="s">
        <v>320</v>
      </c>
    </row>
    <row r="146" spans="1:29" x14ac:dyDescent="0.3">
      <c r="A146" s="124"/>
      <c r="B146" s="114">
        <v>145</v>
      </c>
      <c r="C146" s="38" t="s">
        <v>672</v>
      </c>
      <c r="D146" s="38">
        <v>18352</v>
      </c>
      <c r="E146" s="38" t="s">
        <v>829</v>
      </c>
      <c r="F146" s="39" t="s">
        <v>321</v>
      </c>
      <c r="G146" s="40" t="s">
        <v>29</v>
      </c>
      <c r="H146" s="33" t="s">
        <v>322</v>
      </c>
      <c r="I146" s="32">
        <v>43917</v>
      </c>
      <c r="J146" s="87">
        <v>43874</v>
      </c>
      <c r="K146" s="88">
        <v>0.56527777777777777</v>
      </c>
      <c r="L146" s="127">
        <f>58.292-57.912</f>
        <v>0.38000000000000256</v>
      </c>
      <c r="M146" s="132">
        <f>(61.376-57.912)+0.086</f>
        <v>3.5499999999999985</v>
      </c>
      <c r="N146" s="88"/>
      <c r="O146" s="88"/>
      <c r="P146" s="88" t="s">
        <v>1123</v>
      </c>
      <c r="Q146" s="79">
        <v>0.32</v>
      </c>
      <c r="R146" s="79">
        <v>3.52</v>
      </c>
      <c r="S146" s="79">
        <v>4.12</v>
      </c>
      <c r="T146" s="79">
        <v>4.0199999999999996</v>
      </c>
      <c r="U146" s="79" t="s">
        <v>955</v>
      </c>
      <c r="V146" s="79">
        <v>0.6</v>
      </c>
      <c r="W146" s="79">
        <v>0.5</v>
      </c>
      <c r="X146" s="34">
        <v>1</v>
      </c>
      <c r="Y146" s="34" t="s">
        <v>4</v>
      </c>
      <c r="Z146" s="34" t="s">
        <v>941</v>
      </c>
      <c r="AA146" s="34"/>
      <c r="AB146" s="35"/>
    </row>
    <row r="147" spans="1:29" x14ac:dyDescent="0.3">
      <c r="A147" s="124"/>
      <c r="B147" s="141">
        <v>146</v>
      </c>
      <c r="C147" s="142" t="s">
        <v>673</v>
      </c>
      <c r="D147" s="142">
        <v>18353</v>
      </c>
      <c r="E147" s="142" t="s">
        <v>830</v>
      </c>
      <c r="F147" s="143" t="s">
        <v>323</v>
      </c>
      <c r="G147" s="144" t="s">
        <v>29</v>
      </c>
      <c r="H147" s="145" t="s">
        <v>324</v>
      </c>
      <c r="I147" s="146">
        <v>43918</v>
      </c>
      <c r="J147" s="147"/>
      <c r="K147" s="148"/>
      <c r="L147" s="149"/>
      <c r="M147" s="150"/>
      <c r="N147" s="148"/>
      <c r="O147" s="148"/>
      <c r="P147" s="148"/>
      <c r="Q147" s="97">
        <v>0</v>
      </c>
      <c r="R147" s="97">
        <v>7.46</v>
      </c>
      <c r="S147" s="97">
        <v>7.59</v>
      </c>
      <c r="T147" s="97">
        <v>7.69</v>
      </c>
      <c r="U147" s="97" t="s">
        <v>955</v>
      </c>
      <c r="V147" s="97">
        <v>0.13</v>
      </c>
      <c r="W147" s="97">
        <v>0.23</v>
      </c>
      <c r="X147" s="151"/>
      <c r="Y147" s="151" t="s">
        <v>6</v>
      </c>
      <c r="Z147" s="151" t="s">
        <v>941</v>
      </c>
      <c r="AA147" s="151" t="s">
        <v>1130</v>
      </c>
      <c r="AB147" s="152" t="s">
        <v>940</v>
      </c>
    </row>
    <row r="148" spans="1:29" x14ac:dyDescent="0.3">
      <c r="A148" s="124"/>
      <c r="B148" s="114">
        <v>147</v>
      </c>
      <c r="C148" s="38" t="s">
        <v>674</v>
      </c>
      <c r="D148" s="38">
        <v>18432</v>
      </c>
      <c r="E148" s="38" t="s">
        <v>831</v>
      </c>
      <c r="F148" s="39" t="s">
        <v>325</v>
      </c>
      <c r="G148" s="40" t="s">
        <v>29</v>
      </c>
      <c r="H148" s="33" t="s">
        <v>326</v>
      </c>
      <c r="I148" s="32">
        <v>43910</v>
      </c>
      <c r="J148" s="87">
        <v>43850</v>
      </c>
      <c r="K148" s="88" t="s">
        <v>997</v>
      </c>
      <c r="L148" s="127">
        <v>0.96099999999999997</v>
      </c>
      <c r="M148" s="132">
        <v>8.9480000000000004</v>
      </c>
      <c r="N148" s="88"/>
      <c r="O148" s="88"/>
      <c r="P148" s="88" t="s">
        <v>998</v>
      </c>
      <c r="Q148" s="79">
        <v>0.93</v>
      </c>
      <c r="R148" s="79">
        <v>8.92</v>
      </c>
      <c r="S148" s="79">
        <v>8.99</v>
      </c>
      <c r="T148" s="79">
        <v>9.06</v>
      </c>
      <c r="U148" s="79" t="s">
        <v>955</v>
      </c>
      <c r="V148" s="79">
        <v>7.0000000000000007E-2</v>
      </c>
      <c r="W148" s="79">
        <v>0.14000000000000001</v>
      </c>
      <c r="X148" s="34">
        <v>1</v>
      </c>
      <c r="Y148" s="34" t="s">
        <v>4</v>
      </c>
      <c r="Z148" s="34" t="s">
        <v>941</v>
      </c>
      <c r="AA148" s="34"/>
      <c r="AB148" s="35"/>
    </row>
    <row r="149" spans="1:29" s="98" customFormat="1" x14ac:dyDescent="0.3">
      <c r="A149" s="157"/>
      <c r="B149" s="114">
        <v>148</v>
      </c>
      <c r="C149" s="38" t="s">
        <v>675</v>
      </c>
      <c r="D149" s="38">
        <v>61079</v>
      </c>
      <c r="E149" s="38" t="s">
        <v>832</v>
      </c>
      <c r="F149" s="39" t="s">
        <v>327</v>
      </c>
      <c r="G149" s="40" t="s">
        <v>29</v>
      </c>
      <c r="H149" s="33" t="s">
        <v>328</v>
      </c>
      <c r="I149" s="32">
        <v>43910</v>
      </c>
      <c r="J149" s="87">
        <v>43850</v>
      </c>
      <c r="K149" s="88">
        <v>0.43472222222222223</v>
      </c>
      <c r="L149" s="127">
        <v>1.4259999999999999</v>
      </c>
      <c r="M149" s="132">
        <v>7.1920000000000002</v>
      </c>
      <c r="N149" s="88"/>
      <c r="O149" s="88"/>
      <c r="P149" s="88" t="s">
        <v>994</v>
      </c>
      <c r="Q149" s="79">
        <v>1.37</v>
      </c>
      <c r="R149" s="79">
        <v>7.15</v>
      </c>
      <c r="S149" s="79">
        <v>7.26</v>
      </c>
      <c r="T149" s="79">
        <v>7.48</v>
      </c>
      <c r="U149" s="79" t="s">
        <v>955</v>
      </c>
      <c r="V149" s="79">
        <v>0.11</v>
      </c>
      <c r="W149" s="79">
        <v>0.33</v>
      </c>
      <c r="X149" s="34">
        <v>1</v>
      </c>
      <c r="Y149" s="34" t="s">
        <v>4</v>
      </c>
      <c r="Z149" s="34" t="s">
        <v>941</v>
      </c>
      <c r="AA149" s="34"/>
      <c r="AB149" s="35"/>
    </row>
    <row r="150" spans="1:29" x14ac:dyDescent="0.3">
      <c r="A150" s="124"/>
      <c r="B150" s="114">
        <v>149</v>
      </c>
      <c r="C150" s="38" t="s">
        <v>676</v>
      </c>
      <c r="D150" s="38">
        <v>61080</v>
      </c>
      <c r="E150" s="38" t="s">
        <v>833</v>
      </c>
      <c r="F150" s="39" t="s">
        <v>329</v>
      </c>
      <c r="G150" s="40" t="s">
        <v>29</v>
      </c>
      <c r="H150" s="33" t="s">
        <v>330</v>
      </c>
      <c r="I150" s="32">
        <v>43910</v>
      </c>
      <c r="J150" s="87">
        <v>43850</v>
      </c>
      <c r="K150" s="88">
        <v>0.4201388888888889</v>
      </c>
      <c r="L150" s="127">
        <v>1.2629999999999999</v>
      </c>
      <c r="M150" s="132">
        <v>6.5140000000000002</v>
      </c>
      <c r="N150" s="88"/>
      <c r="O150" s="88"/>
      <c r="P150" s="88">
        <v>0.43055555555555558</v>
      </c>
      <c r="Q150" s="79">
        <v>1.59</v>
      </c>
      <c r="R150" s="79">
        <v>7.48</v>
      </c>
      <c r="S150" s="79">
        <v>7.58</v>
      </c>
      <c r="T150" s="79">
        <v>7.5</v>
      </c>
      <c r="U150" s="79" t="s">
        <v>955</v>
      </c>
      <c r="V150" s="79">
        <v>0.1</v>
      </c>
      <c r="W150" s="79">
        <v>0.02</v>
      </c>
      <c r="X150" s="34">
        <v>1</v>
      </c>
      <c r="Y150" s="34" t="s">
        <v>4</v>
      </c>
      <c r="Z150" s="34" t="s">
        <v>941</v>
      </c>
      <c r="AA150" s="34"/>
      <c r="AB150" s="35"/>
    </row>
    <row r="151" spans="1:29" s="98" customFormat="1" x14ac:dyDescent="0.3">
      <c r="A151" s="157"/>
      <c r="B151" s="111">
        <v>150</v>
      </c>
      <c r="C151" s="7" t="s">
        <v>677</v>
      </c>
      <c r="D151" s="7">
        <v>61076</v>
      </c>
      <c r="E151" s="7" t="s">
        <v>834</v>
      </c>
      <c r="F151" s="6" t="s">
        <v>331</v>
      </c>
      <c r="G151" s="5" t="s">
        <v>29</v>
      </c>
      <c r="H151" s="2" t="s">
        <v>332</v>
      </c>
      <c r="I151" s="3">
        <v>43916</v>
      </c>
      <c r="J151" s="89">
        <v>43852</v>
      </c>
      <c r="K151" s="86" t="s">
        <v>1024</v>
      </c>
      <c r="L151" s="125">
        <v>1.1850000000000001</v>
      </c>
      <c r="M151" s="133">
        <v>6.2149999999999999</v>
      </c>
      <c r="N151" s="86"/>
      <c r="O151" s="86"/>
      <c r="P151" s="86" t="s">
        <v>1025</v>
      </c>
      <c r="Q151" s="80">
        <v>1.1200000000000001</v>
      </c>
      <c r="R151" s="80">
        <v>6.29</v>
      </c>
      <c r="S151" s="80">
        <v>6.54</v>
      </c>
      <c r="T151" s="80">
        <v>6.68</v>
      </c>
      <c r="U151" s="80" t="s">
        <v>955</v>
      </c>
      <c r="V151" s="80">
        <v>0.25</v>
      </c>
      <c r="W151" s="80">
        <v>0.39</v>
      </c>
      <c r="X151" s="4">
        <v>1</v>
      </c>
      <c r="Y151" s="4" t="s">
        <v>6</v>
      </c>
      <c r="Z151" s="4" t="s">
        <v>941</v>
      </c>
      <c r="AA151" s="4" t="s">
        <v>1026</v>
      </c>
      <c r="AB151" s="8" t="s">
        <v>264</v>
      </c>
    </row>
    <row r="152" spans="1:29" x14ac:dyDescent="0.3">
      <c r="A152" s="124"/>
      <c r="B152" s="141">
        <v>151</v>
      </c>
      <c r="C152" s="142" t="s">
        <v>3</v>
      </c>
      <c r="D152" s="142">
        <v>61077</v>
      </c>
      <c r="E152" s="142" t="s">
        <v>2</v>
      </c>
      <c r="F152" s="143" t="s">
        <v>333</v>
      </c>
      <c r="G152" s="144" t="s">
        <v>29</v>
      </c>
      <c r="H152" s="145" t="s">
        <v>334</v>
      </c>
      <c r="I152" s="146" t="s">
        <v>949</v>
      </c>
      <c r="J152" s="97"/>
      <c r="K152" s="148"/>
      <c r="L152" s="149"/>
      <c r="M152" s="150"/>
      <c r="N152" s="148"/>
      <c r="O152" s="148"/>
      <c r="P152" s="148"/>
      <c r="Q152" s="97" t="s">
        <v>949</v>
      </c>
      <c r="R152" s="97" t="s">
        <v>949</v>
      </c>
      <c r="S152" s="97">
        <v>5.83</v>
      </c>
      <c r="T152" s="97">
        <v>7</v>
      </c>
      <c r="U152" s="97" t="s">
        <v>955</v>
      </c>
      <c r="V152" s="97" t="s">
        <v>949</v>
      </c>
      <c r="W152" s="97" t="s">
        <v>949</v>
      </c>
      <c r="X152" s="151" t="s">
        <v>949</v>
      </c>
      <c r="Y152" s="151" t="s">
        <v>4</v>
      </c>
      <c r="Z152" s="151" t="s">
        <v>941</v>
      </c>
      <c r="AA152" s="151" t="s">
        <v>1055</v>
      </c>
      <c r="AB152" s="169" t="s">
        <v>963</v>
      </c>
      <c r="AC152" t="s">
        <v>954</v>
      </c>
    </row>
    <row r="153" spans="1:29" x14ac:dyDescent="0.3">
      <c r="A153" s="124"/>
      <c r="B153" s="111">
        <v>152</v>
      </c>
      <c r="C153" s="7" t="s">
        <v>678</v>
      </c>
      <c r="D153" s="7">
        <v>61091</v>
      </c>
      <c r="E153" s="7" t="s">
        <v>835</v>
      </c>
      <c r="F153" s="6" t="s">
        <v>335</v>
      </c>
      <c r="G153" s="5" t="s">
        <v>29</v>
      </c>
      <c r="H153" s="2" t="s">
        <v>336</v>
      </c>
      <c r="I153" s="3">
        <v>43910</v>
      </c>
      <c r="J153" s="89">
        <v>43850</v>
      </c>
      <c r="K153" s="86">
        <v>0.54375000000000007</v>
      </c>
      <c r="L153" s="125">
        <v>4.1580000000000004</v>
      </c>
      <c r="M153" s="133">
        <v>6.76</v>
      </c>
      <c r="N153" s="86"/>
      <c r="O153" s="86"/>
      <c r="P153" s="86">
        <v>0.55555555555555558</v>
      </c>
      <c r="Q153" s="80">
        <v>0.97</v>
      </c>
      <c r="R153" s="80">
        <v>6.74</v>
      </c>
      <c r="S153" s="80">
        <v>6.82</v>
      </c>
      <c r="T153" s="80">
        <v>7.25</v>
      </c>
      <c r="U153" s="80" t="s">
        <v>955</v>
      </c>
      <c r="V153" s="80">
        <v>0.08</v>
      </c>
      <c r="W153" s="80">
        <v>0.51</v>
      </c>
      <c r="X153" s="4">
        <v>1</v>
      </c>
      <c r="Y153" s="4" t="s">
        <v>6</v>
      </c>
      <c r="Z153" s="4" t="s">
        <v>941</v>
      </c>
      <c r="AA153" s="4" t="s">
        <v>999</v>
      </c>
      <c r="AB153" s="8" t="s">
        <v>337</v>
      </c>
    </row>
    <row r="154" spans="1:29" x14ac:dyDescent="0.3">
      <c r="A154" s="124"/>
      <c r="B154" s="114">
        <v>153</v>
      </c>
      <c r="C154" s="38" t="s">
        <v>679</v>
      </c>
      <c r="D154" s="38">
        <v>57414</v>
      </c>
      <c r="E154" s="38" t="s">
        <v>836</v>
      </c>
      <c r="F154" s="39" t="s">
        <v>338</v>
      </c>
      <c r="G154" s="40" t="s">
        <v>18</v>
      </c>
      <c r="H154" s="33" t="s">
        <v>339</v>
      </c>
      <c r="I154" s="32">
        <v>43999</v>
      </c>
      <c r="J154" s="87">
        <v>43872</v>
      </c>
      <c r="K154" s="88">
        <v>0.44513888888888892</v>
      </c>
      <c r="L154" s="127">
        <f>59.216-57.92</f>
        <v>1.2959999999999994</v>
      </c>
      <c r="M154" s="132">
        <f>(63.909-57.912)+0.086</f>
        <v>6.0830000000000002</v>
      </c>
      <c r="N154" s="88"/>
      <c r="O154" s="88"/>
      <c r="P154" s="88">
        <v>0.4513888888888889</v>
      </c>
      <c r="Q154" s="79">
        <v>0.96</v>
      </c>
      <c r="R154" s="79">
        <v>5.93</v>
      </c>
      <c r="S154" s="79">
        <v>6.06</v>
      </c>
      <c r="T154" s="79">
        <v>5.99</v>
      </c>
      <c r="U154" s="79" t="s">
        <v>955</v>
      </c>
      <c r="V154" s="79">
        <v>0.13</v>
      </c>
      <c r="W154" s="79">
        <v>0.06</v>
      </c>
      <c r="X154" s="34">
        <v>1</v>
      </c>
      <c r="Y154" s="34" t="s">
        <v>4</v>
      </c>
      <c r="Z154" s="34" t="s">
        <v>941</v>
      </c>
      <c r="AA154" s="190" t="s">
        <v>1158</v>
      </c>
      <c r="AB154" s="35"/>
    </row>
    <row r="155" spans="1:29" x14ac:dyDescent="0.3">
      <c r="A155" s="124"/>
      <c r="B155" s="114">
        <v>154</v>
      </c>
      <c r="C155" s="38" t="s">
        <v>680</v>
      </c>
      <c r="D155" s="38">
        <v>57429</v>
      </c>
      <c r="E155" s="38" t="s">
        <v>837</v>
      </c>
      <c r="F155" s="39" t="s">
        <v>340</v>
      </c>
      <c r="G155" s="40" t="s">
        <v>18</v>
      </c>
      <c r="H155" s="33" t="s">
        <v>341</v>
      </c>
      <c r="I155" s="32">
        <v>43903</v>
      </c>
      <c r="J155" s="87">
        <v>43857</v>
      </c>
      <c r="K155" s="88" t="s">
        <v>1082</v>
      </c>
      <c r="L155" s="127">
        <v>1.4830000000000001</v>
      </c>
      <c r="M155" s="132">
        <v>5.53</v>
      </c>
      <c r="N155" s="88"/>
      <c r="O155" s="88"/>
      <c r="P155" s="88"/>
      <c r="Q155" s="79">
        <v>1.24</v>
      </c>
      <c r="R155" s="79">
        <v>5.43</v>
      </c>
      <c r="S155" s="79">
        <v>5.53</v>
      </c>
      <c r="T155" s="79">
        <v>5.47</v>
      </c>
      <c r="U155" s="79" t="s">
        <v>955</v>
      </c>
      <c r="V155" s="79">
        <v>0.1</v>
      </c>
      <c r="W155" s="79">
        <v>0.04</v>
      </c>
      <c r="X155" s="34">
        <v>1</v>
      </c>
      <c r="Y155" s="34" t="s">
        <v>4</v>
      </c>
      <c r="Z155" s="34" t="s">
        <v>941</v>
      </c>
      <c r="AA155" s="34" t="s">
        <v>1083</v>
      </c>
      <c r="AB155" s="35"/>
    </row>
    <row r="156" spans="1:29" x14ac:dyDescent="0.3">
      <c r="A156" s="124"/>
      <c r="B156" s="179">
        <v>155</v>
      </c>
      <c r="C156" s="180" t="s">
        <v>681</v>
      </c>
      <c r="D156" s="180">
        <v>57430</v>
      </c>
      <c r="E156" s="180" t="s">
        <v>838</v>
      </c>
      <c r="F156" s="181" t="s">
        <v>342</v>
      </c>
      <c r="G156" s="182" t="s">
        <v>18</v>
      </c>
      <c r="H156" s="183" t="s">
        <v>343</v>
      </c>
      <c r="I156" s="184">
        <v>43908</v>
      </c>
      <c r="J156" s="185">
        <v>43872</v>
      </c>
      <c r="K156" s="186">
        <v>0.42569444444444443</v>
      </c>
      <c r="L156" s="187">
        <f>59.073-57.912</f>
        <v>1.1610000000000014</v>
      </c>
      <c r="M156" s="188">
        <f>(64.357-57.912)+0.086</f>
        <v>6.5310000000000006</v>
      </c>
      <c r="N156" s="186"/>
      <c r="O156" s="186"/>
      <c r="P156" s="186">
        <v>0.43055555555555558</v>
      </c>
      <c r="Q156" s="189">
        <v>0.78</v>
      </c>
      <c r="R156" s="189">
        <v>6.43</v>
      </c>
      <c r="S156" s="189">
        <v>6.52</v>
      </c>
      <c r="T156" s="189">
        <v>6.46</v>
      </c>
      <c r="U156" s="189" t="s">
        <v>955</v>
      </c>
      <c r="V156" s="189">
        <v>0.09</v>
      </c>
      <c r="W156" s="189">
        <v>0.03</v>
      </c>
      <c r="X156" s="190">
        <v>1</v>
      </c>
      <c r="Y156" s="190" t="s">
        <v>4</v>
      </c>
      <c r="Z156" s="190" t="s">
        <v>941</v>
      </c>
      <c r="AA156" s="190" t="s">
        <v>1158</v>
      </c>
      <c r="AB156" s="191"/>
    </row>
    <row r="157" spans="1:29" x14ac:dyDescent="0.3">
      <c r="A157" s="140">
        <f>Table22[[#This Row],[9 month data expiry]]</f>
        <v>43918</v>
      </c>
      <c r="B157" s="114">
        <v>156</v>
      </c>
      <c r="C157" s="38" t="s">
        <v>682</v>
      </c>
      <c r="D157" s="38">
        <v>56586</v>
      </c>
      <c r="E157" s="38" t="s">
        <v>839</v>
      </c>
      <c r="F157" s="39" t="s">
        <v>344</v>
      </c>
      <c r="G157" s="40" t="s">
        <v>29</v>
      </c>
      <c r="H157" s="33" t="s">
        <v>345</v>
      </c>
      <c r="I157" s="32">
        <v>43918</v>
      </c>
      <c r="J157" s="87">
        <v>43872</v>
      </c>
      <c r="K157" s="88" t="s">
        <v>1163</v>
      </c>
      <c r="L157" s="127">
        <f>58.965-57.912</f>
        <v>1.0530000000000044</v>
      </c>
      <c r="M157" s="132">
        <f>(63.541-57.912)+0.086</f>
        <v>5.7149999999999981</v>
      </c>
      <c r="N157" s="88"/>
      <c r="O157" s="88"/>
      <c r="P157" s="88" t="s">
        <v>1123</v>
      </c>
      <c r="Q157" s="79">
        <v>0.92</v>
      </c>
      <c r="R157" s="79">
        <v>5.73</v>
      </c>
      <c r="S157" s="79">
        <v>6</v>
      </c>
      <c r="T157" s="79">
        <v>5.89</v>
      </c>
      <c r="U157" s="79" t="s">
        <v>955</v>
      </c>
      <c r="V157" s="79">
        <v>0.27</v>
      </c>
      <c r="W157" s="79">
        <v>0.16</v>
      </c>
      <c r="X157" s="34">
        <v>1</v>
      </c>
      <c r="Y157" s="34" t="s">
        <v>4</v>
      </c>
      <c r="Z157" s="34" t="s">
        <v>941</v>
      </c>
      <c r="AA157" s="34"/>
      <c r="AB157" s="35"/>
    </row>
    <row r="158" spans="1:29" x14ac:dyDescent="0.3">
      <c r="A158" s="124"/>
      <c r="B158" s="114">
        <v>157</v>
      </c>
      <c r="C158" s="38">
        <v>157</v>
      </c>
      <c r="D158" s="38">
        <v>74013</v>
      </c>
      <c r="E158" s="38" t="s">
        <v>840</v>
      </c>
      <c r="F158" s="39" t="s">
        <v>346</v>
      </c>
      <c r="G158" s="40" t="s">
        <v>18</v>
      </c>
      <c r="H158" s="33" t="s">
        <v>347</v>
      </c>
      <c r="I158" s="32">
        <v>43903</v>
      </c>
      <c r="J158" s="87">
        <v>43872</v>
      </c>
      <c r="K158" s="88">
        <v>0.39652777777777781</v>
      </c>
      <c r="L158" s="127">
        <v>1.7710000000000008</v>
      </c>
      <c r="M158" s="132">
        <v>6.1789999999999967</v>
      </c>
      <c r="N158" s="88"/>
      <c r="O158" s="88"/>
      <c r="P158" s="88">
        <v>0.40277777777777773</v>
      </c>
      <c r="Q158" s="79">
        <v>1.63</v>
      </c>
      <c r="R158" s="79">
        <v>6.08</v>
      </c>
      <c r="S158" s="79">
        <v>6.17</v>
      </c>
      <c r="T158" s="79">
        <v>4.09</v>
      </c>
      <c r="U158" s="79">
        <v>6.14</v>
      </c>
      <c r="V158" s="79">
        <v>0.09</v>
      </c>
      <c r="W158" s="79" t="s">
        <v>948</v>
      </c>
      <c r="X158" s="34">
        <v>1</v>
      </c>
      <c r="Y158" s="34" t="s">
        <v>4</v>
      </c>
      <c r="Z158" s="34" t="s">
        <v>936</v>
      </c>
      <c r="AA158" s="34"/>
      <c r="AB158" s="37"/>
    </row>
    <row r="159" spans="1:29" x14ac:dyDescent="0.3">
      <c r="A159" s="124"/>
      <c r="B159" s="111">
        <v>158</v>
      </c>
      <c r="C159" s="7">
        <v>158</v>
      </c>
      <c r="D159" s="7">
        <v>74015</v>
      </c>
      <c r="E159" s="7" t="s">
        <v>841</v>
      </c>
      <c r="F159" s="6" t="s">
        <v>348</v>
      </c>
      <c r="G159" s="5" t="s">
        <v>18</v>
      </c>
      <c r="H159" s="2" t="s">
        <v>349</v>
      </c>
      <c r="I159" s="3">
        <v>43903</v>
      </c>
      <c r="J159" s="89">
        <v>43858</v>
      </c>
      <c r="K159" s="86">
        <v>0.55208333333333337</v>
      </c>
      <c r="L159" s="125">
        <v>0.188</v>
      </c>
      <c r="M159" s="133">
        <v>6.0069999999999997</v>
      </c>
      <c r="N159" s="86"/>
      <c r="O159" s="86"/>
      <c r="P159" s="86" t="s">
        <v>1095</v>
      </c>
      <c r="Q159" s="80">
        <v>0.02</v>
      </c>
      <c r="R159" s="80">
        <v>5.96</v>
      </c>
      <c r="S159" s="80">
        <v>6.09</v>
      </c>
      <c r="T159" s="80">
        <v>4</v>
      </c>
      <c r="U159" s="80">
        <v>6.07</v>
      </c>
      <c r="V159" s="80">
        <v>0.13</v>
      </c>
      <c r="W159" s="80" t="s">
        <v>948</v>
      </c>
      <c r="X159" s="4">
        <v>1</v>
      </c>
      <c r="Y159" s="4" t="s">
        <v>6</v>
      </c>
      <c r="Z159" s="4" t="s">
        <v>936</v>
      </c>
      <c r="AA159" s="4"/>
      <c r="AB159" s="15" t="s">
        <v>350</v>
      </c>
    </row>
    <row r="160" spans="1:29" s="98" customFormat="1" x14ac:dyDescent="0.3">
      <c r="A160" s="157"/>
      <c r="B160" s="114">
        <v>159</v>
      </c>
      <c r="C160" s="38">
        <v>159</v>
      </c>
      <c r="D160" s="38">
        <v>74076</v>
      </c>
      <c r="E160" s="38" t="s">
        <v>842</v>
      </c>
      <c r="F160" s="39" t="s">
        <v>351</v>
      </c>
      <c r="G160" s="40" t="s">
        <v>18</v>
      </c>
      <c r="H160" s="33" t="s">
        <v>352</v>
      </c>
      <c r="I160" s="32">
        <v>43903</v>
      </c>
      <c r="J160" s="87">
        <v>43871</v>
      </c>
      <c r="K160" s="88" t="s">
        <v>1155</v>
      </c>
      <c r="L160" s="127">
        <f>58.962 -  57.912</f>
        <v>1.0500000000000043</v>
      </c>
      <c r="M160" s="132">
        <f>(63.67- 57.912) + 0.086</f>
        <v>5.844000000000003</v>
      </c>
      <c r="N160" s="88"/>
      <c r="O160" s="88"/>
      <c r="P160" s="88"/>
      <c r="Q160" s="79">
        <v>0.86</v>
      </c>
      <c r="R160" s="79">
        <v>5.77</v>
      </c>
      <c r="S160" s="79">
        <v>5.9</v>
      </c>
      <c r="T160" s="79">
        <v>4</v>
      </c>
      <c r="U160" s="79">
        <v>6.08</v>
      </c>
      <c r="V160" s="79">
        <v>0.13</v>
      </c>
      <c r="W160" s="79" t="s">
        <v>948</v>
      </c>
      <c r="X160" s="34">
        <v>1</v>
      </c>
      <c r="Y160" s="34" t="s">
        <v>4</v>
      </c>
      <c r="Z160" s="34" t="s">
        <v>936</v>
      </c>
      <c r="AA160" s="34"/>
      <c r="AB160" s="37"/>
    </row>
    <row r="161" spans="1:29" x14ac:dyDescent="0.3">
      <c r="A161" s="124"/>
      <c r="B161" s="114">
        <v>160</v>
      </c>
      <c r="C161" s="38">
        <v>160</v>
      </c>
      <c r="D161" s="38">
        <v>65474</v>
      </c>
      <c r="E161" s="38" t="s">
        <v>843</v>
      </c>
      <c r="F161" s="39" t="s">
        <v>353</v>
      </c>
      <c r="G161" s="40" t="s">
        <v>167</v>
      </c>
      <c r="H161" s="33" t="s">
        <v>354</v>
      </c>
      <c r="I161" s="32">
        <v>43916</v>
      </c>
      <c r="J161" s="87">
        <v>43850</v>
      </c>
      <c r="K161" s="88" t="s">
        <v>988</v>
      </c>
      <c r="L161" s="127">
        <v>1.649</v>
      </c>
      <c r="M161" s="132">
        <v>5.6790000000000003</v>
      </c>
      <c r="N161" s="88"/>
      <c r="O161" s="88"/>
      <c r="P161" s="88">
        <v>0.36805555555555558</v>
      </c>
      <c r="Q161" s="79">
        <v>1.47</v>
      </c>
      <c r="R161" s="79">
        <v>5.63</v>
      </c>
      <c r="S161" s="79">
        <v>5.75</v>
      </c>
      <c r="T161" s="79">
        <v>4</v>
      </c>
      <c r="U161" s="79">
        <v>6.09</v>
      </c>
      <c r="V161" s="79">
        <v>0.12</v>
      </c>
      <c r="W161" s="79" t="s">
        <v>948</v>
      </c>
      <c r="X161" s="34">
        <v>1</v>
      </c>
      <c r="Y161" s="34" t="s">
        <v>4</v>
      </c>
      <c r="Z161" s="34" t="s">
        <v>936</v>
      </c>
      <c r="AA161" s="34" t="s">
        <v>989</v>
      </c>
      <c r="AB161" s="35"/>
    </row>
    <row r="162" spans="1:29" x14ac:dyDescent="0.3">
      <c r="A162" s="124"/>
      <c r="B162" s="114">
        <v>161</v>
      </c>
      <c r="C162" s="38">
        <v>161</v>
      </c>
      <c r="D162" s="38">
        <v>65226</v>
      </c>
      <c r="E162" s="38" t="s">
        <v>844</v>
      </c>
      <c r="F162" s="39" t="s">
        <v>355</v>
      </c>
      <c r="G162" s="40" t="s">
        <v>18</v>
      </c>
      <c r="H162" s="33" t="s">
        <v>356</v>
      </c>
      <c r="I162" s="32">
        <v>43907</v>
      </c>
      <c r="J162" s="87">
        <v>43882</v>
      </c>
      <c r="K162" s="88">
        <v>0.58611111111111114</v>
      </c>
      <c r="L162" s="127">
        <f>58.531-57.912</f>
        <v>0.61899999999999977</v>
      </c>
      <c r="M162" s="132">
        <f>(63.741-57.912)+0.086</f>
        <v>5.9150000000000009</v>
      </c>
      <c r="N162" s="88"/>
      <c r="O162" s="88"/>
      <c r="P162" s="88" t="s">
        <v>1199</v>
      </c>
      <c r="Q162" s="79">
        <v>0.55000000000000004</v>
      </c>
      <c r="R162" s="79">
        <v>5.81</v>
      </c>
      <c r="S162" s="79">
        <v>5.98</v>
      </c>
      <c r="T162" s="79" t="e">
        <v>#N/A</v>
      </c>
      <c r="U162" s="79">
        <v>6.02</v>
      </c>
      <c r="V162" s="79">
        <v>0.17</v>
      </c>
      <c r="W162" s="79" t="s">
        <v>946</v>
      </c>
      <c r="X162" s="34">
        <v>1</v>
      </c>
      <c r="Y162" s="34" t="s">
        <v>4</v>
      </c>
      <c r="Z162" s="34" t="s">
        <v>937</v>
      </c>
      <c r="AA162" s="34"/>
      <c r="AB162" s="35"/>
    </row>
    <row r="163" spans="1:29" s="228" customFormat="1" x14ac:dyDescent="0.3">
      <c r="A163" s="140"/>
      <c r="B163" s="114">
        <v>162</v>
      </c>
      <c r="C163" s="38">
        <v>162</v>
      </c>
      <c r="D163" s="38">
        <v>65506</v>
      </c>
      <c r="E163" s="38" t="s">
        <v>845</v>
      </c>
      <c r="F163" s="39" t="s">
        <v>357</v>
      </c>
      <c r="G163" s="40" t="s">
        <v>29</v>
      </c>
      <c r="H163" s="33" t="s">
        <v>358</v>
      </c>
      <c r="I163" s="32">
        <v>43911</v>
      </c>
      <c r="J163" s="87">
        <v>43873</v>
      </c>
      <c r="K163" s="88">
        <v>0.50902777777777775</v>
      </c>
      <c r="L163" s="127">
        <f>60.082-57.912</f>
        <v>2.1700000000000017</v>
      </c>
      <c r="M163" s="132">
        <f>(64.015-57.912)+0.086</f>
        <v>6.1890000000000018</v>
      </c>
      <c r="N163" s="88"/>
      <c r="O163" s="88"/>
      <c r="P163" s="88">
        <v>0.51388888888888895</v>
      </c>
      <c r="Q163" s="79">
        <v>2.1</v>
      </c>
      <c r="R163" s="79">
        <v>6.07</v>
      </c>
      <c r="S163" s="79">
        <v>6.18</v>
      </c>
      <c r="T163" s="79">
        <v>4</v>
      </c>
      <c r="U163" s="79">
        <v>6.2</v>
      </c>
      <c r="V163" s="79">
        <v>0.11</v>
      </c>
      <c r="W163" s="79" t="s">
        <v>948</v>
      </c>
      <c r="X163" s="34">
        <v>1</v>
      </c>
      <c r="Y163" s="34" t="s">
        <v>4</v>
      </c>
      <c r="Z163" s="34" t="s">
        <v>936</v>
      </c>
      <c r="AA163" s="34"/>
      <c r="AB163" s="35"/>
    </row>
    <row r="164" spans="1:29" x14ac:dyDescent="0.3">
      <c r="A164" s="124"/>
      <c r="B164" s="114">
        <v>163</v>
      </c>
      <c r="C164" s="38">
        <v>163</v>
      </c>
      <c r="D164" s="38">
        <v>65436</v>
      </c>
      <c r="E164" s="38" t="s">
        <v>846</v>
      </c>
      <c r="F164" s="39" t="s">
        <v>359</v>
      </c>
      <c r="G164" s="40" t="s">
        <v>167</v>
      </c>
      <c r="H164" s="33" t="s">
        <v>360</v>
      </c>
      <c r="I164" s="32">
        <v>43916</v>
      </c>
      <c r="J164" s="87">
        <v>43847</v>
      </c>
      <c r="K164" s="88">
        <v>0.44097222222222227</v>
      </c>
      <c r="L164" s="127">
        <v>0.318</v>
      </c>
      <c r="M164" s="132">
        <v>5.84</v>
      </c>
      <c r="N164" s="88"/>
      <c r="O164" s="88"/>
      <c r="P164" s="88">
        <v>0.4513888888888889</v>
      </c>
      <c r="Q164" s="79">
        <v>0.19</v>
      </c>
      <c r="R164" s="79">
        <v>5.84</v>
      </c>
      <c r="S164" s="79">
        <v>5.95</v>
      </c>
      <c r="T164" s="79">
        <v>4.05</v>
      </c>
      <c r="U164" s="79">
        <v>6.07</v>
      </c>
      <c r="V164" s="79">
        <v>0.11</v>
      </c>
      <c r="W164" s="79" t="s">
        <v>948</v>
      </c>
      <c r="X164" s="34">
        <v>1</v>
      </c>
      <c r="Y164" s="34" t="s">
        <v>4</v>
      </c>
      <c r="Z164" s="34" t="s">
        <v>936</v>
      </c>
      <c r="AA164" s="34"/>
      <c r="AB164" s="35"/>
    </row>
    <row r="165" spans="1:29" x14ac:dyDescent="0.3">
      <c r="A165" s="124"/>
      <c r="B165" s="114">
        <v>164</v>
      </c>
      <c r="C165" s="38">
        <v>164</v>
      </c>
      <c r="D165" s="38">
        <v>65437</v>
      </c>
      <c r="E165" s="38" t="s">
        <v>847</v>
      </c>
      <c r="F165" s="39" t="s">
        <v>361</v>
      </c>
      <c r="G165" s="40" t="s">
        <v>167</v>
      </c>
      <c r="H165" s="33" t="s">
        <v>362</v>
      </c>
      <c r="I165" s="32">
        <v>43916</v>
      </c>
      <c r="J165" s="87">
        <v>43847</v>
      </c>
      <c r="K165" s="88" t="s">
        <v>984</v>
      </c>
      <c r="L165" s="127">
        <v>1.272</v>
      </c>
      <c r="M165" s="132">
        <v>5.9</v>
      </c>
      <c r="N165" s="88"/>
      <c r="O165" s="88"/>
      <c r="P165" s="88"/>
      <c r="Q165" s="79">
        <v>1.03</v>
      </c>
      <c r="R165" s="79">
        <v>5.78</v>
      </c>
      <c r="S165" s="79">
        <v>5.92</v>
      </c>
      <c r="T165" s="79">
        <v>4</v>
      </c>
      <c r="U165" s="79">
        <v>6.08</v>
      </c>
      <c r="V165" s="79">
        <v>0.14000000000000001</v>
      </c>
      <c r="W165" s="79" t="s">
        <v>948</v>
      </c>
      <c r="X165" s="34">
        <v>1</v>
      </c>
      <c r="Y165" s="34" t="s">
        <v>4</v>
      </c>
      <c r="Z165" s="34" t="s">
        <v>936</v>
      </c>
      <c r="AA165" s="34" t="s">
        <v>982</v>
      </c>
      <c r="AB165" s="35"/>
    </row>
    <row r="166" spans="1:29" x14ac:dyDescent="0.3">
      <c r="A166" s="124"/>
      <c r="B166" s="114">
        <v>165</v>
      </c>
      <c r="C166" s="38">
        <v>165</v>
      </c>
      <c r="D166" s="38">
        <v>65227</v>
      </c>
      <c r="E166" s="38" t="s">
        <v>848</v>
      </c>
      <c r="F166" s="39" t="s">
        <v>363</v>
      </c>
      <c r="G166" s="40" t="s">
        <v>18</v>
      </c>
      <c r="H166" s="33" t="s">
        <v>364</v>
      </c>
      <c r="I166" s="32">
        <v>43907</v>
      </c>
      <c r="J166" s="87">
        <v>43858</v>
      </c>
      <c r="K166" s="88">
        <v>0.52361111111111114</v>
      </c>
      <c r="L166" s="127">
        <v>0.60499999999999998</v>
      </c>
      <c r="M166" s="132">
        <v>5.97</v>
      </c>
      <c r="N166" s="88"/>
      <c r="O166" s="88"/>
      <c r="P166" s="88">
        <v>0.53472222222222221</v>
      </c>
      <c r="Q166" s="79">
        <v>0.59</v>
      </c>
      <c r="R166" s="79">
        <v>5.93</v>
      </c>
      <c r="S166" s="79">
        <v>6.04</v>
      </c>
      <c r="T166" s="79" t="e">
        <v>#N/A</v>
      </c>
      <c r="U166" s="79">
        <v>6.09</v>
      </c>
      <c r="V166" s="79">
        <v>0.11</v>
      </c>
      <c r="W166" s="79" t="s">
        <v>946</v>
      </c>
      <c r="X166" s="34">
        <v>1</v>
      </c>
      <c r="Y166" s="34" t="s">
        <v>4</v>
      </c>
      <c r="Z166" s="34" t="s">
        <v>937</v>
      </c>
      <c r="AA166" s="34"/>
      <c r="AB166" s="35"/>
    </row>
    <row r="167" spans="1:29" x14ac:dyDescent="0.3">
      <c r="A167" s="124"/>
      <c r="B167" s="114">
        <v>166</v>
      </c>
      <c r="C167" s="38" t="s">
        <v>683</v>
      </c>
      <c r="D167" s="38">
        <v>65151</v>
      </c>
      <c r="E167" s="38" t="s">
        <v>849</v>
      </c>
      <c r="F167" s="39" t="s">
        <v>365</v>
      </c>
      <c r="G167" s="40" t="s">
        <v>167</v>
      </c>
      <c r="H167" s="33" t="s">
        <v>366</v>
      </c>
      <c r="I167" s="32">
        <v>43915</v>
      </c>
      <c r="J167" s="87">
        <v>43875</v>
      </c>
      <c r="K167" s="88">
        <v>0.51180555555555551</v>
      </c>
      <c r="L167" s="127">
        <f>58.737-57.912</f>
        <v>0.82500000000000284</v>
      </c>
      <c r="M167" s="132">
        <f>(63.232-57.912)+0.086</f>
        <v>5.4060000000000006</v>
      </c>
      <c r="N167" s="88"/>
      <c r="O167" s="88"/>
      <c r="P167" s="88">
        <v>0.52083333333333337</v>
      </c>
      <c r="Q167" s="79">
        <v>0.67</v>
      </c>
      <c r="R167" s="79">
        <v>5.32</v>
      </c>
      <c r="S167" s="79">
        <v>5.39</v>
      </c>
      <c r="T167" s="79" t="e">
        <v>#N/A</v>
      </c>
      <c r="U167" s="79">
        <v>5.9</v>
      </c>
      <c r="V167" s="79">
        <v>7.0000000000000007E-2</v>
      </c>
      <c r="W167" s="79" t="s">
        <v>946</v>
      </c>
      <c r="X167" s="34">
        <v>1</v>
      </c>
      <c r="Y167" s="34" t="s">
        <v>4</v>
      </c>
      <c r="Z167" s="34" t="s">
        <v>937</v>
      </c>
      <c r="AA167" s="34" t="s">
        <v>1187</v>
      </c>
      <c r="AB167" s="35"/>
    </row>
    <row r="168" spans="1:29" x14ac:dyDescent="0.3">
      <c r="A168" s="124"/>
      <c r="B168" s="114">
        <v>167</v>
      </c>
      <c r="C168" s="38">
        <v>167</v>
      </c>
      <c r="D168" s="38">
        <v>74892</v>
      </c>
      <c r="E168" s="38" t="s">
        <v>850</v>
      </c>
      <c r="F168" s="39" t="s">
        <v>367</v>
      </c>
      <c r="G168" s="40" t="s">
        <v>18</v>
      </c>
      <c r="H168" s="33" t="s">
        <v>368</v>
      </c>
      <c r="I168" s="32">
        <v>43903</v>
      </c>
      <c r="J168" s="87">
        <v>43857</v>
      </c>
      <c r="K168" s="88" t="s">
        <v>1084</v>
      </c>
      <c r="L168" s="127">
        <v>0.61299999999999999</v>
      </c>
      <c r="M168" s="132">
        <v>6.9249999999999998</v>
      </c>
      <c r="N168" s="88"/>
      <c r="O168" s="88"/>
      <c r="P168" s="88" t="s">
        <v>1060</v>
      </c>
      <c r="Q168" s="79">
        <v>0.33</v>
      </c>
      <c r="R168" s="79">
        <v>5.91</v>
      </c>
      <c r="S168" s="79">
        <v>6.01</v>
      </c>
      <c r="T168" s="79" t="e">
        <v>#N/A</v>
      </c>
      <c r="U168" s="79">
        <v>6.16</v>
      </c>
      <c r="V168" s="79">
        <v>0.1</v>
      </c>
      <c r="W168" s="79" t="s">
        <v>946</v>
      </c>
      <c r="X168" s="34">
        <v>1</v>
      </c>
      <c r="Y168" s="34" t="s">
        <v>4</v>
      </c>
      <c r="Z168" s="34" t="s">
        <v>937</v>
      </c>
      <c r="AA168" s="34"/>
      <c r="AB168" s="35"/>
    </row>
    <row r="169" spans="1:29" x14ac:dyDescent="0.3">
      <c r="A169" s="124"/>
      <c r="B169" s="114">
        <v>168</v>
      </c>
      <c r="C169" s="38">
        <v>168</v>
      </c>
      <c r="D169" s="38">
        <v>65190</v>
      </c>
      <c r="E169" s="38" t="s">
        <v>851</v>
      </c>
      <c r="F169" s="39" t="s">
        <v>369</v>
      </c>
      <c r="G169" s="40" t="s">
        <v>29</v>
      </c>
      <c r="H169" s="33" t="s">
        <v>370</v>
      </c>
      <c r="I169" s="32">
        <v>43914</v>
      </c>
      <c r="J169" s="87">
        <v>43874</v>
      </c>
      <c r="K169" s="88">
        <v>0.41250000000000003</v>
      </c>
      <c r="L169" s="127">
        <f>58.44-57.912</f>
        <v>0.52799999999999869</v>
      </c>
      <c r="M169" s="132">
        <f>(63.094-57.912)+0.086</f>
        <v>5.2680000000000025</v>
      </c>
      <c r="N169" s="88"/>
      <c r="O169" s="88"/>
      <c r="P169" s="88">
        <v>0.41666666666666669</v>
      </c>
      <c r="Q169" s="79">
        <v>0.32</v>
      </c>
      <c r="R169" s="79">
        <v>5.18</v>
      </c>
      <c r="S169" s="79">
        <v>6.31</v>
      </c>
      <c r="T169" s="79" t="e">
        <v>#N/A</v>
      </c>
      <c r="U169" s="79">
        <v>6</v>
      </c>
      <c r="V169" s="79">
        <v>1.1299999999999999</v>
      </c>
      <c r="W169" s="79" t="s">
        <v>946</v>
      </c>
      <c r="X169" s="34">
        <v>1</v>
      </c>
      <c r="Y169" s="34" t="s">
        <v>4</v>
      </c>
      <c r="Z169" s="34" t="s">
        <v>937</v>
      </c>
      <c r="AA169" s="34"/>
      <c r="AB169" s="35"/>
    </row>
    <row r="170" spans="1:29" x14ac:dyDescent="0.3">
      <c r="A170" s="124"/>
      <c r="B170" s="114">
        <v>169</v>
      </c>
      <c r="C170" s="38">
        <v>169</v>
      </c>
      <c r="D170" s="38">
        <v>65480</v>
      </c>
      <c r="E170" s="38" t="s">
        <v>852</v>
      </c>
      <c r="F170" s="39" t="s">
        <v>371</v>
      </c>
      <c r="G170" s="40" t="s">
        <v>29</v>
      </c>
      <c r="H170" s="33" t="s">
        <v>372</v>
      </c>
      <c r="I170" s="32">
        <v>43914</v>
      </c>
      <c r="J170" s="87">
        <v>43868</v>
      </c>
      <c r="K170" s="88">
        <v>0.52361111111111114</v>
      </c>
      <c r="L170" s="127">
        <v>2.1859999999999999</v>
      </c>
      <c r="M170" s="132">
        <v>6.0679999999999996</v>
      </c>
      <c r="N170" s="88"/>
      <c r="O170" s="88"/>
      <c r="P170" s="88">
        <v>0.52777777777777779</v>
      </c>
      <c r="Q170" s="79">
        <v>2.02</v>
      </c>
      <c r="R170" s="79">
        <v>6.05</v>
      </c>
      <c r="S170" s="79">
        <v>6.14</v>
      </c>
      <c r="T170" s="79">
        <v>3.88</v>
      </c>
      <c r="U170" s="79">
        <v>6.11</v>
      </c>
      <c r="V170" s="79">
        <v>0.09</v>
      </c>
      <c r="W170" s="79" t="s">
        <v>948</v>
      </c>
      <c r="X170" s="34">
        <v>1</v>
      </c>
      <c r="Y170" s="34" t="s">
        <v>4</v>
      </c>
      <c r="Z170" s="34" t="s">
        <v>936</v>
      </c>
      <c r="AA170" s="34"/>
      <c r="AB170" s="35"/>
    </row>
    <row r="171" spans="1:29" x14ac:dyDescent="0.3">
      <c r="A171" s="124"/>
      <c r="B171" s="114">
        <v>170</v>
      </c>
      <c r="C171" s="38">
        <v>170</v>
      </c>
      <c r="D171" s="38">
        <v>65475</v>
      </c>
      <c r="E171" s="38" t="s">
        <v>853</v>
      </c>
      <c r="F171" s="39" t="s">
        <v>373</v>
      </c>
      <c r="G171" s="40" t="s">
        <v>29</v>
      </c>
      <c r="H171" s="33" t="s">
        <v>374</v>
      </c>
      <c r="I171" s="32">
        <v>43918</v>
      </c>
      <c r="J171" s="87">
        <v>43873</v>
      </c>
      <c r="K171" s="88">
        <v>0.3756944444444445</v>
      </c>
      <c r="L171" s="127">
        <v>0.13200000000000001</v>
      </c>
      <c r="M171" s="132">
        <f>(63.932-57.912)+0.086</f>
        <v>6.1060000000000034</v>
      </c>
      <c r="N171" s="88"/>
      <c r="O171" s="88"/>
      <c r="P171" s="88">
        <v>0.38194444444444442</v>
      </c>
      <c r="Q171" s="79">
        <v>0.02</v>
      </c>
      <c r="R171" s="79">
        <v>8</v>
      </c>
      <c r="S171" s="79">
        <v>6.13</v>
      </c>
      <c r="T171" s="79">
        <v>3.82</v>
      </c>
      <c r="U171" s="79">
        <v>6.14</v>
      </c>
      <c r="V171" s="97">
        <v>-1.87</v>
      </c>
      <c r="W171" s="79" t="s">
        <v>948</v>
      </c>
      <c r="X171" s="34">
        <v>1</v>
      </c>
      <c r="Y171" s="34" t="s">
        <v>4</v>
      </c>
      <c r="Z171" s="34" t="s">
        <v>936</v>
      </c>
      <c r="AA171" s="34" t="s">
        <v>1166</v>
      </c>
      <c r="AB171" s="35" t="s">
        <v>375</v>
      </c>
    </row>
    <row r="172" spans="1:29" ht="28.8" x14ac:dyDescent="0.3">
      <c r="A172" s="124"/>
      <c r="B172" s="179">
        <v>171</v>
      </c>
      <c r="C172" s="180">
        <v>171</v>
      </c>
      <c r="D172" s="180">
        <v>65191</v>
      </c>
      <c r="E172" s="180" t="s">
        <v>854</v>
      </c>
      <c r="F172" s="181" t="s">
        <v>376</v>
      </c>
      <c r="G172" s="182" t="s">
        <v>18</v>
      </c>
      <c r="H172" s="183" t="s">
        <v>377</v>
      </c>
      <c r="I172" s="184">
        <v>43974</v>
      </c>
      <c r="J172" s="185">
        <v>43872</v>
      </c>
      <c r="K172" s="186">
        <v>0.48888888888888887</v>
      </c>
      <c r="L172" s="187">
        <f>59.306-57.912</f>
        <v>1.3939999999999984</v>
      </c>
      <c r="M172" s="188">
        <f>(63.792-57.912)+0.086</f>
        <v>5.9660000000000029</v>
      </c>
      <c r="N172" s="186"/>
      <c r="O172" s="186"/>
      <c r="P172" s="186">
        <v>0.49305555555555558</v>
      </c>
      <c r="Q172" s="189">
        <v>1.35</v>
      </c>
      <c r="R172" s="189">
        <v>6.07</v>
      </c>
      <c r="S172" s="189" t="s">
        <v>949</v>
      </c>
      <c r="T172" s="189">
        <v>2.75</v>
      </c>
      <c r="U172" s="189">
        <v>6</v>
      </c>
      <c r="V172" s="189" t="s">
        <v>949</v>
      </c>
      <c r="W172" s="189" t="s">
        <v>948</v>
      </c>
      <c r="X172" s="190">
        <v>1</v>
      </c>
      <c r="Y172" s="190" t="s">
        <v>4</v>
      </c>
      <c r="Z172" s="190" t="s">
        <v>936</v>
      </c>
      <c r="AA172" s="190" t="s">
        <v>1159</v>
      </c>
      <c r="AB172" s="191" t="s">
        <v>953</v>
      </c>
      <c r="AC172" t="s">
        <v>954</v>
      </c>
    </row>
    <row r="173" spans="1:29" x14ac:dyDescent="0.3">
      <c r="A173" s="124"/>
      <c r="B173" s="112">
        <v>172</v>
      </c>
      <c r="C173" s="17">
        <v>172</v>
      </c>
      <c r="D173" s="17">
        <v>74893</v>
      </c>
      <c r="E173" s="17" t="s">
        <v>855</v>
      </c>
      <c r="F173" s="18" t="s">
        <v>378</v>
      </c>
      <c r="G173" s="9" t="s">
        <v>18</v>
      </c>
      <c r="H173" s="10" t="s">
        <v>379</v>
      </c>
      <c r="I173" s="11" t="s">
        <v>949</v>
      </c>
      <c r="J173" s="84"/>
      <c r="K173" s="85"/>
      <c r="L173" s="126"/>
      <c r="M173" s="134"/>
      <c r="N173" s="85"/>
      <c r="O173" s="85"/>
      <c r="P173" s="85"/>
      <c r="Q173" s="78" t="s">
        <v>949</v>
      </c>
      <c r="R173" s="78" t="s">
        <v>949</v>
      </c>
      <c r="S173" s="78">
        <v>6.05</v>
      </c>
      <c r="T173" s="78">
        <v>3.82</v>
      </c>
      <c r="U173" s="78">
        <v>6.11</v>
      </c>
      <c r="V173" s="78" t="s">
        <v>947</v>
      </c>
      <c r="W173" s="78" t="s">
        <v>948</v>
      </c>
      <c r="X173" s="12" t="s">
        <v>949</v>
      </c>
      <c r="Y173" s="12" t="s">
        <v>11</v>
      </c>
      <c r="Z173" s="12" t="s">
        <v>936</v>
      </c>
      <c r="AA173" s="12"/>
      <c r="AB173" s="19" t="s">
        <v>380</v>
      </c>
    </row>
    <row r="174" spans="1:29" x14ac:dyDescent="0.3">
      <c r="A174" s="124"/>
      <c r="B174" s="114">
        <v>173</v>
      </c>
      <c r="C174" s="38">
        <v>173</v>
      </c>
      <c r="D174" s="38">
        <v>74457</v>
      </c>
      <c r="E174" s="38" t="s">
        <v>856</v>
      </c>
      <c r="F174" s="39" t="s">
        <v>381</v>
      </c>
      <c r="G174" s="40" t="s">
        <v>167</v>
      </c>
      <c r="H174" s="33" t="s">
        <v>382</v>
      </c>
      <c r="I174" s="32">
        <v>43916</v>
      </c>
      <c r="J174" s="87">
        <v>43847</v>
      </c>
      <c r="K174" s="88">
        <v>0.42708333333333331</v>
      </c>
      <c r="L174" s="127">
        <v>0.85299999999999998</v>
      </c>
      <c r="M174" s="132">
        <v>5.9850000000000003</v>
      </c>
      <c r="N174" s="88"/>
      <c r="O174" s="88"/>
      <c r="P174" s="88">
        <v>0.43055555555555558</v>
      </c>
      <c r="Q174" s="79">
        <v>0.66</v>
      </c>
      <c r="R174" s="79">
        <v>5.95</v>
      </c>
      <c r="S174" s="79">
        <v>6.1</v>
      </c>
      <c r="T174" s="79">
        <v>4</v>
      </c>
      <c r="U174" s="79">
        <v>6.1</v>
      </c>
      <c r="V174" s="79">
        <v>0.15</v>
      </c>
      <c r="W174" s="79" t="s">
        <v>946</v>
      </c>
      <c r="X174" s="34">
        <v>1</v>
      </c>
      <c r="Y174" s="34" t="s">
        <v>4</v>
      </c>
      <c r="Z174" s="34" t="s">
        <v>937</v>
      </c>
      <c r="AA174" s="34"/>
      <c r="AB174" s="35"/>
    </row>
    <row r="175" spans="1:29" s="98" customFormat="1" x14ac:dyDescent="0.3">
      <c r="A175" s="157"/>
      <c r="B175" s="114">
        <v>174</v>
      </c>
      <c r="C175" s="38">
        <v>174</v>
      </c>
      <c r="D175" s="38">
        <v>65192</v>
      </c>
      <c r="E175" s="38" t="s">
        <v>857</v>
      </c>
      <c r="F175" s="39" t="s">
        <v>383</v>
      </c>
      <c r="G175" s="40" t="s">
        <v>18</v>
      </c>
      <c r="H175" s="33" t="s">
        <v>384</v>
      </c>
      <c r="I175" s="32">
        <v>43904</v>
      </c>
      <c r="J175" s="87">
        <v>43861</v>
      </c>
      <c r="K175" s="88">
        <v>0.6</v>
      </c>
      <c r="L175" s="127">
        <v>1.6839999999999999</v>
      </c>
      <c r="M175" s="132">
        <v>6.0659999999999998</v>
      </c>
      <c r="N175" s="88"/>
      <c r="O175" s="88"/>
      <c r="P175" s="88">
        <v>0.61111111111111105</v>
      </c>
      <c r="Q175" s="79">
        <v>1.32</v>
      </c>
      <c r="R175" s="79">
        <v>6.04</v>
      </c>
      <c r="S175" s="79">
        <v>6.14</v>
      </c>
      <c r="T175" s="79" t="e">
        <v>#N/A</v>
      </c>
      <c r="U175" s="79">
        <v>6</v>
      </c>
      <c r="V175" s="79">
        <v>0.1</v>
      </c>
      <c r="W175" s="79" t="s">
        <v>946</v>
      </c>
      <c r="X175" s="34">
        <v>1</v>
      </c>
      <c r="Y175" s="34" t="s">
        <v>4</v>
      </c>
      <c r="Z175" s="34" t="s">
        <v>937</v>
      </c>
      <c r="AA175" s="34"/>
      <c r="AB175" s="35"/>
    </row>
    <row r="176" spans="1:29" x14ac:dyDescent="0.3">
      <c r="A176" s="124"/>
      <c r="B176" s="114">
        <v>175</v>
      </c>
      <c r="C176" s="38">
        <v>175</v>
      </c>
      <c r="D176" s="38">
        <v>65288</v>
      </c>
      <c r="E176" s="38" t="s">
        <v>858</v>
      </c>
      <c r="F176" s="39" t="s">
        <v>385</v>
      </c>
      <c r="G176" s="40" t="s">
        <v>18</v>
      </c>
      <c r="H176" s="33" t="s">
        <v>386</v>
      </c>
      <c r="I176" s="32">
        <v>43904</v>
      </c>
      <c r="J176" s="87">
        <v>43872</v>
      </c>
      <c r="K176" s="88">
        <v>0.54375000000000007</v>
      </c>
      <c r="L176" s="127">
        <f>62.095-57.912</f>
        <v>4.1829999999999998</v>
      </c>
      <c r="M176" s="132">
        <f>(65.001-57.912)+0.086</f>
        <v>7.175000000000006</v>
      </c>
      <c r="N176" s="88"/>
      <c r="O176" s="88"/>
      <c r="P176" s="88" t="s">
        <v>1162</v>
      </c>
      <c r="Q176" s="79">
        <v>3.9</v>
      </c>
      <c r="R176" s="79">
        <v>7.09</v>
      </c>
      <c r="S176" s="79">
        <v>7.23</v>
      </c>
      <c r="T176" s="79" t="e">
        <v>#N/A</v>
      </c>
      <c r="U176" s="79">
        <v>7.29</v>
      </c>
      <c r="V176" s="79">
        <v>0.14000000000000001</v>
      </c>
      <c r="W176" s="79" t="s">
        <v>946</v>
      </c>
      <c r="X176" s="34">
        <v>1</v>
      </c>
      <c r="Y176" s="34" t="s">
        <v>4</v>
      </c>
      <c r="Z176" s="34" t="s">
        <v>937</v>
      </c>
      <c r="AA176" s="34"/>
      <c r="AB176" s="35"/>
    </row>
    <row r="177" spans="1:28" x14ac:dyDescent="0.3">
      <c r="A177" s="124"/>
      <c r="B177" s="114">
        <v>176</v>
      </c>
      <c r="C177" s="38">
        <v>176</v>
      </c>
      <c r="D177" s="38">
        <v>65159</v>
      </c>
      <c r="E177" s="38" t="s">
        <v>859</v>
      </c>
      <c r="F177" s="39" t="s">
        <v>387</v>
      </c>
      <c r="G177" s="40" t="s">
        <v>29</v>
      </c>
      <c r="H177" s="33" t="s">
        <v>388</v>
      </c>
      <c r="I177" s="32">
        <v>43908</v>
      </c>
      <c r="J177" s="87">
        <v>43851</v>
      </c>
      <c r="K177" s="88" t="s">
        <v>1011</v>
      </c>
      <c r="L177" s="127">
        <v>2.91</v>
      </c>
      <c r="M177" s="132">
        <v>6.0250000000000004</v>
      </c>
      <c r="N177" s="88"/>
      <c r="O177" s="88"/>
      <c r="P177" s="88"/>
      <c r="Q177" s="79">
        <v>2.79</v>
      </c>
      <c r="R177" s="79">
        <v>6.03</v>
      </c>
      <c r="S177" s="79">
        <v>6.11</v>
      </c>
      <c r="T177" s="79" t="e">
        <v>#N/A</v>
      </c>
      <c r="U177" s="79">
        <v>6</v>
      </c>
      <c r="V177" s="79">
        <v>0.08</v>
      </c>
      <c r="W177" s="79" t="s">
        <v>946</v>
      </c>
      <c r="X177" s="34">
        <v>1</v>
      </c>
      <c r="Y177" s="34" t="s">
        <v>4</v>
      </c>
      <c r="Z177" s="34" t="s">
        <v>937</v>
      </c>
      <c r="AA177" s="34"/>
      <c r="AB177" s="35"/>
    </row>
    <row r="178" spans="1:28" x14ac:dyDescent="0.3">
      <c r="A178" s="124"/>
      <c r="B178" s="112">
        <v>177</v>
      </c>
      <c r="C178" s="17">
        <v>177</v>
      </c>
      <c r="D178" s="17">
        <v>74009</v>
      </c>
      <c r="E178" s="17" t="s">
        <v>860</v>
      </c>
      <c r="F178" s="18" t="s">
        <v>389</v>
      </c>
      <c r="G178" s="9" t="s">
        <v>18</v>
      </c>
      <c r="H178" s="10" t="s">
        <v>390</v>
      </c>
      <c r="I178" s="11" t="s">
        <v>949</v>
      </c>
      <c r="J178" s="78"/>
      <c r="K178" s="85"/>
      <c r="L178" s="126"/>
      <c r="M178" s="134"/>
      <c r="N178" s="85"/>
      <c r="O178" s="85"/>
      <c r="P178" s="85"/>
      <c r="Q178" s="78" t="s">
        <v>949</v>
      </c>
      <c r="R178" s="78" t="s">
        <v>949</v>
      </c>
      <c r="S178" s="78">
        <v>6.08</v>
      </c>
      <c r="T178" s="78">
        <v>4.03</v>
      </c>
      <c r="U178" s="78">
        <v>6.06</v>
      </c>
      <c r="V178" s="78" t="s">
        <v>947</v>
      </c>
      <c r="W178" s="78" t="s">
        <v>948</v>
      </c>
      <c r="X178" s="12" t="s">
        <v>949</v>
      </c>
      <c r="Y178" s="12" t="s">
        <v>11</v>
      </c>
      <c r="Z178" s="12" t="s">
        <v>936</v>
      </c>
      <c r="AA178" s="12"/>
      <c r="AB178" s="10" t="s">
        <v>11</v>
      </c>
    </row>
    <row r="179" spans="1:28" x14ac:dyDescent="0.3">
      <c r="A179" s="124"/>
      <c r="B179" s="114">
        <v>178</v>
      </c>
      <c r="C179" s="38">
        <v>178</v>
      </c>
      <c r="D179" s="38">
        <v>74011</v>
      </c>
      <c r="E179" s="38" t="s">
        <v>861</v>
      </c>
      <c r="F179" s="39" t="s">
        <v>391</v>
      </c>
      <c r="G179" s="40" t="s">
        <v>18</v>
      </c>
      <c r="H179" s="33" t="s">
        <v>392</v>
      </c>
      <c r="I179" s="32">
        <v>43907</v>
      </c>
      <c r="J179" s="87">
        <v>43871</v>
      </c>
      <c r="K179" s="88" t="s">
        <v>1135</v>
      </c>
      <c r="L179" s="127">
        <v>1.385</v>
      </c>
      <c r="M179" s="132">
        <v>6.07</v>
      </c>
      <c r="N179" s="88"/>
      <c r="O179" s="88"/>
      <c r="P179" s="88" t="s">
        <v>1137</v>
      </c>
      <c r="Q179" s="79">
        <v>1.1299999999999999</v>
      </c>
      <c r="R179" s="79">
        <v>8.34</v>
      </c>
      <c r="S179" s="79">
        <v>6.13</v>
      </c>
      <c r="T179" s="79">
        <v>4</v>
      </c>
      <c r="U179" s="79">
        <v>6.09</v>
      </c>
      <c r="V179" s="97">
        <v>-2.21</v>
      </c>
      <c r="W179" s="79" t="s">
        <v>948</v>
      </c>
      <c r="X179" s="34">
        <v>1</v>
      </c>
      <c r="Y179" s="34" t="s">
        <v>4</v>
      </c>
      <c r="Z179" s="34" t="s">
        <v>936</v>
      </c>
      <c r="AA179" s="34" t="s">
        <v>1136</v>
      </c>
      <c r="AB179" s="35"/>
    </row>
    <row r="180" spans="1:28" x14ac:dyDescent="0.3">
      <c r="A180" s="124"/>
      <c r="B180" s="114">
        <v>179</v>
      </c>
      <c r="C180" s="38">
        <v>179</v>
      </c>
      <c r="D180" s="38">
        <v>74014</v>
      </c>
      <c r="E180" s="38" t="s">
        <v>862</v>
      </c>
      <c r="F180" s="39" t="s">
        <v>393</v>
      </c>
      <c r="G180" s="40" t="s">
        <v>18</v>
      </c>
      <c r="H180" s="33" t="s">
        <v>394</v>
      </c>
      <c r="I180" s="32">
        <v>43903</v>
      </c>
      <c r="J180" s="87">
        <v>43871</v>
      </c>
      <c r="K180" s="88">
        <v>0.42083333333333334</v>
      </c>
      <c r="L180" s="127">
        <v>1.03</v>
      </c>
      <c r="M180" s="132">
        <v>6.0149999999999997</v>
      </c>
      <c r="N180" s="88"/>
      <c r="O180" s="88"/>
      <c r="P180" s="88" t="s">
        <v>1134</v>
      </c>
      <c r="Q180" s="79">
        <v>0.8</v>
      </c>
      <c r="R180" s="79">
        <v>6</v>
      </c>
      <c r="S180" s="79">
        <v>6.1</v>
      </c>
      <c r="T180" s="79">
        <v>4</v>
      </c>
      <c r="U180" s="79">
        <v>6.09</v>
      </c>
      <c r="V180" s="79">
        <v>0.1</v>
      </c>
      <c r="W180" s="79" t="s">
        <v>948</v>
      </c>
      <c r="X180" s="34">
        <v>1</v>
      </c>
      <c r="Y180" s="34" t="s">
        <v>4</v>
      </c>
      <c r="Z180" s="34" t="s">
        <v>936</v>
      </c>
      <c r="AA180" s="34" t="s">
        <v>1133</v>
      </c>
      <c r="AB180" s="35"/>
    </row>
    <row r="181" spans="1:28" x14ac:dyDescent="0.3">
      <c r="A181" s="124"/>
      <c r="B181" s="114">
        <v>180</v>
      </c>
      <c r="C181" s="38">
        <v>180</v>
      </c>
      <c r="D181" s="38">
        <v>65505</v>
      </c>
      <c r="E181" s="38" t="s">
        <v>863</v>
      </c>
      <c r="F181" s="39" t="s">
        <v>395</v>
      </c>
      <c r="G181" s="40" t="s">
        <v>18</v>
      </c>
      <c r="H181" s="33" t="s">
        <v>396</v>
      </c>
      <c r="I181" s="32">
        <v>43903</v>
      </c>
      <c r="J181" s="87">
        <v>43871</v>
      </c>
      <c r="K181" s="88" t="s">
        <v>1143</v>
      </c>
      <c r="L181" s="127">
        <v>0.95399999999999996</v>
      </c>
      <c r="M181" s="132">
        <v>6.02</v>
      </c>
      <c r="N181" s="88"/>
      <c r="O181" s="88"/>
      <c r="P181" s="88" t="s">
        <v>1144</v>
      </c>
      <c r="Q181" s="79">
        <v>0.57999999999999996</v>
      </c>
      <c r="R181" s="79">
        <v>6.03</v>
      </c>
      <c r="S181" s="79">
        <v>6.1</v>
      </c>
      <c r="T181" s="79" t="e">
        <v>#N/A</v>
      </c>
      <c r="U181" s="79">
        <v>6.1</v>
      </c>
      <c r="V181" s="79">
        <v>7.0000000000000007E-2</v>
      </c>
      <c r="W181" s="79" t="s">
        <v>946</v>
      </c>
      <c r="X181" s="34">
        <v>1</v>
      </c>
      <c r="Y181" s="34" t="s">
        <v>4</v>
      </c>
      <c r="Z181" s="34" t="s">
        <v>937</v>
      </c>
      <c r="AA181" s="34"/>
      <c r="AB181" s="35"/>
    </row>
    <row r="182" spans="1:28" x14ac:dyDescent="0.3">
      <c r="A182" s="124"/>
      <c r="B182" s="114">
        <v>181</v>
      </c>
      <c r="C182" s="38">
        <v>181</v>
      </c>
      <c r="D182" s="38">
        <v>65193</v>
      </c>
      <c r="E182" s="38" t="s">
        <v>864</v>
      </c>
      <c r="F182" s="39" t="s">
        <v>397</v>
      </c>
      <c r="G182" s="40" t="s">
        <v>18</v>
      </c>
      <c r="H182" s="33" t="s">
        <v>398</v>
      </c>
      <c r="I182" s="32">
        <v>43918</v>
      </c>
      <c r="J182" s="87">
        <v>43858</v>
      </c>
      <c r="K182" s="88">
        <v>0.45208333333333334</v>
      </c>
      <c r="L182" s="127">
        <v>1.234</v>
      </c>
      <c r="M182" s="132">
        <v>6.0339999999999998</v>
      </c>
      <c r="N182" s="88"/>
      <c r="O182" s="88"/>
      <c r="P182" s="88">
        <v>0.45833333333333331</v>
      </c>
      <c r="Q182" s="79">
        <v>1.29</v>
      </c>
      <c r="R182" s="79">
        <v>6</v>
      </c>
      <c r="S182" s="79">
        <v>6.08</v>
      </c>
      <c r="T182" s="79" t="e">
        <v>#N/A</v>
      </c>
      <c r="U182" s="79">
        <v>6</v>
      </c>
      <c r="V182" s="79">
        <v>0.08</v>
      </c>
      <c r="W182" s="79" t="s">
        <v>946</v>
      </c>
      <c r="X182" s="34">
        <v>1</v>
      </c>
      <c r="Y182" s="34" t="s">
        <v>4</v>
      </c>
      <c r="Z182" s="34" t="s">
        <v>937</v>
      </c>
      <c r="AA182" s="34" t="s">
        <v>1091</v>
      </c>
      <c r="AB182" s="35" t="s">
        <v>399</v>
      </c>
    </row>
    <row r="183" spans="1:28" x14ac:dyDescent="0.3">
      <c r="A183" s="124"/>
      <c r="B183" s="114">
        <v>182</v>
      </c>
      <c r="C183" s="38">
        <v>182</v>
      </c>
      <c r="D183" s="38">
        <v>65293</v>
      </c>
      <c r="E183" s="38" t="s">
        <v>865</v>
      </c>
      <c r="F183" s="39" t="s">
        <v>400</v>
      </c>
      <c r="G183" s="40" t="s">
        <v>29</v>
      </c>
      <c r="H183" s="33" t="s">
        <v>401</v>
      </c>
      <c r="I183" s="32">
        <v>43909</v>
      </c>
      <c r="J183" s="87">
        <v>43854</v>
      </c>
      <c r="K183" s="88">
        <v>0.5229166666666667</v>
      </c>
      <c r="L183" s="127">
        <v>0.72</v>
      </c>
      <c r="M183" s="132">
        <v>5.9850000000000003</v>
      </c>
      <c r="N183" s="88"/>
      <c r="O183" s="88"/>
      <c r="P183" s="88">
        <v>0.52777777777777779</v>
      </c>
      <c r="Q183" s="79">
        <v>0.63</v>
      </c>
      <c r="R183" s="79">
        <v>5.85</v>
      </c>
      <c r="S183" s="79">
        <v>5.91</v>
      </c>
      <c r="T183" s="79">
        <v>4</v>
      </c>
      <c r="U183" s="79">
        <v>6.12</v>
      </c>
      <c r="V183" s="79">
        <v>0.06</v>
      </c>
      <c r="W183" s="79" t="s">
        <v>948</v>
      </c>
      <c r="X183" s="34">
        <v>1</v>
      </c>
      <c r="Y183" s="34" t="s">
        <v>4</v>
      </c>
      <c r="Z183" s="34" t="s">
        <v>936</v>
      </c>
      <c r="AA183" s="34" t="s">
        <v>1070</v>
      </c>
      <c r="AB183" s="35"/>
    </row>
    <row r="184" spans="1:28" x14ac:dyDescent="0.3">
      <c r="A184" s="124"/>
      <c r="B184" s="114">
        <v>183</v>
      </c>
      <c r="C184" s="38">
        <v>183</v>
      </c>
      <c r="D184" s="38">
        <v>65516</v>
      </c>
      <c r="E184" s="38" t="s">
        <v>866</v>
      </c>
      <c r="F184" s="39" t="s">
        <v>402</v>
      </c>
      <c r="G184" s="40" t="s">
        <v>18</v>
      </c>
      <c r="H184" s="33" t="s">
        <v>403</v>
      </c>
      <c r="I184" s="32">
        <v>43907</v>
      </c>
      <c r="J184" s="87">
        <v>43882</v>
      </c>
      <c r="K184" s="88">
        <v>0.57777777777777783</v>
      </c>
      <c r="L184" s="127">
        <f>59.61-57.912</f>
        <v>1.6980000000000004</v>
      </c>
      <c r="M184" s="132">
        <f>(63.529-57.912)+0.086</f>
        <v>5.7030000000000047</v>
      </c>
      <c r="N184" s="88"/>
      <c r="O184" s="88"/>
      <c r="P184" s="88" t="s">
        <v>1176</v>
      </c>
      <c r="Q184" s="79">
        <v>1.61</v>
      </c>
      <c r="R184" s="79">
        <v>5.6</v>
      </c>
      <c r="S184" s="79">
        <v>5.71</v>
      </c>
      <c r="T184" s="79" t="e">
        <v>#N/A</v>
      </c>
      <c r="U184" s="79">
        <v>5.97</v>
      </c>
      <c r="V184" s="79">
        <v>0.11</v>
      </c>
      <c r="W184" s="79" t="s">
        <v>946</v>
      </c>
      <c r="X184" s="34">
        <v>1</v>
      </c>
      <c r="Y184" s="34" t="s">
        <v>4</v>
      </c>
      <c r="Z184" s="34" t="s">
        <v>937</v>
      </c>
      <c r="AA184" s="34"/>
      <c r="AB184" s="35"/>
    </row>
    <row r="185" spans="1:28" x14ac:dyDescent="0.3">
      <c r="A185" s="124"/>
      <c r="B185" s="114">
        <v>184</v>
      </c>
      <c r="C185" s="38">
        <v>184</v>
      </c>
      <c r="D185" s="38">
        <v>74078</v>
      </c>
      <c r="E185" s="38" t="s">
        <v>867</v>
      </c>
      <c r="F185" s="39" t="s">
        <v>404</v>
      </c>
      <c r="G185" s="40" t="s">
        <v>29</v>
      </c>
      <c r="H185" s="33" t="s">
        <v>405</v>
      </c>
      <c r="I185" s="32">
        <v>43909</v>
      </c>
      <c r="J185" s="87">
        <v>43857</v>
      </c>
      <c r="K185" s="88" t="s">
        <v>1076</v>
      </c>
      <c r="L185" s="127">
        <v>0.85</v>
      </c>
      <c r="M185" s="132">
        <v>5.88</v>
      </c>
      <c r="N185" s="88"/>
      <c r="O185" s="88"/>
      <c r="P185" s="88" t="s">
        <v>1077</v>
      </c>
      <c r="Q185" s="79">
        <v>0.64</v>
      </c>
      <c r="R185" s="79">
        <v>5.83</v>
      </c>
      <c r="S185" s="79">
        <v>5.98</v>
      </c>
      <c r="T185" s="79">
        <v>7.57</v>
      </c>
      <c r="U185" s="79">
        <v>6.06</v>
      </c>
      <c r="V185" s="79">
        <v>0.15</v>
      </c>
      <c r="W185" s="79" t="s">
        <v>948</v>
      </c>
      <c r="X185" s="34">
        <v>1</v>
      </c>
      <c r="Y185" s="34" t="s">
        <v>4</v>
      </c>
      <c r="Z185" s="34" t="s">
        <v>936</v>
      </c>
      <c r="AA185" s="34" t="s">
        <v>989</v>
      </c>
      <c r="AB185" s="35"/>
    </row>
    <row r="186" spans="1:28" x14ac:dyDescent="0.3">
      <c r="A186" s="124"/>
      <c r="B186" s="114">
        <v>185</v>
      </c>
      <c r="C186" s="38">
        <v>185</v>
      </c>
      <c r="D186" s="38">
        <v>65194</v>
      </c>
      <c r="E186" s="38" t="s">
        <v>868</v>
      </c>
      <c r="F186" s="39" t="s">
        <v>406</v>
      </c>
      <c r="G186" s="40" t="s">
        <v>29</v>
      </c>
      <c r="H186" s="33" t="s">
        <v>407</v>
      </c>
      <c r="I186" s="32">
        <v>43912</v>
      </c>
      <c r="J186" s="87">
        <v>43872</v>
      </c>
      <c r="K186" s="88" t="s">
        <v>1160</v>
      </c>
      <c r="L186" s="127">
        <f>60.095-57.912</f>
        <v>2.1829999999999998</v>
      </c>
      <c r="M186" s="132">
        <f>(63.917-57.912)+0.086</f>
        <v>6.0910000000000029</v>
      </c>
      <c r="N186" s="88"/>
      <c r="O186" s="88"/>
      <c r="P186" s="88">
        <v>0.52777777777777779</v>
      </c>
      <c r="Q186" s="79">
        <v>2.14</v>
      </c>
      <c r="R186" s="79">
        <v>6.08</v>
      </c>
      <c r="S186" s="79">
        <v>6.1</v>
      </c>
      <c r="T186" s="79" t="e">
        <v>#N/A</v>
      </c>
      <c r="U186" s="79">
        <v>6</v>
      </c>
      <c r="V186" s="79">
        <v>0.02</v>
      </c>
      <c r="W186" s="79" t="s">
        <v>946</v>
      </c>
      <c r="X186" s="34">
        <v>1</v>
      </c>
      <c r="Y186" s="34" t="s">
        <v>4</v>
      </c>
      <c r="Z186" s="34" t="s">
        <v>937</v>
      </c>
      <c r="AA186" s="34" t="s">
        <v>1158</v>
      </c>
      <c r="AB186" s="35"/>
    </row>
    <row r="187" spans="1:28" x14ac:dyDescent="0.3">
      <c r="A187" s="124"/>
      <c r="B187" s="114">
        <v>186</v>
      </c>
      <c r="C187" s="38">
        <v>186</v>
      </c>
      <c r="D187" s="38">
        <v>65476</v>
      </c>
      <c r="E187" s="38" t="s">
        <v>869</v>
      </c>
      <c r="F187" s="39" t="s">
        <v>408</v>
      </c>
      <c r="G187" s="40" t="s">
        <v>29</v>
      </c>
      <c r="H187" s="33" t="s">
        <v>409</v>
      </c>
      <c r="I187" s="32">
        <v>43914</v>
      </c>
      <c r="J187" s="87">
        <v>43873</v>
      </c>
      <c r="K187" s="88">
        <v>0.3979166666666667</v>
      </c>
      <c r="L187" s="127">
        <f>58.659-57.912</f>
        <v>0.74699999999999989</v>
      </c>
      <c r="M187" s="132">
        <f>(62.792-57.912)+0.086</f>
        <v>4.9660000000000029</v>
      </c>
      <c r="N187" s="88"/>
      <c r="O187" s="88"/>
      <c r="P187" s="88">
        <v>0.40277777777777773</v>
      </c>
      <c r="Q187" s="79">
        <v>0.54</v>
      </c>
      <c r="R187" s="79">
        <v>5.04</v>
      </c>
      <c r="S187" s="79">
        <v>5.05</v>
      </c>
      <c r="T187" s="79" t="e">
        <v>#N/A</v>
      </c>
      <c r="U187" s="79">
        <v>6.03</v>
      </c>
      <c r="V187" s="79">
        <v>0.01</v>
      </c>
      <c r="W187" s="79" t="s">
        <v>946</v>
      </c>
      <c r="X187" s="34">
        <v>1</v>
      </c>
      <c r="Y187" s="34" t="s">
        <v>4</v>
      </c>
      <c r="Z187" s="34" t="s">
        <v>937</v>
      </c>
      <c r="AA187" s="34"/>
      <c r="AB187" s="35"/>
    </row>
    <row r="188" spans="1:28" x14ac:dyDescent="0.3">
      <c r="A188" s="124"/>
      <c r="B188" s="114">
        <v>187</v>
      </c>
      <c r="C188" s="38">
        <v>187</v>
      </c>
      <c r="D188" s="38">
        <v>74894</v>
      </c>
      <c r="E188" s="38" t="s">
        <v>870</v>
      </c>
      <c r="F188" s="39" t="s">
        <v>410</v>
      </c>
      <c r="G188" s="40" t="s">
        <v>18</v>
      </c>
      <c r="H188" s="33" t="s">
        <v>411</v>
      </c>
      <c r="I188" s="32">
        <v>43907</v>
      </c>
      <c r="J188" s="87">
        <v>43858</v>
      </c>
      <c r="K188" s="88">
        <v>0.50347222222222221</v>
      </c>
      <c r="L188" s="127">
        <v>0.73499999999999999</v>
      </c>
      <c r="M188" s="132">
        <v>6.0430000000000001</v>
      </c>
      <c r="N188" s="88"/>
      <c r="O188" s="88"/>
      <c r="P188" s="88">
        <v>0.50694444444444442</v>
      </c>
      <c r="Q188" s="79">
        <v>0.49</v>
      </c>
      <c r="R188" s="79">
        <v>6.11</v>
      </c>
      <c r="S188" s="79">
        <v>6.1</v>
      </c>
      <c r="T188" s="79" t="e">
        <v>#N/A</v>
      </c>
      <c r="U188" s="79">
        <v>6.1</v>
      </c>
      <c r="V188" s="79">
        <v>-0.01</v>
      </c>
      <c r="W188" s="79" t="s">
        <v>946</v>
      </c>
      <c r="X188" s="34">
        <v>1</v>
      </c>
      <c r="Y188" s="34" t="s">
        <v>4</v>
      </c>
      <c r="Z188" s="34" t="s">
        <v>937</v>
      </c>
      <c r="AA188" s="34"/>
      <c r="AB188" s="35"/>
    </row>
    <row r="189" spans="1:28" x14ac:dyDescent="0.3">
      <c r="A189" s="124"/>
      <c r="B189" s="114">
        <v>188</v>
      </c>
      <c r="C189" s="38">
        <v>188</v>
      </c>
      <c r="D189" s="38">
        <v>74086</v>
      </c>
      <c r="E189" s="38" t="s">
        <v>871</v>
      </c>
      <c r="F189" s="39" t="s">
        <v>412</v>
      </c>
      <c r="G189" s="40" t="s">
        <v>167</v>
      </c>
      <c r="H189" s="33" t="s">
        <v>413</v>
      </c>
      <c r="I189" s="32">
        <v>43915</v>
      </c>
      <c r="J189" s="87">
        <v>43875</v>
      </c>
      <c r="K189" s="88" t="s">
        <v>1185</v>
      </c>
      <c r="L189" s="127">
        <f>59.024-57.912</f>
        <v>1.1120000000000019</v>
      </c>
      <c r="M189" s="132">
        <f>(63.942-57.912)+0.086</f>
        <v>6.1160000000000014</v>
      </c>
      <c r="N189" s="88"/>
      <c r="O189" s="88"/>
      <c r="P189" s="88" t="s">
        <v>1186</v>
      </c>
      <c r="Q189" s="79">
        <v>0.93</v>
      </c>
      <c r="R189" s="79">
        <v>6.04</v>
      </c>
      <c r="S189" s="79">
        <v>6.13</v>
      </c>
      <c r="T189" s="79" t="e">
        <v>#N/A</v>
      </c>
      <c r="U189" s="79">
        <v>6.08</v>
      </c>
      <c r="V189" s="79">
        <v>0.09</v>
      </c>
      <c r="W189" s="79" t="s">
        <v>946</v>
      </c>
      <c r="X189" s="34">
        <v>1</v>
      </c>
      <c r="Y189" s="34" t="s">
        <v>4</v>
      </c>
      <c r="Z189" s="34" t="s">
        <v>937</v>
      </c>
      <c r="AA189" s="34"/>
      <c r="AB189" s="35"/>
    </row>
    <row r="190" spans="1:28" x14ac:dyDescent="0.3">
      <c r="A190" s="124"/>
      <c r="B190" s="114">
        <v>189</v>
      </c>
      <c r="C190" s="38">
        <v>189</v>
      </c>
      <c r="D190" s="38">
        <v>65200</v>
      </c>
      <c r="E190" s="38" t="s">
        <v>872</v>
      </c>
      <c r="F190" s="39" t="s">
        <v>414</v>
      </c>
      <c r="G190" s="40" t="s">
        <v>29</v>
      </c>
      <c r="H190" s="33" t="s">
        <v>415</v>
      </c>
      <c r="I190" s="32">
        <v>43918</v>
      </c>
      <c r="J190" s="87">
        <v>43874</v>
      </c>
      <c r="K190" s="88">
        <v>0.57708333333333328</v>
      </c>
      <c r="L190" s="127">
        <f>58.5-57.912</f>
        <v>0.58800000000000097</v>
      </c>
      <c r="M190" s="132">
        <f>(63.843-57.912)+0.086</f>
        <v>6.0170000000000048</v>
      </c>
      <c r="N190" s="88"/>
      <c r="O190" s="88"/>
      <c r="P190" s="88" t="s">
        <v>1176</v>
      </c>
      <c r="Q190" s="79">
        <v>0.43</v>
      </c>
      <c r="R190" s="79">
        <v>5.91</v>
      </c>
      <c r="S190" s="79">
        <v>6.06</v>
      </c>
      <c r="T190" s="79" t="e">
        <v>#N/A</v>
      </c>
      <c r="U190" s="79">
        <v>6</v>
      </c>
      <c r="V190" s="79">
        <v>0.15</v>
      </c>
      <c r="W190" s="79" t="s">
        <v>946</v>
      </c>
      <c r="X190" s="34">
        <v>1</v>
      </c>
      <c r="Y190" s="34" t="s">
        <v>4</v>
      </c>
      <c r="Z190" s="34" t="s">
        <v>937</v>
      </c>
      <c r="AA190" s="34"/>
      <c r="AB190" s="35"/>
    </row>
    <row r="191" spans="1:28" x14ac:dyDescent="0.3">
      <c r="A191" s="124"/>
      <c r="B191" s="114">
        <v>190</v>
      </c>
      <c r="C191" s="38">
        <v>190</v>
      </c>
      <c r="D191" s="38">
        <v>65337</v>
      </c>
      <c r="E191" s="38" t="s">
        <v>873</v>
      </c>
      <c r="F191" s="39" t="s">
        <v>416</v>
      </c>
      <c r="G191" s="40" t="s">
        <v>29</v>
      </c>
      <c r="H191" s="33" t="s">
        <v>417</v>
      </c>
      <c r="I191" s="32">
        <v>43909</v>
      </c>
      <c r="J191" s="87">
        <v>43854</v>
      </c>
      <c r="K191" s="88">
        <v>0.53402777777777777</v>
      </c>
      <c r="L191" s="127">
        <v>2.84</v>
      </c>
      <c r="M191" s="132">
        <v>6.0410000000000004</v>
      </c>
      <c r="N191" s="88"/>
      <c r="O191" s="88"/>
      <c r="P191" s="88"/>
      <c r="Q191" s="79">
        <v>2.6</v>
      </c>
      <c r="R191" s="79">
        <v>6.02</v>
      </c>
      <c r="S191" s="79">
        <v>6.05</v>
      </c>
      <c r="T191" s="79" t="e">
        <v>#N/A</v>
      </c>
      <c r="U191" s="79">
        <v>6.1</v>
      </c>
      <c r="V191" s="79">
        <v>0.03</v>
      </c>
      <c r="W191" s="79" t="s">
        <v>946</v>
      </c>
      <c r="X191" s="34">
        <v>1</v>
      </c>
      <c r="Y191" s="34" t="s">
        <v>4</v>
      </c>
      <c r="Z191" s="34" t="s">
        <v>937</v>
      </c>
      <c r="AA191" s="34"/>
      <c r="AB191" s="35"/>
    </row>
    <row r="192" spans="1:28" x14ac:dyDescent="0.3">
      <c r="A192" s="124"/>
      <c r="B192" s="114">
        <v>191</v>
      </c>
      <c r="C192" s="38">
        <v>191</v>
      </c>
      <c r="D192" s="38">
        <v>65180</v>
      </c>
      <c r="E192" s="38" t="s">
        <v>874</v>
      </c>
      <c r="F192" s="39" t="s">
        <v>418</v>
      </c>
      <c r="G192" s="40" t="s">
        <v>29</v>
      </c>
      <c r="H192" s="33" t="s">
        <v>419</v>
      </c>
      <c r="I192" s="32">
        <v>43908</v>
      </c>
      <c r="J192" s="87">
        <v>43851</v>
      </c>
      <c r="K192" s="88" t="s">
        <v>1009</v>
      </c>
      <c r="L192" s="127">
        <v>3.3359999999999999</v>
      </c>
      <c r="M192" s="132">
        <v>7.335</v>
      </c>
      <c r="N192" s="88"/>
      <c r="O192" s="88"/>
      <c r="P192" s="88" t="s">
        <v>1010</v>
      </c>
      <c r="Q192" s="79">
        <v>3.35</v>
      </c>
      <c r="R192" s="79">
        <v>7.34</v>
      </c>
      <c r="S192" s="79">
        <v>7.4</v>
      </c>
      <c r="T192" s="79" t="e">
        <v>#N/A</v>
      </c>
      <c r="U192" s="79">
        <v>7.5</v>
      </c>
      <c r="V192" s="79">
        <v>0.06</v>
      </c>
      <c r="W192" s="79" t="s">
        <v>946</v>
      </c>
      <c r="X192" s="34">
        <v>1</v>
      </c>
      <c r="Y192" s="34" t="s">
        <v>4</v>
      </c>
      <c r="Z192" s="34" t="s">
        <v>937</v>
      </c>
      <c r="AA192" s="34"/>
      <c r="AB192" s="35"/>
    </row>
    <row r="193" spans="1:28" x14ac:dyDescent="0.3">
      <c r="A193" s="124"/>
      <c r="B193" s="114">
        <v>192</v>
      </c>
      <c r="C193" s="38">
        <v>192</v>
      </c>
      <c r="D193" s="38">
        <v>74010</v>
      </c>
      <c r="E193" s="38" t="s">
        <v>875</v>
      </c>
      <c r="F193" s="39" t="s">
        <v>420</v>
      </c>
      <c r="G193" s="40" t="s">
        <v>18</v>
      </c>
      <c r="H193" s="33" t="s">
        <v>421</v>
      </c>
      <c r="I193" s="32">
        <v>43903</v>
      </c>
      <c r="J193" s="87">
        <v>43858</v>
      </c>
      <c r="K193" s="88">
        <v>0.46597222222222223</v>
      </c>
      <c r="L193" s="127">
        <v>0.96599999999999997</v>
      </c>
      <c r="M193" s="132">
        <v>6.08</v>
      </c>
      <c r="N193" s="88"/>
      <c r="O193" s="88"/>
      <c r="P193" s="88">
        <v>0.47222222222222227</v>
      </c>
      <c r="Q193" s="79">
        <v>0.75</v>
      </c>
      <c r="R193" s="79">
        <v>6.06</v>
      </c>
      <c r="S193" s="79">
        <v>6.14</v>
      </c>
      <c r="T193" s="79">
        <v>4</v>
      </c>
      <c r="U193" s="79">
        <v>7.14</v>
      </c>
      <c r="V193" s="79">
        <v>0.08</v>
      </c>
      <c r="W193" s="79" t="s">
        <v>948</v>
      </c>
      <c r="X193" s="34">
        <v>1</v>
      </c>
      <c r="Y193" s="34" t="s">
        <v>4</v>
      </c>
      <c r="Z193" s="34" t="s">
        <v>936</v>
      </c>
      <c r="AA193" s="34"/>
      <c r="AB193" s="35"/>
    </row>
    <row r="194" spans="1:28" x14ac:dyDescent="0.3">
      <c r="A194" s="124"/>
      <c r="B194" s="114">
        <v>193</v>
      </c>
      <c r="C194" s="38">
        <v>193</v>
      </c>
      <c r="D194" s="38">
        <v>74488</v>
      </c>
      <c r="E194" s="38" t="s">
        <v>876</v>
      </c>
      <c r="F194" s="39" t="s">
        <v>422</v>
      </c>
      <c r="G194" s="40" t="s">
        <v>18</v>
      </c>
      <c r="H194" s="33" t="s">
        <v>423</v>
      </c>
      <c r="I194" s="32">
        <v>43903</v>
      </c>
      <c r="J194" s="87">
        <v>43871</v>
      </c>
      <c r="K194" s="88" t="s">
        <v>1149</v>
      </c>
      <c r="L194" s="127">
        <f>59.715 - 57.912</f>
        <v>1.8030000000000044</v>
      </c>
      <c r="M194" s="132">
        <f>63.97 -57.912</f>
        <v>6.0579999999999998</v>
      </c>
      <c r="N194" s="88"/>
      <c r="O194" s="88"/>
      <c r="P194" s="88" t="s">
        <v>1111</v>
      </c>
      <c r="Q194" s="79">
        <v>1.61</v>
      </c>
      <c r="R194" s="79">
        <v>6.07</v>
      </c>
      <c r="S194" s="79">
        <v>6.17</v>
      </c>
      <c r="T194" s="79" t="e">
        <v>#N/A</v>
      </c>
      <c r="U194" s="79">
        <v>6.13</v>
      </c>
      <c r="V194" s="79">
        <v>0.1</v>
      </c>
      <c r="W194" s="79" t="s">
        <v>946</v>
      </c>
      <c r="X194" s="34">
        <v>1</v>
      </c>
      <c r="Y194" s="34" t="s">
        <v>4</v>
      </c>
      <c r="Z194" s="34" t="s">
        <v>937</v>
      </c>
      <c r="AA194" s="34"/>
      <c r="AB194" s="35"/>
    </row>
    <row r="195" spans="1:28" x14ac:dyDescent="0.3">
      <c r="A195" s="124"/>
      <c r="B195" s="114">
        <v>194</v>
      </c>
      <c r="C195" s="38">
        <v>194</v>
      </c>
      <c r="D195" s="38">
        <v>74077</v>
      </c>
      <c r="E195" s="38" t="s">
        <v>877</v>
      </c>
      <c r="F195" s="39" t="s">
        <v>424</v>
      </c>
      <c r="G195" s="40" t="s">
        <v>18</v>
      </c>
      <c r="H195" s="33" t="s">
        <v>425</v>
      </c>
      <c r="I195" s="32">
        <v>43903</v>
      </c>
      <c r="J195" s="87">
        <v>43871</v>
      </c>
      <c r="K195" s="88" t="s">
        <v>1156</v>
      </c>
      <c r="L195" s="127">
        <f>59.53 - 57.912</f>
        <v>1.6180000000000021</v>
      </c>
      <c r="M195" s="132">
        <f>(63.995- 57.912) + 0.086</f>
        <v>6.1689999999999987</v>
      </c>
      <c r="N195" s="88"/>
      <c r="O195" s="88"/>
      <c r="P195" s="88">
        <v>0.13194444444444445</v>
      </c>
      <c r="Q195" s="79">
        <v>1.44</v>
      </c>
      <c r="R195" s="79">
        <v>6.08</v>
      </c>
      <c r="S195" s="79">
        <v>6.1</v>
      </c>
      <c r="T195" s="79" t="e">
        <v>#N/A</v>
      </c>
      <c r="U195" s="79">
        <v>6.12</v>
      </c>
      <c r="V195" s="79">
        <v>0.02</v>
      </c>
      <c r="W195" s="79" t="s">
        <v>946</v>
      </c>
      <c r="X195" s="34">
        <v>1</v>
      </c>
      <c r="Y195" s="34" t="s">
        <v>4</v>
      </c>
      <c r="Z195" s="34" t="s">
        <v>937</v>
      </c>
      <c r="AA195" s="34"/>
      <c r="AB195" s="35"/>
    </row>
    <row r="196" spans="1:28" x14ac:dyDescent="0.3">
      <c r="A196" s="124"/>
      <c r="B196" s="114">
        <v>195</v>
      </c>
      <c r="C196" s="38">
        <v>195</v>
      </c>
      <c r="D196" s="38">
        <v>65477</v>
      </c>
      <c r="E196" s="38" t="s">
        <v>878</v>
      </c>
      <c r="F196" s="39" t="s">
        <v>426</v>
      </c>
      <c r="G196" s="40" t="s">
        <v>29</v>
      </c>
      <c r="H196" s="33" t="s">
        <v>427</v>
      </c>
      <c r="I196" s="32">
        <v>43911</v>
      </c>
      <c r="J196" s="87">
        <v>43873</v>
      </c>
      <c r="K196" s="88">
        <v>0.61875000000000002</v>
      </c>
      <c r="L196" s="127">
        <f>58.986-57.912</f>
        <v>1.0739999999999981</v>
      </c>
      <c r="M196" s="132">
        <f>(64.007-57.912)+0.086</f>
        <v>6.1810000000000063</v>
      </c>
      <c r="N196" s="88"/>
      <c r="O196" s="88"/>
      <c r="P196" s="88" t="s">
        <v>1172</v>
      </c>
      <c r="Q196" s="79">
        <v>1.0900000000000001</v>
      </c>
      <c r="R196" s="79">
        <v>6.07</v>
      </c>
      <c r="S196" s="79">
        <v>6.16</v>
      </c>
      <c r="T196" s="79" t="e">
        <v>#N/A</v>
      </c>
      <c r="U196" s="79">
        <v>6.13</v>
      </c>
      <c r="V196" s="79">
        <v>0.09</v>
      </c>
      <c r="W196" s="79" t="s">
        <v>946</v>
      </c>
      <c r="X196" s="34">
        <v>1</v>
      </c>
      <c r="Y196" s="34" t="s">
        <v>4</v>
      </c>
      <c r="Z196" s="34" t="s">
        <v>937</v>
      </c>
      <c r="AA196" s="34"/>
      <c r="AB196" s="35"/>
    </row>
    <row r="197" spans="1:28" x14ac:dyDescent="0.3">
      <c r="A197" s="124"/>
      <c r="B197" s="114">
        <v>196</v>
      </c>
      <c r="C197" s="38">
        <v>196</v>
      </c>
      <c r="D197" s="38">
        <v>65338</v>
      </c>
      <c r="E197" s="38" t="s">
        <v>879</v>
      </c>
      <c r="F197" s="39" t="s">
        <v>428</v>
      </c>
      <c r="G197" s="40" t="s">
        <v>18</v>
      </c>
      <c r="H197" s="33" t="s">
        <v>429</v>
      </c>
      <c r="I197" s="32">
        <v>43903</v>
      </c>
      <c r="J197" s="87">
        <v>43858</v>
      </c>
      <c r="K197" s="88">
        <v>0.53611111111111109</v>
      </c>
      <c r="L197" s="127">
        <v>0.72</v>
      </c>
      <c r="M197" s="132">
        <v>5.9409999999999998</v>
      </c>
      <c r="N197" s="88"/>
      <c r="O197" s="88"/>
      <c r="P197" s="88" t="s">
        <v>1093</v>
      </c>
      <c r="Q197" s="79">
        <v>0.57999999999999996</v>
      </c>
      <c r="R197" s="79">
        <v>5.85</v>
      </c>
      <c r="S197" s="79">
        <v>5.97</v>
      </c>
      <c r="T197" s="79" t="e">
        <v>#N/A</v>
      </c>
      <c r="U197" s="79">
        <v>6.08</v>
      </c>
      <c r="V197" s="79">
        <v>0.12</v>
      </c>
      <c r="W197" s="79" t="s">
        <v>946</v>
      </c>
      <c r="X197" s="34">
        <v>1</v>
      </c>
      <c r="Y197" s="34" t="s">
        <v>4</v>
      </c>
      <c r="Z197" s="34" t="s">
        <v>937</v>
      </c>
      <c r="AA197" s="34" t="s">
        <v>1094</v>
      </c>
      <c r="AB197" s="35"/>
    </row>
    <row r="198" spans="1:28" x14ac:dyDescent="0.3">
      <c r="A198" s="124"/>
      <c r="B198" s="114">
        <v>197</v>
      </c>
      <c r="C198" s="38">
        <v>197</v>
      </c>
      <c r="D198" s="38">
        <v>65228</v>
      </c>
      <c r="E198" s="38" t="s">
        <v>880</v>
      </c>
      <c r="F198" s="39" t="s">
        <v>430</v>
      </c>
      <c r="G198" s="40" t="s">
        <v>18</v>
      </c>
      <c r="H198" s="33" t="s">
        <v>431</v>
      </c>
      <c r="I198" s="32">
        <v>43903</v>
      </c>
      <c r="J198" s="87">
        <v>43854</v>
      </c>
      <c r="K198" s="88">
        <v>0.55138888888888882</v>
      </c>
      <c r="L198" s="127">
        <v>1.81</v>
      </c>
      <c r="M198" s="132">
        <v>5.915</v>
      </c>
      <c r="N198" s="88"/>
      <c r="O198" s="88"/>
      <c r="P198" s="88">
        <v>0.55555555555555558</v>
      </c>
      <c r="Q198" s="79">
        <v>1.54</v>
      </c>
      <c r="R198" s="79">
        <v>5.9</v>
      </c>
      <c r="S198" s="79">
        <v>6</v>
      </c>
      <c r="T198" s="79" t="e">
        <v>#N/A</v>
      </c>
      <c r="U198" s="79">
        <v>6.03</v>
      </c>
      <c r="V198" s="79">
        <v>0.1</v>
      </c>
      <c r="W198" s="79" t="s">
        <v>946</v>
      </c>
      <c r="X198" s="34">
        <v>1</v>
      </c>
      <c r="Y198" s="34" t="s">
        <v>4</v>
      </c>
      <c r="Z198" s="34" t="s">
        <v>937</v>
      </c>
      <c r="AA198" s="34" t="s">
        <v>1071</v>
      </c>
      <c r="AB198" s="35"/>
    </row>
    <row r="199" spans="1:28" x14ac:dyDescent="0.3">
      <c r="A199" s="124"/>
      <c r="B199" s="114">
        <v>198</v>
      </c>
      <c r="C199" s="38">
        <v>198</v>
      </c>
      <c r="D199" s="38">
        <v>74841</v>
      </c>
      <c r="E199" s="38" t="s">
        <v>881</v>
      </c>
      <c r="F199" s="39" t="s">
        <v>432</v>
      </c>
      <c r="G199" s="40" t="s">
        <v>29</v>
      </c>
      <c r="H199" s="33" t="s">
        <v>433</v>
      </c>
      <c r="I199" s="32">
        <v>43914</v>
      </c>
      <c r="J199" s="87">
        <v>43873</v>
      </c>
      <c r="K199" s="88">
        <v>0.49722222222222223</v>
      </c>
      <c r="L199" s="127">
        <f>60.712-57.912</f>
        <v>2.8000000000000043</v>
      </c>
      <c r="M199" s="132">
        <f>(63.654-57.912)+0.086</f>
        <v>5.8280000000000047</v>
      </c>
      <c r="N199" s="88"/>
      <c r="O199" s="88"/>
      <c r="P199" s="88">
        <v>0.50694444444444442</v>
      </c>
      <c r="Q199" s="79">
        <v>2.6</v>
      </c>
      <c r="R199" s="79">
        <v>5.74</v>
      </c>
      <c r="S199" s="79">
        <v>5.89</v>
      </c>
      <c r="T199" s="79" t="e">
        <v>#N/A</v>
      </c>
      <c r="U199" s="79">
        <v>5.85</v>
      </c>
      <c r="V199" s="79">
        <v>0.15</v>
      </c>
      <c r="W199" s="79" t="s">
        <v>946</v>
      </c>
      <c r="X199" s="34">
        <v>1</v>
      </c>
      <c r="Y199" s="34" t="s">
        <v>4</v>
      </c>
      <c r="Z199" s="34" t="s">
        <v>937</v>
      </c>
      <c r="AA199" s="34" t="s">
        <v>1167</v>
      </c>
      <c r="AB199" s="35"/>
    </row>
    <row r="200" spans="1:28" x14ac:dyDescent="0.3">
      <c r="A200" s="124"/>
      <c r="B200" s="114">
        <v>199</v>
      </c>
      <c r="C200" s="38">
        <v>199</v>
      </c>
      <c r="D200" s="38">
        <v>65513</v>
      </c>
      <c r="E200" s="38" t="s">
        <v>882</v>
      </c>
      <c r="F200" s="39" t="s">
        <v>434</v>
      </c>
      <c r="G200" s="40" t="s">
        <v>29</v>
      </c>
      <c r="H200" s="33" t="s">
        <v>435</v>
      </c>
      <c r="I200" s="32">
        <v>43911</v>
      </c>
      <c r="J200" s="87">
        <v>43861</v>
      </c>
      <c r="K200" s="88">
        <v>0.50486111111111109</v>
      </c>
      <c r="L200" s="127">
        <v>2.1150000000000002</v>
      </c>
      <c r="M200" s="132">
        <v>6.0970000000000004</v>
      </c>
      <c r="N200" s="88"/>
      <c r="O200" s="88"/>
      <c r="P200" s="88" t="s">
        <v>1100</v>
      </c>
      <c r="Q200" s="79">
        <v>2.0499999999999998</v>
      </c>
      <c r="R200" s="79">
        <v>6.08</v>
      </c>
      <c r="S200" s="79">
        <v>6.18</v>
      </c>
      <c r="T200" s="79" t="e">
        <v>#N/A</v>
      </c>
      <c r="U200" s="79">
        <v>6.13</v>
      </c>
      <c r="V200" s="79">
        <v>0.1</v>
      </c>
      <c r="W200" s="79" t="s">
        <v>946</v>
      </c>
      <c r="X200" s="34">
        <v>1</v>
      </c>
      <c r="Y200" s="34" t="s">
        <v>4</v>
      </c>
      <c r="Z200" s="34" t="s">
        <v>937</v>
      </c>
      <c r="AA200" s="34"/>
      <c r="AB200" s="35"/>
    </row>
    <row r="201" spans="1:28" x14ac:dyDescent="0.3">
      <c r="A201" s="124"/>
      <c r="B201" s="114">
        <v>200</v>
      </c>
      <c r="C201" s="38">
        <v>200</v>
      </c>
      <c r="D201" s="38">
        <v>65511</v>
      </c>
      <c r="E201" s="38" t="s">
        <v>883</v>
      </c>
      <c r="F201" s="39" t="s">
        <v>436</v>
      </c>
      <c r="G201" s="40" t="s">
        <v>18</v>
      </c>
      <c r="H201" s="33" t="s">
        <v>437</v>
      </c>
      <c r="I201" s="32">
        <v>43904</v>
      </c>
      <c r="J201" s="87">
        <v>43861</v>
      </c>
      <c r="K201" s="88">
        <v>0.58680555555555558</v>
      </c>
      <c r="L201" s="127">
        <v>1.1519999999999999</v>
      </c>
      <c r="M201" s="132">
        <v>6</v>
      </c>
      <c r="N201" s="88"/>
      <c r="O201" s="88"/>
      <c r="P201" s="88">
        <v>0.59722222222222221</v>
      </c>
      <c r="Q201" s="79">
        <v>0.81</v>
      </c>
      <c r="R201" s="79">
        <v>5.95</v>
      </c>
      <c r="S201" s="79">
        <v>6.06</v>
      </c>
      <c r="T201" s="79" t="e">
        <v>#N/A</v>
      </c>
      <c r="U201" s="79">
        <v>6.14</v>
      </c>
      <c r="V201" s="79">
        <v>0.11</v>
      </c>
      <c r="W201" s="79" t="s">
        <v>946</v>
      </c>
      <c r="X201" s="34">
        <v>1</v>
      </c>
      <c r="Y201" s="34" t="s">
        <v>4</v>
      </c>
      <c r="Z201" s="34" t="s">
        <v>937</v>
      </c>
      <c r="AA201" s="34"/>
      <c r="AB201" s="35"/>
    </row>
    <row r="202" spans="1:28" x14ac:dyDescent="0.3">
      <c r="A202" s="124"/>
      <c r="B202" s="114">
        <v>201</v>
      </c>
      <c r="C202" s="38">
        <v>201</v>
      </c>
      <c r="D202" s="38">
        <v>74082</v>
      </c>
      <c r="E202" s="38" t="s">
        <v>884</v>
      </c>
      <c r="F202" s="39" t="s">
        <v>438</v>
      </c>
      <c r="G202" s="40" t="s">
        <v>29</v>
      </c>
      <c r="H202" s="33" t="s">
        <v>439</v>
      </c>
      <c r="I202" s="32">
        <v>43909</v>
      </c>
      <c r="J202" s="87">
        <v>43853</v>
      </c>
      <c r="K202" s="88">
        <v>0.5708333333333333</v>
      </c>
      <c r="L202" s="127">
        <v>0.98399999999999999</v>
      </c>
      <c r="M202" s="132">
        <v>6.5819999999999999</v>
      </c>
      <c r="N202" s="88"/>
      <c r="O202" s="88"/>
      <c r="P202" s="88">
        <v>0.57638888888888895</v>
      </c>
      <c r="Q202" s="79">
        <v>0.76</v>
      </c>
      <c r="R202" s="79">
        <v>5.71</v>
      </c>
      <c r="S202" s="79">
        <v>5.82</v>
      </c>
      <c r="T202" s="79" t="e">
        <v>#N/A</v>
      </c>
      <c r="U202" s="79">
        <v>6.08</v>
      </c>
      <c r="V202" s="79">
        <v>0.11</v>
      </c>
      <c r="W202" s="79" t="s">
        <v>946</v>
      </c>
      <c r="X202" s="34">
        <v>1</v>
      </c>
      <c r="Y202" s="34" t="s">
        <v>4</v>
      </c>
      <c r="Z202" s="34" t="s">
        <v>937</v>
      </c>
      <c r="AA202" s="34" t="s">
        <v>1056</v>
      </c>
      <c r="AB202" s="35"/>
    </row>
    <row r="203" spans="1:28" x14ac:dyDescent="0.3">
      <c r="A203" s="124"/>
      <c r="B203" s="114">
        <v>202</v>
      </c>
      <c r="C203" s="38">
        <v>202</v>
      </c>
      <c r="D203" s="38">
        <v>65289</v>
      </c>
      <c r="E203" s="38" t="s">
        <v>885</v>
      </c>
      <c r="F203" s="39" t="s">
        <v>440</v>
      </c>
      <c r="G203" s="40" t="s">
        <v>18</v>
      </c>
      <c r="H203" s="33" t="s">
        <v>441</v>
      </c>
      <c r="I203" s="32">
        <v>43907</v>
      </c>
      <c r="J203" s="87">
        <v>43882</v>
      </c>
      <c r="K203" s="88">
        <v>0.56388888888888888</v>
      </c>
      <c r="L203" s="127">
        <f>58.724-57.912</f>
        <v>0.81199999999999761</v>
      </c>
      <c r="M203" s="132">
        <f>(63.557-57.912)+0.086</f>
        <v>5.7310000000000034</v>
      </c>
      <c r="N203" s="88"/>
      <c r="O203" s="88"/>
      <c r="P203" s="88" t="s">
        <v>1198</v>
      </c>
      <c r="Q203" s="79">
        <v>0.72</v>
      </c>
      <c r="R203" s="79">
        <v>5.64</v>
      </c>
      <c r="S203" s="79">
        <v>5.67</v>
      </c>
      <c r="T203" s="79" t="e">
        <v>#N/A</v>
      </c>
      <c r="U203" s="79">
        <v>6.07</v>
      </c>
      <c r="V203" s="79">
        <v>0.03</v>
      </c>
      <c r="W203" s="79" t="s">
        <v>946</v>
      </c>
      <c r="X203" s="34">
        <v>1</v>
      </c>
      <c r="Y203" s="34" t="s">
        <v>4</v>
      </c>
      <c r="Z203" s="34" t="s">
        <v>937</v>
      </c>
      <c r="AA203" s="34"/>
      <c r="AB203" s="35"/>
    </row>
    <row r="204" spans="1:28" x14ac:dyDescent="0.3">
      <c r="A204" s="124"/>
      <c r="B204" s="114">
        <v>203</v>
      </c>
      <c r="C204" s="38">
        <v>203</v>
      </c>
      <c r="D204" s="38">
        <v>65202</v>
      </c>
      <c r="E204" s="38" t="s">
        <v>886</v>
      </c>
      <c r="F204" s="39" t="s">
        <v>442</v>
      </c>
      <c r="G204" s="40" t="s">
        <v>29</v>
      </c>
      <c r="H204" s="33" t="s">
        <v>443</v>
      </c>
      <c r="I204" s="32">
        <v>43911</v>
      </c>
      <c r="J204" s="87">
        <v>43882</v>
      </c>
      <c r="K204" s="88">
        <v>0.4680555555555555</v>
      </c>
      <c r="L204" s="127">
        <f>58.266-57.912</f>
        <v>0.3539999999999992</v>
      </c>
      <c r="M204" s="132">
        <f>(63.845-57.912)+0.086</f>
        <v>6.0190000000000001</v>
      </c>
      <c r="N204" s="88"/>
      <c r="O204" s="88"/>
      <c r="P204" s="88">
        <v>0.47222222222222227</v>
      </c>
      <c r="Q204" s="79">
        <v>0.23</v>
      </c>
      <c r="R204" s="79">
        <v>5.91</v>
      </c>
      <c r="S204" s="79">
        <v>6.07</v>
      </c>
      <c r="T204" s="79" t="e">
        <v>#N/A</v>
      </c>
      <c r="U204" s="79">
        <v>6</v>
      </c>
      <c r="V204" s="79">
        <v>0.16</v>
      </c>
      <c r="W204" s="79" t="s">
        <v>946</v>
      </c>
      <c r="X204" s="34">
        <v>1</v>
      </c>
      <c r="Y204" s="34" t="s">
        <v>4</v>
      </c>
      <c r="Z204" s="34" t="s">
        <v>937</v>
      </c>
      <c r="AA204" s="34"/>
      <c r="AB204" s="35"/>
    </row>
    <row r="205" spans="1:28" s="192" customFormat="1" x14ac:dyDescent="0.3">
      <c r="A205" s="178"/>
      <c r="B205" s="114">
        <v>204</v>
      </c>
      <c r="C205" s="38">
        <v>204</v>
      </c>
      <c r="D205" s="38">
        <v>65514</v>
      </c>
      <c r="E205" s="38" t="s">
        <v>887</v>
      </c>
      <c r="F205" s="39" t="s">
        <v>444</v>
      </c>
      <c r="G205" s="40" t="s">
        <v>29</v>
      </c>
      <c r="H205" s="33" t="s">
        <v>445</v>
      </c>
      <c r="I205" s="32">
        <v>43911</v>
      </c>
      <c r="J205" s="87">
        <v>43873</v>
      </c>
      <c r="K205" s="88">
        <v>0.5180555555555556</v>
      </c>
      <c r="L205" s="127">
        <f>60.571-57.912</f>
        <v>2.6589999999999989</v>
      </c>
      <c r="M205" s="132">
        <f>(63.973-57.912)+0.086</f>
        <v>6.1470000000000002</v>
      </c>
      <c r="N205" s="88"/>
      <c r="O205" s="88"/>
      <c r="P205" s="88">
        <v>0.52777777777777779</v>
      </c>
      <c r="Q205" s="79">
        <v>2.4500000000000002</v>
      </c>
      <c r="R205" s="79">
        <v>6.04</v>
      </c>
      <c r="S205" s="79">
        <v>6.16</v>
      </c>
      <c r="T205" s="79" t="e">
        <v>#N/A</v>
      </c>
      <c r="U205" s="79">
        <v>6.11</v>
      </c>
      <c r="V205" s="79">
        <v>0.12</v>
      </c>
      <c r="W205" s="79" t="s">
        <v>946</v>
      </c>
      <c r="X205" s="34">
        <v>1</v>
      </c>
      <c r="Y205" s="34" t="s">
        <v>4</v>
      </c>
      <c r="Z205" s="34" t="s">
        <v>937</v>
      </c>
      <c r="AA205" s="34" t="s">
        <v>1168</v>
      </c>
      <c r="AB205" s="35"/>
    </row>
    <row r="206" spans="1:28" s="98" customFormat="1" x14ac:dyDescent="0.3">
      <c r="A206" s="157"/>
      <c r="B206" s="114">
        <v>205</v>
      </c>
      <c r="C206" s="38">
        <v>205</v>
      </c>
      <c r="D206" s="38">
        <v>65512</v>
      </c>
      <c r="E206" s="38" t="s">
        <v>888</v>
      </c>
      <c r="F206" s="39" t="s">
        <v>446</v>
      </c>
      <c r="G206" s="40" t="s">
        <v>18</v>
      </c>
      <c r="H206" s="33" t="s">
        <v>447</v>
      </c>
      <c r="I206" s="32">
        <v>43904</v>
      </c>
      <c r="J206" s="87">
        <v>43861</v>
      </c>
      <c r="K206" s="88">
        <v>0.3659722222222222</v>
      </c>
      <c r="L206" s="127">
        <v>0.99099999999999999</v>
      </c>
      <c r="M206" s="132">
        <v>6.09</v>
      </c>
      <c r="N206" s="88"/>
      <c r="O206" s="88"/>
      <c r="P206" s="88">
        <v>0.375</v>
      </c>
      <c r="Q206" s="79">
        <v>0.67</v>
      </c>
      <c r="R206" s="79">
        <v>5.99</v>
      </c>
      <c r="S206" s="79">
        <v>6.1</v>
      </c>
      <c r="T206" s="79" t="e">
        <v>#N/A</v>
      </c>
      <c r="U206" s="79">
        <v>6.08</v>
      </c>
      <c r="V206" s="79">
        <v>0.11</v>
      </c>
      <c r="W206" s="79" t="s">
        <v>946</v>
      </c>
      <c r="X206" s="34">
        <v>1</v>
      </c>
      <c r="Y206" s="34" t="s">
        <v>4</v>
      </c>
      <c r="Z206" s="34" t="s">
        <v>937</v>
      </c>
      <c r="AA206" s="34" t="s">
        <v>989</v>
      </c>
      <c r="AB206" s="35"/>
    </row>
    <row r="207" spans="1:28" x14ac:dyDescent="0.3">
      <c r="A207" s="124"/>
      <c r="B207" s="114">
        <v>206</v>
      </c>
      <c r="C207" s="38">
        <v>206</v>
      </c>
      <c r="D207" s="38">
        <v>65229</v>
      </c>
      <c r="E207" s="38" t="s">
        <v>889</v>
      </c>
      <c r="F207" s="39" t="s">
        <v>448</v>
      </c>
      <c r="G207" s="40" t="s">
        <v>18</v>
      </c>
      <c r="H207" s="33" t="s">
        <v>449</v>
      </c>
      <c r="I207" s="32">
        <v>43907</v>
      </c>
      <c r="J207" s="87">
        <v>43875</v>
      </c>
      <c r="K207" s="88" t="s">
        <v>1192</v>
      </c>
      <c r="L207" s="127">
        <f>59.663-57.912</f>
        <v>1.7509999999999977</v>
      </c>
      <c r="M207" s="132">
        <f>(63.309-57.912)+0.086</f>
        <v>5.4829999999999988</v>
      </c>
      <c r="N207" s="88"/>
      <c r="O207" s="88"/>
      <c r="P207" s="88">
        <v>0.61111111111111105</v>
      </c>
      <c r="Q207" s="79">
        <v>1.62</v>
      </c>
      <c r="R207" s="79">
        <v>5.42</v>
      </c>
      <c r="S207" s="79">
        <v>5.52</v>
      </c>
      <c r="T207" s="79" t="e">
        <v>#N/A</v>
      </c>
      <c r="U207" s="79">
        <v>6.05</v>
      </c>
      <c r="V207" s="79">
        <v>0.1</v>
      </c>
      <c r="W207" s="79" t="s">
        <v>946</v>
      </c>
      <c r="X207" s="34">
        <v>1</v>
      </c>
      <c r="Y207" s="34" t="s">
        <v>4</v>
      </c>
      <c r="Z207" s="34" t="s">
        <v>937</v>
      </c>
      <c r="AA207" s="34" t="s">
        <v>1191</v>
      </c>
      <c r="AB207" s="35"/>
    </row>
    <row r="208" spans="1:28" x14ac:dyDescent="0.3">
      <c r="A208" s="124"/>
      <c r="B208" s="114">
        <v>207</v>
      </c>
      <c r="C208" s="38">
        <v>207</v>
      </c>
      <c r="D208" s="38">
        <v>65339</v>
      </c>
      <c r="E208" s="38" t="s">
        <v>890</v>
      </c>
      <c r="F208" s="39" t="s">
        <v>450</v>
      </c>
      <c r="G208" s="40" t="s">
        <v>18</v>
      </c>
      <c r="H208" s="33" t="s">
        <v>451</v>
      </c>
      <c r="I208" s="32">
        <v>43903</v>
      </c>
      <c r="J208" s="87">
        <v>43871</v>
      </c>
      <c r="K208" s="88" t="s">
        <v>1150</v>
      </c>
      <c r="L208" s="127">
        <v>1.9</v>
      </c>
      <c r="M208" s="132">
        <v>6.05</v>
      </c>
      <c r="N208" s="88"/>
      <c r="O208" s="88"/>
      <c r="P208" s="88" t="s">
        <v>1152</v>
      </c>
      <c r="Q208" s="79">
        <v>1.69</v>
      </c>
      <c r="R208" s="79">
        <v>6.01</v>
      </c>
      <c r="S208" s="79">
        <v>6.12</v>
      </c>
      <c r="T208" s="79" t="e">
        <v>#N/A</v>
      </c>
      <c r="U208" s="79">
        <v>6.13</v>
      </c>
      <c r="V208" s="79">
        <v>0.11</v>
      </c>
      <c r="W208" s="79" t="s">
        <v>946</v>
      </c>
      <c r="X208" s="34">
        <v>1</v>
      </c>
      <c r="Y208" s="34" t="s">
        <v>4</v>
      </c>
      <c r="Z208" s="34" t="s">
        <v>937</v>
      </c>
      <c r="AA208" s="34" t="s">
        <v>1151</v>
      </c>
      <c r="AB208" s="35"/>
    </row>
    <row r="209" spans="1:28" x14ac:dyDescent="0.3">
      <c r="A209" s="124"/>
      <c r="B209" s="114">
        <v>208</v>
      </c>
      <c r="C209" s="38">
        <v>208</v>
      </c>
      <c r="D209" s="38">
        <v>74895</v>
      </c>
      <c r="E209" s="38" t="s">
        <v>891</v>
      </c>
      <c r="F209" s="39" t="s">
        <v>452</v>
      </c>
      <c r="G209" s="40" t="s">
        <v>18</v>
      </c>
      <c r="H209" s="33" t="s">
        <v>453</v>
      </c>
      <c r="I209" s="32">
        <v>43903</v>
      </c>
      <c r="J209" s="87">
        <v>43857</v>
      </c>
      <c r="K209" s="88" t="s">
        <v>1087</v>
      </c>
      <c r="L209" s="127">
        <v>0.96099999999999997</v>
      </c>
      <c r="M209" s="132">
        <v>6.0529999999999999</v>
      </c>
      <c r="N209" s="88"/>
      <c r="O209" s="88"/>
      <c r="P209" s="88">
        <v>0.63194444444444442</v>
      </c>
      <c r="Q209" s="79">
        <v>0.8</v>
      </c>
      <c r="R209" s="79">
        <v>6.02</v>
      </c>
      <c r="S209" s="79">
        <v>6.09</v>
      </c>
      <c r="T209" s="79" t="e">
        <v>#N/A</v>
      </c>
      <c r="U209" s="79">
        <v>6.06</v>
      </c>
      <c r="V209" s="79">
        <v>7.0000000000000007E-2</v>
      </c>
      <c r="W209" s="79" t="s">
        <v>946</v>
      </c>
      <c r="X209" s="34">
        <v>1</v>
      </c>
      <c r="Y209" s="34" t="s">
        <v>4</v>
      </c>
      <c r="Z209" s="34" t="s">
        <v>937</v>
      </c>
      <c r="AA209" s="34"/>
      <c r="AB209" s="35"/>
    </row>
    <row r="210" spans="1:28" x14ac:dyDescent="0.3">
      <c r="A210" s="124"/>
      <c r="B210" s="158">
        <v>209</v>
      </c>
      <c r="C210" s="164">
        <v>209</v>
      </c>
      <c r="D210" s="164">
        <v>67637</v>
      </c>
      <c r="E210" s="164" t="s">
        <v>892</v>
      </c>
      <c r="F210" s="159" t="s">
        <v>454</v>
      </c>
      <c r="G210" s="160" t="s">
        <v>18</v>
      </c>
      <c r="H210" s="161" t="s">
        <v>455</v>
      </c>
      <c r="I210" s="103">
        <v>43903</v>
      </c>
      <c r="J210" s="104"/>
      <c r="K210" s="105"/>
      <c r="L210" s="129"/>
      <c r="M210" s="135"/>
      <c r="N210" s="105"/>
      <c r="O210" s="105"/>
      <c r="P210" s="105"/>
      <c r="Q210" s="106">
        <v>0.63</v>
      </c>
      <c r="R210" s="106">
        <v>5.89</v>
      </c>
      <c r="S210" s="106">
        <v>5.98</v>
      </c>
      <c r="T210" s="106" t="e">
        <v>#N/A</v>
      </c>
      <c r="U210" s="106">
        <v>6.08</v>
      </c>
      <c r="V210" s="106">
        <v>0.09</v>
      </c>
      <c r="W210" s="106" t="s">
        <v>946</v>
      </c>
      <c r="X210" s="107"/>
      <c r="Y210" s="107" t="s">
        <v>4</v>
      </c>
      <c r="Z210" s="107" t="s">
        <v>937</v>
      </c>
      <c r="AA210" s="107"/>
      <c r="AB210" s="108" t="s">
        <v>75</v>
      </c>
    </row>
    <row r="211" spans="1:28" x14ac:dyDescent="0.3">
      <c r="A211" s="124"/>
      <c r="B211" s="114">
        <v>210</v>
      </c>
      <c r="C211" s="38">
        <v>210</v>
      </c>
      <c r="D211" s="38">
        <v>65504</v>
      </c>
      <c r="E211" s="38" t="s">
        <v>893</v>
      </c>
      <c r="F211" s="39" t="s">
        <v>456</v>
      </c>
      <c r="G211" s="40" t="s">
        <v>29</v>
      </c>
      <c r="H211" s="33" t="s">
        <v>457</v>
      </c>
      <c r="I211" s="32">
        <v>43914</v>
      </c>
      <c r="J211" s="87">
        <v>43874</v>
      </c>
      <c r="K211" s="88">
        <v>0.39652777777777781</v>
      </c>
      <c r="L211" s="127">
        <f>58.08-57.912</f>
        <v>0.16799999999999926</v>
      </c>
      <c r="M211" s="132">
        <f>(63.649-57.912)+0.086</f>
        <v>5.8230000000000022</v>
      </c>
      <c r="N211" s="88"/>
      <c r="O211" s="88"/>
      <c r="P211" s="88">
        <v>0.40277777777777773</v>
      </c>
      <c r="Q211" s="79">
        <v>0.68</v>
      </c>
      <c r="R211" s="79">
        <v>5.72</v>
      </c>
      <c r="S211" s="79">
        <v>5.88</v>
      </c>
      <c r="T211" s="79" t="e">
        <v>#N/A</v>
      </c>
      <c r="U211" s="79">
        <v>6.1</v>
      </c>
      <c r="V211" s="79">
        <v>0.16</v>
      </c>
      <c r="W211" s="79" t="s">
        <v>946</v>
      </c>
      <c r="X211" s="34">
        <v>1</v>
      </c>
      <c r="Y211" s="34" t="s">
        <v>4</v>
      </c>
      <c r="Z211" s="34" t="s">
        <v>937</v>
      </c>
      <c r="AA211" s="34"/>
      <c r="AB211" s="35"/>
    </row>
    <row r="212" spans="1:28" x14ac:dyDescent="0.3">
      <c r="A212" s="124"/>
      <c r="B212" s="114">
        <v>211</v>
      </c>
      <c r="C212" s="38">
        <v>211</v>
      </c>
      <c r="D212" s="38">
        <v>65435</v>
      </c>
      <c r="E212" s="38" t="s">
        <v>894</v>
      </c>
      <c r="F212" s="39" t="s">
        <v>458</v>
      </c>
      <c r="G212" s="40" t="s">
        <v>167</v>
      </c>
      <c r="H212" s="33" t="s">
        <v>459</v>
      </c>
      <c r="I212" s="32">
        <v>43916</v>
      </c>
      <c r="J212" s="87">
        <v>43846</v>
      </c>
      <c r="K212" s="88">
        <v>0.55069444444444449</v>
      </c>
      <c r="L212" s="127">
        <v>1.7250000000000001</v>
      </c>
      <c r="M212" s="132"/>
      <c r="N212" s="88"/>
      <c r="O212" s="88"/>
      <c r="P212" s="88">
        <v>0.55555555555555558</v>
      </c>
      <c r="Q212" s="79">
        <v>1.61</v>
      </c>
      <c r="R212" s="79">
        <v>5.75</v>
      </c>
      <c r="S212" s="79">
        <v>5.86</v>
      </c>
      <c r="T212" s="79" t="e">
        <v>#N/A</v>
      </c>
      <c r="U212" s="79">
        <v>6.02</v>
      </c>
      <c r="V212" s="79">
        <v>0.11</v>
      </c>
      <c r="W212" s="79" t="s">
        <v>946</v>
      </c>
      <c r="X212" s="34">
        <v>1</v>
      </c>
      <c r="Y212" s="34" t="s">
        <v>4</v>
      </c>
      <c r="Z212" s="34" t="s">
        <v>937</v>
      </c>
      <c r="AA212" s="34"/>
      <c r="AB212" s="35"/>
    </row>
    <row r="213" spans="1:28" x14ac:dyDescent="0.3">
      <c r="A213" s="124"/>
      <c r="B213" s="114">
        <v>212</v>
      </c>
      <c r="C213" s="38">
        <v>212</v>
      </c>
      <c r="D213" s="38">
        <v>65181</v>
      </c>
      <c r="E213" s="38" t="s">
        <v>895</v>
      </c>
      <c r="F213" s="39" t="s">
        <v>460</v>
      </c>
      <c r="G213" s="40" t="s">
        <v>167</v>
      </c>
      <c r="H213" s="33" t="s">
        <v>461</v>
      </c>
      <c r="I213" s="32">
        <v>43916</v>
      </c>
      <c r="J213" s="87">
        <v>43847</v>
      </c>
      <c r="K213" s="88" t="s">
        <v>976</v>
      </c>
      <c r="L213" s="127">
        <v>1.9970000000000001</v>
      </c>
      <c r="M213" s="132">
        <v>5.38</v>
      </c>
      <c r="N213" s="88"/>
      <c r="O213" s="88"/>
      <c r="P213" s="88" t="s">
        <v>977</v>
      </c>
      <c r="Q213" s="79">
        <v>1.64</v>
      </c>
      <c r="R213" s="79">
        <v>5.36</v>
      </c>
      <c r="S213" s="79">
        <v>5.48</v>
      </c>
      <c r="T213" s="79" t="e">
        <v>#N/A</v>
      </c>
      <c r="U213" s="79">
        <v>6</v>
      </c>
      <c r="V213" s="79">
        <v>0.12</v>
      </c>
      <c r="W213" s="79" t="s">
        <v>946</v>
      </c>
      <c r="X213" s="34">
        <v>1</v>
      </c>
      <c r="Y213" s="34" t="s">
        <v>4</v>
      </c>
      <c r="Z213" s="34" t="s">
        <v>937</v>
      </c>
      <c r="AA213" s="34" t="s">
        <v>978</v>
      </c>
      <c r="AB213" s="35"/>
    </row>
    <row r="214" spans="1:28" x14ac:dyDescent="0.3">
      <c r="A214" s="124"/>
      <c r="B214" s="114">
        <v>213</v>
      </c>
      <c r="C214" s="38">
        <v>213</v>
      </c>
      <c r="D214" s="38">
        <v>65182</v>
      </c>
      <c r="E214" s="38" t="s">
        <v>896</v>
      </c>
      <c r="F214" s="39" t="s">
        <v>462</v>
      </c>
      <c r="G214" s="40" t="s">
        <v>167</v>
      </c>
      <c r="H214" s="33" t="s">
        <v>463</v>
      </c>
      <c r="I214" s="32">
        <v>43916</v>
      </c>
      <c r="J214" s="87">
        <v>43847</v>
      </c>
      <c r="K214" s="88">
        <v>0.4916666666666667</v>
      </c>
      <c r="L214" s="127">
        <v>1</v>
      </c>
      <c r="M214" s="132">
        <v>6.0209999999999999</v>
      </c>
      <c r="N214" s="88"/>
      <c r="O214" s="88"/>
      <c r="P214" s="88">
        <v>0.5</v>
      </c>
      <c r="Q214" s="79">
        <v>0.96</v>
      </c>
      <c r="R214" s="79">
        <v>6</v>
      </c>
      <c r="S214" s="79">
        <v>6.1</v>
      </c>
      <c r="T214" s="79" t="e">
        <v>#N/A</v>
      </c>
      <c r="U214" s="79">
        <v>6</v>
      </c>
      <c r="V214" s="79">
        <v>0.1</v>
      </c>
      <c r="W214" s="79" t="s">
        <v>946</v>
      </c>
      <c r="X214" s="34">
        <v>1</v>
      </c>
      <c r="Y214" s="34" t="s">
        <v>4</v>
      </c>
      <c r="Z214" s="34" t="s">
        <v>937</v>
      </c>
      <c r="AA214" s="34"/>
      <c r="AB214" s="35"/>
    </row>
    <row r="215" spans="1:28" x14ac:dyDescent="0.3">
      <c r="A215" s="124"/>
      <c r="B215" s="114">
        <v>214</v>
      </c>
      <c r="C215" s="38">
        <v>214</v>
      </c>
      <c r="D215" s="38">
        <v>65183</v>
      </c>
      <c r="E215" s="38" t="s">
        <v>897</v>
      </c>
      <c r="F215" s="39" t="s">
        <v>464</v>
      </c>
      <c r="G215" s="40" t="s">
        <v>167</v>
      </c>
      <c r="H215" s="33" t="s">
        <v>465</v>
      </c>
      <c r="I215" s="32">
        <v>43916</v>
      </c>
      <c r="J215" s="87">
        <v>43850</v>
      </c>
      <c r="K215" s="88">
        <v>0.38263888888888892</v>
      </c>
      <c r="L215" s="127">
        <v>2.4300000000000002</v>
      </c>
      <c r="M215" s="132">
        <v>7.09</v>
      </c>
      <c r="N215" s="88"/>
      <c r="O215" s="88"/>
      <c r="P215" s="88">
        <v>0.39583333333333331</v>
      </c>
      <c r="Q215" s="79">
        <v>1.84</v>
      </c>
      <c r="R215" s="79">
        <v>7.05</v>
      </c>
      <c r="S215" s="79">
        <v>7.14</v>
      </c>
      <c r="T215" s="79" t="e">
        <v>#N/A</v>
      </c>
      <c r="U215" s="79">
        <v>7.5</v>
      </c>
      <c r="V215" s="79">
        <v>0.09</v>
      </c>
      <c r="W215" s="79" t="s">
        <v>946</v>
      </c>
      <c r="X215" s="34">
        <v>1</v>
      </c>
      <c r="Y215" s="34" t="s">
        <v>4</v>
      </c>
      <c r="Z215" s="34" t="s">
        <v>937</v>
      </c>
      <c r="AA215" s="34"/>
      <c r="AB215" s="35"/>
    </row>
    <row r="216" spans="1:28" x14ac:dyDescent="0.3">
      <c r="A216" s="124"/>
      <c r="B216" s="114">
        <v>215</v>
      </c>
      <c r="C216" s="38">
        <v>215</v>
      </c>
      <c r="D216" s="38">
        <v>65184</v>
      </c>
      <c r="E216" s="38" t="s">
        <v>898</v>
      </c>
      <c r="F216" s="39" t="s">
        <v>466</v>
      </c>
      <c r="G216" s="40" t="s">
        <v>29</v>
      </c>
      <c r="H216" s="33" t="s">
        <v>467</v>
      </c>
      <c r="I216" s="32">
        <v>43914</v>
      </c>
      <c r="J216" s="87">
        <v>43865</v>
      </c>
      <c r="K216" s="88">
        <v>0.55763888888888891</v>
      </c>
      <c r="L216" s="127">
        <v>0.59299999999999997</v>
      </c>
      <c r="M216" s="132">
        <v>5.6660000000000004</v>
      </c>
      <c r="N216" s="88"/>
      <c r="O216" s="88"/>
      <c r="P216" s="88" t="s">
        <v>1095</v>
      </c>
      <c r="Q216" s="79">
        <v>0.5</v>
      </c>
      <c r="R216" s="79">
        <v>5.62</v>
      </c>
      <c r="S216" s="79">
        <v>5.72</v>
      </c>
      <c r="T216" s="79" t="e">
        <v>#N/A</v>
      </c>
      <c r="U216" s="79">
        <v>6</v>
      </c>
      <c r="V216" s="79">
        <v>0.1</v>
      </c>
      <c r="W216" s="79" t="s">
        <v>946</v>
      </c>
      <c r="X216" s="34">
        <v>1</v>
      </c>
      <c r="Y216" s="34" t="s">
        <v>4</v>
      </c>
      <c r="Z216" s="34" t="s">
        <v>937</v>
      </c>
      <c r="AA216" s="34" t="s">
        <v>1109</v>
      </c>
      <c r="AB216" s="35"/>
    </row>
    <row r="217" spans="1:28" s="192" customFormat="1" x14ac:dyDescent="0.3">
      <c r="A217" s="178"/>
      <c r="B217" s="114">
        <v>216</v>
      </c>
      <c r="C217" s="38">
        <v>216</v>
      </c>
      <c r="D217" s="38">
        <v>65185</v>
      </c>
      <c r="E217" s="38" t="s">
        <v>899</v>
      </c>
      <c r="F217" s="39" t="s">
        <v>468</v>
      </c>
      <c r="G217" s="40" t="s">
        <v>29</v>
      </c>
      <c r="H217" s="33" t="s">
        <v>469</v>
      </c>
      <c r="I217" s="32">
        <v>43910</v>
      </c>
      <c r="J217" s="87">
        <v>43850</v>
      </c>
      <c r="K217" s="88" t="s">
        <v>991</v>
      </c>
      <c r="L217" s="127">
        <v>1.6970000000000001</v>
      </c>
      <c r="M217" s="132">
        <v>6</v>
      </c>
      <c r="N217" s="88"/>
      <c r="O217" s="88"/>
      <c r="P217" s="88" t="s">
        <v>993</v>
      </c>
      <c r="Q217" s="79">
        <v>1.63</v>
      </c>
      <c r="R217" s="79">
        <v>5.99</v>
      </c>
      <c r="S217" s="79">
        <v>6.05</v>
      </c>
      <c r="T217" s="79" t="e">
        <v>#N/A</v>
      </c>
      <c r="U217" s="79">
        <v>6</v>
      </c>
      <c r="V217" s="79">
        <v>0.06</v>
      </c>
      <c r="W217" s="79" t="s">
        <v>946</v>
      </c>
      <c r="X217" s="34">
        <v>1</v>
      </c>
      <c r="Y217" s="34" t="s">
        <v>4</v>
      </c>
      <c r="Z217" s="34" t="s">
        <v>937</v>
      </c>
      <c r="AA217" s="34" t="s">
        <v>992</v>
      </c>
      <c r="AB217" s="35"/>
    </row>
    <row r="218" spans="1:28" s="98" customFormat="1" x14ac:dyDescent="0.3">
      <c r="A218" s="157"/>
      <c r="B218" s="114">
        <v>217</v>
      </c>
      <c r="C218" s="38">
        <v>217</v>
      </c>
      <c r="D218" s="38">
        <v>67638</v>
      </c>
      <c r="E218" s="38" t="s">
        <v>900</v>
      </c>
      <c r="F218" s="39" t="s">
        <v>470</v>
      </c>
      <c r="G218" s="40" t="s">
        <v>18</v>
      </c>
      <c r="H218" s="33" t="s">
        <v>471</v>
      </c>
      <c r="I218" s="32">
        <v>43907</v>
      </c>
      <c r="J218" s="87">
        <v>43858</v>
      </c>
      <c r="K218" s="88">
        <v>0.36458333333333331</v>
      </c>
      <c r="L218" s="127">
        <v>0.96499999999999997</v>
      </c>
      <c r="M218" s="132">
        <v>5.7229999999999999</v>
      </c>
      <c r="N218" s="88"/>
      <c r="O218" s="88"/>
      <c r="P218" s="88">
        <v>0.375</v>
      </c>
      <c r="Q218" s="79">
        <v>0.96</v>
      </c>
      <c r="R218" s="79">
        <v>5.7</v>
      </c>
      <c r="S218" s="79">
        <v>5.8</v>
      </c>
      <c r="T218" s="79" t="e">
        <v>#N/A</v>
      </c>
      <c r="U218" s="79">
        <v>6.07</v>
      </c>
      <c r="V218" s="79">
        <v>0.1</v>
      </c>
      <c r="W218" s="79" t="s">
        <v>946</v>
      </c>
      <c r="X218" s="34">
        <v>1</v>
      </c>
      <c r="Y218" s="34" t="s">
        <v>4</v>
      </c>
      <c r="Z218" s="34" t="s">
        <v>937</v>
      </c>
      <c r="AA218" s="34" t="s">
        <v>1089</v>
      </c>
      <c r="AB218" s="35"/>
    </row>
    <row r="219" spans="1:28" x14ac:dyDescent="0.3">
      <c r="A219" s="124"/>
      <c r="B219" s="114">
        <v>218</v>
      </c>
      <c r="C219" s="38">
        <v>218</v>
      </c>
      <c r="D219" s="38">
        <v>65290</v>
      </c>
      <c r="E219" s="38" t="s">
        <v>901</v>
      </c>
      <c r="F219" s="39" t="s">
        <v>472</v>
      </c>
      <c r="G219" s="40" t="s">
        <v>29</v>
      </c>
      <c r="H219" s="33" t="s">
        <v>473</v>
      </c>
      <c r="I219" s="32">
        <v>43914</v>
      </c>
      <c r="J219" s="87">
        <v>43868</v>
      </c>
      <c r="K219" s="88" t="s">
        <v>1131</v>
      </c>
      <c r="L219" s="127">
        <v>1.3130000000000024</v>
      </c>
      <c r="M219" s="132">
        <v>5.7190000000000003</v>
      </c>
      <c r="N219" s="88"/>
      <c r="O219" s="88"/>
      <c r="P219" s="88" t="s">
        <v>1108</v>
      </c>
      <c r="Q219" s="79">
        <v>1.0900000000000001</v>
      </c>
      <c r="R219" s="79">
        <v>5.87</v>
      </c>
      <c r="S219" s="79">
        <v>6.03</v>
      </c>
      <c r="T219" s="79" t="e">
        <v>#N/A</v>
      </c>
      <c r="U219" s="79">
        <v>6.07</v>
      </c>
      <c r="V219" s="79">
        <v>0.16</v>
      </c>
      <c r="W219" s="79" t="s">
        <v>946</v>
      </c>
      <c r="X219" s="34">
        <v>1</v>
      </c>
      <c r="Y219" s="34" t="s">
        <v>4</v>
      </c>
      <c r="Z219" s="34" t="s">
        <v>937</v>
      </c>
      <c r="AA219" s="34"/>
      <c r="AB219" s="35"/>
    </row>
    <row r="220" spans="1:28" x14ac:dyDescent="0.3">
      <c r="A220" s="124"/>
      <c r="B220" s="114">
        <v>219</v>
      </c>
      <c r="C220" s="38">
        <v>219</v>
      </c>
      <c r="D220" s="38">
        <v>65230</v>
      </c>
      <c r="E220" s="38" t="s">
        <v>902</v>
      </c>
      <c r="F220" s="39" t="s">
        <v>474</v>
      </c>
      <c r="G220" s="40" t="s">
        <v>18</v>
      </c>
      <c r="H220" s="33" t="s">
        <v>475</v>
      </c>
      <c r="I220" s="32">
        <v>43903</v>
      </c>
      <c r="J220" s="87">
        <v>43882</v>
      </c>
      <c r="K220" s="88" t="s">
        <v>1196</v>
      </c>
      <c r="L220" s="127">
        <f>59.701-57.912</f>
        <v>1.7890000000000015</v>
      </c>
      <c r="M220" s="132">
        <f>(62.713-57.912)+0.086</f>
        <v>4.8870000000000022</v>
      </c>
      <c r="N220" s="88"/>
      <c r="O220" s="88"/>
      <c r="P220" s="88">
        <v>0.53472222222222221</v>
      </c>
      <c r="Q220" s="79">
        <v>1.7</v>
      </c>
      <c r="R220" s="79">
        <v>4.82</v>
      </c>
      <c r="S220" s="79">
        <v>4.92</v>
      </c>
      <c r="T220" s="79" t="e">
        <v>#N/A</v>
      </c>
      <c r="U220" s="79">
        <v>6.14</v>
      </c>
      <c r="V220" s="79">
        <v>0.1</v>
      </c>
      <c r="W220" s="79" t="s">
        <v>946</v>
      </c>
      <c r="X220" s="34">
        <v>1</v>
      </c>
      <c r="Y220" s="34" t="s">
        <v>4</v>
      </c>
      <c r="Z220" s="34" t="s">
        <v>937</v>
      </c>
      <c r="AA220" s="34"/>
      <c r="AB220" s="35"/>
    </row>
    <row r="221" spans="1:28" x14ac:dyDescent="0.3">
      <c r="A221" s="124"/>
      <c r="B221" s="114">
        <v>220</v>
      </c>
      <c r="C221" s="38">
        <v>220</v>
      </c>
      <c r="D221" s="38">
        <v>74458</v>
      </c>
      <c r="E221" s="38" t="s">
        <v>903</v>
      </c>
      <c r="F221" s="39" t="s">
        <v>476</v>
      </c>
      <c r="G221" s="40" t="s">
        <v>18</v>
      </c>
      <c r="H221" s="33" t="s">
        <v>477</v>
      </c>
      <c r="I221" s="32">
        <v>43903</v>
      </c>
      <c r="J221" s="87">
        <v>43858</v>
      </c>
      <c r="K221" s="88">
        <v>0.43611111111111112</v>
      </c>
      <c r="L221" s="127">
        <v>1.3540000000000001</v>
      </c>
      <c r="M221" s="132">
        <v>6.0819999999999999</v>
      </c>
      <c r="N221" s="88"/>
      <c r="O221" s="88"/>
      <c r="P221" s="88">
        <v>0.44444444444444442</v>
      </c>
      <c r="Q221" s="79">
        <v>1.25</v>
      </c>
      <c r="R221" s="79">
        <v>6.06</v>
      </c>
      <c r="S221" s="79">
        <v>6.13</v>
      </c>
      <c r="T221" s="79" t="e">
        <v>#N/A</v>
      </c>
      <c r="U221" s="79">
        <v>6.1</v>
      </c>
      <c r="V221" s="79">
        <v>7.0000000000000007E-2</v>
      </c>
      <c r="W221" s="79" t="s">
        <v>946</v>
      </c>
      <c r="X221" s="34">
        <v>1</v>
      </c>
      <c r="Y221" s="34" t="s">
        <v>4</v>
      </c>
      <c r="Z221" s="34" t="s">
        <v>937</v>
      </c>
      <c r="AA221" s="34"/>
      <c r="AB221" s="35"/>
    </row>
    <row r="222" spans="1:28" x14ac:dyDescent="0.3">
      <c r="A222" s="124"/>
      <c r="B222" s="120">
        <v>221</v>
      </c>
      <c r="C222" s="66">
        <v>221</v>
      </c>
      <c r="D222" s="66">
        <v>65231</v>
      </c>
      <c r="E222" s="66" t="s">
        <v>904</v>
      </c>
      <c r="F222" s="67" t="s">
        <v>478</v>
      </c>
      <c r="G222" s="68" t="s">
        <v>18</v>
      </c>
      <c r="H222" s="69" t="s">
        <v>479</v>
      </c>
      <c r="I222" s="70">
        <v>43922</v>
      </c>
      <c r="J222" s="93">
        <v>43872</v>
      </c>
      <c r="K222" s="94">
        <v>0.37708333333333338</v>
      </c>
      <c r="L222" s="130">
        <v>1.9990000000000023</v>
      </c>
      <c r="M222" s="136">
        <v>6.0880000000000027</v>
      </c>
      <c r="N222" s="94"/>
      <c r="O222" s="94"/>
      <c r="P222" s="94">
        <v>0.38194444444444442</v>
      </c>
      <c r="Q222" s="83">
        <v>1.87</v>
      </c>
      <c r="R222" s="83">
        <v>6</v>
      </c>
      <c r="S222" s="83">
        <v>6.08</v>
      </c>
      <c r="T222" s="83" t="e">
        <v>#N/A</v>
      </c>
      <c r="U222" s="83">
        <v>6.11</v>
      </c>
      <c r="V222" s="83">
        <v>0.08</v>
      </c>
      <c r="W222" s="83" t="s">
        <v>946</v>
      </c>
      <c r="X222" s="71">
        <v>1</v>
      </c>
      <c r="Y222" s="71" t="s">
        <v>4</v>
      </c>
      <c r="Z222" s="71" t="s">
        <v>937</v>
      </c>
      <c r="AA222" s="71" t="s">
        <v>1157</v>
      </c>
      <c r="AB222" s="72" t="s">
        <v>480</v>
      </c>
    </row>
    <row r="223" spans="1:28" x14ac:dyDescent="0.3">
      <c r="A223" s="124"/>
      <c r="B223" s="114">
        <v>222</v>
      </c>
      <c r="C223" s="38">
        <v>222</v>
      </c>
      <c r="D223" s="38">
        <v>74456</v>
      </c>
      <c r="E223" s="38" t="s">
        <v>905</v>
      </c>
      <c r="F223" s="39" t="s">
        <v>481</v>
      </c>
      <c r="G223" s="40" t="s">
        <v>29</v>
      </c>
      <c r="H223" s="33" t="s">
        <v>482</v>
      </c>
      <c r="I223" s="32">
        <v>43908</v>
      </c>
      <c r="J223" s="87">
        <v>43854</v>
      </c>
      <c r="K223" s="88">
        <v>0.58750000000000002</v>
      </c>
      <c r="L223" s="127">
        <v>2.2669999999999999</v>
      </c>
      <c r="M223" s="132">
        <v>5.5659999999999998</v>
      </c>
      <c r="N223" s="88"/>
      <c r="O223" s="88"/>
      <c r="P223" s="88">
        <v>0.59722222222222221</v>
      </c>
      <c r="Q223" s="79">
        <v>2.1800000000000002</v>
      </c>
      <c r="R223" s="79">
        <v>5.43</v>
      </c>
      <c r="S223" s="79">
        <v>5.54</v>
      </c>
      <c r="T223" s="79" t="e">
        <v>#N/A</v>
      </c>
      <c r="U223" s="79">
        <v>6.1</v>
      </c>
      <c r="V223" s="79">
        <v>0.11</v>
      </c>
      <c r="W223" s="79" t="s">
        <v>946</v>
      </c>
      <c r="X223" s="34">
        <v>1</v>
      </c>
      <c r="Y223" s="34" t="s">
        <v>4</v>
      </c>
      <c r="Z223" s="34" t="s">
        <v>937</v>
      </c>
      <c r="AA223" s="34"/>
      <c r="AB223" s="35"/>
    </row>
    <row r="224" spans="1:28" x14ac:dyDescent="0.3">
      <c r="A224" s="124"/>
      <c r="B224" s="120">
        <v>223</v>
      </c>
      <c r="C224" s="66">
        <v>223</v>
      </c>
      <c r="D224" s="66">
        <v>65502</v>
      </c>
      <c r="E224" s="66" t="s">
        <v>906</v>
      </c>
      <c r="F224" s="67" t="s">
        <v>483</v>
      </c>
      <c r="G224" s="68" t="s">
        <v>29</v>
      </c>
      <c r="H224" s="69" t="s">
        <v>484</v>
      </c>
      <c r="I224" s="70">
        <v>43922</v>
      </c>
      <c r="J224" s="93">
        <v>43852</v>
      </c>
      <c r="K224" s="94" t="s">
        <v>1038</v>
      </c>
      <c r="L224" s="130">
        <v>2.1469999999999998</v>
      </c>
      <c r="M224" s="136">
        <v>5.88</v>
      </c>
      <c r="N224" s="94"/>
      <c r="O224" s="94"/>
      <c r="P224" s="94" t="s">
        <v>1039</v>
      </c>
      <c r="Q224" s="83">
        <v>1.94</v>
      </c>
      <c r="R224" s="83">
        <v>5.84</v>
      </c>
      <c r="S224" s="83">
        <v>5.86</v>
      </c>
      <c r="T224" s="83" t="e">
        <v>#N/A</v>
      </c>
      <c r="U224" s="83">
        <v>6.03</v>
      </c>
      <c r="V224" s="83">
        <v>0.02</v>
      </c>
      <c r="W224" s="83" t="s">
        <v>946</v>
      </c>
      <c r="X224" s="71">
        <v>1</v>
      </c>
      <c r="Y224" s="71" t="s">
        <v>4</v>
      </c>
      <c r="Z224" s="71" t="s">
        <v>937</v>
      </c>
      <c r="AA224" s="71" t="s">
        <v>1040</v>
      </c>
      <c r="AB224" s="72" t="s">
        <v>480</v>
      </c>
    </row>
    <row r="225" spans="1:28" s="192" customFormat="1" x14ac:dyDescent="0.3">
      <c r="A225" s="178"/>
      <c r="B225" s="114">
        <v>224</v>
      </c>
      <c r="C225" s="38">
        <v>224</v>
      </c>
      <c r="D225" s="38">
        <v>65186</v>
      </c>
      <c r="E225" s="38" t="s">
        <v>907</v>
      </c>
      <c r="F225" s="39" t="s">
        <v>485</v>
      </c>
      <c r="G225" s="40" t="s">
        <v>29</v>
      </c>
      <c r="H225" s="33" t="s">
        <v>486</v>
      </c>
      <c r="I225" s="32">
        <v>43909</v>
      </c>
      <c r="J225" s="87">
        <v>43852</v>
      </c>
      <c r="K225" s="88" t="s">
        <v>1033</v>
      </c>
      <c r="L225" s="127">
        <v>1.5089999999999999</v>
      </c>
      <c r="M225" s="132">
        <v>6.66</v>
      </c>
      <c r="N225" s="88"/>
      <c r="O225" s="88"/>
      <c r="P225" s="88" t="s">
        <v>1034</v>
      </c>
      <c r="Q225" s="79">
        <v>1.01</v>
      </c>
      <c r="R225" s="79">
        <v>6.53</v>
      </c>
      <c r="S225" s="79">
        <v>6.7</v>
      </c>
      <c r="T225" s="79" t="e">
        <v>#N/A</v>
      </c>
      <c r="U225" s="79">
        <v>7.5</v>
      </c>
      <c r="V225" s="79">
        <v>0.17</v>
      </c>
      <c r="W225" s="79" t="s">
        <v>946</v>
      </c>
      <c r="X225" s="34">
        <v>1</v>
      </c>
      <c r="Y225" s="34" t="s">
        <v>4</v>
      </c>
      <c r="Z225" s="34" t="s">
        <v>937</v>
      </c>
      <c r="AA225" s="34"/>
      <c r="AB225" s="35"/>
    </row>
    <row r="226" spans="1:28" x14ac:dyDescent="0.3">
      <c r="A226" s="124"/>
      <c r="B226" s="112">
        <v>225</v>
      </c>
      <c r="C226" s="1">
        <v>225</v>
      </c>
      <c r="D226" s="1">
        <v>65336</v>
      </c>
      <c r="E226" s="1" t="s">
        <v>908</v>
      </c>
      <c r="F226" s="18" t="s">
        <v>487</v>
      </c>
      <c r="G226" s="9" t="s">
        <v>29</v>
      </c>
      <c r="H226" s="10" t="s">
        <v>488</v>
      </c>
      <c r="I226" s="11" t="s">
        <v>949</v>
      </c>
      <c r="J226" s="78"/>
      <c r="K226" s="85"/>
      <c r="L226" s="126"/>
      <c r="M226" s="134"/>
      <c r="N226" s="85"/>
      <c r="O226" s="85"/>
      <c r="P226" s="85"/>
      <c r="Q226" s="78" t="s">
        <v>949</v>
      </c>
      <c r="R226" s="78" t="s">
        <v>949</v>
      </c>
      <c r="S226" s="78" t="s">
        <v>949</v>
      </c>
      <c r="T226" s="78" t="e">
        <v>#N/A</v>
      </c>
      <c r="U226" s="78">
        <v>6.13</v>
      </c>
      <c r="V226" s="78" t="s">
        <v>947</v>
      </c>
      <c r="W226" s="78" t="s">
        <v>946</v>
      </c>
      <c r="X226" s="12"/>
      <c r="Y226" s="12" t="s">
        <v>11</v>
      </c>
      <c r="Z226" s="12" t="s">
        <v>937</v>
      </c>
      <c r="AA226" s="12"/>
      <c r="AB226" s="10" t="s">
        <v>11</v>
      </c>
    </row>
    <row r="227" spans="1:28" x14ac:dyDescent="0.3">
      <c r="A227" s="124"/>
      <c r="B227" s="114">
        <v>226</v>
      </c>
      <c r="C227" s="38">
        <v>226</v>
      </c>
      <c r="D227" s="38">
        <v>65294</v>
      </c>
      <c r="E227" s="38" t="s">
        <v>909</v>
      </c>
      <c r="F227" s="39" t="s">
        <v>489</v>
      </c>
      <c r="G227" s="40" t="s">
        <v>29</v>
      </c>
      <c r="H227" s="33" t="s">
        <v>490</v>
      </c>
      <c r="I227" s="32">
        <v>43908</v>
      </c>
      <c r="J227" s="87">
        <v>43853</v>
      </c>
      <c r="K227" s="88">
        <v>0.45416666666666666</v>
      </c>
      <c r="L227" s="127">
        <v>3.694</v>
      </c>
      <c r="M227" s="132">
        <v>7.492</v>
      </c>
      <c r="N227" s="88"/>
      <c r="O227" s="88"/>
      <c r="P227" s="88">
        <v>0.45833333333333331</v>
      </c>
      <c r="Q227" s="79">
        <v>3.12</v>
      </c>
      <c r="R227" s="79">
        <v>7.46</v>
      </c>
      <c r="S227" s="79">
        <v>7.5</v>
      </c>
      <c r="T227" s="79" t="e">
        <v>#N/A</v>
      </c>
      <c r="U227" s="79">
        <v>7.51</v>
      </c>
      <c r="V227" s="79">
        <v>0.04</v>
      </c>
      <c r="W227" s="79" t="s">
        <v>946</v>
      </c>
      <c r="X227" s="34">
        <v>1</v>
      </c>
      <c r="Y227" s="34" t="s">
        <v>4</v>
      </c>
      <c r="Z227" s="34" t="s">
        <v>937</v>
      </c>
      <c r="AA227" s="34" t="s">
        <v>1048</v>
      </c>
      <c r="AB227" s="35"/>
    </row>
    <row r="228" spans="1:28" x14ac:dyDescent="0.3">
      <c r="A228" s="124"/>
      <c r="B228" s="114">
        <v>227</v>
      </c>
      <c r="C228" s="38">
        <v>227</v>
      </c>
      <c r="D228" s="38">
        <v>65335</v>
      </c>
      <c r="E228" s="38" t="s">
        <v>910</v>
      </c>
      <c r="F228" s="39" t="s">
        <v>491</v>
      </c>
      <c r="G228" s="40" t="s">
        <v>29</v>
      </c>
      <c r="H228" s="33" t="s">
        <v>492</v>
      </c>
      <c r="I228" s="32">
        <v>43909</v>
      </c>
      <c r="J228" s="87">
        <v>43854</v>
      </c>
      <c r="K228" s="88">
        <v>0.50763888888888886</v>
      </c>
      <c r="L228" s="127">
        <v>4.0469999999999997</v>
      </c>
      <c r="M228" s="132">
        <v>7.64</v>
      </c>
      <c r="N228" s="88"/>
      <c r="O228" s="88"/>
      <c r="P228" s="88">
        <v>0.51388888888888895</v>
      </c>
      <c r="Q228" s="79">
        <v>3.99</v>
      </c>
      <c r="R228" s="79">
        <v>7.61</v>
      </c>
      <c r="S228" s="79">
        <v>7.64</v>
      </c>
      <c r="T228" s="79" t="e">
        <v>#N/A</v>
      </c>
      <c r="U228" s="79">
        <v>7.65</v>
      </c>
      <c r="V228" s="79">
        <v>0.03</v>
      </c>
      <c r="W228" s="79" t="s">
        <v>946</v>
      </c>
      <c r="X228" s="34">
        <v>1</v>
      </c>
      <c r="Y228" s="34" t="s">
        <v>4</v>
      </c>
      <c r="Z228" s="34" t="s">
        <v>937</v>
      </c>
      <c r="AA228" s="34"/>
      <c r="AB228" s="35"/>
    </row>
    <row r="229" spans="1:28" x14ac:dyDescent="0.3">
      <c r="A229" s="124"/>
      <c r="B229" s="112">
        <v>228</v>
      </c>
      <c r="C229" s="17">
        <v>228</v>
      </c>
      <c r="D229" s="17">
        <v>74088</v>
      </c>
      <c r="E229" s="17" t="s">
        <v>911</v>
      </c>
      <c r="F229" s="18" t="s">
        <v>493</v>
      </c>
      <c r="G229" s="9" t="s">
        <v>167</v>
      </c>
      <c r="H229" s="10" t="s">
        <v>494</v>
      </c>
      <c r="I229" s="11" t="s">
        <v>949</v>
      </c>
      <c r="J229" s="84"/>
      <c r="K229" s="85"/>
      <c r="L229" s="126"/>
      <c r="M229" s="134"/>
      <c r="N229" s="85"/>
      <c r="O229" s="85"/>
      <c r="P229" s="85"/>
      <c r="Q229" s="78" t="s">
        <v>949</v>
      </c>
      <c r="R229" s="78" t="s">
        <v>949</v>
      </c>
      <c r="S229" s="78" t="s">
        <v>949</v>
      </c>
      <c r="T229" s="78" t="e">
        <v>#N/A</v>
      </c>
      <c r="U229" s="78">
        <v>6.08</v>
      </c>
      <c r="V229" s="78" t="s">
        <v>947</v>
      </c>
      <c r="W229" s="78" t="s">
        <v>946</v>
      </c>
      <c r="X229" s="12"/>
      <c r="Y229" s="12" t="s">
        <v>11</v>
      </c>
      <c r="Z229" s="12" t="s">
        <v>937</v>
      </c>
      <c r="AA229" s="12"/>
      <c r="AB229" s="10" t="s">
        <v>495</v>
      </c>
    </row>
    <row r="230" spans="1:28" x14ac:dyDescent="0.3">
      <c r="A230" s="124"/>
      <c r="B230" s="114">
        <v>229</v>
      </c>
      <c r="C230" s="38">
        <v>229</v>
      </c>
      <c r="D230" s="38">
        <v>74087</v>
      </c>
      <c r="E230" s="38" t="s">
        <v>912</v>
      </c>
      <c r="F230" s="39" t="s">
        <v>496</v>
      </c>
      <c r="G230" s="40" t="s">
        <v>167</v>
      </c>
      <c r="H230" s="33" t="s">
        <v>497</v>
      </c>
      <c r="I230" s="32">
        <v>43915</v>
      </c>
      <c r="J230" s="87">
        <v>43875</v>
      </c>
      <c r="K230" s="88">
        <v>0.42638888888888887</v>
      </c>
      <c r="L230" s="127">
        <f>59.649-57.912</f>
        <v>1.7370000000000019</v>
      </c>
      <c r="M230" s="132">
        <f>(63.33-57.912)+0.086</f>
        <v>5.5039999999999996</v>
      </c>
      <c r="N230" s="88"/>
      <c r="O230" s="88"/>
      <c r="P230" s="88" t="s">
        <v>1134</v>
      </c>
      <c r="Q230" s="79">
        <v>1.17</v>
      </c>
      <c r="R230" s="79">
        <v>5.4</v>
      </c>
      <c r="S230" s="79">
        <v>6.55</v>
      </c>
      <c r="T230" s="79" t="e">
        <v>#N/A</v>
      </c>
      <c r="U230" s="79">
        <v>6.11</v>
      </c>
      <c r="V230" s="79">
        <v>1.1499999999999999</v>
      </c>
      <c r="W230" s="79" t="s">
        <v>946</v>
      </c>
      <c r="X230" s="34">
        <v>1</v>
      </c>
      <c r="Y230" s="34" t="s">
        <v>4</v>
      </c>
      <c r="Z230" s="34" t="s">
        <v>937</v>
      </c>
      <c r="AA230" s="34" t="s">
        <v>1182</v>
      </c>
      <c r="AB230" s="35"/>
    </row>
    <row r="231" spans="1:28" x14ac:dyDescent="0.3">
      <c r="A231" s="124"/>
      <c r="B231" s="120">
        <v>230</v>
      </c>
      <c r="C231" s="66">
        <v>230</v>
      </c>
      <c r="D231" s="66">
        <v>65292</v>
      </c>
      <c r="E231" s="66" t="s">
        <v>913</v>
      </c>
      <c r="F231" s="67" t="s">
        <v>483</v>
      </c>
      <c r="G231" s="68" t="s">
        <v>167</v>
      </c>
      <c r="H231" s="69" t="s">
        <v>498</v>
      </c>
      <c r="I231" s="70">
        <v>43922</v>
      </c>
      <c r="J231" s="93">
        <v>43847</v>
      </c>
      <c r="K231" s="94" t="s">
        <v>985</v>
      </c>
      <c r="L231" s="130">
        <v>1.3480000000000001</v>
      </c>
      <c r="M231" s="136">
        <v>6.02</v>
      </c>
      <c r="N231" s="94"/>
      <c r="O231" s="94"/>
      <c r="P231" s="94"/>
      <c r="Q231" s="83">
        <v>1.28</v>
      </c>
      <c r="R231" s="83">
        <v>5.98</v>
      </c>
      <c r="S231" s="83">
        <v>6.08</v>
      </c>
      <c r="T231" s="83" t="e">
        <v>#N/A</v>
      </c>
      <c r="U231" s="83">
        <v>6.07</v>
      </c>
      <c r="V231" s="83">
        <v>0.1</v>
      </c>
      <c r="W231" s="83" t="s">
        <v>946</v>
      </c>
      <c r="X231" s="71">
        <v>1</v>
      </c>
      <c r="Y231" s="71" t="s">
        <v>4</v>
      </c>
      <c r="Z231" s="71" t="s">
        <v>937</v>
      </c>
      <c r="AA231" s="71" t="s">
        <v>986</v>
      </c>
      <c r="AB231" s="72" t="s">
        <v>480</v>
      </c>
    </row>
    <row r="232" spans="1:28" s="109" customFormat="1" x14ac:dyDescent="0.3">
      <c r="A232" s="139"/>
      <c r="B232" s="114">
        <v>231</v>
      </c>
      <c r="C232" s="38">
        <v>231</v>
      </c>
      <c r="D232" s="38">
        <v>74083</v>
      </c>
      <c r="E232" s="38" t="s">
        <v>914</v>
      </c>
      <c r="F232" s="39" t="s">
        <v>499</v>
      </c>
      <c r="G232" s="40" t="s">
        <v>29</v>
      </c>
      <c r="H232" s="33" t="s">
        <v>500</v>
      </c>
      <c r="I232" s="32">
        <v>43909</v>
      </c>
      <c r="J232" s="87">
        <v>43854</v>
      </c>
      <c r="K232" s="88">
        <v>0.47500000000000003</v>
      </c>
      <c r="L232" s="127">
        <v>0.52500000000000002</v>
      </c>
      <c r="M232" s="132">
        <v>6.0570000000000004</v>
      </c>
      <c r="N232" s="88"/>
      <c r="O232" s="88"/>
      <c r="P232" s="88">
        <v>0.47916666666666669</v>
      </c>
      <c r="Q232" s="79">
        <v>0.27</v>
      </c>
      <c r="R232" s="79">
        <v>6.04</v>
      </c>
      <c r="S232" s="79">
        <v>6.08</v>
      </c>
      <c r="T232" s="79" t="e">
        <v>#N/A</v>
      </c>
      <c r="U232" s="79">
        <v>6.09</v>
      </c>
      <c r="V232" s="79">
        <v>0.04</v>
      </c>
      <c r="W232" s="79" t="s">
        <v>946</v>
      </c>
      <c r="X232" s="34">
        <v>1</v>
      </c>
      <c r="Y232" s="34" t="s">
        <v>4</v>
      </c>
      <c r="Z232" s="34" t="s">
        <v>937</v>
      </c>
      <c r="AA232" s="34" t="s">
        <v>1069</v>
      </c>
      <c r="AB232" s="35"/>
    </row>
    <row r="233" spans="1:28" x14ac:dyDescent="0.3">
      <c r="A233" s="124"/>
      <c r="B233" s="121">
        <v>232</v>
      </c>
      <c r="C233" s="73">
        <v>232</v>
      </c>
      <c r="D233" s="73">
        <v>65203</v>
      </c>
      <c r="E233" s="73" t="s">
        <v>915</v>
      </c>
      <c r="F233" s="62" t="s">
        <v>501</v>
      </c>
      <c r="G233" s="74" t="s">
        <v>18</v>
      </c>
      <c r="H233" s="52" t="s">
        <v>502</v>
      </c>
      <c r="I233" s="75">
        <v>43903</v>
      </c>
      <c r="J233" s="95">
        <v>43872</v>
      </c>
      <c r="K233" s="96">
        <v>5.347222222222222E-2</v>
      </c>
      <c r="L233" s="131">
        <v>2.1890000000000001</v>
      </c>
      <c r="M233" s="137">
        <v>6.0209999999999999</v>
      </c>
      <c r="N233" s="96"/>
      <c r="O233" s="96"/>
      <c r="P233" s="96">
        <v>0.5625</v>
      </c>
      <c r="Q233" s="81">
        <v>2.0299999999999998</v>
      </c>
      <c r="R233" s="81">
        <v>6</v>
      </c>
      <c r="S233" s="81">
        <v>6.09</v>
      </c>
      <c r="T233" s="81" t="e">
        <v>#N/A</v>
      </c>
      <c r="U233" s="81">
        <v>6</v>
      </c>
      <c r="V233" s="81">
        <v>0.09</v>
      </c>
      <c r="W233" s="79" t="s">
        <v>946</v>
      </c>
      <c r="X233" s="76">
        <v>1</v>
      </c>
      <c r="Y233" s="76" t="s">
        <v>4</v>
      </c>
      <c r="Z233" s="76" t="s">
        <v>937</v>
      </c>
      <c r="AA233" s="76"/>
      <c r="AB233" s="77"/>
    </row>
    <row r="234" spans="1:28" x14ac:dyDescent="0.3">
      <c r="A234" s="124"/>
      <c r="B234" s="121">
        <v>233</v>
      </c>
      <c r="C234" s="58">
        <v>233</v>
      </c>
      <c r="D234" s="58">
        <v>65515</v>
      </c>
      <c r="E234" s="58" t="s">
        <v>916</v>
      </c>
      <c r="F234" s="62" t="s">
        <v>503</v>
      </c>
      <c r="G234" s="74" t="s">
        <v>18</v>
      </c>
      <c r="H234" s="52" t="s">
        <v>504</v>
      </c>
      <c r="I234" s="75">
        <v>43904</v>
      </c>
      <c r="J234" s="95">
        <v>43872</v>
      </c>
      <c r="K234" s="96">
        <v>0.50763888888888886</v>
      </c>
      <c r="L234" s="131">
        <f>60.359-57.912</f>
        <v>2.4470000000000027</v>
      </c>
      <c r="M234" s="137">
        <f>(63.793-57.912)+0.086</f>
        <v>5.9670000000000005</v>
      </c>
      <c r="N234" s="96"/>
      <c r="O234" s="96"/>
      <c r="P234" s="96">
        <v>0.51388888888888895</v>
      </c>
      <c r="Q234" s="81">
        <v>2.4500000000000002</v>
      </c>
      <c r="R234" s="81">
        <v>5.87</v>
      </c>
      <c r="S234" s="81">
        <v>6.02</v>
      </c>
      <c r="T234" s="81" t="e">
        <v>#N/A</v>
      </c>
      <c r="U234" s="81">
        <v>6.02</v>
      </c>
      <c r="V234" s="81">
        <v>0.15</v>
      </c>
      <c r="W234" s="79" t="s">
        <v>946</v>
      </c>
      <c r="X234" s="76">
        <v>1</v>
      </c>
      <c r="Y234" s="76" t="s">
        <v>4</v>
      </c>
      <c r="Z234" s="76" t="s">
        <v>937</v>
      </c>
      <c r="AA234" s="76" t="s">
        <v>1158</v>
      </c>
      <c r="AB234" s="77"/>
    </row>
    <row r="235" spans="1:28" s="109" customFormat="1" x14ac:dyDescent="0.3">
      <c r="A235" s="139"/>
      <c r="B235" s="121">
        <v>234</v>
      </c>
      <c r="C235" s="58">
        <v>234</v>
      </c>
      <c r="D235" s="58">
        <v>65478</v>
      </c>
      <c r="E235" s="58" t="s">
        <v>917</v>
      </c>
      <c r="F235" s="62" t="s">
        <v>505</v>
      </c>
      <c r="G235" s="74" t="s">
        <v>29</v>
      </c>
      <c r="H235" s="52" t="s">
        <v>506</v>
      </c>
      <c r="I235" s="75">
        <v>43912</v>
      </c>
      <c r="J235" s="95">
        <v>43873</v>
      </c>
      <c r="K235" s="96">
        <v>0.43124999999999997</v>
      </c>
      <c r="L235" s="131">
        <f>58.723-57.912</f>
        <v>0.81099999999999994</v>
      </c>
      <c r="M235" s="137">
        <f>(63.974-57.912)+0.086</f>
        <v>6.1479999999999979</v>
      </c>
      <c r="N235" s="96"/>
      <c r="O235" s="96"/>
      <c r="P235" s="96">
        <v>0.41666666666666669</v>
      </c>
      <c r="Q235" s="81">
        <v>0.66</v>
      </c>
      <c r="R235" s="81">
        <v>6.13</v>
      </c>
      <c r="S235" s="81">
        <v>6.14</v>
      </c>
      <c r="T235" s="81" t="e">
        <v>#N/A</v>
      </c>
      <c r="U235" s="81">
        <v>6.13</v>
      </c>
      <c r="V235" s="81">
        <v>0.01</v>
      </c>
      <c r="W235" s="79" t="s">
        <v>946</v>
      </c>
      <c r="X235" s="76">
        <v>1</v>
      </c>
      <c r="Y235" s="76" t="s">
        <v>4</v>
      </c>
      <c r="Z235" s="76" t="s">
        <v>937</v>
      </c>
      <c r="AA235" s="76"/>
      <c r="AB235" s="77"/>
    </row>
    <row r="236" spans="1:28" s="98" customFormat="1" ht="29.25" customHeight="1" x14ac:dyDescent="0.3">
      <c r="A236" s="157"/>
      <c r="B236" s="121">
        <v>235</v>
      </c>
      <c r="C236" s="58">
        <v>235</v>
      </c>
      <c r="D236" s="58">
        <v>65291</v>
      </c>
      <c r="E236" s="58" t="s">
        <v>918</v>
      </c>
      <c r="F236" s="62" t="s">
        <v>507</v>
      </c>
      <c r="G236" s="74" t="s">
        <v>29</v>
      </c>
      <c r="H236" s="52" t="s">
        <v>508</v>
      </c>
      <c r="I236" s="75">
        <v>43916</v>
      </c>
      <c r="J236" s="95">
        <v>43874</v>
      </c>
      <c r="K236" s="96">
        <v>0.4381944444444445</v>
      </c>
      <c r="L236" s="131">
        <f>58.108-57.912</f>
        <v>0.19599999999999795</v>
      </c>
      <c r="M236" s="137">
        <f>(63.765-57.912)+0.086</f>
        <v>5.9390000000000018</v>
      </c>
      <c r="N236" s="96"/>
      <c r="O236" s="96"/>
      <c r="P236" s="96">
        <v>0.44444444444444442</v>
      </c>
      <c r="Q236" s="81">
        <v>0</v>
      </c>
      <c r="R236" s="81">
        <v>5.99</v>
      </c>
      <c r="S236" s="81">
        <v>6.02</v>
      </c>
      <c r="T236" s="81" t="e">
        <v>#N/A</v>
      </c>
      <c r="U236" s="81">
        <v>6.08</v>
      </c>
      <c r="V236" s="81">
        <v>0.03</v>
      </c>
      <c r="W236" s="79" t="s">
        <v>946</v>
      </c>
      <c r="X236" s="76">
        <v>1</v>
      </c>
      <c r="Y236" s="76" t="s">
        <v>4</v>
      </c>
      <c r="Z236" s="76" t="s">
        <v>937</v>
      </c>
      <c r="AA236" s="76"/>
      <c r="AB236" s="77"/>
    </row>
    <row r="237" spans="1:28" s="109" customFormat="1" x14ac:dyDescent="0.3">
      <c r="A237" s="139"/>
      <c r="B237" s="121">
        <v>236</v>
      </c>
      <c r="C237" s="58">
        <v>236</v>
      </c>
      <c r="D237" s="58">
        <v>65479</v>
      </c>
      <c r="E237" s="58" t="s">
        <v>919</v>
      </c>
      <c r="F237" s="62" t="s">
        <v>509</v>
      </c>
      <c r="G237" s="74" t="s">
        <v>29</v>
      </c>
      <c r="H237" s="52" t="s">
        <v>510</v>
      </c>
      <c r="I237" s="75">
        <v>43908</v>
      </c>
      <c r="J237" s="95">
        <v>43874</v>
      </c>
      <c r="K237" s="96">
        <v>0.42569444444444443</v>
      </c>
      <c r="L237" s="131">
        <f>60.127-57.912</f>
        <v>2.2150000000000034</v>
      </c>
      <c r="M237" s="137">
        <f>(63.867-57.912)+0.086</f>
        <v>6.0409999999999986</v>
      </c>
      <c r="N237" s="96"/>
      <c r="O237" s="96"/>
      <c r="P237" s="96">
        <v>0.43055555555555558</v>
      </c>
      <c r="Q237" s="81">
        <v>2</v>
      </c>
      <c r="R237" s="81">
        <v>6.01</v>
      </c>
      <c r="S237" s="81">
        <v>6.08</v>
      </c>
      <c r="T237" s="81" t="e">
        <v>#N/A</v>
      </c>
      <c r="U237" s="81">
        <v>6.15</v>
      </c>
      <c r="V237" s="81">
        <v>7.0000000000000007E-2</v>
      </c>
      <c r="W237" s="79" t="s">
        <v>946</v>
      </c>
      <c r="X237" s="76">
        <v>1</v>
      </c>
      <c r="Y237" s="76" t="s">
        <v>4</v>
      </c>
      <c r="Z237" s="76" t="s">
        <v>937</v>
      </c>
      <c r="AA237" s="76" t="s">
        <v>1174</v>
      </c>
      <c r="AB237" s="77"/>
    </row>
    <row r="238" spans="1:28" x14ac:dyDescent="0.3">
      <c r="A238" s="124"/>
      <c r="B238" s="121">
        <v>237</v>
      </c>
      <c r="C238" s="58">
        <v>237</v>
      </c>
      <c r="D238" s="58">
        <v>65503</v>
      </c>
      <c r="E238" s="58" t="s">
        <v>920</v>
      </c>
      <c r="F238" s="62" t="s">
        <v>511</v>
      </c>
      <c r="G238" s="74" t="s">
        <v>29</v>
      </c>
      <c r="H238" s="52" t="s">
        <v>512</v>
      </c>
      <c r="I238" s="75">
        <v>43914</v>
      </c>
      <c r="J238" s="95">
        <v>43865</v>
      </c>
      <c r="K238" s="96">
        <v>0.52361111111111114</v>
      </c>
      <c r="L238" s="131">
        <v>0.877</v>
      </c>
      <c r="M238" s="131">
        <v>5.7450000000000001</v>
      </c>
      <c r="N238" s="96"/>
      <c r="O238" s="96"/>
      <c r="P238" s="96">
        <v>0.53472222222222221</v>
      </c>
      <c r="Q238" s="81">
        <v>0.72</v>
      </c>
      <c r="R238" s="81">
        <v>5.67</v>
      </c>
      <c r="S238" s="81">
        <v>5.79</v>
      </c>
      <c r="T238" s="81" t="e">
        <v>#N/A</v>
      </c>
      <c r="U238" s="81">
        <v>6.05</v>
      </c>
      <c r="V238" s="81">
        <v>0.12</v>
      </c>
      <c r="W238" s="79" t="s">
        <v>946</v>
      </c>
      <c r="X238" s="76">
        <v>1</v>
      </c>
      <c r="Y238" s="76" t="s">
        <v>4</v>
      </c>
      <c r="Z238" s="76" t="s">
        <v>937</v>
      </c>
      <c r="AA238" s="76"/>
      <c r="AB238" s="77"/>
    </row>
    <row r="239" spans="1:28" x14ac:dyDescent="0.3">
      <c r="A239" s="124"/>
      <c r="B239" s="121">
        <v>238</v>
      </c>
      <c r="C239" s="58">
        <v>238</v>
      </c>
      <c r="D239" s="58">
        <v>65204</v>
      </c>
      <c r="E239" s="58" t="s">
        <v>921</v>
      </c>
      <c r="F239" s="62" t="s">
        <v>513</v>
      </c>
      <c r="G239" s="74" t="s">
        <v>29</v>
      </c>
      <c r="H239" s="52" t="s">
        <v>514</v>
      </c>
      <c r="I239" s="75">
        <v>43914</v>
      </c>
      <c r="J239" s="95">
        <v>43874</v>
      </c>
      <c r="K239" s="96" t="s">
        <v>1175</v>
      </c>
      <c r="L239" s="131">
        <f>60.177-57.912</f>
        <v>2.2650000000000006</v>
      </c>
      <c r="M239" s="137">
        <f>(63.903-57.912)+0.086</f>
        <v>6.077</v>
      </c>
      <c r="N239" s="96"/>
      <c r="O239" s="96"/>
      <c r="P239" s="96" t="s">
        <v>1010</v>
      </c>
      <c r="Q239" s="81">
        <v>2.11</v>
      </c>
      <c r="R239" s="81">
        <v>5.97</v>
      </c>
      <c r="S239" s="81">
        <v>6.1</v>
      </c>
      <c r="T239" s="81" t="e">
        <v>#N/A</v>
      </c>
      <c r="U239" s="81">
        <v>6</v>
      </c>
      <c r="V239" s="81">
        <v>0.13</v>
      </c>
      <c r="W239" s="79" t="s">
        <v>946</v>
      </c>
      <c r="X239" s="76">
        <v>1</v>
      </c>
      <c r="Y239" s="76" t="s">
        <v>4</v>
      </c>
      <c r="Z239" s="76" t="s">
        <v>937</v>
      </c>
      <c r="AA239" s="76"/>
      <c r="AB239" s="77"/>
    </row>
    <row r="240" spans="1:28" s="109" customFormat="1" x14ac:dyDescent="0.3">
      <c r="A240" s="139"/>
      <c r="B240" s="121">
        <v>239</v>
      </c>
      <c r="C240" s="58">
        <v>239</v>
      </c>
      <c r="D240" s="58">
        <v>74084</v>
      </c>
      <c r="E240" s="58" t="s">
        <v>922</v>
      </c>
      <c r="F240" s="62" t="s">
        <v>515</v>
      </c>
      <c r="G240" s="74" t="s">
        <v>29</v>
      </c>
      <c r="H240" s="52">
        <v>0</v>
      </c>
      <c r="I240" s="75">
        <v>43908</v>
      </c>
      <c r="J240" s="95">
        <v>43853</v>
      </c>
      <c r="K240" s="96" t="s">
        <v>1050</v>
      </c>
      <c r="L240" s="131">
        <v>3.1070000000000002</v>
      </c>
      <c r="M240" s="137">
        <v>5.42</v>
      </c>
      <c r="N240" s="96"/>
      <c r="O240" s="96"/>
      <c r="P240" s="96"/>
      <c r="Q240" s="81">
        <v>1.07</v>
      </c>
      <c r="R240" s="81">
        <v>5.42</v>
      </c>
      <c r="S240" s="81">
        <v>5.53</v>
      </c>
      <c r="T240" s="81" t="e">
        <v>#N/A</v>
      </c>
      <c r="U240" s="81">
        <v>6.08</v>
      </c>
      <c r="V240" s="81">
        <v>0.11</v>
      </c>
      <c r="W240" s="79" t="s">
        <v>946</v>
      </c>
      <c r="X240" s="76">
        <v>1</v>
      </c>
      <c r="Y240" s="76" t="s">
        <v>4</v>
      </c>
      <c r="Z240" s="76" t="s">
        <v>937</v>
      </c>
      <c r="AA240" s="76" t="s">
        <v>1051</v>
      </c>
      <c r="AB240" s="77"/>
    </row>
    <row r="241" spans="1:29" x14ac:dyDescent="0.3">
      <c r="A241" s="124"/>
      <c r="B241" s="121">
        <v>240</v>
      </c>
      <c r="C241" s="58">
        <v>240</v>
      </c>
      <c r="D241" s="58">
        <v>74459</v>
      </c>
      <c r="E241" s="58" t="s">
        <v>923</v>
      </c>
      <c r="F241" s="62" t="s">
        <v>516</v>
      </c>
      <c r="G241" s="74" t="s">
        <v>29</v>
      </c>
      <c r="H241" s="52" t="s">
        <v>517</v>
      </c>
      <c r="I241" s="75">
        <v>43909</v>
      </c>
      <c r="J241" s="95">
        <v>43854</v>
      </c>
      <c r="K241" s="96">
        <v>0.42222222222222222</v>
      </c>
      <c r="L241" s="131">
        <v>0.78800000000000003</v>
      </c>
      <c r="M241" s="137">
        <v>5.633</v>
      </c>
      <c r="N241" s="96"/>
      <c r="O241" s="96"/>
      <c r="P241" s="96">
        <v>0.43055555555555558</v>
      </c>
      <c r="Q241" s="81">
        <v>0.43</v>
      </c>
      <c r="R241" s="81">
        <v>5.41</v>
      </c>
      <c r="S241" s="81">
        <v>5.47</v>
      </c>
      <c r="T241" s="81" t="e">
        <v>#N/A</v>
      </c>
      <c r="U241" s="81">
        <v>6.12</v>
      </c>
      <c r="V241" s="81">
        <v>0.06</v>
      </c>
      <c r="W241" s="79" t="s">
        <v>946</v>
      </c>
      <c r="X241" s="76">
        <v>1</v>
      </c>
      <c r="Y241" s="76" t="s">
        <v>4</v>
      </c>
      <c r="Z241" s="76" t="s">
        <v>937</v>
      </c>
      <c r="AA241" s="76" t="s">
        <v>1066</v>
      </c>
      <c r="AB241" s="77"/>
    </row>
    <row r="242" spans="1:29" x14ac:dyDescent="0.3">
      <c r="A242" s="124"/>
      <c r="B242" s="121">
        <v>241</v>
      </c>
      <c r="C242" s="58">
        <v>241</v>
      </c>
      <c r="D242" s="58">
        <v>74460</v>
      </c>
      <c r="E242" s="58" t="s">
        <v>924</v>
      </c>
      <c r="F242" s="62" t="s">
        <v>518</v>
      </c>
      <c r="G242" s="74" t="s">
        <v>29</v>
      </c>
      <c r="H242" s="52" t="s">
        <v>519</v>
      </c>
      <c r="I242" s="75">
        <v>43909</v>
      </c>
      <c r="J242" s="95">
        <v>43854</v>
      </c>
      <c r="K242" s="96">
        <v>0.43958333333333338</v>
      </c>
      <c r="L242" s="131">
        <v>1.1459999999999999</v>
      </c>
      <c r="M242" s="137">
        <v>6.0990000000000002</v>
      </c>
      <c r="N242" s="96"/>
      <c r="O242" s="96"/>
      <c r="P242" s="96">
        <v>0.44444444444444442</v>
      </c>
      <c r="Q242" s="81">
        <v>0.9</v>
      </c>
      <c r="R242" s="81">
        <v>6.06</v>
      </c>
      <c r="S242" s="81">
        <v>6.08</v>
      </c>
      <c r="T242" s="81" t="e">
        <v>#N/A</v>
      </c>
      <c r="U242" s="81">
        <v>6.11</v>
      </c>
      <c r="V242" s="81">
        <v>0.02</v>
      </c>
      <c r="W242" s="79" t="s">
        <v>946</v>
      </c>
      <c r="X242" s="76">
        <v>1</v>
      </c>
      <c r="Y242" s="76" t="s">
        <v>4</v>
      </c>
      <c r="Z242" s="76" t="s">
        <v>937</v>
      </c>
      <c r="AA242" s="76" t="s">
        <v>1067</v>
      </c>
      <c r="AB242" s="77"/>
    </row>
    <row r="243" spans="1:29" s="98" customFormat="1" x14ac:dyDescent="0.3">
      <c r="A243" s="157"/>
      <c r="B243" s="114">
        <v>242</v>
      </c>
      <c r="C243" s="38" t="s">
        <v>684</v>
      </c>
      <c r="D243" s="38">
        <v>57417</v>
      </c>
      <c r="E243" s="38" t="s">
        <v>925</v>
      </c>
      <c r="F243" s="39" t="s">
        <v>520</v>
      </c>
      <c r="G243" s="40" t="s">
        <v>167</v>
      </c>
      <c r="H243" s="33" t="s">
        <v>521</v>
      </c>
      <c r="I243" s="32">
        <v>43916</v>
      </c>
      <c r="J243" s="87">
        <v>43850</v>
      </c>
      <c r="K243" s="88">
        <v>0.3756944444444445</v>
      </c>
      <c r="L243" s="127">
        <v>1.44</v>
      </c>
      <c r="M243" s="132">
        <v>5.165</v>
      </c>
      <c r="N243" s="88"/>
      <c r="O243" s="88"/>
      <c r="P243" s="88">
        <v>0.38194444444444442</v>
      </c>
      <c r="Q243" s="79">
        <v>1.1000000000000001</v>
      </c>
      <c r="R243" s="79">
        <v>5.14</v>
      </c>
      <c r="S243" s="79">
        <v>5.24</v>
      </c>
      <c r="T243" s="79">
        <v>5.09</v>
      </c>
      <c r="U243" s="79" t="s">
        <v>955</v>
      </c>
      <c r="V243" s="79">
        <v>0.1</v>
      </c>
      <c r="W243" s="79">
        <v>-0.05</v>
      </c>
      <c r="X243" s="34">
        <v>1</v>
      </c>
      <c r="Y243" s="34" t="s">
        <v>4</v>
      </c>
      <c r="Z243" s="34" t="s">
        <v>941</v>
      </c>
      <c r="AA243" s="34" t="s">
        <v>990</v>
      </c>
      <c r="AB243" s="35"/>
    </row>
    <row r="244" spans="1:29" x14ac:dyDescent="0.3">
      <c r="A244" s="124"/>
      <c r="B244" s="114">
        <v>243</v>
      </c>
      <c r="C244" s="38" t="s">
        <v>685</v>
      </c>
      <c r="D244" s="38">
        <v>57418</v>
      </c>
      <c r="E244" s="38" t="s">
        <v>926</v>
      </c>
      <c r="F244" s="39" t="s">
        <v>522</v>
      </c>
      <c r="G244" s="40" t="s">
        <v>29</v>
      </c>
      <c r="H244" s="33" t="s">
        <v>523</v>
      </c>
      <c r="I244" s="32">
        <v>43910</v>
      </c>
      <c r="J244" s="87">
        <v>43868</v>
      </c>
      <c r="K244" s="88">
        <v>0.36180555555555555</v>
      </c>
      <c r="L244" s="127">
        <v>2.032</v>
      </c>
      <c r="M244" s="132">
        <v>6</v>
      </c>
      <c r="N244" s="88"/>
      <c r="O244" s="88"/>
      <c r="P244" s="88">
        <v>0.36805555555555558</v>
      </c>
      <c r="Q244" s="79">
        <v>1.47</v>
      </c>
      <c r="R244" s="79">
        <v>5.98</v>
      </c>
      <c r="S244" s="79">
        <v>6.09</v>
      </c>
      <c r="T244" s="79">
        <v>6</v>
      </c>
      <c r="U244" s="79" t="s">
        <v>955</v>
      </c>
      <c r="V244" s="79">
        <v>0.11</v>
      </c>
      <c r="W244" s="79">
        <v>0.02</v>
      </c>
      <c r="X244" s="34">
        <v>1</v>
      </c>
      <c r="Y244" s="34" t="s">
        <v>4</v>
      </c>
      <c r="Z244" s="34" t="s">
        <v>941</v>
      </c>
      <c r="AA244" s="34" t="s">
        <v>1115</v>
      </c>
      <c r="AB244" s="35"/>
    </row>
    <row r="245" spans="1:29" ht="28.8" x14ac:dyDescent="0.3">
      <c r="A245" s="124"/>
      <c r="B245" s="122">
        <v>244</v>
      </c>
      <c r="C245" s="38" t="s">
        <v>686</v>
      </c>
      <c r="D245" s="38">
        <v>57420</v>
      </c>
      <c r="E245" s="38" t="s">
        <v>927</v>
      </c>
      <c r="F245" s="54" t="s">
        <v>524</v>
      </c>
      <c r="G245" s="55" t="s">
        <v>29</v>
      </c>
      <c r="H245" s="56" t="s">
        <v>525</v>
      </c>
      <c r="I245" s="32">
        <v>43908</v>
      </c>
      <c r="J245" s="87">
        <v>43851</v>
      </c>
      <c r="K245" s="88">
        <v>0.57916666666666672</v>
      </c>
      <c r="L245" s="127">
        <v>1.373</v>
      </c>
      <c r="M245" s="132">
        <v>4.97</v>
      </c>
      <c r="N245" s="88"/>
      <c r="O245" s="88"/>
      <c r="P245" s="88">
        <v>0.59027777777777779</v>
      </c>
      <c r="Q245" s="79">
        <v>1.17</v>
      </c>
      <c r="R245" s="79">
        <v>4.93</v>
      </c>
      <c r="S245" s="97">
        <v>6.05</v>
      </c>
      <c r="T245" s="79">
        <v>4.88</v>
      </c>
      <c r="U245" s="79" t="s">
        <v>955</v>
      </c>
      <c r="V245" s="79">
        <v>1.1200000000000001</v>
      </c>
      <c r="W245" s="79">
        <v>-0.05</v>
      </c>
      <c r="X245" s="34">
        <v>1</v>
      </c>
      <c r="Y245" s="34" t="s">
        <v>4</v>
      </c>
      <c r="Z245" s="34" t="s">
        <v>941</v>
      </c>
      <c r="AA245" s="34" t="s">
        <v>1012</v>
      </c>
      <c r="AB245" s="35" t="s">
        <v>957</v>
      </c>
      <c r="AC245" t="s">
        <v>954</v>
      </c>
    </row>
    <row r="246" spans="1:29" s="98" customFormat="1" x14ac:dyDescent="0.3">
      <c r="A246" s="157"/>
      <c r="B246" s="122">
        <v>245</v>
      </c>
      <c r="C246" s="38" t="s">
        <v>687</v>
      </c>
      <c r="D246" s="38">
        <v>57425</v>
      </c>
      <c r="E246" s="38" t="s">
        <v>928</v>
      </c>
      <c r="F246" s="54" t="s">
        <v>526</v>
      </c>
      <c r="G246" s="55" t="s">
        <v>29</v>
      </c>
      <c r="H246" s="56" t="s">
        <v>527</v>
      </c>
      <c r="I246" s="32">
        <v>43908</v>
      </c>
      <c r="J246" s="87">
        <v>43854</v>
      </c>
      <c r="K246" s="88">
        <v>0.57361111111111118</v>
      </c>
      <c r="L246" s="127">
        <v>1.6519999999999999</v>
      </c>
      <c r="M246" s="132">
        <v>5.7690000000000001</v>
      </c>
      <c r="N246" s="88"/>
      <c r="O246" s="88"/>
      <c r="P246" s="88">
        <v>0.58333333333333337</v>
      </c>
      <c r="Q246" s="79">
        <v>1.24</v>
      </c>
      <c r="R246" s="79">
        <v>5.72</v>
      </c>
      <c r="S246" s="79">
        <v>5.89</v>
      </c>
      <c r="T246" s="79">
        <v>5.59</v>
      </c>
      <c r="U246" s="79" t="s">
        <v>955</v>
      </c>
      <c r="V246" s="79">
        <v>0.17</v>
      </c>
      <c r="W246" s="79">
        <v>-0.13</v>
      </c>
      <c r="X246" s="34">
        <v>1</v>
      </c>
      <c r="Y246" s="34" t="s">
        <v>4</v>
      </c>
      <c r="Z246" s="34" t="s">
        <v>941</v>
      </c>
      <c r="AA246" s="34"/>
      <c r="AB246" s="35"/>
    </row>
    <row r="247" spans="1:29" x14ac:dyDescent="0.3">
      <c r="A247" s="124"/>
      <c r="B247" s="122">
        <v>246</v>
      </c>
      <c r="C247" s="57" t="s">
        <v>688</v>
      </c>
      <c r="D247" s="57">
        <v>57433</v>
      </c>
      <c r="E247" s="57" t="s">
        <v>929</v>
      </c>
      <c r="F247" s="54" t="s">
        <v>528</v>
      </c>
      <c r="G247" s="55" t="s">
        <v>18</v>
      </c>
      <c r="H247" s="56" t="s">
        <v>529</v>
      </c>
      <c r="I247" s="32">
        <v>43903</v>
      </c>
      <c r="J247" s="87">
        <v>43871</v>
      </c>
      <c r="K247" s="88" t="s">
        <v>993</v>
      </c>
      <c r="L247" s="132">
        <v>0.85799999999999998</v>
      </c>
      <c r="M247" s="227">
        <v>6.08</v>
      </c>
      <c r="N247" s="88"/>
      <c r="O247" s="88"/>
      <c r="P247" s="88" t="s">
        <v>1132</v>
      </c>
      <c r="Q247" s="79">
        <v>0.67</v>
      </c>
      <c r="R247" s="79">
        <v>6.07</v>
      </c>
      <c r="S247" s="79">
        <v>6.13</v>
      </c>
      <c r="T247" s="79">
        <v>6.07</v>
      </c>
      <c r="U247" s="79" t="s">
        <v>955</v>
      </c>
      <c r="V247" s="79">
        <v>0.06</v>
      </c>
      <c r="W247" s="79">
        <v>0</v>
      </c>
      <c r="X247" s="34">
        <v>1</v>
      </c>
      <c r="Y247" s="34" t="s">
        <v>4</v>
      </c>
      <c r="Z247" s="34" t="s">
        <v>941</v>
      </c>
      <c r="AA247" s="34"/>
      <c r="AB247" s="35"/>
    </row>
    <row r="248" spans="1:29" s="98" customFormat="1" x14ac:dyDescent="0.3">
      <c r="A248" s="157"/>
      <c r="B248" s="122">
        <v>247</v>
      </c>
      <c r="C248" s="57" t="s">
        <v>689</v>
      </c>
      <c r="D248" s="57">
        <v>57434</v>
      </c>
      <c r="E248" s="57" t="s">
        <v>930</v>
      </c>
      <c r="F248" s="54" t="s">
        <v>530</v>
      </c>
      <c r="G248" s="55" t="s">
        <v>29</v>
      </c>
      <c r="H248" s="56" t="s">
        <v>531</v>
      </c>
      <c r="I248" s="32">
        <v>43910</v>
      </c>
      <c r="J248" s="87">
        <v>43868</v>
      </c>
      <c r="K248" s="88">
        <v>0.3756944444444445</v>
      </c>
      <c r="L248" s="127">
        <v>1.081</v>
      </c>
      <c r="M248" s="132">
        <v>4.9400000000000004</v>
      </c>
      <c r="N248" s="88"/>
      <c r="O248" s="88"/>
      <c r="P248" s="88">
        <v>0.38194444444444442</v>
      </c>
      <c r="Q248" s="79">
        <v>0.72</v>
      </c>
      <c r="R248" s="79">
        <v>4.82</v>
      </c>
      <c r="S248" s="79">
        <v>4.87</v>
      </c>
      <c r="T248" s="79">
        <v>4.72</v>
      </c>
      <c r="U248" s="79" t="s">
        <v>955</v>
      </c>
      <c r="V248" s="79">
        <v>0.05</v>
      </c>
      <c r="W248" s="79">
        <v>-0.1</v>
      </c>
      <c r="X248" s="34">
        <v>1</v>
      </c>
      <c r="Y248" s="34" t="s">
        <v>4</v>
      </c>
      <c r="Z248" s="34" t="s">
        <v>941</v>
      </c>
      <c r="AA248" s="34" t="s">
        <v>989</v>
      </c>
      <c r="AB248" s="35"/>
    </row>
    <row r="256" spans="1:29" s="208" customFormat="1" x14ac:dyDescent="0.3">
      <c r="A256" s="194"/>
      <c r="B256" s="195">
        <v>85</v>
      </c>
      <c r="C256" s="196" t="s">
        <v>614</v>
      </c>
      <c r="D256" s="196">
        <v>14127</v>
      </c>
      <c r="E256" s="196" t="s">
        <v>769</v>
      </c>
      <c r="F256" s="197" t="s">
        <v>196</v>
      </c>
      <c r="G256" s="198" t="s">
        <v>29</v>
      </c>
      <c r="H256" s="199" t="s">
        <v>197</v>
      </c>
      <c r="I256" s="200">
        <v>43910</v>
      </c>
      <c r="J256" s="201">
        <v>43868</v>
      </c>
      <c r="K256" s="202">
        <v>0.4770833333333333</v>
      </c>
      <c r="L256" s="203">
        <v>0.84</v>
      </c>
      <c r="M256" s="204">
        <v>7.1870000000000003</v>
      </c>
      <c r="N256" s="202"/>
      <c r="O256" s="202"/>
      <c r="P256" s="202" t="s">
        <v>1002</v>
      </c>
      <c r="Q256" s="205">
        <v>0.93</v>
      </c>
      <c r="R256" s="205">
        <v>0.99900000000000233</v>
      </c>
      <c r="S256" s="205">
        <v>7.24</v>
      </c>
      <c r="T256" s="205">
        <v>7.27</v>
      </c>
      <c r="U256" s="205" t="s">
        <v>955</v>
      </c>
      <c r="V256" s="205">
        <v>2.99</v>
      </c>
      <c r="W256" s="205">
        <v>3.02</v>
      </c>
      <c r="X256" s="206">
        <v>1</v>
      </c>
      <c r="Y256" s="206" t="s">
        <v>4</v>
      </c>
      <c r="Z256" s="206" t="s">
        <v>941</v>
      </c>
      <c r="AA256" s="206"/>
      <c r="AB256" s="207"/>
    </row>
    <row r="268" spans="8:8" x14ac:dyDescent="0.3">
      <c r="H268">
        <v>240</v>
      </c>
    </row>
    <row r="269" spans="8:8" x14ac:dyDescent="0.3">
      <c r="H269">
        <v>145</v>
      </c>
    </row>
    <row r="270" spans="8:8" x14ac:dyDescent="0.3">
      <c r="H270" s="226">
        <f>H269/H268</f>
        <v>0.60416666666666663</v>
      </c>
    </row>
  </sheetData>
  <pageMargins left="0.70866141732283472" right="0.70866141732283472" top="0.74803149606299213" bottom="0.74803149606299213" header="0.31496062992125984" footer="0.31496062992125984"/>
  <pageSetup paperSize="8" scale="37" fitToHeight="0" orientation="landscape" r:id="rId1"/>
  <headerFooter>
    <oddHeader>&amp;LPiezometer stocktake August 2019
File:
&amp;F
&amp;D&amp;CPiezometer Stocktake:
APP Piezometers  &amp;RGeotechnics Job No: 1100061.1000.0000
T+T Job No: 52010.4000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9"/>
  <sheetViews>
    <sheetView workbookViewId="0">
      <selection activeCell="B11" sqref="B11"/>
    </sheetView>
  </sheetViews>
  <sheetFormatPr defaultRowHeight="14.4" x14ac:dyDescent="0.3"/>
  <cols>
    <col min="5" max="5" width="55.5546875" customWidth="1"/>
  </cols>
  <sheetData>
    <row r="1" spans="2:8" x14ac:dyDescent="0.3">
      <c r="B1">
        <v>238</v>
      </c>
      <c r="D1" t="s">
        <v>1213</v>
      </c>
    </row>
    <row r="3" spans="2:8" x14ac:dyDescent="0.3">
      <c r="B3">
        <f>F3-4</f>
        <v>229</v>
      </c>
      <c r="D3" t="s">
        <v>1211</v>
      </c>
      <c r="F3">
        <v>233</v>
      </c>
      <c r="H3" t="s">
        <v>1210</v>
      </c>
    </row>
    <row r="4" spans="2:8" x14ac:dyDescent="0.3">
      <c r="G4">
        <v>2</v>
      </c>
      <c r="H4" t="s">
        <v>1204</v>
      </c>
    </row>
    <row r="5" spans="2:8" x14ac:dyDescent="0.3">
      <c r="G5">
        <v>3</v>
      </c>
      <c r="H5" t="s">
        <v>1203</v>
      </c>
    </row>
    <row r="7" spans="2:8" x14ac:dyDescent="0.3">
      <c r="C7">
        <v>9</v>
      </c>
      <c r="D7" t="s">
        <v>1209</v>
      </c>
    </row>
    <row r="9" spans="2:8" x14ac:dyDescent="0.3">
      <c r="D9">
        <v>135</v>
      </c>
      <c r="E9" t="s">
        <v>1215</v>
      </c>
    </row>
    <row r="10" spans="2:8" x14ac:dyDescent="0.3">
      <c r="D10">
        <v>136</v>
      </c>
      <c r="E10" t="s">
        <v>1205</v>
      </c>
    </row>
    <row r="11" spans="2:8" x14ac:dyDescent="0.3">
      <c r="D11">
        <v>144</v>
      </c>
      <c r="E11" t="s">
        <v>1205</v>
      </c>
    </row>
    <row r="12" spans="2:8" x14ac:dyDescent="0.3">
      <c r="D12">
        <v>146</v>
      </c>
      <c r="E12" t="s">
        <v>1205</v>
      </c>
    </row>
    <row r="13" spans="2:8" x14ac:dyDescent="0.3">
      <c r="D13">
        <v>7</v>
      </c>
      <c r="E13" t="s">
        <v>1207</v>
      </c>
    </row>
    <row r="14" spans="2:8" x14ac:dyDescent="0.3">
      <c r="D14">
        <v>12</v>
      </c>
      <c r="E14" t="s">
        <v>1214</v>
      </c>
    </row>
    <row r="15" spans="2:8" x14ac:dyDescent="0.3">
      <c r="D15">
        <v>32</v>
      </c>
      <c r="E15" t="s">
        <v>1177</v>
      </c>
    </row>
    <row r="16" spans="2:8" x14ac:dyDescent="0.3">
      <c r="D16">
        <v>70</v>
      </c>
      <c r="E16" t="s">
        <v>1208</v>
      </c>
    </row>
    <row r="17" spans="3:5" x14ac:dyDescent="0.3">
      <c r="D17">
        <v>2</v>
      </c>
      <c r="E17" t="s">
        <v>1206</v>
      </c>
    </row>
    <row r="19" spans="3:5" x14ac:dyDescent="0.3">
      <c r="C19">
        <v>1</v>
      </c>
      <c r="D19" t="s">
        <v>1212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TIM K</vt:lpstr>
      <vt:lpstr>APP2020</vt:lpstr>
      <vt:lpstr>Notes</vt:lpstr>
      <vt:lpstr>'APP2020'!Print_Titles</vt:lpstr>
      <vt:lpstr>'TIM 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Lang</dc:creator>
  <cp:lastModifiedBy>Tim Kerr</cp:lastModifiedBy>
  <cp:lastPrinted>2019-08-27T02:02:09Z</cp:lastPrinted>
  <dcterms:created xsi:type="dcterms:W3CDTF">2019-08-05T23:23:23Z</dcterms:created>
  <dcterms:modified xsi:type="dcterms:W3CDTF">2020-03-18T21:54:21Z</dcterms:modified>
</cp:coreProperties>
</file>