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UOFA\USERS$\users0\a1675510\Desktop\Data to modellers 4 June 2020\Sediment quality survey\"/>
    </mc:Choice>
  </mc:AlternateContent>
  <bookViews>
    <workbookView xWindow="0" yWindow="0" windowWidth="7725" windowHeight="5835" tabRatio="853"/>
  </bookViews>
  <sheets>
    <sheet name="Meta_data" sheetId="25" r:id="rId1"/>
    <sheet name="All_Data" sheetId="24" r:id="rId2"/>
    <sheet name="Figures" sheetId="23" r:id="rId3"/>
    <sheet name="Particle Size" sheetId="21" r:id="rId4"/>
    <sheet name="pH EC C N P metals" sheetId="20" r:id="rId5"/>
    <sheet name="AVS Pyrite" sheetId="22" r:id="rId6"/>
  </sheets>
  <externalReferences>
    <externalReference r:id="rId7"/>
  </externalReferences>
  <definedNames>
    <definedName name="Address">#REF!:INDEX(#REF!,lrow)</definedName>
    <definedName name="Client">#REF!:INDEX(#REF!,lrow)</definedName>
    <definedName name="code">#REF!:INDEX(#REF!,lrow)</definedName>
    <definedName name="Companies">#REF!:INDEX(#REF!,lrow)</definedName>
    <definedName name="Email">#REF!:INDEX(#REF!,lrow)</definedName>
    <definedName name="lcol">COUNTA(#REF!)</definedName>
    <definedName name="lrow">COUNTA(#REF!)</definedName>
    <definedName name="myData">#REF!:INDEX(#REF!,lrow,lcol)</definedName>
    <definedName name="Preset">#REF!:INDEX(#REF!,COUNTA(#REF!))</definedName>
    <definedName name="PSAdatano">[1]Page1!$G$6</definedName>
    <definedName name="Temp">#REF!:INDEX(#REF!,lrow)</definedName>
  </definedNames>
  <calcPr calcId="162913"/>
</workbook>
</file>

<file path=xl/calcChain.xml><?xml version="1.0" encoding="utf-8"?>
<calcChain xmlns="http://schemas.openxmlformats.org/spreadsheetml/2006/main">
  <c r="AB20" i="20" l="1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61" i="22" l="1"/>
  <c r="A59" i="22"/>
  <c r="AS35" i="22"/>
  <c r="AX35" i="22"/>
  <c r="AQ35" i="22"/>
  <c r="AW35" i="22"/>
  <c r="AG35" i="22"/>
  <c r="AT35" i="22"/>
  <c r="AU35" i="22"/>
  <c r="AC35" i="22"/>
  <c r="AJ35" i="22"/>
  <c r="AK35" i="22"/>
  <c r="AV35" i="22"/>
  <c r="BA35" i="22"/>
  <c r="BB35" i="22"/>
  <c r="AY35" i="22"/>
  <c r="AZ35" i="22"/>
  <c r="AN35" i="22"/>
  <c r="AO35" i="22"/>
  <c r="AE35" i="22"/>
  <c r="Y35" i="22"/>
  <c r="Z35" i="22"/>
  <c r="R35" i="22"/>
  <c r="U35" i="22"/>
  <c r="V35" i="22"/>
  <c r="Q35" i="22"/>
  <c r="L35" i="22"/>
  <c r="AS34" i="22"/>
  <c r="AX34" i="22"/>
  <c r="AQ34" i="22"/>
  <c r="AW34" i="22"/>
  <c r="AG34" i="22"/>
  <c r="AT34" i="22"/>
  <c r="AU34" i="22"/>
  <c r="AC34" i="22"/>
  <c r="AJ34" i="22"/>
  <c r="AK34" i="22"/>
  <c r="AV34" i="22"/>
  <c r="BA34" i="22"/>
  <c r="BB34" i="22"/>
  <c r="AY34" i="22"/>
  <c r="AZ34" i="22"/>
  <c r="AN34" i="22"/>
  <c r="AO34" i="22"/>
  <c r="AE34" i="22"/>
  <c r="Y34" i="22"/>
  <c r="Z34" i="22"/>
  <c r="R34" i="22"/>
  <c r="U34" i="22"/>
  <c r="V34" i="22"/>
  <c r="Q34" i="22"/>
  <c r="L34" i="22"/>
  <c r="AS33" i="22"/>
  <c r="AX33" i="22"/>
  <c r="AQ33" i="22"/>
  <c r="AW33" i="22"/>
  <c r="AG33" i="22"/>
  <c r="AT33" i="22"/>
  <c r="AU33" i="22"/>
  <c r="AC33" i="22"/>
  <c r="AJ33" i="22"/>
  <c r="AK33" i="22"/>
  <c r="AV33" i="22"/>
  <c r="BA33" i="22"/>
  <c r="BB33" i="22"/>
  <c r="AY33" i="22"/>
  <c r="AZ33" i="22"/>
  <c r="AN33" i="22"/>
  <c r="AO33" i="22"/>
  <c r="AE33" i="22"/>
  <c r="Y33" i="22"/>
  <c r="Z33" i="22"/>
  <c r="R33" i="22"/>
  <c r="U33" i="22"/>
  <c r="V33" i="22"/>
  <c r="Q33" i="22"/>
  <c r="L33" i="22"/>
  <c r="AS32" i="22"/>
  <c r="AX32" i="22"/>
  <c r="AQ32" i="22"/>
  <c r="AW32" i="22"/>
  <c r="AG32" i="22"/>
  <c r="AT32" i="22"/>
  <c r="AU32" i="22"/>
  <c r="AC32" i="22"/>
  <c r="AJ32" i="22"/>
  <c r="AK32" i="22"/>
  <c r="AV32" i="22"/>
  <c r="BA32" i="22"/>
  <c r="BB32" i="22"/>
  <c r="AY32" i="22"/>
  <c r="AZ32" i="22"/>
  <c r="AN32" i="22"/>
  <c r="AO32" i="22"/>
  <c r="AE32" i="22"/>
  <c r="Y32" i="22"/>
  <c r="Z32" i="22"/>
  <c r="R32" i="22"/>
  <c r="U32" i="22"/>
  <c r="V32" i="22"/>
  <c r="Q32" i="22"/>
  <c r="L32" i="22"/>
  <c r="AS31" i="22"/>
  <c r="AX31" i="22"/>
  <c r="AQ31" i="22"/>
  <c r="AW31" i="22"/>
  <c r="AG31" i="22"/>
  <c r="AT31" i="22"/>
  <c r="AU31" i="22"/>
  <c r="AC31" i="22"/>
  <c r="AJ31" i="22"/>
  <c r="AK31" i="22"/>
  <c r="AV31" i="22"/>
  <c r="BA31" i="22"/>
  <c r="BB31" i="22"/>
  <c r="AY31" i="22"/>
  <c r="AZ31" i="22"/>
  <c r="AN31" i="22"/>
  <c r="AO31" i="22"/>
  <c r="AE31" i="22"/>
  <c r="Y31" i="22"/>
  <c r="Z31" i="22"/>
  <c r="R31" i="22"/>
  <c r="U31" i="22"/>
  <c r="V31" i="22"/>
  <c r="Q31" i="22"/>
  <c r="L31" i="22"/>
  <c r="AS30" i="22"/>
  <c r="AX30" i="22"/>
  <c r="AQ30" i="22"/>
  <c r="AW30" i="22"/>
  <c r="AG30" i="22"/>
  <c r="AT30" i="22"/>
  <c r="AU30" i="22"/>
  <c r="AC30" i="22"/>
  <c r="AJ30" i="22"/>
  <c r="AK30" i="22"/>
  <c r="AV30" i="22"/>
  <c r="BA30" i="22"/>
  <c r="BB30" i="22"/>
  <c r="AY30" i="22"/>
  <c r="AZ30" i="22"/>
  <c r="AN30" i="22"/>
  <c r="AO30" i="22"/>
  <c r="AE30" i="22"/>
  <c r="Y30" i="22"/>
  <c r="Z30" i="22"/>
  <c r="R30" i="22"/>
  <c r="U30" i="22"/>
  <c r="V30" i="22"/>
  <c r="Q30" i="22"/>
  <c r="L30" i="22"/>
  <c r="AS29" i="22"/>
  <c r="AX29" i="22"/>
  <c r="AQ29" i="22"/>
  <c r="AW29" i="22"/>
  <c r="AG29" i="22"/>
  <c r="AT29" i="22"/>
  <c r="AU29" i="22"/>
  <c r="AC29" i="22"/>
  <c r="AJ29" i="22"/>
  <c r="AK29" i="22"/>
  <c r="AV29" i="22"/>
  <c r="BA29" i="22"/>
  <c r="BB29" i="22"/>
  <c r="AY29" i="22"/>
  <c r="AZ29" i="22"/>
  <c r="AN29" i="22"/>
  <c r="AO29" i="22"/>
  <c r="AE29" i="22"/>
  <c r="Y29" i="22"/>
  <c r="Z29" i="22"/>
  <c r="R29" i="22"/>
  <c r="U29" i="22"/>
  <c r="V29" i="22"/>
  <c r="Q29" i="22"/>
  <c r="L29" i="22"/>
  <c r="AS28" i="22"/>
  <c r="AX28" i="22"/>
  <c r="AQ28" i="22"/>
  <c r="AW28" i="22"/>
  <c r="AG28" i="22"/>
  <c r="AT28" i="22"/>
  <c r="AU28" i="22"/>
  <c r="AC28" i="22"/>
  <c r="AJ28" i="22"/>
  <c r="AK28" i="22"/>
  <c r="AV28" i="22"/>
  <c r="BA28" i="22"/>
  <c r="BB28" i="22"/>
  <c r="AY28" i="22"/>
  <c r="AZ28" i="22"/>
  <c r="AN28" i="22"/>
  <c r="AO28" i="22"/>
  <c r="AE28" i="22"/>
  <c r="Y28" i="22"/>
  <c r="Z28" i="22"/>
  <c r="R28" i="22"/>
  <c r="U28" i="22"/>
  <c r="V28" i="22"/>
  <c r="Q28" i="22"/>
  <c r="L28" i="22"/>
  <c r="AS27" i="22"/>
  <c r="AX27" i="22"/>
  <c r="AQ27" i="22"/>
  <c r="AW27" i="22"/>
  <c r="AG27" i="22"/>
  <c r="AT27" i="22"/>
  <c r="AU27" i="22"/>
  <c r="AC27" i="22"/>
  <c r="AJ27" i="22"/>
  <c r="AK27" i="22"/>
  <c r="AV27" i="22"/>
  <c r="BA27" i="22"/>
  <c r="BB27" i="22"/>
  <c r="AY27" i="22"/>
  <c r="AZ27" i="22"/>
  <c r="AN27" i="22"/>
  <c r="AO27" i="22"/>
  <c r="AE27" i="22"/>
  <c r="Y27" i="22"/>
  <c r="Z27" i="22"/>
  <c r="R27" i="22"/>
  <c r="U27" i="22"/>
  <c r="V27" i="22"/>
  <c r="Q27" i="22"/>
  <c r="L27" i="22"/>
  <c r="AS26" i="22"/>
  <c r="AX26" i="22"/>
  <c r="AQ26" i="22"/>
  <c r="AW26" i="22"/>
  <c r="AG26" i="22"/>
  <c r="AT26" i="22"/>
  <c r="AU26" i="22"/>
  <c r="AC26" i="22"/>
  <c r="AJ26" i="22"/>
  <c r="AK26" i="22"/>
  <c r="AV26" i="22"/>
  <c r="BA26" i="22"/>
  <c r="BB26" i="22"/>
  <c r="AY26" i="22"/>
  <c r="AZ26" i="22"/>
  <c r="AN26" i="22"/>
  <c r="AO26" i="22"/>
  <c r="AE26" i="22"/>
  <c r="Y26" i="22"/>
  <c r="Z26" i="22"/>
  <c r="R26" i="22"/>
  <c r="U26" i="22"/>
  <c r="V26" i="22"/>
  <c r="Q26" i="22"/>
  <c r="L26" i="22"/>
  <c r="AS25" i="22"/>
  <c r="AX25" i="22"/>
  <c r="AQ25" i="22"/>
  <c r="AW25" i="22"/>
  <c r="AG25" i="22"/>
  <c r="AT25" i="22"/>
  <c r="AU25" i="22"/>
  <c r="AC25" i="22"/>
  <c r="AJ25" i="22"/>
  <c r="AK25" i="22"/>
  <c r="AV25" i="22"/>
  <c r="BA25" i="22"/>
  <c r="BB25" i="22"/>
  <c r="AY25" i="22"/>
  <c r="AZ25" i="22"/>
  <c r="AN25" i="22"/>
  <c r="AO25" i="22"/>
  <c r="AE25" i="22"/>
  <c r="Y25" i="22"/>
  <c r="Z25" i="22"/>
  <c r="R25" i="22"/>
  <c r="U25" i="22"/>
  <c r="V25" i="22"/>
  <c r="Q25" i="22"/>
  <c r="L25" i="22"/>
  <c r="AS24" i="22"/>
  <c r="AX24" i="22"/>
  <c r="AQ24" i="22"/>
  <c r="AW24" i="22"/>
  <c r="AG24" i="22"/>
  <c r="AT24" i="22"/>
  <c r="AU24" i="22"/>
  <c r="AC24" i="22"/>
  <c r="AJ24" i="22"/>
  <c r="AK24" i="22"/>
  <c r="AV24" i="22"/>
  <c r="BA24" i="22"/>
  <c r="BB24" i="22"/>
  <c r="AY24" i="22"/>
  <c r="AZ24" i="22"/>
  <c r="AN24" i="22"/>
  <c r="AO24" i="22"/>
  <c r="AE24" i="22"/>
  <c r="Y24" i="22"/>
  <c r="Z24" i="22"/>
  <c r="R24" i="22"/>
  <c r="U24" i="22"/>
  <c r="V24" i="22"/>
  <c r="Q24" i="22"/>
  <c r="L24" i="22"/>
  <c r="AS23" i="22"/>
  <c r="AX23" i="22"/>
  <c r="AQ23" i="22"/>
  <c r="AW23" i="22"/>
  <c r="AG23" i="22"/>
  <c r="AT23" i="22"/>
  <c r="AU23" i="22"/>
  <c r="AC23" i="22"/>
  <c r="AJ23" i="22"/>
  <c r="AK23" i="22"/>
  <c r="AV23" i="22"/>
  <c r="BA23" i="22"/>
  <c r="BB23" i="22"/>
  <c r="AY23" i="22"/>
  <c r="AZ23" i="22"/>
  <c r="AN23" i="22"/>
  <c r="AO23" i="22"/>
  <c r="Y23" i="22"/>
  <c r="Z23" i="22"/>
  <c r="R23" i="22"/>
  <c r="U23" i="22"/>
  <c r="V23" i="22"/>
  <c r="Q23" i="22"/>
  <c r="L23" i="22"/>
  <c r="AS22" i="22"/>
  <c r="AX22" i="22"/>
  <c r="AQ22" i="22"/>
  <c r="AW22" i="22"/>
  <c r="AG22" i="22"/>
  <c r="AT22" i="22"/>
  <c r="AU22" i="22"/>
  <c r="AC22" i="22"/>
  <c r="AJ22" i="22"/>
  <c r="AK22" i="22"/>
  <c r="AV22" i="22"/>
  <c r="BA22" i="22"/>
  <c r="BB22" i="22"/>
  <c r="AY22" i="22"/>
  <c r="AZ22" i="22"/>
  <c r="AN22" i="22"/>
  <c r="AO22" i="22"/>
  <c r="Y22" i="22"/>
  <c r="Z22" i="22"/>
  <c r="R22" i="22"/>
  <c r="U22" i="22"/>
  <c r="V22" i="22"/>
  <c r="Q22" i="22"/>
  <c r="L22" i="22"/>
  <c r="AS21" i="22"/>
  <c r="AX21" i="22"/>
  <c r="AQ21" i="22"/>
  <c r="AW21" i="22"/>
  <c r="AG21" i="22"/>
  <c r="AT21" i="22"/>
  <c r="AU21" i="22"/>
  <c r="AC21" i="22"/>
  <c r="AJ21" i="22"/>
  <c r="AK21" i="22"/>
  <c r="AV21" i="22"/>
  <c r="BA21" i="22"/>
  <c r="BB21" i="22"/>
  <c r="AY21" i="22"/>
  <c r="AZ21" i="22"/>
  <c r="AN21" i="22"/>
  <c r="AO21" i="22"/>
  <c r="AE21" i="22"/>
  <c r="Y21" i="22"/>
  <c r="Z21" i="22"/>
  <c r="R21" i="22"/>
  <c r="U21" i="22"/>
  <c r="V21" i="22"/>
  <c r="Q21" i="22"/>
  <c r="L21" i="22"/>
  <c r="AS20" i="22"/>
  <c r="AX20" i="22"/>
  <c r="AQ20" i="22"/>
  <c r="AW20" i="22"/>
  <c r="AG20" i="22"/>
  <c r="AT20" i="22"/>
  <c r="AU20" i="22"/>
  <c r="AC20" i="22"/>
  <c r="AJ20" i="22"/>
  <c r="AK20" i="22"/>
  <c r="AV20" i="22"/>
  <c r="BA20" i="22"/>
  <c r="BB20" i="22"/>
  <c r="AY20" i="22"/>
  <c r="AZ20" i="22"/>
  <c r="AN20" i="22"/>
  <c r="AO20" i="22"/>
  <c r="AE20" i="22"/>
  <c r="Y20" i="22"/>
  <c r="Z20" i="22"/>
  <c r="R20" i="22"/>
  <c r="U20" i="22"/>
  <c r="V20" i="22"/>
  <c r="Q20" i="22"/>
  <c r="L20" i="22"/>
  <c r="AS19" i="22"/>
  <c r="AX19" i="22"/>
  <c r="AQ19" i="22"/>
  <c r="AW19" i="22"/>
  <c r="AG19" i="22"/>
  <c r="AT19" i="22"/>
  <c r="AU19" i="22"/>
  <c r="AC19" i="22"/>
  <c r="AJ19" i="22"/>
  <c r="AK19" i="22"/>
  <c r="AV19" i="22"/>
  <c r="BA19" i="22"/>
  <c r="BB19" i="22"/>
  <c r="AY19" i="22"/>
  <c r="AZ19" i="22"/>
  <c r="AN19" i="22"/>
  <c r="AO19" i="22"/>
  <c r="AE19" i="22"/>
  <c r="Y19" i="22"/>
  <c r="Z19" i="22"/>
  <c r="R19" i="22"/>
  <c r="U19" i="22"/>
  <c r="V19" i="22"/>
  <c r="Q19" i="22"/>
  <c r="L19" i="22"/>
  <c r="AS18" i="22"/>
  <c r="AX18" i="22"/>
  <c r="AQ18" i="22"/>
  <c r="AW18" i="22"/>
  <c r="AG18" i="22"/>
  <c r="AT18" i="22"/>
  <c r="AU18" i="22"/>
  <c r="AC18" i="22"/>
  <c r="AJ18" i="22"/>
  <c r="AK18" i="22"/>
  <c r="AV18" i="22"/>
  <c r="BA18" i="22"/>
  <c r="BB18" i="22"/>
  <c r="AY18" i="22"/>
  <c r="AZ18" i="22"/>
  <c r="AN18" i="22"/>
  <c r="AO18" i="22"/>
  <c r="AE18" i="22"/>
  <c r="Y18" i="22"/>
  <c r="Z18" i="22"/>
  <c r="R18" i="22"/>
  <c r="U18" i="22"/>
  <c r="V18" i="22"/>
  <c r="Q18" i="22"/>
  <c r="L18" i="22"/>
  <c r="AS17" i="22"/>
  <c r="AX17" i="22"/>
  <c r="AQ17" i="22"/>
  <c r="AW17" i="22"/>
  <c r="AG17" i="22"/>
  <c r="AT17" i="22"/>
  <c r="AU17" i="22"/>
  <c r="AC17" i="22"/>
  <c r="AJ17" i="22"/>
  <c r="AK17" i="22"/>
  <c r="AV17" i="22"/>
  <c r="BA17" i="22"/>
  <c r="BB17" i="22"/>
  <c r="AY17" i="22"/>
  <c r="AZ17" i="22"/>
  <c r="AN17" i="22"/>
  <c r="AO17" i="22"/>
  <c r="AE17" i="22"/>
  <c r="Y17" i="22"/>
  <c r="Z17" i="22"/>
  <c r="R17" i="22"/>
  <c r="U17" i="22"/>
  <c r="V17" i="22"/>
  <c r="Q17" i="22"/>
  <c r="L17" i="22"/>
  <c r="AS16" i="22"/>
  <c r="AX16" i="22"/>
  <c r="AQ16" i="22"/>
  <c r="AW16" i="22"/>
  <c r="AG16" i="22"/>
  <c r="AT16" i="22"/>
  <c r="AU16" i="22"/>
  <c r="AC16" i="22"/>
  <c r="AJ16" i="22"/>
  <c r="AK16" i="22"/>
  <c r="AV16" i="22"/>
  <c r="BA16" i="22"/>
  <c r="BB16" i="22"/>
  <c r="AY16" i="22"/>
  <c r="AZ16" i="22"/>
  <c r="AN16" i="22"/>
  <c r="AO16" i="22"/>
  <c r="AE16" i="22"/>
  <c r="Y16" i="22"/>
  <c r="Z16" i="22"/>
  <c r="R16" i="22"/>
  <c r="U16" i="22"/>
  <c r="V16" i="22"/>
  <c r="Q16" i="22"/>
  <c r="L16" i="22"/>
  <c r="AS15" i="22"/>
  <c r="AX15" i="22"/>
  <c r="AQ15" i="22"/>
  <c r="AW15" i="22"/>
  <c r="AG15" i="22"/>
  <c r="AT15" i="22"/>
  <c r="AU15" i="22"/>
  <c r="AC15" i="22"/>
  <c r="AJ15" i="22"/>
  <c r="AK15" i="22"/>
  <c r="AV15" i="22"/>
  <c r="BA15" i="22"/>
  <c r="BB15" i="22"/>
  <c r="AY15" i="22"/>
  <c r="AZ15" i="22"/>
  <c r="AN15" i="22"/>
  <c r="AO15" i="22"/>
  <c r="AE15" i="22"/>
  <c r="Y15" i="22"/>
  <c r="Z15" i="22"/>
  <c r="R15" i="22"/>
  <c r="U15" i="22"/>
  <c r="V15" i="22"/>
  <c r="Q15" i="22"/>
  <c r="L15" i="22"/>
  <c r="AS14" i="22"/>
  <c r="AX14" i="22"/>
  <c r="AQ14" i="22"/>
  <c r="AW14" i="22"/>
  <c r="AG14" i="22"/>
  <c r="AT14" i="22"/>
  <c r="AU14" i="22"/>
  <c r="AC14" i="22"/>
  <c r="AJ14" i="22"/>
  <c r="AK14" i="22"/>
  <c r="AV14" i="22"/>
  <c r="BA14" i="22"/>
  <c r="BB14" i="22"/>
  <c r="AY14" i="22"/>
  <c r="AZ14" i="22"/>
  <c r="AN14" i="22"/>
  <c r="AO14" i="22"/>
  <c r="AE14" i="22"/>
  <c r="Y14" i="22"/>
  <c r="Z14" i="22"/>
  <c r="R14" i="22"/>
  <c r="U14" i="22"/>
  <c r="V14" i="22"/>
  <c r="Q14" i="22"/>
  <c r="L14" i="22"/>
  <c r="AS13" i="22"/>
  <c r="AX13" i="22"/>
  <c r="AQ13" i="22"/>
  <c r="AW13" i="22"/>
  <c r="AG13" i="22"/>
  <c r="AT13" i="22"/>
  <c r="AU13" i="22"/>
  <c r="AC13" i="22"/>
  <c r="AJ13" i="22"/>
  <c r="AK13" i="22"/>
  <c r="AV13" i="22"/>
  <c r="BA13" i="22"/>
  <c r="BB13" i="22"/>
  <c r="AY13" i="22"/>
  <c r="AZ13" i="22"/>
  <c r="AN13" i="22"/>
  <c r="AO13" i="22"/>
  <c r="AE13" i="22"/>
  <c r="Y13" i="22"/>
  <c r="Z13" i="22"/>
  <c r="R13" i="22"/>
  <c r="U13" i="22"/>
  <c r="V13" i="22"/>
  <c r="Q13" i="22"/>
  <c r="L13" i="22"/>
  <c r="AS12" i="22"/>
  <c r="AX12" i="22"/>
  <c r="AQ12" i="22"/>
  <c r="AW12" i="22"/>
  <c r="AG12" i="22"/>
  <c r="AT12" i="22"/>
  <c r="AU12" i="22"/>
  <c r="AC12" i="22"/>
  <c r="AJ12" i="22"/>
  <c r="AK12" i="22"/>
  <c r="AV12" i="22"/>
  <c r="BA12" i="22"/>
  <c r="BB12" i="22"/>
  <c r="AY12" i="22"/>
  <c r="AZ12" i="22"/>
  <c r="AN12" i="22"/>
  <c r="AO12" i="22"/>
  <c r="AE12" i="22"/>
  <c r="Y12" i="22"/>
  <c r="Z12" i="22"/>
  <c r="R12" i="22"/>
  <c r="U12" i="22"/>
  <c r="V12" i="22"/>
  <c r="Q12" i="22"/>
  <c r="L12" i="22"/>
  <c r="AS11" i="22"/>
  <c r="AX11" i="22"/>
  <c r="AQ11" i="22"/>
  <c r="AW11" i="22"/>
  <c r="AG11" i="22"/>
  <c r="AT11" i="22"/>
  <c r="AU11" i="22"/>
  <c r="AC11" i="22"/>
  <c r="AJ11" i="22"/>
  <c r="AK11" i="22"/>
  <c r="AV11" i="22"/>
  <c r="BA11" i="22"/>
  <c r="BB11" i="22"/>
  <c r="AY11" i="22"/>
  <c r="AZ11" i="22"/>
  <c r="AN11" i="22"/>
  <c r="AO11" i="22"/>
  <c r="AE11" i="22"/>
  <c r="Y11" i="22"/>
  <c r="Z11" i="22"/>
  <c r="R11" i="22"/>
  <c r="U11" i="22"/>
  <c r="V11" i="22"/>
  <c r="Q11" i="22"/>
  <c r="L11" i="22"/>
  <c r="AS10" i="22"/>
  <c r="AX10" i="22"/>
  <c r="AQ10" i="22"/>
  <c r="AW10" i="22"/>
  <c r="AG10" i="22"/>
  <c r="AT10" i="22"/>
  <c r="AU10" i="22"/>
  <c r="AC10" i="22"/>
  <c r="AJ10" i="22"/>
  <c r="AK10" i="22"/>
  <c r="AV10" i="22"/>
  <c r="BA10" i="22"/>
  <c r="BB10" i="22"/>
  <c r="AY10" i="22"/>
  <c r="AZ10" i="22"/>
  <c r="AN10" i="22"/>
  <c r="AO10" i="22"/>
  <c r="AE10" i="22"/>
  <c r="Y10" i="22"/>
  <c r="Z10" i="22"/>
  <c r="R10" i="22"/>
  <c r="U10" i="22"/>
  <c r="V10" i="22"/>
  <c r="Q10" i="22"/>
  <c r="L10" i="22"/>
  <c r="A45" i="21"/>
  <c r="A44" i="21"/>
  <c r="A43" i="21"/>
  <c r="A42" i="21"/>
  <c r="A39" i="21"/>
  <c r="A76" i="20"/>
</calcChain>
</file>

<file path=xl/sharedStrings.xml><?xml version="1.0" encoding="utf-8"?>
<sst xmlns="http://schemas.openxmlformats.org/spreadsheetml/2006/main" count="1149" uniqueCount="421">
  <si>
    <t>Job No.</t>
  </si>
  <si>
    <t>Method</t>
  </si>
  <si>
    <t xml:space="preserve">    However for calculation purposes a value of 0 is used.</t>
  </si>
  <si>
    <t xml:space="preserve">       230 for Sodium; 391 for Potassium; 200 for Calcium; 122 for Magnesium; 90 for Aluminium </t>
  </si>
  <si>
    <t>26 samples supplied by University of Adelaide on 18/03/2020. Lab Job No. J1889.</t>
  </si>
  <si>
    <t>J1889/1</t>
  </si>
  <si>
    <t>J1889/2</t>
  </si>
  <si>
    <t>J1889/3</t>
  </si>
  <si>
    <t>J1889/4</t>
  </si>
  <si>
    <t>J1889/5</t>
  </si>
  <si>
    <t>J1889/6</t>
  </si>
  <si>
    <t>J1889/7</t>
  </si>
  <si>
    <t>J1889/8</t>
  </si>
  <si>
    <t>J1889/9</t>
  </si>
  <si>
    <t>J1889/10</t>
  </si>
  <si>
    <t>J1889/11</t>
  </si>
  <si>
    <t>J1889/12</t>
  </si>
  <si>
    <t>J1889/13</t>
  </si>
  <si>
    <t>J1889/14</t>
  </si>
  <si>
    <t>J1889/15</t>
  </si>
  <si>
    <t>J1889/16</t>
  </si>
  <si>
    <t>J1889/17</t>
  </si>
  <si>
    <t>J1889/18</t>
  </si>
  <si>
    <t>J1889/19</t>
  </si>
  <si>
    <t>J1889/20</t>
  </si>
  <si>
    <t>J1889/21</t>
  </si>
  <si>
    <t>J1889/22</t>
  </si>
  <si>
    <t>J1889/23</t>
  </si>
  <si>
    <t>J1889/24</t>
  </si>
  <si>
    <t>J1889/25</t>
  </si>
  <si>
    <t>J1889/26</t>
  </si>
  <si>
    <t xml:space="preserve">COOR-01 0-5 cm   </t>
  </si>
  <si>
    <t xml:space="preserve">COOR-03 0-5 cm   </t>
  </si>
  <si>
    <t xml:space="preserve">COOR-04 0-5 cm   </t>
  </si>
  <si>
    <t xml:space="preserve">COOR-07 0-5 cm   </t>
  </si>
  <si>
    <t xml:space="preserve">COOR-09 0-5 cm   </t>
  </si>
  <si>
    <t xml:space="preserve">COOR-12 0-5 cm   </t>
  </si>
  <si>
    <t xml:space="preserve">COOR-15 0-5 cm   </t>
  </si>
  <si>
    <t xml:space="preserve">COOR-16 0-5 cm   </t>
  </si>
  <si>
    <t xml:space="preserve">COOR-17 0-5 cm   </t>
  </si>
  <si>
    <t xml:space="preserve">COOR-20 0-5 cm   </t>
  </si>
  <si>
    <t xml:space="preserve">COOR-23 0-5 cm   </t>
  </si>
  <si>
    <t xml:space="preserve">COOR-26 0-5 cm   </t>
  </si>
  <si>
    <t xml:space="preserve">COOR-27.1 0-2 cm   </t>
  </si>
  <si>
    <t xml:space="preserve">COOR-27.2 2-5 cm   </t>
  </si>
  <si>
    <t xml:space="preserve">COOR-27.3 5-10 cm   </t>
  </si>
  <si>
    <t xml:space="preserve">COOR-28 0-5 cm   </t>
  </si>
  <si>
    <t xml:space="preserve">COOR-29 0-5 cm   </t>
  </si>
  <si>
    <t xml:space="preserve">COOR-30 0-5 cm   </t>
  </si>
  <si>
    <t xml:space="preserve">COOR-31 0-5 cm   </t>
  </si>
  <si>
    <t xml:space="preserve">COOR-32 0-5 cm   </t>
  </si>
  <si>
    <t xml:space="preserve">COOR-33 0-5 cm   </t>
  </si>
  <si>
    <t xml:space="preserve">COOR-34 0-5 cm   </t>
  </si>
  <si>
    <t xml:space="preserve">COOR-35 0-5 cm   </t>
  </si>
  <si>
    <t xml:space="preserve">COOR-40 0-5 cm   </t>
  </si>
  <si>
    <t xml:space="preserve">COOR-45 0-5 cm   </t>
  </si>
  <si>
    <t xml:space="preserve">COOR-50 0-5 cm   </t>
  </si>
  <si>
    <t>Faculty of Sciences GLEN OSMOND SA 5064</t>
  </si>
  <si>
    <t>Samples submitted by Luke Mosley. Your Job: Coorong.</t>
  </si>
  <si>
    <t xml:space="preserve">1:3 Nitric/HCl digest - APHA 3125 ICPMS </t>
  </si>
  <si>
    <r>
      <t>Notes:</t>
    </r>
    <r>
      <rPr>
        <sz val="9"/>
        <rFont val="Roboto"/>
      </rPr>
      <t xml:space="preserve"> </t>
    </r>
  </si>
  <si>
    <t>Sample 1</t>
  </si>
  <si>
    <t>Moisture Content (% moisture)</t>
  </si>
  <si>
    <t>Soil pH (1:5 water)</t>
  </si>
  <si>
    <t>Soil Conductivity (1:5 water dS/m )</t>
  </si>
  <si>
    <t>Total Carbon (%C)</t>
  </si>
  <si>
    <t>LECO CNS TruMAC Analyser</t>
  </si>
  <si>
    <t>Total Nitrogen (%N)</t>
  </si>
  <si>
    <t>METALS</t>
  </si>
  <si>
    <t>Silver (mg/kg)</t>
  </si>
  <si>
    <t>Arsenic (mg/kg)</t>
  </si>
  <si>
    <t>Lead (mg/kg)</t>
  </si>
  <si>
    <t>Cadmium (mg/kg)</t>
  </si>
  <si>
    <t>Chromium (mg/kg)</t>
  </si>
  <si>
    <t>Copper (mg/kg)</t>
  </si>
  <si>
    <t>Manganese (mg/kg)</t>
  </si>
  <si>
    <t>Nickel (mg/kg)</t>
  </si>
  <si>
    <t>Selenium (mg/kg)</t>
  </si>
  <si>
    <t>Zinc (mg/kg)</t>
  </si>
  <si>
    <t>&lt;0.5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</si>
  <si>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</si>
  <si>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</si>
  <si>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</si>
  <si>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</si>
  <si>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</si>
  <si>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</si>
  <si>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</si>
  <si>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</si>
  <si>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</si>
  <si>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</si>
  <si>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</si>
  <si>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</si>
  <si>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</si>
  <si>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</si>
  <si>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</si>
  <si>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</si>
  <si>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</si>
  <si>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</si>
  <si>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</si>
  <si>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</si>
  <si>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</si>
  <si>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</si>
  <si>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</si>
  <si>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</si>
  <si>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</si>
  <si>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Total Phosphorus (mg/kg P)</t>
  </si>
  <si>
    <t>Mercury</t>
  </si>
  <si>
    <t>Aluminium (mg/kg)</t>
  </si>
  <si>
    <t>Iron (mg/kg)</t>
  </si>
  <si>
    <t xml:space="preserve">1MHCL cold overnight tumble - APHA 3125 ICPMS </t>
  </si>
  <si>
    <t>&lt;0.01</t>
  </si>
  <si>
    <t>RESULTS OF SOIL/ SEDIMENT ANALYSIS</t>
  </si>
  <si>
    <r>
      <t>Nitrogen15  (δ</t>
    </r>
    <r>
      <rPr>
        <vertAlign val="superscript"/>
        <sz val="10"/>
        <rFont val="Roboto"/>
      </rPr>
      <t>15</t>
    </r>
    <r>
      <rPr>
        <sz val="10"/>
        <rFont val="Roboto"/>
      </rPr>
      <t>N</t>
    </r>
    <r>
      <rPr>
        <b/>
        <sz val="10"/>
        <rFont val="Roboto"/>
      </rPr>
      <t>)</t>
    </r>
  </si>
  <si>
    <t>TOTALS- Acid Extractable dry weight</t>
  </si>
  <si>
    <t>LEACHABLE- 1M cold HCL extractable  dry weight</t>
  </si>
  <si>
    <t xml:space="preserve">GRAIN SIZE ANALYSIS (hydrometer techniques) </t>
  </si>
  <si>
    <t>26 soil samples supplied by University of Adelaide on the 18th of March, 2020 - Lab Job No. J1889</t>
  </si>
  <si>
    <t>Analysis requested by Luke Mosley</t>
  </si>
  <si>
    <t>Faculty of Sciences, White Campus, PMB 1, GLEN OSMOND SA 5064</t>
  </si>
  <si>
    <t>SAMPLE ID</t>
  </si>
  <si>
    <t>Lab Code</t>
  </si>
  <si>
    <t>TEXTURE</t>
    <phoneticPr fontId="4" type="noConversion"/>
  </si>
  <si>
    <t>MOISTURE</t>
  </si>
  <si>
    <t>Emerson</t>
    <phoneticPr fontId="4" type="noConversion"/>
  </si>
  <si>
    <t>GRAVEL</t>
    <phoneticPr fontId="4" type="noConversion"/>
  </si>
  <si>
    <t>SAND</t>
  </si>
  <si>
    <t>SILT</t>
  </si>
  <si>
    <t>CLAY</t>
  </si>
  <si>
    <t>USDA</t>
  </si>
  <si>
    <t>ISSS</t>
  </si>
  <si>
    <t>CONTENT</t>
  </si>
  <si>
    <t>Aggregate</t>
    <phoneticPr fontId="4" type="noConversion"/>
  </si>
  <si>
    <t>Total Soil</t>
  </si>
  <si>
    <t>&gt; 2 mm</t>
  </si>
  <si>
    <t>&gt; 50 µm</t>
  </si>
  <si>
    <t>&gt; 20 µm</t>
  </si>
  <si>
    <t>2−50 µm</t>
  </si>
  <si>
    <t>2−20 µm</t>
  </si>
  <si>
    <t>&lt; 2 µm</t>
  </si>
  <si>
    <t>classification</t>
  </si>
  <si>
    <t>Class</t>
    <phoneticPr fontId="4" type="noConversion"/>
  </si>
  <si>
    <t>g</t>
  </si>
  <si>
    <t>USDA</t>
    <phoneticPr fontId="4" type="noConversion"/>
  </si>
  <si>
    <t>ISSS</t>
    <phoneticPr fontId="4" type="noConversion"/>
  </si>
  <si>
    <t>(% Moisture)</t>
  </si>
  <si>
    <t>(%)</t>
  </si>
  <si>
    <t>(&lt; 2 mm fraction)</t>
  </si>
  <si>
    <t>Sand</t>
  </si>
  <si>
    <t>Clay</t>
  </si>
  <si>
    <t>Loamy Sand</t>
  </si>
  <si>
    <t>Sandy Loam</t>
  </si>
  <si>
    <t>Sandy Clay Loam</t>
  </si>
  <si>
    <t>Sandy Clay</t>
  </si>
  <si>
    <t xml:space="preserve">Note: </t>
  </si>
  <si>
    <t xml:space="preserve"> modified from SOP meth004 (California Dept of Pesticide Regulation), using method of Gee &amp; Bauder (1986)," &amp;</t>
  </si>
  <si>
    <t> in Methods of Soil Analysis. Part 1   Agron. Monogr. 9 (2nd Ed). Klute, A., American Soc. of Agronomy Inc., Soil Sci. Soc. America Inc., Madison WI: 383-411.</t>
  </si>
  <si>
    <t>RESULTS OF ACID SULFATE SOIL ANALYSIS</t>
  </si>
  <si>
    <t>26 samples supplied by University of Adelaide on 18th March, 2020. Lab Job No.J1889</t>
  </si>
  <si>
    <t>Analysis requested by Luke Mosley. Your Job: Coorong</t>
  </si>
  <si>
    <t>Faculty of Sciences Waite Campus PMB 1 GLEN OSMOND SA 5064</t>
  </si>
  <si>
    <t>(HideCol)</t>
  </si>
  <si>
    <t>Non-treated soil</t>
  </si>
  <si>
    <t>Post-liming for Verification</t>
  </si>
  <si>
    <t>Sample Identification</t>
  </si>
  <si>
    <t>Depth</t>
  </si>
  <si>
    <t>EAL Lab Code</t>
  </si>
  <si>
    <t>Texture</t>
  </si>
  <si>
    <t>Moisture Content</t>
  </si>
  <si>
    <r>
      <t>pH</t>
    </r>
    <r>
      <rPr>
        <b/>
        <vertAlign val="subscript"/>
        <sz val="10"/>
        <rFont val="Roboto"/>
      </rPr>
      <t>F</t>
    </r>
    <r>
      <rPr>
        <b/>
        <sz val="10"/>
        <rFont val="Roboto"/>
      </rPr>
      <t xml:space="preserve"> and pH</t>
    </r>
    <r>
      <rPr>
        <b/>
        <vertAlign val="subscript"/>
        <sz val="10"/>
        <rFont val="Roboto"/>
      </rPr>
      <t xml:space="preserve">FOX </t>
    </r>
  </si>
  <si>
    <t>1:1 Water Extractable</t>
  </si>
  <si>
    <t>Sulfur</t>
  </si>
  <si>
    <t>KCl-extractable sulfur</t>
  </si>
  <si>
    <t>HCl-extractable sulfur</t>
  </si>
  <si>
    <t xml:space="preserve">Acid Volatile Sulfide </t>
  </si>
  <si>
    <t>Potential Sulfidic Acidity</t>
  </si>
  <si>
    <t>Actual Acidity</t>
  </si>
  <si>
    <t xml:space="preserve">Retained Acidity </t>
  </si>
  <si>
    <t>Total Carbon</t>
  </si>
  <si>
    <t>Total Organic Carbon</t>
  </si>
  <si>
    <t>Acid Neutralising Capacity</t>
  </si>
  <si>
    <t>CRS</t>
  </si>
  <si>
    <t>TAA</t>
  </si>
  <si>
    <t>SNAS</t>
  </si>
  <si>
    <t>ANC</t>
  </si>
  <si>
    <t>ANC
Post liming</t>
  </si>
  <si>
    <t>Net Acidity</t>
  </si>
  <si>
    <t xml:space="preserve">Lime Calculation                                 </t>
  </si>
  <si>
    <t>Vial + lid</t>
  </si>
  <si>
    <t>Vial + lid + WET soil</t>
  </si>
  <si>
    <t>Vial + lid + DRY soil</t>
  </si>
  <si>
    <t>(Dried at 105°C)</t>
  </si>
  <si>
    <t>pH</t>
  </si>
  <si>
    <r>
      <t>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</si>
  <si>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</si>
  <si>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Sulfate</t>
  </si>
  <si>
    <r>
      <t>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</si>
  <si>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r>
      <t>blank (Cl</t>
    </r>
    <r>
      <rPr>
        <vertAlign val="subscript"/>
        <sz val="9"/>
        <rFont val="Roboto"/>
      </rPr>
      <t>KCl</t>
    </r>
    <r>
      <rPr>
        <sz val="9"/>
        <rFont val="Roboto"/>
      </rPr>
      <t xml:space="preserve">) </t>
    </r>
  </si>
  <si>
    <t>Chloride</t>
  </si>
  <si>
    <t>Sulfate:Chloride
Ratio</t>
  </si>
  <si>
    <r>
      <t>(S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</si>
  <si>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(S</t>
    </r>
    <r>
      <rPr>
        <vertAlign val="subscript"/>
        <sz val="9"/>
        <rFont val="Roboto"/>
      </rPr>
      <t>HCl</t>
    </r>
    <r>
      <rPr>
        <sz val="9"/>
        <rFont val="Roboto"/>
      </rPr>
      <t xml:space="preserve">) </t>
    </r>
  </si>
  <si>
    <r>
      <t>blank (S</t>
    </r>
    <r>
      <rPr>
        <vertAlign val="subscript"/>
        <sz val="9"/>
        <rFont val="Roboto"/>
      </rPr>
      <t>HCl</t>
    </r>
    <r>
      <rPr>
        <sz val="9"/>
        <rFont val="Roboto"/>
      </rPr>
      <t>)</t>
    </r>
  </si>
  <si>
    <r>
      <t>(S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</si>
  <si>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t>(AVS)</t>
  </si>
  <si>
    <t>(Chromium Reducible Sulfur - CRS)</t>
  </si>
  <si>
    <t>(Titratable Actual Acidity - TAA)</t>
  </si>
  <si>
    <r>
      <t>(C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</si>
  <si>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(ANC</t>
    </r>
    <r>
      <rPr>
        <b/>
        <vertAlign val="subscript"/>
        <sz val="9"/>
        <rFont val="Roboto"/>
      </rPr>
      <t>BT</t>
    </r>
    <r>
      <rPr>
        <b/>
        <sz val="9"/>
        <rFont val="Roboto"/>
      </rPr>
      <t>)</t>
    </r>
  </si>
  <si>
    <t>Helper Column</t>
  </si>
  <si>
    <t>(m)</t>
  </si>
  <si>
    <t>(g)</t>
  </si>
  <si>
    <t>(% moisture of total wet weight)</t>
  </si>
  <si>
    <t>(g moisture / 
g of oven dry soil)</t>
  </si>
  <si>
    <r>
      <t>pH</t>
    </r>
    <r>
      <rPr>
        <b/>
        <vertAlign val="subscript"/>
        <sz val="9"/>
        <rFont val="Roboto"/>
      </rPr>
      <t>F</t>
    </r>
  </si>
  <si>
    <r>
      <t>pH</t>
    </r>
    <r>
      <rPr>
        <b/>
        <vertAlign val="subscript"/>
        <sz val="9"/>
        <rFont val="Roboto"/>
      </rPr>
      <t>FOX</t>
    </r>
    <r>
      <rPr>
        <b/>
        <sz val="9"/>
        <rFont val="Roboto"/>
      </rPr>
      <t xml:space="preserve">  </t>
    </r>
  </si>
  <si>
    <t>pH    change</t>
  </si>
  <si>
    <t>Reaction</t>
  </si>
  <si>
    <t>(ppm S)</t>
  </si>
  <si>
    <r>
      <t>(% SO</t>
    </r>
    <r>
      <rPr>
        <b/>
        <vertAlign val="subscript"/>
        <sz val="9"/>
        <rFont val="Roboto"/>
      </rPr>
      <t>4</t>
    </r>
    <r>
      <rPr>
        <b/>
        <sz val="9"/>
        <rFont val="Roboto"/>
      </rPr>
      <t>)</t>
    </r>
  </si>
  <si>
    <t>(mg/L)</t>
  </si>
  <si>
    <t>(ppm Cl)</t>
  </si>
  <si>
    <r>
      <t>(% S</t>
    </r>
    <r>
      <rPr>
        <b/>
        <vertAlign val="subscript"/>
        <sz val="9"/>
        <rFont val="Roboto"/>
      </rPr>
      <t>KCl</t>
    </r>
    <r>
      <rPr>
        <b/>
        <sz val="9"/>
        <rFont val="Roboto"/>
      </rPr>
      <t>)</t>
    </r>
  </si>
  <si>
    <r>
      <t>(equiv.
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 xml:space="preserve">/t) </t>
    </r>
  </si>
  <si>
    <r>
      <t>(% S</t>
    </r>
    <r>
      <rPr>
        <b/>
        <vertAlign val="subscript"/>
        <sz val="9"/>
        <rFont val="Roboto"/>
      </rPr>
      <t>HCl</t>
    </r>
    <r>
      <rPr>
        <b/>
        <sz val="9"/>
        <rFont val="Roboto"/>
      </rPr>
      <t>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</si>
  <si>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WW)</t>
    </r>
  </si>
  <si>
    <r>
      <t>(% S</t>
    </r>
    <r>
      <rPr>
        <b/>
        <vertAlign val="subscript"/>
        <sz val="9"/>
        <rFont val="Roboto"/>
      </rPr>
      <t>av</t>
    </r>
    <r>
      <rPr>
        <b/>
        <sz val="9"/>
        <rFont val="Roboto"/>
      </rPr>
      <t xml:space="preserve"> DW)</t>
    </r>
  </si>
  <si>
    <r>
      <t>(% S</t>
    </r>
    <r>
      <rPr>
        <b/>
        <vertAlign val="subscript"/>
        <sz val="9"/>
        <rFont val="Roboto"/>
      </rPr>
      <t>cr</t>
    </r>
    <r>
      <rPr>
        <b/>
        <sz val="9"/>
        <rFont val="Roboto"/>
      </rPr>
      <t>)</t>
    </r>
  </si>
  <si>
    <r>
      <t>(mol H</t>
    </r>
    <r>
      <rPr>
        <b/>
        <vertAlign val="superscript"/>
        <sz val="9"/>
        <rFont val="Roboto"/>
      </rPr>
      <t>+</t>
    </r>
    <r>
      <rPr>
        <b/>
        <sz val="9"/>
        <rFont val="Roboto"/>
      </rPr>
      <t>/t)</t>
    </r>
  </si>
  <si>
    <r>
      <t>pH</t>
    </r>
    <r>
      <rPr>
        <b/>
        <vertAlign val="subscript"/>
        <sz val="9"/>
        <rFont val="Roboto"/>
      </rPr>
      <t>KCl</t>
    </r>
  </si>
  <si>
    <r>
      <t>(%S</t>
    </r>
    <r>
      <rPr>
        <b/>
        <vertAlign val="subscript"/>
        <sz val="9"/>
        <rFont val="Roboto"/>
      </rPr>
      <t>NAS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</si>
  <si>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</si>
  <si>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TO</t>
    </r>
    <r>
      <rPr>
        <b/>
        <sz val="9"/>
        <rFont val="Roboto"/>
      </rPr>
      <t>)</t>
    </r>
  </si>
  <si>
    <r>
      <t>(% C</t>
    </r>
    <r>
      <rPr>
        <b/>
        <vertAlign val="subscript"/>
        <sz val="9"/>
        <rFont val="Roboto"/>
      </rPr>
      <t>IN</t>
    </r>
    <r>
      <rPr>
        <b/>
        <sz val="9"/>
        <rFont val="Roboto"/>
      </rPr>
      <t>)</t>
    </r>
  </si>
  <si>
    <r>
      <t>(%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)</t>
    </r>
  </si>
  <si>
    <r>
      <t>(kg CaCO</t>
    </r>
    <r>
      <rPr>
        <b/>
        <vertAlign val="subscript"/>
        <sz val="9"/>
        <rFont val="Roboto"/>
      </rPr>
      <t>3</t>
    </r>
    <r>
      <rPr>
        <b/>
        <sz val="9"/>
        <rFont val="Roboto"/>
      </rPr>
      <t>/t DW)</t>
    </r>
  </si>
  <si>
    <t>Method  Info.</t>
  </si>
  <si>
    <t>**</t>
  </si>
  <si>
    <t>(In-house method S21)</t>
  </si>
  <si>
    <t>(In-house method S20)</t>
  </si>
  <si>
    <t>(In-house method 16b)</t>
  </si>
  <si>
    <t>(in-house method S4a)</t>
  </si>
  <si>
    <t>(in-house method S15b)</t>
  </si>
  <si>
    <t>(in-house methods S4a and S15b)</t>
  </si>
  <si>
    <t>(In-house method S14)</t>
  </si>
  <si>
    <t>..</t>
  </si>
  <si>
    <t>&lt;0.001</t>
  </si>
  <si>
    <t xml:space="preserve"> </t>
  </si>
  <si>
    <t>NOTES:</t>
  </si>
  <si>
    <t>1.   All analysis is reported on a  dry weight (DW) basis, unless wet weight (WW) is specified.</t>
  </si>
  <si>
    <t>2.   Samples are dried and ground immediately upon arrival (unless supplied dried and ground).</t>
  </si>
  <si>
    <t>3.   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</si>
  <si>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r>
      <t xml:space="preserve">4.   The Acid Base Accounting Equation, where Acid Neutralising Capacity has not been corroborated by other data, is </t>
    </r>
    <r>
      <rPr>
        <b/>
        <sz val="10"/>
        <rFont val="Roboto"/>
      </rPr>
      <t xml:space="preserve">Net Acidity = Potential Acidity + Actual Acidity + Retained Acidity </t>
    </r>
    <r>
      <rPr>
        <sz val="10"/>
        <rFont val="Roboto"/>
      </rPr>
      <t>(Eq. 3.2; Sullivan et al. 2018 - full reference above).</t>
    </r>
  </si>
  <si>
    <r>
      <t xml:space="preserve">5.   The Acid Base Accounting Equation for post-limed soil materials is </t>
    </r>
    <r>
      <rPr>
        <b/>
        <sz val="10"/>
        <rFont val="Roboto"/>
      </rPr>
      <t>Net Acidity = Potential Acidity + Actual Acidity + Retained Acidity - (post treatment Acid Neutralising Capacity - initial Acid Neutralising Capacity)</t>
    </r>
    <r>
      <rPr>
        <sz val="10"/>
        <rFont val="Roboto"/>
      </rPr>
      <t xml:space="preserve"> (Eq. 3.3; Sullivan et al. 2018 - full reference above). </t>
    </r>
  </si>
  <si>
    <t xml:space="preserve">      While the Acid Neutralising Capacity of a soil material may not be included in the Net Acidity calculation (Note 4), it must be measured to give an Initial Acid Neutralising Capacity if verification testing is planned post-liming. </t>
  </si>
  <si>
    <r>
      <t xml:space="preserve">      </t>
    </r>
    <r>
      <rPr>
        <b/>
        <sz val="10"/>
        <rFont val="Roboto"/>
      </rPr>
      <t>The Inital Acid Neutralising Capacity must be provided by the client to enable EAL to produce Verification Net Acidity and Liming calculations for post-limed soil materials.</t>
    </r>
  </si>
  <si>
    <t>6.   The Acid Base Accounting Equation, where Acid Neutralising Capacity has been corroborated by other data, is Net Acidity = Potential Acidity + Actual Acidity + Retained Acidity - Acid Neutralising Capacity (Eq. 3.1; Sullivan et al. 2018 - full reference above).</t>
  </si>
  <si>
    <t>7.   The lime calculation includes a Safety Factor of 1.5 as a safety margin for acid neutralisation (Sullivan et al. 2018). This is only applied to positive values. An increased Safety Factor may be required in some cases.</t>
  </si>
  <si>
    <r>
      <t>8.   Retained Acidity is required when the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&lt; 4.5 or where jarosite has been visually observed.</t>
    </r>
  </si>
  <si>
    <t>9.   A negative Net Acidity result indicates an excess acid neutralising capacity.</t>
  </si>
  <si>
    <t>10. If insufficient mixing occurs during intial sampling, or during post-liming, or both: the Potential Sulfidic Acidity may be greater in the post-limed sample than in the intial sample; the post-liming Acid Neutralising Capacity may be lower in the post-limed sample than in the intial sample.</t>
  </si>
  <si>
    <r>
      <t>11. An acid sulfate soil management plan is triggered by Net Acidity results greater than the texture dependent criterion: coarse texture ≥ 0.03% S or 18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medium texture ≥ 0.06% S or 36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/t; fine texture ≥ 0.1% S or 62 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 xml:space="preserve">/t) </t>
    </r>
    <r>
      <rPr>
        <sz val="10"/>
        <rFont val="Roboto"/>
      </rPr>
      <t>(Table 1.1; Sullivan et al. 2018 - full reference above)</t>
    </r>
  </si>
  <si>
    <r>
      <t>12. For projects that disturb &gt; 1000 t of soil material, the coarse trigger of ≥ 0.03% S or ≥ 18 mol H</t>
    </r>
    <r>
      <rPr>
        <vertAlign val="superscript"/>
        <sz val="10"/>
        <rFont val="Roboto"/>
      </rPr>
      <t>+</t>
    </r>
    <r>
      <rPr>
        <sz val="10"/>
        <rFont val="Roboto"/>
      </rPr>
      <t>/t must be applied in accordance with Sullivan et al. (2018) (full reference above).</t>
    </r>
  </si>
  <si>
    <t>13.  Acid sulfate soil texture triggers can be related to NCST (2009) textures: coarse and peats = sands to loamy sands; medium = clayey sand to light clays; fine = light medium to heavy clays (Sullivan et al. 2018 - full reference above).</t>
  </si>
  <si>
    <t>14.  Bulk density is required to convert liming rates to soil volume based results. Field bulk density rings can be submitted to EAL for bulk density determination.</t>
  </si>
  <si>
    <t>15.  A negative Net Acidity result indicates an excess acid neutralising capacity.</t>
  </si>
  <si>
    <r>
      <t>16.  '..'   is reported where a test is either not requested or not required. Where pH</t>
    </r>
    <r>
      <rPr>
        <vertAlign val="subscript"/>
        <sz val="10"/>
        <rFont val="Roboto"/>
      </rPr>
      <t>KCl</t>
    </r>
    <r>
      <rPr>
        <sz val="10"/>
        <rFont val="Roboto"/>
      </rPr>
      <t xml:space="preserve"> is &lt; 4.5 or &gt; 6.5, zero is reported for S</t>
    </r>
    <r>
      <rPr>
        <vertAlign val="subscript"/>
        <sz val="10"/>
        <rFont val="Roboto"/>
      </rPr>
      <t>NAS</t>
    </r>
    <r>
      <rPr>
        <sz val="10"/>
        <rFont val="Roboto"/>
      </rPr>
      <t xml:space="preserve"> and ANC in Net Acidity calculations, respectively.</t>
    </r>
  </si>
  <si>
    <t>17.  Results refer to samples as received at the laboratory. This report is not to be reproduced except in full.</t>
  </si>
  <si>
    <t>18.  ** NATA accreditation does not cover the performance of this service.</t>
  </si>
  <si>
    <t>20. All services undertaken by EAL are covered by the EAL Laboratory Services Terms and Conditions (refer scu.edu.au/eal or on request).</t>
  </si>
  <si>
    <t>22. This report was issued on 30/03/2020.</t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</si>
  <si>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C)</t>
    </r>
  </si>
  <si>
    <t>** Direct IRMS Analysis- no acid treatment</t>
  </si>
  <si>
    <t>4. Exchangeable sodium percentage (ESP) is calculated as sodium (cmol+/Kg) divided by ECEC</t>
  </si>
  <si>
    <t>5. All results as dry weight DW - samples were dried at 40oC for 24-48hrs prior to crushing and analysis.</t>
  </si>
  <si>
    <t xml:space="preserve">6. Aluminium detection limit is 0.05 cmol+/Kg; Hydrogen detection limit is 0.1 cmol+/Kg. </t>
  </si>
  <si>
    <t>7. For conductivity 1 dS/m = 1 mS/cm = 1000 µS/cm</t>
  </si>
  <si>
    <t>8. 1 cmol+/Kg = 1 meq/100g</t>
  </si>
  <si>
    <t>9. Methods from Rayment and Lyons, Soil Chemical Methods - Australasia</t>
  </si>
  <si>
    <t>10. Conversion of cmol+/Kg to mg/Kg multiply cmol+/Kg by:</t>
  </si>
  <si>
    <t>11. Metals analysed by ICP-MS (Inductively Coupled Plasma - Mass Spectrometry)</t>
  </si>
  <si>
    <t>12. Analysis conducted between sample arrival date and reporting date.</t>
  </si>
  <si>
    <t>13. ** NATA accreditation does not cover the performance of this service.</t>
  </si>
  <si>
    <t>14. .. Denotes not requested.</t>
  </si>
  <si>
    <t>15. This report is not to be reproduced except in full.</t>
  </si>
  <si>
    <t>16. All services undertaken by EAL are covered by the EAL Laboratory Services Terms and Conditions (refer scu.edu.au/eal or on request).</t>
  </si>
  <si>
    <t>17. Results relate only to the samples tested.</t>
  </si>
  <si>
    <t>18. This report was issued on 29/04/2020.</t>
  </si>
  <si>
    <t>From pH, Ec sheet</t>
  </si>
  <si>
    <t>Inhouse - 105˚C</t>
    <phoneticPr fontId="3"/>
  </si>
  <si>
    <t>Rayment and Lyons 4A1</t>
    <phoneticPr fontId="3"/>
  </si>
  <si>
    <t>Rayment and Lyons 4B1</t>
    <phoneticPr fontId="3"/>
  </si>
  <si>
    <t>Rayment and Lyons</t>
    <phoneticPr fontId="3"/>
  </si>
  <si>
    <t>Carbon / Nitrogen Ratio</t>
    <phoneticPr fontId="3"/>
  </si>
  <si>
    <t>Calculation</t>
    <phoneticPr fontId="3"/>
  </si>
  <si>
    <r>
      <t>Total Organic Carbon (%C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</si>
  <si>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HCL Acid treatment - LECO CNS TruMAC Analyser</t>
  </si>
  <si>
    <r>
      <t>Total inorganic Carbon (%C</t>
    </r>
    <r>
      <rPr>
        <sz val="9"/>
        <rFont val="Roboto"/>
      </rPr>
      <t>in</t>
    </r>
    <r>
      <rPr>
        <sz val="10"/>
        <rFont val="Roboto"/>
      </rPr>
      <t>)</t>
    </r>
  </si>
  <si>
    <r>
      <t>** Calculation %C -  % C</t>
    </r>
    <r>
      <rPr>
        <sz val="8"/>
        <rFont val="Roboto"/>
      </rPr>
      <t>toc</t>
    </r>
  </si>
  <si>
    <r>
      <t>Carbon13 (δ</t>
    </r>
    <r>
      <rPr>
        <b/>
        <vertAlign val="superscript"/>
        <sz val="10"/>
        <rFont val="Roboto"/>
      </rPr>
      <t>13</t>
    </r>
    <r>
      <rPr>
        <b/>
        <sz val="10"/>
        <rFont val="Roboto"/>
      </rPr>
      <t>C</t>
    </r>
    <r>
      <rPr>
        <b/>
        <sz val="9"/>
        <rFont val="Roboto"/>
      </rPr>
      <t>org</t>
    </r>
    <r>
      <rPr>
        <b/>
        <sz val="10"/>
        <rFont val="Roboto"/>
      </rPr>
      <t>)</t>
    </r>
  </si>
  <si>
    <t>** Direct IRMS Analysis- HCL ACID TREATMENT</t>
  </si>
  <si>
    <t>TEXTURE</t>
  </si>
  <si>
    <t>GRAVEL</t>
  </si>
  <si>
    <t>Carbon / Nitrogen Ratio</t>
  </si>
  <si>
    <t>Calculation</t>
  </si>
  <si>
    <t>Easting</t>
  </si>
  <si>
    <t>Northing</t>
  </si>
  <si>
    <t>(GDA Zone54)</t>
  </si>
  <si>
    <t>(USDA)</t>
  </si>
  <si>
    <t>(ISSS)</t>
  </si>
  <si>
    <t>(%, &gt;2 mm)</t>
  </si>
  <si>
    <t>Soil pH</t>
  </si>
  <si>
    <t>(1:5 water)</t>
  </si>
  <si>
    <t xml:space="preserve">Soil Conductivity </t>
  </si>
  <si>
    <t>(1:5 water dS/m)</t>
  </si>
  <si>
    <t>SAND_USDA</t>
  </si>
  <si>
    <t>(USDA, &gt;50 µm)</t>
  </si>
  <si>
    <t>(ISSS, &gt;20 µm)</t>
  </si>
  <si>
    <t>SAND_ISSS</t>
  </si>
  <si>
    <t>(USDA, 2−50 µm)</t>
  </si>
  <si>
    <t>SILT_USDA</t>
  </si>
  <si>
    <t>SILT_ISSS</t>
  </si>
  <si>
    <t>(USDA, 2−20 µm)</t>
  </si>
  <si>
    <t>(&lt;2 µm)</t>
  </si>
  <si>
    <t>(mg/kg, DW)</t>
  </si>
  <si>
    <t xml:space="preserve">Nitrogen15 </t>
  </si>
  <si>
    <t>(δ15N)</t>
  </si>
  <si>
    <t>(mg/kg P)</t>
  </si>
  <si>
    <t>Total Phosphorus</t>
  </si>
  <si>
    <t>(%C)</t>
  </si>
  <si>
    <t>Total Nitrogen</t>
  </si>
  <si>
    <t>(%N)</t>
  </si>
  <si>
    <t xml:space="preserve"> (%Corg)</t>
  </si>
  <si>
    <t>Total inorganic Carbon</t>
  </si>
  <si>
    <t>(%Cin)</t>
  </si>
  <si>
    <t>(δ13Corg)</t>
  </si>
  <si>
    <t>Carbon13</t>
  </si>
  <si>
    <t>(δ13C)</t>
  </si>
  <si>
    <t>Carbon13 organic</t>
  </si>
  <si>
    <t>Ag-total</t>
  </si>
  <si>
    <t>Al-total</t>
  </si>
  <si>
    <t>As-total</t>
  </si>
  <si>
    <t>Cd-total</t>
  </si>
  <si>
    <t>Cr-total</t>
  </si>
  <si>
    <t>Cu-total</t>
  </si>
  <si>
    <t>Fe-total</t>
  </si>
  <si>
    <t>Mn-total</t>
  </si>
  <si>
    <t>Ni-total</t>
  </si>
  <si>
    <t>Pb-total</t>
  </si>
  <si>
    <t>Se-total</t>
  </si>
  <si>
    <t>Zn-total</t>
  </si>
  <si>
    <t>Hg-total</t>
  </si>
  <si>
    <t>Ag-1M HCl</t>
  </si>
  <si>
    <t>Al-1M HCl</t>
  </si>
  <si>
    <t>As-1M HCl</t>
  </si>
  <si>
    <t>Cd-1M HCl</t>
  </si>
  <si>
    <t>Cr-1M HCl</t>
  </si>
  <si>
    <t>Cu-1M HCl</t>
  </si>
  <si>
    <t>Fe-1M HCl</t>
  </si>
  <si>
    <t>Mn-1M HCl</t>
  </si>
  <si>
    <t>Ni-1M HCl</t>
  </si>
  <si>
    <t>Pb-1M HCl</t>
  </si>
  <si>
    <t>Se-1M HCl</t>
  </si>
  <si>
    <t>Zn-1M HCl</t>
  </si>
  <si>
    <t>Hg-1M HCl</t>
  </si>
  <si>
    <t>(% Sav WW)</t>
  </si>
  <si>
    <t>(% Sav DW)</t>
  </si>
  <si>
    <t>(% Scr)</t>
  </si>
  <si>
    <t>(mol H+/t)</t>
  </si>
  <si>
    <t>Chromium Reducible Sulfur - CRS</t>
  </si>
  <si>
    <t>Acid Volatile Sulfide -AVS</t>
  </si>
  <si>
    <t>The Hydrometer Analysis method was used to determine the percentage sand, silt and clay, modified from SOP meth004 (California Dept of Pesticide Regulation), using method of Gee &amp; Bauder (1986)</t>
  </si>
  <si>
    <t>The texture classification was based on the hydrometer results and the appropriate texture triangle.</t>
  </si>
  <si>
    <t>All analysis is reported on a  dry weight (DW) basis, unless wet weight (WW) is specified.</t>
  </si>
  <si>
    <t>Analytical procedures are sourced from Sullivan L, Ward N, Toppler N and Lancaster G. 2018. National acid sulfate soils guidance: national acid sulfate soils identification and laboratory methods manual, Department of Agriculture and Water Resources, Canberra, ACT. CC BY 4.0.</t>
  </si>
  <si>
    <t>Pyrite (Chromium Reducible Sulfur, CRS) and Acid Volatile Sulfur (AVS)</t>
  </si>
  <si>
    <t>Most sediment samples collected by sub-aqueous sampling using a Russian D auger</t>
  </si>
  <si>
    <t>ANALYSIS METHODS</t>
  </si>
  <si>
    <t>SAMPLING METHODS</t>
  </si>
  <si>
    <t>Samples for CRS are dried and ground immediately upon arrival, samples for AVS were analysed wet and corrected to dry weight using the moisture content</t>
  </si>
  <si>
    <t>Samples frozen upon return to the laboratory at -20C</t>
  </si>
  <si>
    <t>pH and Electrical Conductivity (EC)</t>
  </si>
  <si>
    <t>pH and EC measured on a 1:5 soil:water extract</t>
  </si>
  <si>
    <t>Methods from Rayment and Lyons, Soil Chemical Methods - Australasia</t>
  </si>
  <si>
    <t>For conductivity 1 dS/m = 1 mS/cm = 1000 µS/cm</t>
  </si>
  <si>
    <t>Metals</t>
  </si>
  <si>
    <t>Inhouse - 105˚C</t>
  </si>
  <si>
    <t>Rayment and Lyons</t>
  </si>
  <si>
    <t>Total Organic Carbon (%Corg)</t>
  </si>
  <si>
    <t>Total inorganic Carbon (%Cin)</t>
  </si>
  <si>
    <t>Carbon13 (δ13C)</t>
  </si>
  <si>
    <t>Carbon13 (δ13Corg)</t>
  </si>
  <si>
    <t>Nitrogen15  (δ15N)</t>
  </si>
  <si>
    <t>EC used Rayment and Lyons 4A1 method</t>
  </si>
  <si>
    <t>pH used Rayment and Lyons 4B1 method</t>
  </si>
  <si>
    <r>
      <t>Loss of mass via drying at 105</t>
    </r>
    <r>
      <rPr>
        <sz val="10"/>
        <rFont val="Times New Roman"/>
        <family val="1"/>
      </rPr>
      <t>°C</t>
    </r>
  </si>
  <si>
    <t>Total Phosphorus via Rayment and Lyons Total Acid Extractable P method</t>
  </si>
  <si>
    <t>Phosphorus</t>
  </si>
  <si>
    <t>Calculation %C -  % Ctoc</t>
  </si>
  <si>
    <t>Direct IRMS Analysis- no acid treatment</t>
  </si>
  <si>
    <t>Direct IRMS Analysis- HCL ACID TREATMENT</t>
  </si>
  <si>
    <t>Carbon and Nitrogen</t>
  </si>
  <si>
    <t>Total metals</t>
  </si>
  <si>
    <t>Leachable metals</t>
  </si>
  <si>
    <t>Samples dried and ground upon receipt at laboratory and reported as dry weight unless otherwise indicated below</t>
  </si>
  <si>
    <t>Analysed at NATA accreditated laboratory, Environmental Analysis Laboratory, Lismore, NSW</t>
  </si>
  <si>
    <t>Sample immediately placed in a vial with no air gap and placed on ice</t>
  </si>
  <si>
    <t>Worksheets</t>
  </si>
  <si>
    <t>All_Data</t>
  </si>
  <si>
    <t>Collated data (use this)</t>
  </si>
  <si>
    <t>Figures</t>
  </si>
  <si>
    <t>Some initial figures to highlight patterns with salinity (note: detailed data analysis in progress)</t>
  </si>
  <si>
    <t>Particle Size</t>
  </si>
  <si>
    <t>Raw Particle Size data from EAL NATA accredited laboratory</t>
  </si>
  <si>
    <t>AVS Pyrite</t>
  </si>
  <si>
    <t>Raw AVS and Pyrite data from EAL NATA accredited laboratory</t>
  </si>
  <si>
    <t>pH EC C N P metals</t>
  </si>
  <si>
    <t>Raw pH, EC, C, N, P and metal data from EAL NATA accredited laboratory</t>
  </si>
  <si>
    <t>Contact:</t>
  </si>
  <si>
    <t xml:space="preserve">Luke Mosley, University of Adelaide, luke.mosley@adelaide.edu.au </t>
  </si>
  <si>
    <t>Sediment Water Quality Data Collation</t>
  </si>
  <si>
    <t>Laboratory analysis data from Sediment Quality Survey from 11-13th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</si>
</sst>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00"/>
    <numFmt numFmtId="167" formatCode="0.000"/>
  </numFmts>
  <fonts count="34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vertAlign val="superscript"/>
      <sz val="10"/>
      <name val="Geneva"/>
      <family val="2"/>
    </font>
    <font>
      <b/>
      <sz val="18"/>
      <name val="Roboto"/>
    </font>
    <font>
      <sz val="10"/>
      <name val="Roboto"/>
    </font>
    <font>
      <i/>
      <sz val="10"/>
      <name val="Roboto"/>
    </font>
    <font>
      <b/>
      <sz val="12"/>
      <name val="Roboto"/>
    </font>
    <font>
      <b/>
      <sz val="10"/>
      <name val="Roboto"/>
    </font>
    <font>
      <sz val="8"/>
      <name val="Roboto"/>
    </font>
    <font>
      <i/>
      <sz val="9"/>
      <name val="Roboto"/>
    </font>
    <font>
      <sz val="12"/>
      <name val="Roboto"/>
    </font>
    <font>
      <sz val="9"/>
      <name val="Roboto"/>
    </font>
    <font>
      <b/>
      <sz val="9"/>
      <name val="Roboto"/>
    </font>
    <font>
      <b/>
      <vertAlign val="superscript"/>
      <sz val="10"/>
      <name val="Roboto"/>
    </font>
    <font>
      <vertAlign val="superscript"/>
      <sz val="10"/>
      <name val="Roboto"/>
    </font>
    <font>
      <sz val="10"/>
      <name val="Geneva"/>
    </font>
    <font>
      <sz val="10"/>
      <name val="Arial"/>
      <family val="2"/>
    </font>
    <font>
      <sz val="18"/>
      <name val="Roboto"/>
    </font>
    <font>
      <sz val="10"/>
      <name val="Arial"/>
      <family val="2"/>
    </font>
    <font>
      <sz val="14"/>
      <name val="Roboto"/>
    </font>
    <font>
      <b/>
      <vertAlign val="subscript"/>
      <sz val="10"/>
      <name val="Roboto"/>
    </font>
    <font>
      <vertAlign val="subscript"/>
      <sz val="9"/>
      <name val="Roboto"/>
    </font>
    <font>
      <b/>
      <vertAlign val="subscript"/>
      <sz val="9"/>
      <name val="Roboto"/>
    </font>
    <font>
      <b/>
      <vertAlign val="superscript"/>
      <sz val="9"/>
      <name val="Roboto"/>
    </font>
    <font>
      <i/>
      <sz val="8"/>
      <name val="Roboto"/>
    </font>
    <font>
      <b/>
      <i/>
      <sz val="8"/>
      <name val="Roboto"/>
    </font>
    <font>
      <sz val="10"/>
      <name val="Calibri"/>
      <family val="2"/>
    </font>
    <font>
      <vertAlign val="subscript"/>
      <sz val="10"/>
      <name val="Roboto"/>
    </font>
    <font>
      <b/>
      <sz val="10"/>
      <name val="Geneva"/>
    </font>
    <font>
      <sz val="10"/>
      <name val="Times New Roman"/>
      <family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2" fillId="0" borderId="0"/>
    <xf numFmtId="0" fontId="18" fillId="0" borderId="0"/>
    <xf numFmtId="0" fontId="17" fillId="0" borderId="0"/>
    <xf numFmtId="9" fontId="20" fillId="0" borderId="0" applyFont="0" applyFill="0" applyBorder="0" applyAlignment="0" applyProtection="0"/>
    <xf numFmtId="0" fontId="1" fillId="0" borderId="0"/>
  </cellStyleXfs>
  <cellXfs count="260"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/>
    <xf numFmtId="0" fontId="6" fillId="0" borderId="0" xfId="1" applyFont="1" applyBorder="1"/>
    <xf numFmtId="0" fontId="13" fillId="0" borderId="0" xfId="1" applyFont="1"/>
    <xf numFmtId="0" fontId="13" fillId="0" borderId="0" xfId="1" applyFont="1" applyAlignment="1"/>
    <xf numFmtId="0" fontId="6" fillId="0" borderId="0" xfId="1" applyFont="1" applyAlignment="1">
      <alignment horizontal="center"/>
    </xf>
    <xf numFmtId="0" fontId="6" fillId="0" borderId="0" xfId="1" quotePrefix="1" applyFont="1" applyAlignment="1"/>
    <xf numFmtId="0" fontId="6" fillId="0" borderId="0" xfId="1" applyFont="1" applyAlignment="1">
      <alignment vertical="center"/>
    </xf>
    <xf numFmtId="0" fontId="5" fillId="0" borderId="0" xfId="3" applyFont="1"/>
    <xf numFmtId="0" fontId="19" fillId="0" borderId="0" xfId="3" applyFont="1" applyAlignment="1">
      <alignment horizontal="center"/>
    </xf>
    <xf numFmtId="0" fontId="6" fillId="0" borderId="0" xfId="3" applyFont="1"/>
    <xf numFmtId="0" fontId="12" fillId="0" borderId="0" xfId="4" applyFont="1" applyBorder="1"/>
    <xf numFmtId="0" fontId="6" fillId="0" borderId="0" xfId="3" applyFont="1" applyAlignment="1">
      <alignment horizontal="center"/>
    </xf>
    <xf numFmtId="0" fontId="6" fillId="0" borderId="0" xfId="3" applyNumberFormat="1" applyFont="1" applyAlignment="1">
      <alignment horizontal="left"/>
    </xf>
    <xf numFmtId="0" fontId="6" fillId="0" borderId="0" xfId="4" applyFont="1" applyBorder="1"/>
    <xf numFmtId="0" fontId="12" fillId="3" borderId="3" xfId="3" applyFont="1" applyFill="1" applyBorder="1"/>
    <xf numFmtId="0" fontId="12" fillId="3" borderId="3" xfId="3" applyFont="1" applyFill="1" applyBorder="1" applyAlignment="1">
      <alignment horizontal="center"/>
    </xf>
    <xf numFmtId="0" fontId="8" fillId="3" borderId="3" xfId="3" applyFont="1" applyFill="1" applyBorder="1" applyAlignment="1">
      <alignment horizontal="center"/>
    </xf>
    <xf numFmtId="0" fontId="8" fillId="3" borderId="7" xfId="3" applyFont="1" applyFill="1" applyBorder="1" applyAlignment="1">
      <alignment horizontal="center"/>
    </xf>
    <xf numFmtId="0" fontId="12" fillId="3" borderId="7" xfId="3" applyFont="1" applyFill="1" applyBorder="1" applyAlignment="1">
      <alignment horizontal="center"/>
    </xf>
    <xf numFmtId="0" fontId="8" fillId="3" borderId="5" xfId="3" applyFont="1" applyFill="1" applyBorder="1" applyAlignment="1">
      <alignment horizontal="center"/>
    </xf>
    <xf numFmtId="0" fontId="12" fillId="3" borderId="5" xfId="3" applyFont="1" applyFill="1" applyBorder="1" applyAlignment="1">
      <alignment horizontal="center"/>
    </xf>
    <xf numFmtId="0" fontId="9" fillId="3" borderId="5" xfId="3" applyFont="1" applyFill="1" applyBorder="1" applyAlignment="1">
      <alignment horizontal="center"/>
    </xf>
    <xf numFmtId="0" fontId="6" fillId="0" borderId="7" xfId="3" applyFont="1" applyBorder="1"/>
    <xf numFmtId="0" fontId="12" fillId="0" borderId="7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65" fontId="12" fillId="0" borderId="7" xfId="5" applyNumberFormat="1" applyFont="1" applyBorder="1" applyAlignment="1">
      <alignment horizontal="center"/>
    </xf>
    <xf numFmtId="49" fontId="21" fillId="0" borderId="7" xfId="5" applyNumberFormat="1" applyFont="1" applyBorder="1" applyAlignment="1">
      <alignment horizontal="center"/>
    </xf>
    <xf numFmtId="0" fontId="21" fillId="0" borderId="7" xfId="5" applyNumberFormat="1" applyFont="1" applyBorder="1" applyAlignment="1">
      <alignment horizontal="center"/>
    </xf>
    <xf numFmtId="165" fontId="12" fillId="3" borderId="7" xfId="5" applyNumberFormat="1" applyFont="1" applyFill="1" applyBorder="1" applyAlignment="1">
      <alignment horizontal="center"/>
    </xf>
    <xf numFmtId="165" fontId="6" fillId="0" borderId="0" xfId="3" applyNumberFormat="1" applyFont="1"/>
    <xf numFmtId="1" fontId="21" fillId="0" borderId="7" xfId="5" applyNumberFormat="1" applyFont="1" applyBorder="1" applyAlignment="1">
      <alignment horizontal="center"/>
    </xf>
    <xf numFmtId="0" fontId="6" fillId="0" borderId="8" xfId="3" applyFont="1" applyBorder="1"/>
    <xf numFmtId="165" fontId="12" fillId="0" borderId="8" xfId="5" applyNumberFormat="1" applyFont="1" applyBorder="1" applyAlignment="1">
      <alignment horizontal="center"/>
    </xf>
    <xf numFmtId="165" fontId="12" fillId="3" borderId="8" xfId="5" applyNumberFormat="1" applyFont="1" applyFill="1" applyBorder="1" applyAlignment="1">
      <alignment horizontal="center"/>
    </xf>
    <xf numFmtId="0" fontId="9" fillId="0" borderId="0" xfId="3" applyFont="1"/>
    <xf numFmtId="165" fontId="12" fillId="0" borderId="0" xfId="5" applyNumberFormat="1" applyFont="1" applyBorder="1" applyAlignment="1">
      <alignment horizontal="center"/>
    </xf>
    <xf numFmtId="0" fontId="5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left" vertical="top"/>
    </xf>
    <xf numFmtId="0" fontId="21" fillId="0" borderId="0" xfId="0" applyNumberFormat="1" applyFont="1" applyAlignment="1">
      <alignment horizontal="left" vertical="top"/>
    </xf>
    <xf numFmtId="164" fontId="21" fillId="0" borderId="0" xfId="0" applyNumberFormat="1" applyFont="1"/>
    <xf numFmtId="2" fontId="21" fillId="0" borderId="0" xfId="0" applyNumberFormat="1" applyFont="1" applyAlignment="1">
      <alignment horizontal="center" vertical="top"/>
    </xf>
    <xf numFmtId="1" fontId="21" fillId="0" borderId="0" xfId="0" applyNumberFormat="1" applyFont="1" applyAlignment="1">
      <alignment horizontal="center" vertical="top"/>
    </xf>
    <xf numFmtId="164" fontId="21" fillId="0" borderId="0" xfId="0" applyNumberFormat="1" applyFont="1" applyAlignment="1">
      <alignment horizontal="center" vertical="top"/>
    </xf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 vertical="top"/>
    </xf>
    <xf numFmtId="164" fontId="6" fillId="0" borderId="0" xfId="0" applyNumberFormat="1" applyFont="1"/>
    <xf numFmtId="2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Fill="1" applyBorder="1" applyAlignment="1">
      <alignment horizontal="center" vertical="top"/>
    </xf>
    <xf numFmtId="1" fontId="6" fillId="0" borderId="0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NumberFormat="1" applyFont="1" applyAlignment="1">
      <alignment horizontal="left" vertical="top"/>
    </xf>
    <xf numFmtId="164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0" xfId="0" applyFont="1"/>
    <xf numFmtId="0" fontId="9" fillId="2" borderId="2" xfId="0" applyNumberFormat="1" applyFont="1" applyFill="1" applyBorder="1" applyAlignment="1">
      <alignment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164" fontId="9" fillId="2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2" borderId="6" xfId="0" applyNumberFormat="1" applyFont="1" applyFill="1" applyBorder="1" applyAlignment="1">
      <alignment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vertical="center" wrapText="1"/>
    </xf>
    <xf numFmtId="0" fontId="13" fillId="2" borderId="7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center" vertical="center"/>
    </xf>
    <xf numFmtId="1" fontId="14" fillId="2" borderId="7" xfId="0" applyNumberFormat="1" applyFont="1" applyFill="1" applyBorder="1" applyAlignment="1">
      <alignment horizontal="center" vertical="center" wrapText="1"/>
    </xf>
    <xf numFmtId="0" fontId="14" fillId="2" borderId="6" xfId="0" applyNumberFormat="1" applyFont="1" applyFill="1" applyBorder="1" applyAlignment="1">
      <alignment horizontal="center" vertical="center" wrapText="1"/>
    </xf>
    <xf numFmtId="2" fontId="13" fillId="2" borderId="7" xfId="0" applyNumberFormat="1" applyFont="1" applyFill="1" applyBorder="1" applyAlignment="1">
      <alignment horizontal="center" vertical="center" wrapText="1"/>
    </xf>
    <xf numFmtId="1" fontId="14" fillId="2" borderId="7" xfId="0" applyNumberFormat="1" applyFont="1" applyFill="1" applyBorder="1" applyAlignment="1">
      <alignment horizontal="center" vertical="center"/>
    </xf>
    <xf numFmtId="1" fontId="14" fillId="2" borderId="6" xfId="0" applyNumberFormat="1" applyFont="1" applyFill="1" applyBorder="1" applyAlignment="1">
      <alignment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Border="1" applyAlignment="1">
      <alignment horizontal="center" vertical="center" wrapText="1"/>
    </xf>
    <xf numFmtId="164" fontId="14" fillId="2" borderId="7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2" borderId="4" xfId="0" applyNumberFormat="1" applyFont="1" applyFill="1" applyBorder="1" applyAlignment="1">
      <alignment vertical="center"/>
    </xf>
    <xf numFmtId="0" fontId="14" fillId="2" borderId="5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vertical="center" wrapText="1"/>
    </xf>
    <xf numFmtId="1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 wrapText="1"/>
    </xf>
    <xf numFmtId="2" fontId="13" fillId="2" borderId="5" xfId="0" applyNumberFormat="1" applyFont="1" applyFill="1" applyBorder="1" applyAlignment="1">
      <alignment horizontal="center" vertical="center"/>
    </xf>
    <xf numFmtId="2" fontId="14" fillId="2" borderId="5" xfId="0" applyNumberFormat="1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26" fillId="2" borderId="17" xfId="0" applyNumberFormat="1" applyFont="1" applyFill="1" applyBorder="1" applyAlignment="1">
      <alignment vertical="center"/>
    </xf>
    <xf numFmtId="0" fontId="26" fillId="2" borderId="6" xfId="0" applyNumberFormat="1" applyFont="1" applyFill="1" applyBorder="1" applyAlignment="1">
      <alignment horizontal="center" vertical="center"/>
    </xf>
    <xf numFmtId="1" fontId="26" fillId="2" borderId="18" xfId="0" applyNumberFormat="1" applyFont="1" applyFill="1" applyBorder="1" applyAlignment="1">
      <alignment horizontal="center" vertical="center"/>
    </xf>
    <xf numFmtId="1" fontId="26" fillId="2" borderId="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2" fontId="26" fillId="2" borderId="18" xfId="0" applyNumberFormat="1" applyFont="1" applyFill="1" applyBorder="1" applyAlignment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" fontId="26" fillId="2" borderId="17" xfId="0" applyNumberFormat="1" applyFont="1" applyFill="1" applyBorder="1" applyAlignment="1">
      <alignment horizontal="center" vertical="center"/>
    </xf>
    <xf numFmtId="0" fontId="26" fillId="2" borderId="7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3" fillId="0" borderId="6" xfId="0" applyNumberFormat="1" applyFont="1" applyBorder="1" applyAlignment="1">
      <alignment vertical="top"/>
    </xf>
    <xf numFmtId="0" fontId="13" fillId="0" borderId="6" xfId="0" applyNumberFormat="1" applyFont="1" applyBorder="1" applyAlignment="1">
      <alignment horizontal="center" vertical="top"/>
    </xf>
    <xf numFmtId="0" fontId="6" fillId="0" borderId="6" xfId="0" applyNumberFormat="1" applyFont="1" applyBorder="1" applyAlignment="1">
      <alignment horizontal="center" vertical="top"/>
    </xf>
    <xf numFmtId="0" fontId="13" fillId="0" borderId="7" xfId="0" applyNumberFormat="1" applyFont="1" applyBorder="1" applyAlignment="1">
      <alignment horizontal="center" vertical="top"/>
    </xf>
    <xf numFmtId="0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/>
    <xf numFmtId="1" fontId="13" fillId="0" borderId="7" xfId="0" applyNumberFormat="1" applyFont="1" applyBorder="1" applyAlignment="1">
      <alignment horizontal="center" vertical="top"/>
    </xf>
    <xf numFmtId="1" fontId="13" fillId="2" borderId="7" xfId="0" applyNumberFormat="1" applyFont="1" applyFill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vertical="center" wrapText="1"/>
    </xf>
    <xf numFmtId="164" fontId="8" fillId="0" borderId="6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1" xfId="0" applyNumberFormat="1" applyFont="1" applyBorder="1" applyAlignment="1">
      <alignment vertical="center" wrapText="1"/>
    </xf>
    <xf numFmtId="0" fontId="13" fillId="0" borderId="11" xfId="0" applyNumberFormat="1" applyFont="1" applyBorder="1" applyAlignment="1">
      <alignment horizontal="center" vertical="top"/>
    </xf>
    <xf numFmtId="0" fontId="6" fillId="0" borderId="11" xfId="0" applyNumberFormat="1" applyFont="1" applyBorder="1" applyAlignment="1">
      <alignment horizontal="center" vertical="top"/>
    </xf>
    <xf numFmtId="164" fontId="13" fillId="0" borderId="8" xfId="0" applyNumberFormat="1" applyFont="1" applyBorder="1" applyAlignment="1">
      <alignment horizontal="center" vertical="top"/>
    </xf>
    <xf numFmtId="164" fontId="13" fillId="2" borderId="8" xfId="0" applyNumberFormat="1" applyFont="1" applyFill="1" applyBorder="1" applyAlignment="1">
      <alignment horizontal="center" vertical="top"/>
    </xf>
    <xf numFmtId="164" fontId="13" fillId="0" borderId="8" xfId="0" applyNumberFormat="1" applyFont="1" applyBorder="1"/>
    <xf numFmtId="2" fontId="13" fillId="0" borderId="8" xfId="0" applyNumberFormat="1" applyFont="1" applyBorder="1" applyAlignment="1">
      <alignment horizontal="center" vertical="top"/>
    </xf>
    <xf numFmtId="1" fontId="13" fillId="0" borderId="8" xfId="0" applyNumberFormat="1" applyFont="1" applyBorder="1" applyAlignment="1">
      <alignment horizontal="center" vertical="top"/>
    </xf>
    <xf numFmtId="0" fontId="13" fillId="0" borderId="8" xfId="0" applyNumberFormat="1" applyFont="1" applyBorder="1" applyAlignment="1">
      <alignment horizontal="center" vertical="top"/>
    </xf>
    <xf numFmtId="1" fontId="13" fillId="2" borderId="8" xfId="0" applyNumberFormat="1" applyFont="1" applyFill="1" applyBorder="1" applyAlignment="1">
      <alignment horizontal="center" vertical="top"/>
    </xf>
    <xf numFmtId="164" fontId="14" fillId="0" borderId="8" xfId="0" applyNumberFormat="1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top"/>
    </xf>
    <xf numFmtId="0" fontId="6" fillId="0" borderId="16" xfId="0" applyFont="1" applyBorder="1" applyAlignment="1">
      <alignment vertical="center" wrapText="1"/>
    </xf>
    <xf numFmtId="0" fontId="9" fillId="0" borderId="0" xfId="0" applyNumberFormat="1" applyFont="1" applyAlignment="1">
      <alignment horizontal="left"/>
    </xf>
    <xf numFmtId="0" fontId="6" fillId="0" borderId="0" xfId="0" applyFont="1" applyFill="1"/>
    <xf numFmtId="164" fontId="6" fillId="0" borderId="0" xfId="0" applyNumberFormat="1" applyFont="1" applyBorder="1"/>
    <xf numFmtId="0" fontId="6" fillId="0" borderId="0" xfId="0" applyNumberFormat="1" applyFont="1" applyAlignment="1"/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0" fontId="6" fillId="0" borderId="0" xfId="0" applyFont="1" applyFill="1" applyAlignment="1"/>
    <xf numFmtId="164" fontId="6" fillId="0" borderId="0" xfId="0" applyNumberFormat="1" applyFont="1" applyBorder="1" applyAlignment="1"/>
    <xf numFmtId="1" fontId="2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6" fillId="0" borderId="0" xfId="0" quotePrefix="1" applyFont="1"/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NumberFormat="1" applyFont="1" applyAlignment="1">
      <alignment vertical="top"/>
    </xf>
    <xf numFmtId="0" fontId="6" fillId="0" borderId="0" xfId="0" quotePrefix="1" applyFont="1" applyAlignment="1"/>
    <xf numFmtId="14" fontId="13" fillId="0" borderId="0" xfId="0" applyNumberFormat="1" applyFont="1"/>
    <xf numFmtId="0" fontId="7" fillId="0" borderId="0" xfId="0" applyFont="1"/>
    <xf numFmtId="14" fontId="6" fillId="0" borderId="0" xfId="0" applyNumberFormat="1" applyFont="1"/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1" applyFont="1" applyBorder="1" applyAlignment="1">
      <alignment horizontal="center"/>
    </xf>
    <xf numFmtId="0" fontId="6" fillId="0" borderId="0" xfId="1" applyFont="1" applyBorder="1"/>
    <xf numFmtId="0" fontId="6" fillId="2" borderId="2" xfId="1" applyFont="1" applyFill="1" applyBorder="1"/>
    <xf numFmtId="0" fontId="9" fillId="2" borderId="5" xfId="1" applyFont="1" applyFill="1" applyBorder="1" applyAlignment="1">
      <alignment horizontal="center"/>
    </xf>
    <xf numFmtId="0" fontId="6" fillId="2" borderId="6" xfId="1" applyFont="1" applyFill="1" applyBorder="1"/>
    <xf numFmtId="0" fontId="7" fillId="2" borderId="7" xfId="1" applyFont="1" applyFill="1" applyBorder="1" applyAlignment="1">
      <alignment horizontal="right"/>
    </xf>
    <xf numFmtId="0" fontId="6" fillId="0" borderId="6" xfId="1" applyFont="1" applyBorder="1"/>
    <xf numFmtId="2" fontId="11" fillId="0" borderId="7" xfId="1" applyNumberFormat="1" applyFont="1" applyBorder="1" applyAlignment="1">
      <alignment horizontal="center"/>
    </xf>
    <xf numFmtId="2" fontId="12" fillId="0" borderId="7" xfId="1" applyNumberFormat="1" applyFont="1" applyBorder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6" fillId="0" borderId="0" xfId="1" quotePrefix="1" applyFont="1"/>
    <xf numFmtId="0" fontId="13" fillId="0" borderId="0" xfId="1" applyFont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0" xfId="1" applyFont="1"/>
    <xf numFmtId="0" fontId="13" fillId="0" borderId="0" xfId="1" applyFont="1" applyAlignment="1"/>
    <xf numFmtId="0" fontId="13" fillId="0" borderId="0" xfId="1" applyFont="1" applyAlignment="1">
      <alignment vertical="center"/>
    </xf>
    <xf numFmtId="0" fontId="6" fillId="0" borderId="0" xfId="1" quotePrefix="1" applyFont="1" applyAlignment="1"/>
    <xf numFmtId="0" fontId="6" fillId="2" borderId="2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6" fillId="2" borderId="4" xfId="1" applyFont="1" applyFill="1" applyBorder="1"/>
    <xf numFmtId="0" fontId="8" fillId="2" borderId="5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/>
    </xf>
    <xf numFmtId="0" fontId="6" fillId="0" borderId="7" xfId="1" applyFont="1" applyBorder="1"/>
    <xf numFmtId="2" fontId="13" fillId="0" borderId="7" xfId="1" applyNumberFormat="1" applyFont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2" fontId="12" fillId="2" borderId="7" xfId="1" applyNumberFormat="1" applyFont="1" applyFill="1" applyBorder="1" applyAlignment="1">
      <alignment horizontal="center"/>
    </xf>
    <xf numFmtId="1" fontId="12" fillId="0" borderId="7" xfId="1" applyNumberFormat="1" applyFont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8" fillId="0" borderId="12" xfId="1" applyFont="1" applyBorder="1"/>
    <xf numFmtId="0" fontId="14" fillId="0" borderId="10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9" fillId="0" borderId="6" xfId="1" applyFont="1" applyBorder="1"/>
    <xf numFmtId="0" fontId="6" fillId="0" borderId="11" xfId="1" applyFont="1" applyBorder="1"/>
    <xf numFmtId="0" fontId="7" fillId="0" borderId="0" xfId="1" applyFont="1" applyAlignment="1">
      <alignment vertical="center"/>
    </xf>
    <xf numFmtId="164" fontId="12" fillId="0" borderId="7" xfId="1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/>
    </xf>
    <xf numFmtId="3" fontId="12" fillId="0" borderId="7" xfId="1" applyNumberFormat="1" applyFont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 vertical="center" wrapText="1"/>
    </xf>
    <xf numFmtId="0" fontId="26" fillId="2" borderId="0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left" vertical="top"/>
    </xf>
    <xf numFmtId="0" fontId="14" fillId="0" borderId="6" xfId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0" fillId="0" borderId="0" xfId="0" applyFont="1"/>
    <xf numFmtId="0" fontId="0" fillId="0" borderId="0" xfId="0" applyFont="1"/>
    <xf numFmtId="0" fontId="13" fillId="0" borderId="7" xfId="1" applyFont="1" applyBorder="1" applyAlignment="1">
      <alignment horizontal="left"/>
    </xf>
    <xf numFmtId="1" fontId="26" fillId="2" borderId="17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2" fontId="14" fillId="2" borderId="6" xfId="0" applyNumberFormat="1" applyFont="1" applyFill="1" applyBorder="1" applyAlignment="1">
      <alignment horizontal="center" vertical="center" wrapText="1"/>
    </xf>
    <xf numFmtId="2" fontId="14" fillId="2" borderId="9" xfId="0" applyNumberFormat="1" applyFont="1" applyFill="1" applyBorder="1" applyAlignment="1">
      <alignment horizontal="center" vertical="center" wrapText="1"/>
    </xf>
    <xf numFmtId="1" fontId="14" fillId="2" borderId="6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164" fontId="26" fillId="2" borderId="17" xfId="0" applyNumberFormat="1" applyFont="1" applyFill="1" applyBorder="1" applyAlignment="1">
      <alignment horizontal="center" vertical="center"/>
    </xf>
    <xf numFmtId="164" fontId="26" fillId="2" borderId="19" xfId="0" applyNumberFormat="1" applyFont="1" applyFill="1" applyBorder="1" applyAlignment="1">
      <alignment horizontal="center" vertical="center"/>
    </xf>
    <xf numFmtId="164" fontId="26" fillId="2" borderId="20" xfId="0" applyNumberFormat="1" applyFont="1" applyFill="1" applyBorder="1" applyAlignment="1">
      <alignment horizontal="center" vertical="center"/>
    </xf>
    <xf numFmtId="2" fontId="26" fillId="2" borderId="17" xfId="0" applyNumberFormat="1" applyFont="1" applyFill="1" applyBorder="1" applyAlignment="1">
      <alignment horizontal="center" vertical="center"/>
    </xf>
    <xf numFmtId="2" fontId="26" fillId="2" borderId="19" xfId="0" applyNumberFormat="1" applyFont="1" applyFill="1" applyBorder="1" applyAlignment="1">
      <alignment horizontal="center" vertical="center"/>
    </xf>
    <xf numFmtId="2" fontId="27" fillId="2" borderId="17" xfId="0" applyNumberFormat="1" applyFont="1" applyFill="1" applyBorder="1" applyAlignment="1">
      <alignment horizontal="center" vertical="center"/>
    </xf>
    <xf numFmtId="2" fontId="27" fillId="2" borderId="20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13" xfId="0" applyNumberFormat="1" applyFont="1" applyFill="1" applyBorder="1" applyAlignment="1">
      <alignment horizontal="center" vertical="center" wrapText="1"/>
    </xf>
    <xf numFmtId="2" fontId="9" fillId="2" borderId="2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4" fontId="9" fillId="2" borderId="14" xfId="0" applyNumberFormat="1" applyFont="1" applyFill="1" applyBorder="1" applyAlignment="1">
      <alignment horizontal="center" vertical="center" wrapText="1"/>
    </xf>
    <xf numFmtId="164" fontId="9" fillId="2" borderId="15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0" fontId="9" fillId="2" borderId="16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2" fillId="0" borderId="0" xfId="0" applyFont="1"/>
    <xf numFmtId="0" fontId="33" fillId="0" borderId="0" xfId="0" applyFont="1"/>
  </cellXfs>
  <cellStyles count="7">
    <cellStyle name="Normal" xfId="0" builtinId="0"/>
    <cellStyle name="Normal 2" xfId="1"/>
    <cellStyle name="Normal 3" xfId="3"/>
    <cellStyle name="Normal 4" xfId="2"/>
    <cellStyle name="Normal 4 2" xfId="6"/>
    <cellStyle name="Normal_2S-AG-Reams Temp1.xlt" xfId="4"/>
    <cellStyle name="Percent 2" xfId="5"/>
  </cellStyles>
  <dxfs count="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1M</a:t>
            </a:r>
            <a:r>
              <a:rPr lang="en-US" baseline="0"/>
              <a:t> HCl extractable Fe </a:t>
            </a:r>
            <a:r>
              <a:rPr lang="en-US"/>
              <a:t>vs Salinity</a:t>
            </a:r>
          </a:p>
        </c:rich>
      </c:tx>
      <c:layout>
        <c:manualLayout>
          <c:xMode val="edge"/>
          <c:yMode val="edge"/>
          <c:x val="0.21337480424094599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metals'!$C$46:$AB$46</c:f>
              <c:numCache>
                <c:formatCode>0.00</c:formatCode>
                <c:ptCount val="26"/>
                <c:pt idx="0">
                  <c:v>3.4975777403278199E-3</c:v>
                </c:pt>
                <c:pt idx="1">
                  <c:v>2.3231117041560501E-2</c:v>
                </c:pt>
                <c:pt idx="2">
                  <c:v>4.7496781624123699E-2</c:v>
                </c:pt>
                <c:pt idx="3">
                  <c:v>3.4050156794582301E-2</c:v>
                </c:pt>
                <c:pt idx="4">
                  <c:v>4.7418688444644197E-2</c:v>
                </c:pt>
                <c:pt idx="5">
                  <c:v>2.3466516811247101E-2</c:v>
                </c:pt>
                <c:pt idx="6">
                  <c:v>3.0415947572954599E-2</c:v>
                </c:pt>
                <c:pt idx="7">
                  <c:v>2.0180298973508901E-2</c:v>
                </c:pt>
                <c:pt idx="8">
                  <c:v>2.24489126118512E-2</c:v>
                </c:pt>
                <c:pt idx="9">
                  <c:v>3.0565315879318201E-2</c:v>
                </c:pt>
                <c:pt idx="10">
                  <c:v>3.34717723917793E-2</c:v>
                </c:pt>
                <c:pt idx="11">
                  <c:v>2.9288094281166001E-2</c:v>
                </c:pt>
                <c:pt idx="12">
                  <c:v>2.4685381705162501E-3</c:v>
                </c:pt>
                <c:pt idx="13">
                  <c:v>1.9003911302810099E-3</c:v>
                </c:pt>
                <c:pt idx="14">
                  <c:v>2.5714287403388902E-3</c:v>
                </c:pt>
                <c:pt idx="15">
                  <c:v>3.6154324243488998E-3</c:v>
                </c:pt>
                <c:pt idx="16">
                  <c:v>1.2115835263994099E-2</c:v>
                </c:pt>
                <c:pt idx="17">
                  <c:v>1.6161386394677301E-2</c:v>
                </c:pt>
                <c:pt idx="18">
                  <c:v>2.61942335358183E-2</c:v>
                </c:pt>
                <c:pt idx="19">
                  <c:v>4.2637903203752402E-3</c:v>
                </c:pt>
                <c:pt idx="20">
                  <c:v>4.10591355759422E-3</c:v>
                </c:pt>
                <c:pt idx="21">
                  <c:v>1.01772458945018E-2</c:v>
                </c:pt>
                <c:pt idx="22">
                  <c:v>6.4692545204045798E-2</c:v>
                </c:pt>
                <c:pt idx="23">
                  <c:v>1.3540058846566399E-2</c:v>
                </c:pt>
                <c:pt idx="24">
                  <c:v>4.3082544959550301E-2</c:v>
                </c:pt>
                <c:pt idx="25">
                  <c:v>1.30540898315243E-2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527-97F1-6094E6BC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Fe</a:t>
                </a:r>
                <a:r>
                  <a:rPr lang="en-AU" baseline="0"/>
                  <a:t> (1M Hcl. Extract)</a:t>
                </a:r>
                <a:r>
                  <a:rPr lang="en-AU"/>
                  <a:t>, mg/kg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E-4890-9207-7C2A9DA8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total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metals'!$C$22:$AB$22</c:f>
              <c:numCache>
                <c:formatCode>0.00</c:formatCode>
                <c:ptCount val="26"/>
                <c:pt idx="0">
                  <c:v>2.5812390000000001</c:v>
                </c:pt>
                <c:pt idx="1">
                  <c:v>3.6098458000000004</c:v>
                </c:pt>
                <c:pt idx="2">
                  <c:v>-14.096141899999999</c:v>
                </c:pt>
                <c:pt idx="3">
                  <c:v>-15.933683400000001</c:v>
                </c:pt>
                <c:pt idx="4">
                  <c:v>-16.8602624</c:v>
                </c:pt>
                <c:pt idx="5">
                  <c:v>-0.28282709999999978</c:v>
                </c:pt>
                <c:pt idx="6">
                  <c:v>-14.372033399999999</c:v>
                </c:pt>
                <c:pt idx="7">
                  <c:v>-5.5008202999999991</c:v>
                </c:pt>
                <c:pt idx="8">
                  <c:v>-13.8441957</c:v>
                </c:pt>
                <c:pt idx="9">
                  <c:v>-17.308976499999996</c:v>
                </c:pt>
                <c:pt idx="10">
                  <c:v>-13.7858941</c:v>
                </c:pt>
                <c:pt idx="11">
                  <c:v>-6.9750178999999983</c:v>
                </c:pt>
                <c:pt idx="12">
                  <c:v>-8.1420910000000006</c:v>
                </c:pt>
                <c:pt idx="13">
                  <c:v>-5.9110136999999989</c:v>
                </c:pt>
                <c:pt idx="14">
                  <c:v>-11.477775399999999</c:v>
                </c:pt>
                <c:pt idx="15">
                  <c:v>-8.2909682999999994</c:v>
                </c:pt>
                <c:pt idx="16">
                  <c:v>-7.5913490999999995</c:v>
                </c:pt>
                <c:pt idx="17">
                  <c:v>-3.1729206999999997</c:v>
                </c:pt>
                <c:pt idx="18">
                  <c:v>-9.5798500999999998</c:v>
                </c:pt>
                <c:pt idx="19">
                  <c:v>-5.4810393999999985</c:v>
                </c:pt>
                <c:pt idx="20">
                  <c:v>-6.0900828999999996</c:v>
                </c:pt>
                <c:pt idx="21">
                  <c:v>1.2829873000000001</c:v>
                </c:pt>
                <c:pt idx="22">
                  <c:v>-20.069973699999995</c:v>
                </c:pt>
                <c:pt idx="23">
                  <c:v>-19.947123899999998</c:v>
                </c:pt>
                <c:pt idx="24">
                  <c:v>-12.661506099999999</c:v>
                </c:pt>
                <c:pt idx="25">
                  <c:v>-16.302232799999999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B-4384-90FE-CC3DA31E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(total)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17809639429077131"/>
          <c:y val="3.7314234473224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CAF-AC51-F0767D98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TOC,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d15N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metals'!$C$24:$AB$24</c:f>
              <c:numCache>
                <c:formatCode>0.00</c:formatCode>
                <c:ptCount val="26"/>
                <c:pt idx="0">
                  <c:v>7.1379999999999999</c:v>
                </c:pt>
                <c:pt idx="1">
                  <c:v>5.9690000000000003</c:v>
                </c:pt>
                <c:pt idx="2">
                  <c:v>6.093</c:v>
                </c:pt>
                <c:pt idx="3">
                  <c:v>5.5369999999999999</c:v>
                </c:pt>
                <c:pt idx="4">
                  <c:v>4.6779999999999999</c:v>
                </c:pt>
                <c:pt idx="5">
                  <c:v>3.371</c:v>
                </c:pt>
                <c:pt idx="6">
                  <c:v>5.1290000000000004</c:v>
                </c:pt>
                <c:pt idx="7">
                  <c:v>4.6070000000000002</c:v>
                </c:pt>
                <c:pt idx="8">
                  <c:v>5.0220000000000002</c:v>
                </c:pt>
                <c:pt idx="9">
                  <c:v>5.53</c:v>
                </c:pt>
                <c:pt idx="10">
                  <c:v>4.8029999999999999</c:v>
                </c:pt>
                <c:pt idx="11">
                  <c:v>5.3390000000000004</c:v>
                </c:pt>
                <c:pt idx="12">
                  <c:v>3.9390000000000001</c:v>
                </c:pt>
                <c:pt idx="13">
                  <c:v>4.8860000000000001</c:v>
                </c:pt>
                <c:pt idx="14">
                  <c:v>5.5019999999999998</c:v>
                </c:pt>
                <c:pt idx="15">
                  <c:v>5.9130000000000003</c:v>
                </c:pt>
                <c:pt idx="16">
                  <c:v>4.6189999999999998</c:v>
                </c:pt>
                <c:pt idx="17">
                  <c:v>5.72</c:v>
                </c:pt>
                <c:pt idx="18">
                  <c:v>3.7130000000000001</c:v>
                </c:pt>
                <c:pt idx="19">
                  <c:v>4.4460000000000006</c:v>
                </c:pt>
                <c:pt idx="20">
                  <c:v>4.6760000000000002</c:v>
                </c:pt>
                <c:pt idx="21">
                  <c:v>4.806</c:v>
                </c:pt>
                <c:pt idx="22">
                  <c:v>4.641</c:v>
                </c:pt>
                <c:pt idx="23">
                  <c:v>1.2849999999999999</c:v>
                </c:pt>
                <c:pt idx="24">
                  <c:v>1.7489999999999999</c:v>
                </c:pt>
                <c:pt idx="25">
                  <c:v>1.8549999999999998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752-B5E7-B4D34D9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d15N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Nitrogen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metals'!$C$16:$AB$16</c:f>
              <c:numCache>
                <c:formatCode>0.00</c:formatCode>
                <c:ptCount val="26"/>
                <c:pt idx="0">
                  <c:v>0.05</c:v>
                </c:pt>
                <c:pt idx="1">
                  <c:v>0.04</c:v>
                </c:pt>
                <c:pt idx="2">
                  <c:v>0.78</c:v>
                </c:pt>
                <c:pt idx="3">
                  <c:v>0.75</c:v>
                </c:pt>
                <c:pt idx="4">
                  <c:v>0.78</c:v>
                </c:pt>
                <c:pt idx="5">
                  <c:v>0.14000000000000001</c:v>
                </c:pt>
                <c:pt idx="6">
                  <c:v>0.72</c:v>
                </c:pt>
                <c:pt idx="7">
                  <c:v>0.38</c:v>
                </c:pt>
                <c:pt idx="8">
                  <c:v>0.45</c:v>
                </c:pt>
                <c:pt idx="9">
                  <c:v>0.75</c:v>
                </c:pt>
                <c:pt idx="10">
                  <c:v>0.7</c:v>
                </c:pt>
                <c:pt idx="11">
                  <c:v>0.46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0.1</c:v>
                </c:pt>
                <c:pt idx="17">
                  <c:v>0.09</c:v>
                </c:pt>
                <c:pt idx="18">
                  <c:v>0.31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0.06</c:v>
                </c:pt>
                <c:pt idx="22">
                  <c:v>0.68</c:v>
                </c:pt>
                <c:pt idx="23">
                  <c:v>0.17</c:v>
                </c:pt>
                <c:pt idx="24">
                  <c:v>0.24</c:v>
                </c:pt>
                <c:pt idx="2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B-47D3-A8C6-352A73FC7FE7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metals'!$C$16:$D$16</c:f>
              <c:numCache>
                <c:formatCode>0.00</c:formatCode>
                <c:ptCount val="2"/>
                <c:pt idx="0">
                  <c:v>0.05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B-47D3-A8C6-352A73FC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TN,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874514965168259"/>
          <c:y val="0.65404997062527226"/>
          <c:w val="0.3906405863532188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Phosphorus vs Salinity</a:t>
            </a:r>
          </a:p>
        </c:rich>
      </c:tx>
      <c:layout>
        <c:manualLayout>
          <c:xMode val="edge"/>
          <c:yMode val="edge"/>
          <c:x val="0.22209286209286211"/>
          <c:y val="2.245089529574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metals'!$C$13:$AB$13</c:f>
              <c:numCache>
                <c:formatCode>0</c:formatCode>
                <c:ptCount val="26"/>
                <c:pt idx="0">
                  <c:v>163</c:v>
                </c:pt>
                <c:pt idx="1">
                  <c:v>171</c:v>
                </c:pt>
                <c:pt idx="2">
                  <c:v>547</c:v>
                </c:pt>
                <c:pt idx="3">
                  <c:v>504</c:v>
                </c:pt>
                <c:pt idx="4">
                  <c:v>688</c:v>
                </c:pt>
                <c:pt idx="5">
                  <c:v>130</c:v>
                </c:pt>
                <c:pt idx="6">
                  <c:v>522</c:v>
                </c:pt>
                <c:pt idx="7">
                  <c:v>422</c:v>
                </c:pt>
                <c:pt idx="8">
                  <c:v>371</c:v>
                </c:pt>
                <c:pt idx="9">
                  <c:v>580</c:v>
                </c:pt>
                <c:pt idx="10">
                  <c:v>685</c:v>
                </c:pt>
                <c:pt idx="11">
                  <c:v>373</c:v>
                </c:pt>
                <c:pt idx="12">
                  <c:v>47</c:v>
                </c:pt>
                <c:pt idx="13">
                  <c:v>21</c:v>
                </c:pt>
                <c:pt idx="14">
                  <c:v>23</c:v>
                </c:pt>
                <c:pt idx="15">
                  <c:v>64</c:v>
                </c:pt>
                <c:pt idx="16">
                  <c:v>79</c:v>
                </c:pt>
                <c:pt idx="17">
                  <c:v>89</c:v>
                </c:pt>
                <c:pt idx="18">
                  <c:v>331</c:v>
                </c:pt>
                <c:pt idx="19">
                  <c:v>73</c:v>
                </c:pt>
                <c:pt idx="20">
                  <c:v>84</c:v>
                </c:pt>
                <c:pt idx="21">
                  <c:v>58</c:v>
                </c:pt>
                <c:pt idx="22">
                  <c:v>528</c:v>
                </c:pt>
                <c:pt idx="23">
                  <c:v>166</c:v>
                </c:pt>
                <c:pt idx="24">
                  <c:v>281</c:v>
                </c:pt>
                <c:pt idx="25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DB2-B12D-A13ECFB7F2A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metals'!$C$13:$D$13</c:f>
              <c:numCache>
                <c:formatCode>0</c:formatCode>
                <c:ptCount val="2"/>
                <c:pt idx="0">
                  <c:v>163</c:v>
                </c:pt>
                <c:pt idx="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B-4DB2-B12D-A13ECFB7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TP, mg/kg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7963906472475254"/>
          <c:y val="0.65404997062527226"/>
          <c:w val="0.39974656762675903"/>
          <c:h val="0.12628716993206396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metals'!$C$15:$AB$15</c:f>
              <c:numCache>
                <c:formatCode>0.00</c:formatCode>
                <c:ptCount val="26"/>
                <c:pt idx="0">
                  <c:v>8.6199999999999992</c:v>
                </c:pt>
                <c:pt idx="1">
                  <c:v>7.4</c:v>
                </c:pt>
                <c:pt idx="2">
                  <c:v>10.1</c:v>
                </c:pt>
                <c:pt idx="3">
                  <c:v>9.3420000000000005</c:v>
                </c:pt>
                <c:pt idx="4">
                  <c:v>9.32</c:v>
                </c:pt>
                <c:pt idx="5">
                  <c:v>6.06</c:v>
                </c:pt>
                <c:pt idx="6">
                  <c:v>7.83</c:v>
                </c:pt>
                <c:pt idx="7">
                  <c:v>8.16</c:v>
                </c:pt>
                <c:pt idx="8">
                  <c:v>5.77</c:v>
                </c:pt>
                <c:pt idx="9">
                  <c:v>7.23</c:v>
                </c:pt>
                <c:pt idx="10">
                  <c:v>6.52</c:v>
                </c:pt>
                <c:pt idx="11">
                  <c:v>7.23</c:v>
                </c:pt>
                <c:pt idx="12">
                  <c:v>0.36</c:v>
                </c:pt>
                <c:pt idx="13">
                  <c:v>0.37</c:v>
                </c:pt>
                <c:pt idx="14">
                  <c:v>0.19</c:v>
                </c:pt>
                <c:pt idx="15">
                  <c:v>0.54</c:v>
                </c:pt>
                <c:pt idx="16">
                  <c:v>1.65</c:v>
                </c:pt>
                <c:pt idx="17">
                  <c:v>2.96</c:v>
                </c:pt>
                <c:pt idx="18">
                  <c:v>4.83</c:v>
                </c:pt>
                <c:pt idx="19">
                  <c:v>1.52</c:v>
                </c:pt>
                <c:pt idx="20">
                  <c:v>1.46</c:v>
                </c:pt>
                <c:pt idx="21">
                  <c:v>3.53</c:v>
                </c:pt>
                <c:pt idx="22">
                  <c:v>5.96</c:v>
                </c:pt>
                <c:pt idx="23">
                  <c:v>1.47</c:v>
                </c:pt>
                <c:pt idx="24">
                  <c:v>2.82</c:v>
                </c:pt>
                <c:pt idx="25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F-4B02-82E1-0E157C8CA3B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metals'!$C$15:$D$15</c:f>
              <c:numCache>
                <c:formatCode>0.00</c:formatCode>
                <c:ptCount val="2"/>
                <c:pt idx="0">
                  <c:v>8.6199999999999992</c:v>
                </c:pt>
                <c:pt idx="1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F-4B02-82E1-0E157C8C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Chromium Reducible Sulfur</a:t>
            </a:r>
          </a:p>
        </c:rich>
      </c:tx>
      <c:layout>
        <c:manualLayout>
          <c:xMode val="edge"/>
          <c:yMode val="edge"/>
          <c:x val="0.33828395633552344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Pyrite'!$AF$10:$AF$35</c:f>
              <c:numCache>
                <c:formatCode>0.000</c:formatCode>
                <c:ptCount val="26"/>
                <c:pt idx="0">
                  <c:v>5.5642626701242162E-2</c:v>
                </c:pt>
                <c:pt idx="1">
                  <c:v>5.0468245089335555E-2</c:v>
                </c:pt>
                <c:pt idx="2">
                  <c:v>0.21041005587526276</c:v>
                </c:pt>
                <c:pt idx="3">
                  <c:v>0.26276653723449528</c:v>
                </c:pt>
                <c:pt idx="4">
                  <c:v>0.2332057123690518</c:v>
                </c:pt>
                <c:pt idx="5">
                  <c:v>5.6038986486019154E-2</c:v>
                </c:pt>
                <c:pt idx="6">
                  <c:v>0.2931255515079213</c:v>
                </c:pt>
                <c:pt idx="7">
                  <c:v>0.18027571290602074</c:v>
                </c:pt>
                <c:pt idx="8">
                  <c:v>0.25845879569270169</c:v>
                </c:pt>
                <c:pt idx="9">
                  <c:v>0.29453286896740616</c:v>
                </c:pt>
                <c:pt idx="10">
                  <c:v>0.26578893378002327</c:v>
                </c:pt>
                <c:pt idx="11">
                  <c:v>0.26772417858781583</c:v>
                </c:pt>
                <c:pt idx="12">
                  <c:v>9.0736281796415953E-3</c:v>
                </c:pt>
                <c:pt idx="13">
                  <c:v>9.1072385197399838E-3</c:v>
                </c:pt>
                <c:pt idx="14">
                  <c:v>1.4094583242346659E-2</c:v>
                </c:pt>
                <c:pt idx="15">
                  <c:v>2.2015126216578425E-2</c:v>
                </c:pt>
                <c:pt idx="16">
                  <c:v>8.414325332709105E-2</c:v>
                </c:pt>
                <c:pt idx="17">
                  <c:v>0.13937410298206154</c:v>
                </c:pt>
                <c:pt idx="18">
                  <c:v>0.23993100633575623</c:v>
                </c:pt>
                <c:pt idx="19">
                  <c:v>3.3696354803271544E-2</c:v>
                </c:pt>
                <c:pt idx="20">
                  <c:v>3.9073784080498372E-2</c:v>
                </c:pt>
                <c:pt idx="21">
                  <c:v>3.7024357721679606E-2</c:v>
                </c:pt>
                <c:pt idx="22">
                  <c:v>0.64378220972256894</c:v>
                </c:pt>
                <c:pt idx="23">
                  <c:v>0.17188783412777789</c:v>
                </c:pt>
                <c:pt idx="24">
                  <c:v>0.65430073851667558</c:v>
                </c:pt>
                <c:pt idx="25">
                  <c:v>0.13898758948069603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3E8-A71D-2DC0F48CF0BA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Pyrite'!$AF$10:$AF$11</c:f>
              <c:numCache>
                <c:formatCode>0.000</c:formatCode>
                <c:ptCount val="2"/>
                <c:pt idx="0">
                  <c:v>5.5642626701242162E-2</c:v>
                </c:pt>
                <c:pt idx="1">
                  <c:v>5.0468245089335555E-2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5-43E8-A71D-2DC0F48C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Pyrite'!$AE$10:$AE$35</c:f>
              <c:numCache>
                <c:formatCode>0.000</c:formatCode>
                <c:ptCount val="26"/>
                <c:pt idx="0">
                  <c:v>2.8817513458294836E-3</c:v>
                </c:pt>
                <c:pt idx="1">
                  <c:v>1.9312364307045237E-3</c:v>
                </c:pt>
                <c:pt idx="2">
                  <c:v>2.1180439986495651E-2</c:v>
                </c:pt>
                <c:pt idx="3">
                  <c:v>4.665956566168418E-2</c:v>
                </c:pt>
                <c:pt idx="4">
                  <c:v>4.4411805832494565E-2</c:v>
                </c:pt>
                <c:pt idx="5">
                  <c:v>3.2866388238378184E-3</c:v>
                </c:pt>
                <c:pt idx="6">
                  <c:v>5.422742298104672E-2</c:v>
                </c:pt>
                <c:pt idx="7">
                  <c:v>3.5022581321884412E-2</c:v>
                </c:pt>
                <c:pt idx="8">
                  <c:v>7.0138863471133933E-2</c:v>
                </c:pt>
                <c:pt idx="9">
                  <c:v>6.4523268843380679E-2</c:v>
                </c:pt>
                <c:pt idx="10">
                  <c:v>5.272730669228165E-2</c:v>
                </c:pt>
                <c:pt idx="11">
                  <c:v>5.6359102276369602E-2</c:v>
                </c:pt>
                <c:pt idx="12">
                  <c:v>0</c:v>
                </c:pt>
                <c:pt idx="13">
                  <c:v>6.6634375518000047E-4</c:v>
                </c:pt>
                <c:pt idx="14">
                  <c:v>5.5409744432332953E-3</c:v>
                </c:pt>
                <c:pt idx="15">
                  <c:v>9.4962750936586973E-3</c:v>
                </c:pt>
                <c:pt idx="16">
                  <c:v>3.9384329299355744E-2</c:v>
                </c:pt>
                <c:pt idx="17">
                  <c:v>1.2086576212034506E-2</c:v>
                </c:pt>
                <c:pt idx="18">
                  <c:v>7.9355749954115609E-2</c:v>
                </c:pt>
                <c:pt idx="19">
                  <c:v>2.0892277096427884E-2</c:v>
                </c:pt>
                <c:pt idx="20">
                  <c:v>2.2153800631258939E-2</c:v>
                </c:pt>
                <c:pt idx="21">
                  <c:v>6.679940335867933E-3</c:v>
                </c:pt>
                <c:pt idx="22">
                  <c:v>7.7572515145068882E-2</c:v>
                </c:pt>
                <c:pt idx="23">
                  <c:v>5.0504498050512291E-2</c:v>
                </c:pt>
                <c:pt idx="24">
                  <c:v>4.7204537535859382E-2</c:v>
                </c:pt>
                <c:pt idx="25">
                  <c:v>3.7202171656934437E-2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F-4EEC-81D4-3BA9491BEA28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Pyrite'!$AE$10:$AE$11</c:f>
              <c:numCache>
                <c:formatCode>0.000</c:formatCode>
                <c:ptCount val="2"/>
                <c:pt idx="0">
                  <c:v>2.8817513458294836E-3</c:v>
                </c:pt>
                <c:pt idx="1">
                  <c:v>1.9312364307045237E-3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F-4EEC-81D4-3BA9491B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dry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Volatile Sulfur</a:t>
            </a:r>
          </a:p>
        </c:rich>
      </c:tx>
      <c:layout>
        <c:manualLayout>
          <c:xMode val="edge"/>
          <c:yMode val="edge"/>
          <c:x val="0.32085476243574129"/>
          <c:y val="3.3739611925722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'AVS Pyrite'!$BE$10:$BE$35</c:f>
              <c:numCache>
                <c:formatCode>General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'AVS Pyrite'!$AD$10:$AD$35</c:f>
              <c:numCache>
                <c:formatCode>0.000</c:formatCode>
                <c:ptCount val="26"/>
                <c:pt idx="0">
                  <c:v>1.9425885822236546E-3</c:v>
                </c:pt>
                <c:pt idx="1">
                  <c:v>1.3960908157563E-3</c:v>
                </c:pt>
                <c:pt idx="2">
                  <c:v>1.5656581238017584E-2</c:v>
                </c:pt>
                <c:pt idx="3">
                  <c:v>3.3370921361236525E-2</c:v>
                </c:pt>
                <c:pt idx="4">
                  <c:v>3.077738144191873E-2</c:v>
                </c:pt>
                <c:pt idx="5">
                  <c:v>2.2861859658615865E-3</c:v>
                </c:pt>
                <c:pt idx="6">
                  <c:v>3.9374531826538023E-2</c:v>
                </c:pt>
                <c:pt idx="7">
                  <c:v>2.4379218858163736E-2</c:v>
                </c:pt>
                <c:pt idx="8">
                  <c:v>4.8409843567776632E-2</c:v>
                </c:pt>
                <c:pt idx="9">
                  <c:v>4.3462873892901224E-2</c:v>
                </c:pt>
                <c:pt idx="10">
                  <c:v>3.758929694092758E-2</c:v>
                </c:pt>
                <c:pt idx="11">
                  <c:v>4.0234763115100255E-2</c:v>
                </c:pt>
                <c:pt idx="12">
                  <c:v>0</c:v>
                </c:pt>
                <c:pt idx="13">
                  <c:v>0</c:v>
                </c:pt>
                <c:pt idx="14">
                  <c:v>3.7274135079630381E-3</c:v>
                </c:pt>
                <c:pt idx="15">
                  <c:v>6.4042879231634257E-3</c:v>
                </c:pt>
                <c:pt idx="16">
                  <c:v>2.9329510029230225E-2</c:v>
                </c:pt>
                <c:pt idx="17">
                  <c:v>7.9094554731553805E-3</c:v>
                </c:pt>
                <c:pt idx="18">
                  <c:v>5.4112685893711432E-2</c:v>
                </c:pt>
                <c:pt idx="19">
                  <c:v>1.4990208816687008E-2</c:v>
                </c:pt>
                <c:pt idx="20">
                  <c:v>1.4676892918209046E-2</c:v>
                </c:pt>
                <c:pt idx="21">
                  <c:v>4.5223196073825907E-3</c:v>
                </c:pt>
                <c:pt idx="22">
                  <c:v>5.5859968155964106E-2</c:v>
                </c:pt>
                <c:pt idx="23">
                  <c:v>3.5141029743546451E-2</c:v>
                </c:pt>
                <c:pt idx="24">
                  <c:v>3.3109262627651771E-2</c:v>
                </c:pt>
                <c:pt idx="25">
                  <c:v>2.518214999457892E-2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43FF-9FFC-2F3C58B24F2D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'AVS Pyrite'!$BE$10:$BE$11</c:f>
              <c:numCache>
                <c:formatCode>General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'AVS Pyrite'!$AD$10:$AD$11</c:f>
              <c:numCache>
                <c:formatCode>0.000</c:formatCode>
                <c:ptCount val="2"/>
                <c:pt idx="0">
                  <c:v>1.9425885822236546E-3</c:v>
                </c:pt>
                <c:pt idx="1">
                  <c:v>1.3960908157563E-3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2-43FF-9FFC-2F3C58B2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AVS, wet</a:t>
                </a:r>
                <a:r>
                  <a:rPr lang="en-AU" baseline="0"/>
                  <a:t> weight basis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2.3238925199709513E-2"/>
              <c:y val="0.2896080146393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Total Organic Carbon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6950670492157802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metals'!$C$19:$AB$19</c:f>
              <c:numCache>
                <c:formatCode>0.00</c:formatCode>
                <c:ptCount val="26"/>
                <c:pt idx="0">
                  <c:v>0.25985260248733305</c:v>
                </c:pt>
                <c:pt idx="1">
                  <c:v>0.29658179338561202</c:v>
                </c:pt>
                <c:pt idx="2">
                  <c:v>6.3559958898923803</c:v>
                </c:pt>
                <c:pt idx="3">
                  <c:v>6.314675085503815</c:v>
                </c:pt>
                <c:pt idx="4">
                  <c:v>6.6444064955474067</c:v>
                </c:pt>
                <c:pt idx="5">
                  <c:v>0.81661789883268499</c:v>
                </c:pt>
                <c:pt idx="6">
                  <c:v>5.5456662692546139</c:v>
                </c:pt>
                <c:pt idx="7">
                  <c:v>2.9666214394926103</c:v>
                </c:pt>
                <c:pt idx="8">
                  <c:v>3.9030949656750571</c:v>
                </c:pt>
                <c:pt idx="9">
                  <c:v>5.9409500762382574</c:v>
                </c:pt>
                <c:pt idx="10">
                  <c:v>5.158671841789114</c:v>
                </c:pt>
                <c:pt idx="11">
                  <c:v>2.5784724004749484</c:v>
                </c:pt>
                <c:pt idx="12">
                  <c:v>0.30190158461912214</c:v>
                </c:pt>
                <c:pt idx="13">
                  <c:v>0.17576839455475041</c:v>
                </c:pt>
                <c:pt idx="14">
                  <c:v>0.13095660274645363</c:v>
                </c:pt>
                <c:pt idx="15">
                  <c:v>0.38791288194703727</c:v>
                </c:pt>
                <c:pt idx="16">
                  <c:v>0.8219805236165818</c:v>
                </c:pt>
                <c:pt idx="17">
                  <c:v>0.96149809511377649</c:v>
                </c:pt>
                <c:pt idx="18">
                  <c:v>2.6331574894776097</c:v>
                </c:pt>
                <c:pt idx="19">
                  <c:v>0.71423101350963103</c:v>
                </c:pt>
                <c:pt idx="20">
                  <c:v>0.75308497988043088</c:v>
                </c:pt>
                <c:pt idx="21">
                  <c:v>0.34945188231593599</c:v>
                </c:pt>
                <c:pt idx="22">
                  <c:v>5.5526677538820817</c:v>
                </c:pt>
                <c:pt idx="23">
                  <c:v>1.2630267598268548</c:v>
                </c:pt>
                <c:pt idx="24">
                  <c:v>1.6735277760373899</c:v>
                </c:pt>
                <c:pt idx="25">
                  <c:v>1.0884882362166541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2-40F4-9869-FEAE97D85A3C}"/>
            </c:ext>
          </c:extLst>
        </c:ser>
        <c:ser>
          <c:idx val="1"/>
          <c:order val="1"/>
          <c:tx>
            <c:v>Vicinity of Salt Creek outflow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EC C N P metals'!$C$11:$D$11</c:f>
              <c:numCache>
                <c:formatCode>0.00</c:formatCode>
                <c:ptCount val="2"/>
                <c:pt idx="0">
                  <c:v>12.391299999999999</c:v>
                </c:pt>
                <c:pt idx="1">
                  <c:v>9.3519100000000002</c:v>
                </c:pt>
              </c:numCache>
            </c:numRef>
          </c:xVal>
          <c:yVal>
            <c:numRef>
              <c:f>'pH EC C N P metals'!$C$19:$D$19</c:f>
              <c:numCache>
                <c:formatCode>0.00</c:formatCode>
                <c:ptCount val="2"/>
                <c:pt idx="0">
                  <c:v>0.25985260248733305</c:v>
                </c:pt>
                <c:pt idx="1">
                  <c:v>0.29658179338561202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2-40F4-9869-FEAE97D8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 val="autoZero"/>
        <c:crossBetween val="midCat"/>
      </c:valAx>
      <c:valAx>
        <c:axId val="44057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Sediment TC, %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8009961651047223"/>
          <c:y val="0.65404999637155725"/>
          <c:w val="0.38775874197281535"/>
          <c:h val="0.12628716993206396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d13C organic vs Salinity</a:t>
            </a:r>
          </a:p>
        </c:rich>
      </c:tx>
      <c:layout>
        <c:manualLayout>
          <c:xMode val="edge"/>
          <c:yMode val="edge"/>
          <c:x val="0.2414968814968815"/>
          <c:y val="2.6192711178365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8970921254387"/>
          <c:y val="0.13878395108651137"/>
          <c:w val="0.7860546433774781"/>
          <c:h val="0.73213831183388289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EC C N P metals'!$C$11:$AB$11</c:f>
              <c:numCache>
                <c:formatCode>0.00</c:formatCode>
                <c:ptCount val="26"/>
                <c:pt idx="0">
                  <c:v>12.391299999999999</c:v>
                </c:pt>
                <c:pt idx="1">
                  <c:v>9.3519100000000002</c:v>
                </c:pt>
                <c:pt idx="2">
                  <c:v>96.043449999999993</c:v>
                </c:pt>
                <c:pt idx="3">
                  <c:v>95.155320000000003</c:v>
                </c:pt>
                <c:pt idx="4">
                  <c:v>108.8</c:v>
                </c:pt>
                <c:pt idx="5">
                  <c:v>20.848290000000002</c:v>
                </c:pt>
                <c:pt idx="6">
                  <c:v>100.3</c:v>
                </c:pt>
                <c:pt idx="7">
                  <c:v>58.445869999999999</c:v>
                </c:pt>
                <c:pt idx="8">
                  <c:v>65.452240000000003</c:v>
                </c:pt>
                <c:pt idx="9">
                  <c:v>97.55</c:v>
                </c:pt>
                <c:pt idx="10">
                  <c:v>100.87884</c:v>
                </c:pt>
                <c:pt idx="11">
                  <c:v>74.530919999999995</c:v>
                </c:pt>
                <c:pt idx="12">
                  <c:v>7.5263100000000005</c:v>
                </c:pt>
                <c:pt idx="13">
                  <c:v>6.39147</c:v>
                </c:pt>
                <c:pt idx="14">
                  <c:v>4.7928300000000004</c:v>
                </c:pt>
                <c:pt idx="15">
                  <c:v>5.3750600000000004</c:v>
                </c:pt>
                <c:pt idx="16">
                  <c:v>16.032640000000001</c:v>
                </c:pt>
                <c:pt idx="17">
                  <c:v>19.48648</c:v>
                </c:pt>
                <c:pt idx="18">
                  <c:v>40.781910000000003</c:v>
                </c:pt>
                <c:pt idx="19">
                  <c:v>14.29585</c:v>
                </c:pt>
                <c:pt idx="20">
                  <c:v>14.06888</c:v>
                </c:pt>
                <c:pt idx="21">
                  <c:v>10.930809999999999</c:v>
                </c:pt>
                <c:pt idx="22">
                  <c:v>72.65598</c:v>
                </c:pt>
                <c:pt idx="23">
                  <c:v>17.049049999999998</c:v>
                </c:pt>
                <c:pt idx="24">
                  <c:v>20.848290000000002</c:v>
                </c:pt>
                <c:pt idx="25">
                  <c:v>7.9506399999999999</c:v>
                </c:pt>
              </c:numCache>
            </c:numRef>
          </c:xVal>
          <c:yVal>
            <c:numRef>
              <c:f>'pH EC C N P metals'!$C$23:$AB$23</c:f>
              <c:numCache>
                <c:formatCode>0.0</c:formatCode>
                <c:ptCount val="26"/>
                <c:pt idx="0">
                  <c:v>-19.917209599999996</c:v>
                </c:pt>
                <c:pt idx="1">
                  <c:v>-19.476223999999998</c:v>
                </c:pt>
                <c:pt idx="2">
                  <c:v>-21.677068799999997</c:v>
                </c:pt>
                <c:pt idx="3">
                  <c:v>-22.293631999999995</c:v>
                </c:pt>
                <c:pt idx="4">
                  <c:v>-22.948985599999997</c:v>
                </c:pt>
                <c:pt idx="5">
                  <c:v>-20.669539199999999</c:v>
                </c:pt>
                <c:pt idx="6">
                  <c:v>-21.199334399999998</c:v>
                </c:pt>
                <c:pt idx="7">
                  <c:v>-20.709350399999998</c:v>
                </c:pt>
                <c:pt idx="8">
                  <c:v>-20.996195199999995</c:v>
                </c:pt>
                <c:pt idx="9">
                  <c:v>-20.971695999999998</c:v>
                </c:pt>
                <c:pt idx="10">
                  <c:v>-19.761027199999997</c:v>
                </c:pt>
                <c:pt idx="11">
                  <c:v>-20.623236100000003</c:v>
                </c:pt>
                <c:pt idx="12">
                  <c:v>-16.639835599999998</c:v>
                </c:pt>
                <c:pt idx="13">
                  <c:v>-20.970455000000001</c:v>
                </c:pt>
                <c:pt idx="14">
                  <c:v>-20.647531300000001</c:v>
                </c:pt>
                <c:pt idx="15">
                  <c:v>-21.959472100000003</c:v>
                </c:pt>
                <c:pt idx="16">
                  <c:v>-20.981590300000001</c:v>
                </c:pt>
                <c:pt idx="17">
                  <c:v>-20.9360368</c:v>
                </c:pt>
                <c:pt idx="18">
                  <c:v>-21.3520921</c:v>
                </c:pt>
                <c:pt idx="19">
                  <c:v>-21.9837673</c:v>
                </c:pt>
                <c:pt idx="20">
                  <c:v>-22.8219517</c:v>
                </c:pt>
                <c:pt idx="21">
                  <c:v>-20.4835387</c:v>
                </c:pt>
                <c:pt idx="22">
                  <c:v>-20.241599000000001</c:v>
                </c:pt>
                <c:pt idx="23">
                  <c:v>-21.8349592</c:v>
                </c:pt>
                <c:pt idx="24">
                  <c:v>-21.974656599999999</c:v>
                </c:pt>
                <c:pt idx="25">
                  <c:v>-23.329114000000001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1-4A28-8F81-2347D20A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50728"/>
        <c:axId val="440575240"/>
      </c:scatterChart>
      <c:valAx>
        <c:axId val="4443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Sediment Salinity, dS/m (1:5 extract)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75240"/>
        <c:crossesAt val="-25"/>
        <c:crossBetween val="midCat"/>
      </c:valAx>
      <c:valAx>
        <c:axId val="440575240"/>
        <c:scaling>
          <c:orientation val="minMax"/>
          <c:max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d13C (organic)</a:t>
                </a:r>
              </a:p>
            </c:rich>
          </c:tx>
          <c:layout>
            <c:manualLayout>
              <c:xMode val="edge"/>
              <c:yMode val="edge"/>
              <c:x val="1.386001386001386E-2"/>
              <c:y val="0.34456820917870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507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43</xdr:row>
      <xdr:rowOff>142875</xdr:rowOff>
    </xdr:from>
    <xdr:to>
      <xdr:col>7</xdr:col>
      <xdr:colOff>120650</xdr:colOff>
      <xdr:row>64</xdr:row>
      <xdr:rowOff>117474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</xdr:row>
      <xdr:rowOff>47625</xdr:rowOff>
    </xdr:from>
    <xdr:to>
      <xdr:col>7</xdr:col>
      <xdr:colOff>606425</xdr:colOff>
      <xdr:row>22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1</xdr:row>
      <xdr:rowOff>50800</xdr:rowOff>
    </xdr:from>
    <xdr:to>
      <xdr:col>15</xdr:col>
      <xdr:colOff>136525</xdr:colOff>
      <xdr:row>22</xdr:row>
      <xdr:rowOff>12699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466725</xdr:colOff>
      <xdr:row>22</xdr:row>
      <xdr:rowOff>41275</xdr:rowOff>
    </xdr:from>
    <xdr:to>
      <xdr:col>7</xdr:col>
      <xdr:colOff>606425</xdr:colOff>
      <xdr:row>43</xdr:row>
      <xdr:rowOff>3174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</xdr:row>
      <xdr:rowOff>0</xdr:rowOff>
    </xdr:from>
    <xdr:to>
      <xdr:col>23</xdr:col>
      <xdr:colOff>114300</xdr:colOff>
      <xdr:row>21</xdr:row>
      <xdr:rowOff>136524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133350</xdr:colOff>
      <xdr:row>1</xdr:row>
      <xdr:rowOff>19050</xdr:rowOff>
    </xdr:from>
    <xdr:to>
      <xdr:col>30</xdr:col>
      <xdr:colOff>238125</xdr:colOff>
      <xdr:row>21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114300</xdr:colOff>
      <xdr:row>22</xdr:row>
      <xdr:rowOff>28575</xdr:rowOff>
    </xdr:from>
    <xdr:to>
      <xdr:col>30</xdr:col>
      <xdr:colOff>219075</xdr:colOff>
      <xdr:row>43</xdr:row>
      <xdr:rowOff>3174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139700</xdr:colOff>
      <xdr:row>42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98425</xdr:colOff>
      <xdr:row>60</xdr:row>
      <xdr:rowOff>92075</xdr:rowOff>
    </xdr:from>
    <xdr:to>
      <xdr:col>14</xdr:col>
      <xdr:colOff>238125</xdr:colOff>
      <xdr:row>81</xdr:row>
      <xdr:rowOff>50799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123825</xdr:colOff>
      <xdr:row>43</xdr:row>
      <xdr:rowOff>149225</xdr:rowOff>
    </xdr:from>
    <xdr:to>
      <xdr:col>22</xdr:col>
      <xdr:colOff>263525</xdr:colOff>
      <xdr:row>64</xdr:row>
      <xdr:rowOff>107949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520700</xdr:colOff>
      <xdr:row>64</xdr:row>
      <xdr:rowOff>149225</xdr:rowOff>
    </xdr:from>
    <xdr:to>
      <xdr:col>15</xdr:col>
      <xdr:colOff>50800</xdr:colOff>
      <xdr:row>85</xdr:row>
      <xdr:rowOff>107949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596900</xdr:colOff>
      <xdr:row>44</xdr:row>
      <xdr:rowOff>31750</xdr:rowOff>
    </xdr:from>
    <xdr:to>
      <xdr:col>15</xdr:col>
      <xdr:colOff>127000</xdr:colOff>
      <xdr:row>64</xdr:row>
      <xdr:rowOff>155574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64</xdr:row>
      <xdr:rowOff>120650</xdr:rowOff>
    </xdr:from>
    <xdr:to>
      <xdr:col>22</xdr:col>
      <xdr:colOff>158750</xdr:colOff>
      <xdr:row>85</xdr:row>
      <xdr:rowOff>79374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3213100</xdr:colOff>
      <xdr:row>57</xdr:row>
      <xdr:rowOff>50800</xdr:rowOff>
    </xdr:from>
    <xdr:to>
      <xdr:col>3</xdr:col>
      <xdr:colOff>12700</xdr:colOff>
      <xdr:row>63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F13A95-15FB-5143-86B3-C7D4A082D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900" y="12712700"/>
          <a:ext cx="1143000" cy="135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152400</xdr:colOff>
      <xdr:row>56</xdr:row>
      <xdr:rowOff>69850</xdr:rowOff>
    </xdr:from>
    <xdr:to>
      <xdr:col>62</xdr:col>
      <xdr:colOff>87630</xdr:colOff>
      <xdr:row>61</xdr:row>
      <xdr:rowOff>137910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9475" y="12728575"/>
          <a:ext cx="1154430" cy="1296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ny\Documents\aEAL_lab\SoilTextureTriangle\TextureTriangleGraphic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ISSS TextureCalcs"/>
      <sheetName val="TextureTriangleGraphic17"/>
    </sheetNames>
    <sheetDataSet>
      <sheetData sheetId="0">
        <row r="6">
          <cell r="G6">
            <v>14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4" workbookViewId="0">
      <selection activeCell="K27" sqref="K27"/>
    </sheetView>
  </sheetViews>
  <sheetFormatPr defaultRowHeight="12.75"/>
  <cols>
    <col min="1" max="1" width="25.42578125" customWidth="1"/>
  </cols>
  <sheetData>
    <row r="1" spans="1:2">
      <c r="A1" s="228" t="s">
        <v>419</v>
      </c>
    </row>
    <row r="2" spans="1:2" s="172" customFormat="1">
      <c r="A2" s="228"/>
    </row>
    <row r="3" spans="1:2" s="172" customFormat="1">
      <c r="A3" s="172" t="s">
        <v>420</v>
      </c>
    </row>
    <row r="4" spans="1:2" s="172" customFormat="1"/>
    <row r="5" spans="1:2" s="172" customFormat="1">
      <c r="A5" s="228" t="s">
        <v>406</v>
      </c>
    </row>
    <row r="6" spans="1:2" s="172" customFormat="1">
      <c r="A6" s="172" t="s">
        <v>407</v>
      </c>
      <c r="B6" s="172" t="s">
        <v>408</v>
      </c>
    </row>
    <row r="7" spans="1:2" s="172" customFormat="1">
      <c r="A7" s="172" t="s">
        <v>409</v>
      </c>
      <c r="B7" s="172" t="s">
        <v>410</v>
      </c>
    </row>
    <row r="8" spans="1:2" s="172" customFormat="1">
      <c r="A8" s="172" t="s">
        <v>411</v>
      </c>
      <c r="B8" s="172" t="s">
        <v>412</v>
      </c>
    </row>
    <row r="9" spans="1:2" s="172" customFormat="1">
      <c r="A9" s="172" t="s">
        <v>415</v>
      </c>
      <c r="B9" s="172" t="s">
        <v>416</v>
      </c>
    </row>
    <row r="10" spans="1:2" s="172" customFormat="1">
      <c r="A10" s="172" t="s">
        <v>413</v>
      </c>
      <c r="B10" s="172" t="s">
        <v>414</v>
      </c>
    </row>
    <row r="11" spans="1:2" s="172" customFormat="1"/>
    <row r="12" spans="1:2" s="172" customFormat="1"/>
    <row r="13" spans="1:2">
      <c r="A13" s="228" t="s">
        <v>377</v>
      </c>
    </row>
    <row r="14" spans="1:2">
      <c r="A14" t="s">
        <v>375</v>
      </c>
    </row>
    <row r="15" spans="1:2">
      <c r="A15" t="s">
        <v>405</v>
      </c>
    </row>
    <row r="16" spans="1:2" s="172" customFormat="1">
      <c r="A16" s="172" t="s">
        <v>379</v>
      </c>
    </row>
    <row r="17" spans="1:4" s="172" customFormat="1"/>
    <row r="18" spans="1:4">
      <c r="A18" s="228" t="s">
        <v>376</v>
      </c>
    </row>
    <row r="19" spans="1:4" s="172" customFormat="1">
      <c r="A19" t="s">
        <v>404</v>
      </c>
    </row>
    <row r="20" spans="1:4" s="172" customFormat="1">
      <c r="A20" s="229" t="s">
        <v>403</v>
      </c>
    </row>
    <row r="21" spans="1:4" s="172" customFormat="1">
      <c r="A21" s="229"/>
    </row>
    <row r="22" spans="1:4">
      <c r="A22" s="228" t="s">
        <v>166</v>
      </c>
    </row>
    <row r="23" spans="1:4">
      <c r="A23" t="s">
        <v>370</v>
      </c>
    </row>
    <row r="24" spans="1:4">
      <c r="A24" t="s">
        <v>155</v>
      </c>
    </row>
    <row r="25" spans="1:4">
      <c r="A25" t="s">
        <v>371</v>
      </c>
    </row>
    <row r="27" spans="1:4">
      <c r="A27" s="228" t="s">
        <v>374</v>
      </c>
    </row>
    <row r="28" spans="1:4">
      <c r="A28" t="s">
        <v>372</v>
      </c>
    </row>
    <row r="29" spans="1:4">
      <c r="A29" t="s">
        <v>378</v>
      </c>
    </row>
    <row r="30" spans="1:4">
      <c r="A30" t="s">
        <v>373</v>
      </c>
    </row>
    <row r="32" spans="1:4">
      <c r="A32" s="228" t="s">
        <v>380</v>
      </c>
      <c r="B32" s="228"/>
      <c r="C32" s="228"/>
      <c r="D32" s="228"/>
    </row>
    <row r="33" spans="1:5" s="172" customFormat="1">
      <c r="A33" s="229" t="s">
        <v>381</v>
      </c>
      <c r="B33" s="229"/>
      <c r="C33" s="229"/>
      <c r="D33" s="229"/>
      <c r="E33" s="229"/>
    </row>
    <row r="34" spans="1:5" s="172" customFormat="1">
      <c r="A34" t="s">
        <v>382</v>
      </c>
      <c r="B34" s="229"/>
      <c r="C34" s="229"/>
      <c r="D34" s="229"/>
      <c r="E34" s="229"/>
    </row>
    <row r="35" spans="1:5">
      <c r="A35" t="s">
        <v>392</v>
      </c>
    </row>
    <row r="36" spans="1:5" s="172" customFormat="1">
      <c r="A36" s="172" t="s">
        <v>393</v>
      </c>
    </row>
    <row r="37" spans="1:5">
      <c r="A37" t="s">
        <v>383</v>
      </c>
    </row>
    <row r="38" spans="1:5">
      <c r="B38" t="s">
        <v>385</v>
      </c>
    </row>
    <row r="39" spans="1:5">
      <c r="A39" s="228" t="s">
        <v>62</v>
      </c>
    </row>
    <row r="40" spans="1:5" s="172" customFormat="1">
      <c r="A40" s="229" t="s">
        <v>394</v>
      </c>
    </row>
    <row r="41" spans="1:5" s="172" customFormat="1">
      <c r="A41" s="229"/>
    </row>
    <row r="42" spans="1:5">
      <c r="A42" s="228" t="s">
        <v>396</v>
      </c>
    </row>
    <row r="43" spans="1:5">
      <c r="A43" t="s">
        <v>395</v>
      </c>
      <c r="B43" t="s">
        <v>386</v>
      </c>
    </row>
    <row r="44" spans="1:5" s="172" customFormat="1"/>
    <row r="45" spans="1:5">
      <c r="A45" s="228" t="s">
        <v>400</v>
      </c>
    </row>
    <row r="46" spans="1:5">
      <c r="A46" t="s">
        <v>65</v>
      </c>
      <c r="B46" t="s">
        <v>66</v>
      </c>
    </row>
    <row r="47" spans="1:5">
      <c r="A47" t="s">
        <v>67</v>
      </c>
      <c r="B47" t="s">
        <v>66</v>
      </c>
    </row>
    <row r="48" spans="1:5">
      <c r="A48" t="s">
        <v>302</v>
      </c>
      <c r="B48" t="s">
        <v>303</v>
      </c>
    </row>
    <row r="49" spans="1:2">
      <c r="A49" t="s">
        <v>387</v>
      </c>
      <c r="B49" t="s">
        <v>295</v>
      </c>
    </row>
    <row r="50" spans="1:2">
      <c r="A50" t="s">
        <v>388</v>
      </c>
      <c r="B50" t="s">
        <v>397</v>
      </c>
    </row>
    <row r="51" spans="1:2">
      <c r="A51" t="s">
        <v>389</v>
      </c>
      <c r="B51" t="s">
        <v>398</v>
      </c>
    </row>
    <row r="52" spans="1:2">
      <c r="A52" t="s">
        <v>390</v>
      </c>
      <c r="B52" t="s">
        <v>399</v>
      </c>
    </row>
    <row r="53" spans="1:2">
      <c r="A53" t="s">
        <v>391</v>
      </c>
      <c r="B53" t="s">
        <v>398</v>
      </c>
    </row>
    <row r="55" spans="1:2">
      <c r="A55" s="228" t="s">
        <v>384</v>
      </c>
    </row>
    <row r="56" spans="1:2">
      <c r="A56" t="s">
        <v>401</v>
      </c>
      <c r="B56" s="230" t="s">
        <v>59</v>
      </c>
    </row>
    <row r="57" spans="1:2">
      <c r="A57" t="s">
        <v>402</v>
      </c>
      <c r="B57" s="204" t="s">
        <v>109</v>
      </c>
    </row>
    <row r="60" spans="1:2" ht="15">
      <c r="A60" s="258" t="s">
        <v>417</v>
      </c>
      <c r="B60" s="172"/>
    </row>
    <row r="61" spans="1:2" ht="15">
      <c r="A61" s="259" t="s">
        <v>418</v>
      </c>
      <c r="B61" s="1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workbookViewId="0">
      <selection activeCell="H33" sqref="H33"/>
    </sheetView>
  </sheetViews>
  <sheetFormatPr defaultRowHeight="12.75"/>
  <cols>
    <col min="1" max="1" width="19.7109375" customWidth="1"/>
    <col min="2" max="2" width="11.140625" style="172" customWidth="1"/>
    <col min="3" max="3" width="12.7109375" style="172" customWidth="1"/>
    <col min="6" max="6" width="11.42578125" customWidth="1"/>
    <col min="7" max="7" width="10.7109375" style="225" customWidth="1"/>
    <col min="9" max="9" width="14.28515625" customWidth="1"/>
    <col min="10" max="10" width="13" customWidth="1"/>
    <col min="12" max="12" width="10.5703125" customWidth="1"/>
    <col min="13" max="13" width="10.85546875" customWidth="1"/>
    <col min="15" max="15" width="13.42578125" style="224" customWidth="1"/>
    <col min="19" max="19" width="11.42578125" style="224" customWidth="1"/>
    <col min="20" max="20" width="14.5703125" style="224" customWidth="1"/>
    <col min="21" max="24" width="8.7109375" style="224"/>
    <col min="25" max="25" width="11.140625" customWidth="1"/>
    <col min="26" max="50" width="8.7109375" style="224"/>
    <col min="51" max="51" width="9.140625" style="226"/>
    <col min="52" max="52" width="11.7109375" style="226" customWidth="1"/>
    <col min="53" max="53" width="9.140625" style="226"/>
    <col min="54" max="54" width="12.5703125" style="226" customWidth="1"/>
  </cols>
  <sheetData>
    <row r="1" spans="1:54">
      <c r="A1" t="s">
        <v>119</v>
      </c>
      <c r="B1" s="226" t="s">
        <v>304</v>
      </c>
      <c r="C1" s="226" t="s">
        <v>305</v>
      </c>
      <c r="D1" t="s">
        <v>120</v>
      </c>
      <c r="E1" t="s">
        <v>300</v>
      </c>
      <c r="F1" t="s">
        <v>300</v>
      </c>
      <c r="G1" s="225" t="s">
        <v>122</v>
      </c>
      <c r="H1" t="s">
        <v>301</v>
      </c>
      <c r="I1" t="s">
        <v>314</v>
      </c>
      <c r="J1" s="172" t="s">
        <v>317</v>
      </c>
      <c r="K1" t="s">
        <v>319</v>
      </c>
      <c r="L1" t="s">
        <v>320</v>
      </c>
      <c r="M1" t="s">
        <v>127</v>
      </c>
      <c r="N1" t="s">
        <v>310</v>
      </c>
      <c r="O1" s="224" t="s">
        <v>312</v>
      </c>
      <c r="P1" t="s">
        <v>327</v>
      </c>
      <c r="Q1" t="s">
        <v>177</v>
      </c>
      <c r="R1" t="s">
        <v>329</v>
      </c>
      <c r="S1" s="224" t="s">
        <v>302</v>
      </c>
      <c r="T1" s="224" t="s">
        <v>178</v>
      </c>
      <c r="U1" s="224" t="s">
        <v>332</v>
      </c>
      <c r="V1" s="224" t="s">
        <v>335</v>
      </c>
      <c r="W1" s="224" t="s">
        <v>337</v>
      </c>
      <c r="X1" s="224" t="s">
        <v>324</v>
      </c>
      <c r="Y1" t="s">
        <v>338</v>
      </c>
      <c r="Z1" s="224" t="s">
        <v>339</v>
      </c>
      <c r="AA1" s="224" t="s">
        <v>340</v>
      </c>
      <c r="AB1" s="224" t="s">
        <v>341</v>
      </c>
      <c r="AC1" s="224" t="s">
        <v>342</v>
      </c>
      <c r="AD1" s="224" t="s">
        <v>343</v>
      </c>
      <c r="AE1" s="224" t="s">
        <v>344</v>
      </c>
      <c r="AF1" s="224" t="s">
        <v>345</v>
      </c>
      <c r="AG1" s="224" t="s">
        <v>346</v>
      </c>
      <c r="AH1" s="224" t="s">
        <v>347</v>
      </c>
      <c r="AI1" s="224" t="s">
        <v>348</v>
      </c>
      <c r="AJ1" s="224" t="s">
        <v>349</v>
      </c>
      <c r="AK1" s="224" t="s">
        <v>350</v>
      </c>
      <c r="AL1" s="172" t="s">
        <v>351</v>
      </c>
      <c r="AM1" s="224" t="s">
        <v>352</v>
      </c>
      <c r="AN1" s="224" t="s">
        <v>353</v>
      </c>
      <c r="AO1" s="224" t="s">
        <v>354</v>
      </c>
      <c r="AP1" s="224" t="s">
        <v>355</v>
      </c>
      <c r="AQ1" s="224" t="s">
        <v>356</v>
      </c>
      <c r="AR1" s="224" t="s">
        <v>357</v>
      </c>
      <c r="AS1" s="224" t="s">
        <v>358</v>
      </c>
      <c r="AT1" s="224" t="s">
        <v>359</v>
      </c>
      <c r="AU1" s="224" t="s">
        <v>360</v>
      </c>
      <c r="AV1" s="224" t="s">
        <v>361</v>
      </c>
      <c r="AW1" s="224" t="s">
        <v>362</v>
      </c>
      <c r="AX1" s="224" t="s">
        <v>363</v>
      </c>
      <c r="AY1" s="226" t="s">
        <v>369</v>
      </c>
      <c r="AZ1" s="226" t="s">
        <v>369</v>
      </c>
      <c r="BA1" s="226" t="s">
        <v>368</v>
      </c>
    </row>
    <row r="2" spans="1:54">
      <c r="B2" s="226" t="s">
        <v>306</v>
      </c>
      <c r="C2" s="226" t="s">
        <v>306</v>
      </c>
      <c r="E2" t="s">
        <v>307</v>
      </c>
      <c r="F2" t="s">
        <v>308</v>
      </c>
      <c r="G2" s="225" t="s">
        <v>144</v>
      </c>
      <c r="H2" t="s">
        <v>309</v>
      </c>
      <c r="I2" t="s">
        <v>315</v>
      </c>
      <c r="J2" s="172" t="s">
        <v>316</v>
      </c>
      <c r="K2" t="s">
        <v>318</v>
      </c>
      <c r="L2" s="172" t="s">
        <v>321</v>
      </c>
      <c r="M2" t="s">
        <v>322</v>
      </c>
      <c r="N2" t="s">
        <v>311</v>
      </c>
      <c r="O2" s="224" t="s">
        <v>313</v>
      </c>
      <c r="P2" t="s">
        <v>326</v>
      </c>
      <c r="Q2" t="s">
        <v>328</v>
      </c>
      <c r="R2" s="172" t="s">
        <v>330</v>
      </c>
      <c r="S2" s="224" t="s">
        <v>303</v>
      </c>
      <c r="T2" s="224" t="s">
        <v>331</v>
      </c>
      <c r="U2" s="224" t="s">
        <v>333</v>
      </c>
      <c r="V2" s="224" t="s">
        <v>336</v>
      </c>
      <c r="W2" s="224" t="s">
        <v>334</v>
      </c>
      <c r="X2" s="224" t="s">
        <v>325</v>
      </c>
      <c r="Y2" t="s">
        <v>323</v>
      </c>
      <c r="Z2" s="172" t="s">
        <v>323</v>
      </c>
      <c r="AA2" s="172" t="s">
        <v>323</v>
      </c>
      <c r="AB2" s="172" t="s">
        <v>323</v>
      </c>
      <c r="AC2" s="172" t="s">
        <v>323</v>
      </c>
      <c r="AD2" s="172" t="s">
        <v>323</v>
      </c>
      <c r="AE2" s="172" t="s">
        <v>323</v>
      </c>
      <c r="AF2" s="172" t="s">
        <v>323</v>
      </c>
      <c r="AG2" s="172" t="s">
        <v>323</v>
      </c>
      <c r="AH2" s="172" t="s">
        <v>323</v>
      </c>
      <c r="AI2" s="172" t="s">
        <v>323</v>
      </c>
      <c r="AJ2" s="172" t="s">
        <v>323</v>
      </c>
      <c r="AK2" s="172" t="s">
        <v>323</v>
      </c>
      <c r="AL2" s="172" t="s">
        <v>323</v>
      </c>
      <c r="AM2" s="172" t="s">
        <v>323</v>
      </c>
      <c r="AN2" s="172" t="s">
        <v>323</v>
      </c>
      <c r="AO2" s="172" t="s">
        <v>323</v>
      </c>
      <c r="AP2" s="172" t="s">
        <v>323</v>
      </c>
      <c r="AQ2" s="172" t="s">
        <v>323</v>
      </c>
      <c r="AR2" s="172" t="s">
        <v>323</v>
      </c>
      <c r="AS2" s="172" t="s">
        <v>323</v>
      </c>
      <c r="AT2" s="172" t="s">
        <v>323</v>
      </c>
      <c r="AU2" s="172" t="s">
        <v>323</v>
      </c>
      <c r="AV2" s="172" t="s">
        <v>323</v>
      </c>
      <c r="AW2" s="172" t="s">
        <v>323</v>
      </c>
      <c r="AX2" s="172" t="s">
        <v>323</v>
      </c>
      <c r="AY2" s="226" t="s">
        <v>364</v>
      </c>
      <c r="AZ2" s="226" t="s">
        <v>365</v>
      </c>
      <c r="BA2" s="226" t="s">
        <v>366</v>
      </c>
      <c r="BB2" s="226" t="s">
        <v>367</v>
      </c>
    </row>
    <row r="3" spans="1:54">
      <c r="A3" t="s">
        <v>31</v>
      </c>
      <c r="B3" s="172">
        <v>377352</v>
      </c>
      <c r="C3" s="172">
        <v>6000352</v>
      </c>
      <c r="D3" t="s">
        <v>5</v>
      </c>
      <c r="E3" t="s">
        <v>147</v>
      </c>
      <c r="F3" t="s">
        <v>147</v>
      </c>
      <c r="G3" s="225">
        <v>0.28782894736842157</v>
      </c>
      <c r="H3" s="223">
        <v>0.1312961948267318</v>
      </c>
      <c r="I3" s="223">
        <v>0.9151719020773057</v>
      </c>
      <c r="J3" s="223">
        <v>0.91990706969406244</v>
      </c>
      <c r="K3" s="223">
        <v>1.7930518756672457E-2</v>
      </c>
      <c r="L3" s="223">
        <v>1.319535113991563E-2</v>
      </c>
      <c r="M3" s="223">
        <v>6.6897579166021959E-2</v>
      </c>
      <c r="N3">
        <v>9.27</v>
      </c>
      <c r="O3" s="224">
        <v>12.391299999999999</v>
      </c>
      <c r="P3">
        <v>163</v>
      </c>
      <c r="Q3">
        <v>8.6199999999999992</v>
      </c>
      <c r="R3">
        <v>0.05</v>
      </c>
      <c r="S3" s="224">
        <v>172.39999999999998</v>
      </c>
      <c r="T3" s="224">
        <v>0.25985260248733305</v>
      </c>
      <c r="U3" s="224">
        <v>8.3601473975126659</v>
      </c>
      <c r="V3" s="224">
        <v>2.5812390000000001</v>
      </c>
      <c r="W3" s="224">
        <v>-19.917209599999996</v>
      </c>
      <c r="X3" s="224">
        <v>7.1379999999999999</v>
      </c>
      <c r="Y3" t="s">
        <v>79</v>
      </c>
      <c r="Z3" s="224">
        <v>374.56958233255199</v>
      </c>
      <c r="AA3" s="224">
        <v>4.0341338776193298</v>
      </c>
      <c r="AB3" s="224">
        <v>3.4478794669734799E-3</v>
      </c>
      <c r="AC3" s="224">
        <v>1.14791398731386</v>
      </c>
      <c r="AD3" s="224">
        <v>0.28761062761074002</v>
      </c>
      <c r="AE3" s="224">
        <v>1312.03190867428</v>
      </c>
      <c r="AF3" s="224">
        <v>70.302779053357895</v>
      </c>
      <c r="AG3" s="224">
        <v>0.62187708703525502</v>
      </c>
      <c r="AH3" s="224">
        <v>1.1188369279659001</v>
      </c>
      <c r="AI3" s="224">
        <v>0.65810369137566205</v>
      </c>
      <c r="AJ3" s="224">
        <v>1.7402022511859601</v>
      </c>
      <c r="AK3" s="224" t="s">
        <v>110</v>
      </c>
      <c r="AL3" s="224">
        <v>-3.07692274643067E-3</v>
      </c>
      <c r="AM3" s="224">
        <v>15.990570705226901</v>
      </c>
      <c r="AN3" s="224">
        <v>1.0348747925782</v>
      </c>
      <c r="AO3" s="224">
        <v>3.4975777403278199E-3</v>
      </c>
      <c r="AP3" s="224">
        <v>0.111638902855237</v>
      </c>
      <c r="AQ3" s="224">
        <v>6.2260322362905499E-3</v>
      </c>
      <c r="AR3" s="224">
        <v>114.547388725186</v>
      </c>
      <c r="AS3" s="224">
        <v>44.906103030822401</v>
      </c>
      <c r="AT3" s="224">
        <v>6.2672816512750307E-2</v>
      </c>
      <c r="AU3" s="224">
        <v>0.142837801217922</v>
      </c>
      <c r="AV3" s="224">
        <v>0.2802836372190306</v>
      </c>
      <c r="AW3" s="224">
        <v>0.56027415700756</v>
      </c>
      <c r="AX3" s="224">
        <v>-9.9255580619143894E-5</v>
      </c>
      <c r="AY3" s="227">
        <v>1.9425885822236546E-3</v>
      </c>
      <c r="AZ3" s="227">
        <v>2.8817513458294836E-3</v>
      </c>
      <c r="BA3" s="227">
        <v>5.5642626701242162E-2</v>
      </c>
      <c r="BB3" s="227">
        <v>34.70430627356474</v>
      </c>
    </row>
    <row r="4" spans="1:54">
      <c r="A4" t="s">
        <v>32</v>
      </c>
      <c r="B4" s="172">
        <v>376503</v>
      </c>
      <c r="C4" s="172">
        <v>5999578</v>
      </c>
      <c r="D4" t="s">
        <v>6</v>
      </c>
      <c r="E4" t="s">
        <v>147</v>
      </c>
      <c r="F4" t="s">
        <v>147</v>
      </c>
      <c r="G4" s="225">
        <v>0.19337979094076638</v>
      </c>
      <c r="H4" s="223">
        <v>1.9736606197726603E-2</v>
      </c>
      <c r="I4" s="223">
        <v>0.94838652305540694</v>
      </c>
      <c r="J4" s="223">
        <v>0.9496650432870607</v>
      </c>
      <c r="K4" s="223">
        <v>1.2785202316537437E-3</v>
      </c>
      <c r="L4" s="223">
        <v>0</v>
      </c>
      <c r="M4" s="223">
        <v>5.0334956712939409E-2</v>
      </c>
      <c r="N4">
        <v>9.1999999999999993</v>
      </c>
      <c r="O4" s="224">
        <v>9.3519100000000002</v>
      </c>
      <c r="P4">
        <v>171</v>
      </c>
      <c r="Q4">
        <v>7.4</v>
      </c>
      <c r="R4">
        <v>0.04</v>
      </c>
      <c r="S4" s="224">
        <v>185</v>
      </c>
      <c r="T4" s="224">
        <v>0.29658179338561202</v>
      </c>
      <c r="U4" s="224">
        <v>7.1034182066143883</v>
      </c>
      <c r="V4" s="224">
        <v>3.6098458000000004</v>
      </c>
      <c r="W4" s="224">
        <v>-19.476223999999998</v>
      </c>
      <c r="X4" s="224">
        <v>5.9690000000000003</v>
      </c>
      <c r="Y4" t="s">
        <v>79</v>
      </c>
      <c r="Z4" s="224">
        <v>275.255751473781</v>
      </c>
      <c r="AA4" s="224">
        <v>6.1096355455764</v>
      </c>
      <c r="AB4" s="224">
        <v>3.6771971147293303E-2</v>
      </c>
      <c r="AC4" s="224">
        <v>2.58995406115974</v>
      </c>
      <c r="AD4" s="224">
        <v>0.20345326460087401</v>
      </c>
      <c r="AE4" s="224">
        <v>1131.4256298919099</v>
      </c>
      <c r="AF4" s="224">
        <v>102.182445936674</v>
      </c>
      <c r="AG4" s="224">
        <v>0.87567990927119699</v>
      </c>
      <c r="AH4" s="224">
        <v>0.82950979926409996</v>
      </c>
      <c r="AI4" s="224">
        <v>0.58260320680843403</v>
      </c>
      <c r="AJ4" s="224">
        <v>1.41390959829617</v>
      </c>
      <c r="AK4" s="224" t="s">
        <v>110</v>
      </c>
      <c r="AL4" s="224">
        <v>-3.8829149302653898E-3</v>
      </c>
      <c r="AM4" s="224">
        <v>29.326763377928799</v>
      </c>
      <c r="AN4" s="224">
        <v>1.97956253589387</v>
      </c>
      <c r="AO4" s="224">
        <v>2.3231117041560501E-2</v>
      </c>
      <c r="AP4" s="224">
        <v>0.76036872082137297</v>
      </c>
      <c r="AQ4" s="224">
        <v>3.7109444774132798E-3</v>
      </c>
      <c r="AR4" s="224">
        <v>225.07209267002901</v>
      </c>
      <c r="AS4" s="224">
        <v>76.639089419930997</v>
      </c>
      <c r="AT4" s="224">
        <v>0.10724242383296</v>
      </c>
      <c r="AU4" s="224">
        <v>0.163553086993493</v>
      </c>
      <c r="AV4" s="224">
        <v>0.17743195337225581</v>
      </c>
      <c r="AW4" s="224">
        <v>0.98670619616506805</v>
      </c>
      <c r="AX4" s="224">
        <v>-4.9780965671172102E-4</v>
      </c>
      <c r="AY4" s="227">
        <v>1.3960908157563E-3</v>
      </c>
      <c r="AZ4" s="227">
        <v>1.9312364307045237E-3</v>
      </c>
      <c r="BA4" s="227">
        <v>5.0468245089335555E-2</v>
      </c>
      <c r="BB4" s="227">
        <v>31.477044462218586</v>
      </c>
    </row>
    <row r="5" spans="1:54">
      <c r="A5" t="s">
        <v>33</v>
      </c>
      <c r="B5" s="172">
        <v>375811</v>
      </c>
      <c r="C5" s="172">
        <v>6000267</v>
      </c>
      <c r="D5" t="s">
        <v>7</v>
      </c>
      <c r="E5" t="s">
        <v>148</v>
      </c>
      <c r="F5" t="s">
        <v>148</v>
      </c>
      <c r="G5" s="225">
        <v>0.8034934497816596</v>
      </c>
      <c r="H5" s="223">
        <v>0</v>
      </c>
      <c r="I5" s="223">
        <v>0.18496871221862349</v>
      </c>
      <c r="J5" s="223">
        <v>0.42026373172545384</v>
      </c>
      <c r="K5" s="223">
        <v>0.24384730276988165</v>
      </c>
      <c r="L5" s="223">
        <v>8.5522832630512378E-3</v>
      </c>
      <c r="M5" s="223">
        <v>0.57118398501149492</v>
      </c>
      <c r="N5">
        <v>8.51</v>
      </c>
      <c r="O5" s="224">
        <v>96.043449999999993</v>
      </c>
      <c r="P5">
        <v>547</v>
      </c>
      <c r="Q5">
        <v>10.1</v>
      </c>
      <c r="R5">
        <v>0.78</v>
      </c>
      <c r="S5" s="224">
        <v>12.948717948717947</v>
      </c>
      <c r="T5" s="224">
        <v>6.3559958898923803</v>
      </c>
      <c r="U5" s="224">
        <v>3.7440041101076194</v>
      </c>
      <c r="V5" s="224">
        <v>-14.096141899999999</v>
      </c>
      <c r="W5" s="224">
        <v>-21.677068799999997</v>
      </c>
      <c r="X5" s="224">
        <v>6.093</v>
      </c>
      <c r="Y5" t="s">
        <v>79</v>
      </c>
      <c r="Z5" s="224">
        <v>3891.8654814855099</v>
      </c>
      <c r="AA5" s="224">
        <v>12.7946005942859</v>
      </c>
      <c r="AB5" s="224">
        <v>5.50547092278783E-2</v>
      </c>
      <c r="AC5" s="224">
        <v>6.1903862509883103</v>
      </c>
      <c r="AD5" s="224">
        <v>5.17347996330997</v>
      </c>
      <c r="AE5" s="224">
        <v>5674.4731799117699</v>
      </c>
      <c r="AF5" s="224">
        <v>73.307471429384407</v>
      </c>
      <c r="AG5" s="224">
        <v>6.1575528340582899</v>
      </c>
      <c r="AH5" s="224">
        <v>4.6038354596359499</v>
      </c>
      <c r="AI5" s="224">
        <v>0.96242240719201999</v>
      </c>
      <c r="AJ5" s="224">
        <v>11.057279256240401</v>
      </c>
      <c r="AK5" s="224">
        <v>7.5700216008471998E-3</v>
      </c>
      <c r="AL5" s="224">
        <v>2.17262523031918E-3</v>
      </c>
      <c r="AM5" s="224">
        <v>862.66119290623703</v>
      </c>
      <c r="AN5" s="224">
        <v>8.4717106460383</v>
      </c>
      <c r="AO5" s="224">
        <v>4.7496781624123699E-2</v>
      </c>
      <c r="AP5" s="224">
        <v>1.6182764727777199</v>
      </c>
      <c r="AQ5" s="224">
        <v>3.6435459493672302</v>
      </c>
      <c r="AR5" s="224">
        <v>2380.9813544280701</v>
      </c>
      <c r="AS5" s="224">
        <v>45.4573378701702</v>
      </c>
      <c r="AT5" s="224">
        <v>3.87009424380016</v>
      </c>
      <c r="AU5" s="224">
        <v>2.2019821686785002</v>
      </c>
      <c r="AV5" s="224">
        <v>0</v>
      </c>
      <c r="AW5" s="224">
        <v>6.3831911767856298</v>
      </c>
      <c r="AX5" s="224">
        <v>0</v>
      </c>
      <c r="AY5" s="227">
        <v>1.5656581238017584E-2</v>
      </c>
      <c r="AZ5" s="227">
        <v>2.1180439986495651E-2</v>
      </c>
      <c r="BA5" s="227">
        <v>0.21041005587526276</v>
      </c>
      <c r="BB5" s="227">
        <v>131.23275184940138</v>
      </c>
    </row>
    <row r="6" spans="1:54">
      <c r="A6" t="s">
        <v>34</v>
      </c>
      <c r="B6" s="172">
        <v>374751</v>
      </c>
      <c r="C6" s="172">
        <v>6003071</v>
      </c>
      <c r="D6" t="s">
        <v>8</v>
      </c>
      <c r="E6" t="s">
        <v>148</v>
      </c>
      <c r="F6" t="s">
        <v>148</v>
      </c>
      <c r="G6" s="225">
        <v>0.79285714285714226</v>
      </c>
      <c r="H6" s="223">
        <v>0</v>
      </c>
      <c r="I6" s="223">
        <v>0.2115468164191377</v>
      </c>
      <c r="J6" s="223">
        <v>0.2115468164191377</v>
      </c>
      <c r="K6" s="223">
        <v>8.7654849869524445E-2</v>
      </c>
      <c r="L6" s="223">
        <v>8.7654849869524445E-2</v>
      </c>
      <c r="M6" s="223">
        <v>0.70079833371133793</v>
      </c>
      <c r="N6">
        <v>8.44</v>
      </c>
      <c r="O6" s="224">
        <v>95.155320000000003</v>
      </c>
      <c r="P6">
        <v>504</v>
      </c>
      <c r="Q6">
        <v>9.3420000000000005</v>
      </c>
      <c r="R6">
        <v>0.75</v>
      </c>
      <c r="S6" s="224">
        <v>124.56</v>
      </c>
      <c r="T6" s="224">
        <v>6.314675085503815</v>
      </c>
      <c r="U6" s="224">
        <v>3.0273249144961856</v>
      </c>
      <c r="V6" s="224">
        <v>-15.933683400000001</v>
      </c>
      <c r="W6" s="224">
        <v>-22.293631999999995</v>
      </c>
      <c r="X6" s="224">
        <v>5.5369999999999999</v>
      </c>
      <c r="Y6" t="s">
        <v>79</v>
      </c>
      <c r="Z6" s="224">
        <v>4593.6974491027004</v>
      </c>
      <c r="AA6" s="224">
        <v>22.552526121514099</v>
      </c>
      <c r="AB6" s="224">
        <v>3.2728132490335599E-2</v>
      </c>
      <c r="AC6" s="224">
        <v>7.5159346772976896</v>
      </c>
      <c r="AD6" s="224">
        <v>4.8329794301611404</v>
      </c>
      <c r="AE6" s="224">
        <v>6768.9789703592496</v>
      </c>
      <c r="AF6" s="224">
        <v>67.707151243251204</v>
      </c>
      <c r="AG6" s="224">
        <v>6.7724493718389498</v>
      </c>
      <c r="AH6" s="224">
        <v>4.4859538375416701</v>
      </c>
      <c r="AI6" s="224">
        <v>1.0045467696128529</v>
      </c>
      <c r="AJ6" s="224">
        <v>12.822238417523501</v>
      </c>
      <c r="AK6" s="224">
        <v>8.8526907797865009E-3</v>
      </c>
      <c r="AL6" s="224">
        <v>1.75832780385553E-3</v>
      </c>
      <c r="AM6" s="224">
        <v>926.692285174223</v>
      </c>
      <c r="AN6" s="224">
        <v>14.635324831136799</v>
      </c>
      <c r="AO6" s="224">
        <v>3.4050156794582301E-2</v>
      </c>
      <c r="AP6" s="224">
        <v>2.3196901168959498</v>
      </c>
      <c r="AQ6" s="224">
        <v>3.0792933575934698</v>
      </c>
      <c r="AR6" s="224">
        <v>2778.8757590841401</v>
      </c>
      <c r="AS6" s="224">
        <v>35.5293544003096</v>
      </c>
      <c r="AT6" s="224">
        <v>3.70802478267986</v>
      </c>
      <c r="AU6" s="224">
        <v>2.2996794261594</v>
      </c>
      <c r="AV6" s="224">
        <v>0</v>
      </c>
      <c r="AW6" s="224">
        <v>6.2297829775263596</v>
      </c>
      <c r="AX6" s="224">
        <v>0</v>
      </c>
      <c r="AY6" s="227">
        <v>3.3370921361236525E-2</v>
      </c>
      <c r="AZ6" s="227">
        <v>4.665956566168418E-2</v>
      </c>
      <c r="BA6" s="227">
        <v>0.26276653723449528</v>
      </c>
      <c r="BB6" s="227">
        <v>163.88748927315473</v>
      </c>
    </row>
    <row r="7" spans="1:54">
      <c r="A7" t="s">
        <v>35</v>
      </c>
      <c r="B7" s="172">
        <v>374370</v>
      </c>
      <c r="C7" s="172">
        <v>6002924</v>
      </c>
      <c r="D7" t="s">
        <v>9</v>
      </c>
      <c r="E7" t="s">
        <v>148</v>
      </c>
      <c r="F7" t="s">
        <v>148</v>
      </c>
      <c r="G7" s="225">
        <v>0.80602006688963257</v>
      </c>
      <c r="H7" s="223">
        <v>0</v>
      </c>
      <c r="I7" s="223">
        <v>2.1265634374129407E-2</v>
      </c>
      <c r="J7" s="223">
        <v>0.19074071299303569</v>
      </c>
      <c r="K7" s="223">
        <v>0.19281522457327213</v>
      </c>
      <c r="L7" s="223">
        <v>2.3340145954365853E-2</v>
      </c>
      <c r="M7" s="223">
        <v>0.78591914105259852</v>
      </c>
      <c r="N7">
        <v>8.27</v>
      </c>
      <c r="O7" s="224">
        <v>108.8</v>
      </c>
      <c r="P7">
        <v>688</v>
      </c>
      <c r="Q7">
        <v>9.32</v>
      </c>
      <c r="R7">
        <v>0.78</v>
      </c>
      <c r="S7" s="224">
        <v>11.948717948717949</v>
      </c>
      <c r="T7" s="224">
        <v>6.6444064955474067</v>
      </c>
      <c r="U7" s="224">
        <v>2.6755935044525936</v>
      </c>
      <c r="V7" s="224">
        <v>-16.8602624</v>
      </c>
      <c r="W7" s="224">
        <v>-22.948985599999997</v>
      </c>
      <c r="X7" s="224">
        <v>4.6779999999999999</v>
      </c>
      <c r="Y7" t="s">
        <v>79</v>
      </c>
      <c r="Z7" s="224">
        <v>4962.5617462086302</v>
      </c>
      <c r="AA7" s="224">
        <v>24.0813755063824</v>
      </c>
      <c r="AB7" s="224">
        <v>3.7333150894696701E-2</v>
      </c>
      <c r="AC7" s="224">
        <v>8.0774574376273698</v>
      </c>
      <c r="AD7" s="224">
        <v>5.5787211727637596</v>
      </c>
      <c r="AE7" s="224">
        <v>7115.7730074581996</v>
      </c>
      <c r="AF7" s="224">
        <v>101.09426767504399</v>
      </c>
      <c r="AG7" s="224">
        <v>6.3269436837776301</v>
      </c>
      <c r="AH7" s="224">
        <v>4.6449329770888701</v>
      </c>
      <c r="AI7" s="224">
        <v>1.1923477144046399</v>
      </c>
      <c r="AJ7" s="224">
        <v>12.750189508023601</v>
      </c>
      <c r="AK7" s="224">
        <v>9.47687595228092E-3</v>
      </c>
      <c r="AL7" s="224">
        <v>1.20216386464181E-3</v>
      </c>
      <c r="AM7" s="224">
        <v>985.572584483946</v>
      </c>
      <c r="AN7" s="224">
        <v>17.3597022602934</v>
      </c>
      <c r="AO7" s="224">
        <v>4.7418688444644197E-2</v>
      </c>
      <c r="AP7" s="224">
        <v>2.4218833924824801</v>
      </c>
      <c r="AQ7" s="224">
        <v>4.0598529980717997</v>
      </c>
      <c r="AR7" s="224">
        <v>2933.4058624975301</v>
      </c>
      <c r="AS7" s="224">
        <v>68.344418288218293</v>
      </c>
      <c r="AT7" s="224">
        <v>3.7485570597839901</v>
      </c>
      <c r="AU7" s="224">
        <v>2.19485980795465</v>
      </c>
      <c r="AV7" s="224">
        <v>0</v>
      </c>
      <c r="AW7" s="224">
        <v>6.1434392916310001</v>
      </c>
      <c r="AX7" s="224">
        <v>4.0072128821393502E-4</v>
      </c>
      <c r="AY7" s="227">
        <v>3.077738144191873E-2</v>
      </c>
      <c r="AZ7" s="227">
        <v>4.4411805832494565E-2</v>
      </c>
      <c r="BA7" s="227">
        <v>0.2332057123690518</v>
      </c>
      <c r="BB7" s="227">
        <v>145.45040280457761</v>
      </c>
    </row>
    <row r="8" spans="1:54">
      <c r="A8" t="s">
        <v>36</v>
      </c>
      <c r="B8" s="172">
        <v>372513</v>
      </c>
      <c r="C8" s="172">
        <v>6005638</v>
      </c>
      <c r="D8" t="s">
        <v>10</v>
      </c>
      <c r="E8" t="s">
        <v>149</v>
      </c>
      <c r="F8" t="s">
        <v>150</v>
      </c>
      <c r="G8" s="225">
        <v>0.36752136752136805</v>
      </c>
      <c r="H8" s="223">
        <v>1.182868352223192E-2</v>
      </c>
      <c r="I8" s="223">
        <v>0.87238328367297491</v>
      </c>
      <c r="J8" s="223">
        <v>0.88199409411478302</v>
      </c>
      <c r="K8" s="223">
        <v>1.8435093248456269E-2</v>
      </c>
      <c r="L8" s="223">
        <v>8.8242828066481139E-3</v>
      </c>
      <c r="M8" s="223">
        <v>0.10918162307856896</v>
      </c>
      <c r="N8">
        <v>9.15</v>
      </c>
      <c r="O8" s="224">
        <v>20.848290000000002</v>
      </c>
      <c r="P8">
        <v>130</v>
      </c>
      <c r="Q8">
        <v>6.06</v>
      </c>
      <c r="R8">
        <v>0.14000000000000001</v>
      </c>
      <c r="S8" s="224">
        <v>43.285714285714278</v>
      </c>
      <c r="T8" s="224">
        <v>0.81661789883268499</v>
      </c>
      <c r="U8" s="224">
        <v>5.243382101167315</v>
      </c>
      <c r="V8" s="224">
        <v>-0.28282709999999978</v>
      </c>
      <c r="W8" s="224">
        <v>-20.669539199999999</v>
      </c>
      <c r="X8" s="224">
        <v>3.371</v>
      </c>
      <c r="Y8" t="s">
        <v>79</v>
      </c>
      <c r="Z8" s="224">
        <v>541.82588409927098</v>
      </c>
      <c r="AA8" s="224">
        <v>9.1132101731310602</v>
      </c>
      <c r="AB8" s="224">
        <v>2.3049971757741899E-2</v>
      </c>
      <c r="AC8" s="224">
        <v>1.4027636435636599</v>
      </c>
      <c r="AD8" s="224">
        <v>0.718179546927317</v>
      </c>
      <c r="AE8" s="224">
        <v>1088.8577716587499</v>
      </c>
      <c r="AF8" s="224">
        <v>70.805654842260097</v>
      </c>
      <c r="AG8" s="224">
        <v>1.4917173982634699</v>
      </c>
      <c r="AH8" s="224">
        <v>1.0427231234488901</v>
      </c>
      <c r="AI8" s="224">
        <v>0.62906695201989205</v>
      </c>
      <c r="AJ8" s="224">
        <v>2.2166582394927801</v>
      </c>
      <c r="AK8" s="224">
        <v>5.7048687018474396E-3</v>
      </c>
      <c r="AL8" s="224">
        <v>0</v>
      </c>
      <c r="AM8" s="224">
        <v>192.544466107566</v>
      </c>
      <c r="AN8" s="224">
        <v>6.46226816860172</v>
      </c>
      <c r="AO8" s="224">
        <v>2.3466516811247101E-2</v>
      </c>
      <c r="AP8" s="224">
        <v>0.73541036457234199</v>
      </c>
      <c r="AQ8" s="224">
        <v>0.42234566607464002</v>
      </c>
      <c r="AR8" s="224">
        <v>303.54505265108497</v>
      </c>
      <c r="AS8" s="224">
        <v>56.7204157329802</v>
      </c>
      <c r="AT8" s="224">
        <v>0.826437726026513</v>
      </c>
      <c r="AU8" s="224">
        <v>0.47843561922299499</v>
      </c>
      <c r="AV8" s="224">
        <v>8.2817845731920969E-2</v>
      </c>
      <c r="AW8" s="224">
        <v>1.4215220777725901</v>
      </c>
      <c r="AX8" s="224">
        <v>1.98708408482334E-4</v>
      </c>
      <c r="AY8" s="227">
        <v>2.2861859658615865E-3</v>
      </c>
      <c r="AZ8" s="227">
        <v>3.2866388238378184E-3</v>
      </c>
      <c r="BA8" s="227">
        <v>5.6038986486019154E-2</v>
      </c>
      <c r="BB8" s="227">
        <v>34.951515871330152</v>
      </c>
    </row>
    <row r="9" spans="1:54">
      <c r="A9" t="s">
        <v>37</v>
      </c>
      <c r="B9" s="172">
        <v>368883</v>
      </c>
      <c r="C9" s="172">
        <v>6012868</v>
      </c>
      <c r="D9" t="s">
        <v>11</v>
      </c>
      <c r="E9" t="s">
        <v>148</v>
      </c>
      <c r="F9" t="s">
        <v>148</v>
      </c>
      <c r="G9" s="225">
        <v>0.80083857442348017</v>
      </c>
      <c r="H9" s="223">
        <v>0</v>
      </c>
      <c r="I9" s="223">
        <v>0.10921935674621608</v>
      </c>
      <c r="J9" s="223">
        <v>0.14526308682330835</v>
      </c>
      <c r="K9" s="223">
        <v>7.1643088149870526E-2</v>
      </c>
      <c r="L9" s="223">
        <v>3.5599358072778246E-2</v>
      </c>
      <c r="M9" s="223">
        <v>0.8191375551039134</v>
      </c>
      <c r="N9">
        <v>8.41</v>
      </c>
      <c r="O9" s="224">
        <v>100.3</v>
      </c>
      <c r="P9">
        <v>522</v>
      </c>
      <c r="Q9">
        <v>7.83</v>
      </c>
      <c r="R9">
        <v>0.72</v>
      </c>
      <c r="S9" s="224">
        <v>10.875</v>
      </c>
      <c r="T9" s="224">
        <v>5.5456662692546139</v>
      </c>
      <c r="U9" s="224">
        <v>2.2843337307453861</v>
      </c>
      <c r="V9" s="224">
        <v>-14.372033399999999</v>
      </c>
      <c r="W9" s="224">
        <v>-21.199334399999998</v>
      </c>
      <c r="X9" s="224">
        <v>5.1290000000000004</v>
      </c>
      <c r="Y9" t="s">
        <v>79</v>
      </c>
      <c r="Z9" s="224">
        <v>9922.0281361956695</v>
      </c>
      <c r="AA9" s="224">
        <v>34.7699851777204</v>
      </c>
      <c r="AB9" s="224">
        <v>1.8282370761696101E-2</v>
      </c>
      <c r="AC9" s="224">
        <v>11.9632984109573</v>
      </c>
      <c r="AD9" s="224">
        <v>7.2567875217213196</v>
      </c>
      <c r="AE9" s="224">
        <v>10042.539668958199</v>
      </c>
      <c r="AF9" s="224">
        <v>95.224357341791205</v>
      </c>
      <c r="AG9" s="224">
        <v>8.01970415050749</v>
      </c>
      <c r="AH9" s="224">
        <v>4.8692808395215099</v>
      </c>
      <c r="AI9" s="224">
        <v>1.086344912398987</v>
      </c>
      <c r="AJ9" s="224">
        <v>18.349044549837501</v>
      </c>
      <c r="AK9" s="224" t="s">
        <v>110</v>
      </c>
      <c r="AL9" s="224">
        <v>2.2591911154458901E-3</v>
      </c>
      <c r="AM9" s="224">
        <v>1527.6147270700301</v>
      </c>
      <c r="AN9" s="224">
        <v>26.963068419846699</v>
      </c>
      <c r="AO9" s="224">
        <v>3.0415947572954599E-2</v>
      </c>
      <c r="AP9" s="224">
        <v>2.4220286194982199</v>
      </c>
      <c r="AQ9" s="224">
        <v>4.51147320479624</v>
      </c>
      <c r="AR9" s="224">
        <v>3123.2870758669301</v>
      </c>
      <c r="AS9" s="224">
        <v>55.991067934178197</v>
      </c>
      <c r="AT9" s="224">
        <v>3.6757329259753302</v>
      </c>
      <c r="AU9" s="224">
        <v>1.9816464172258501</v>
      </c>
      <c r="AV9" s="224">
        <v>0</v>
      </c>
      <c r="AW9" s="224">
        <v>4.8107075177207301</v>
      </c>
      <c r="AX9" s="224">
        <v>1.2322857844792299E-3</v>
      </c>
      <c r="AY9" s="227">
        <v>3.9374531826538023E-2</v>
      </c>
      <c r="AZ9" s="227">
        <v>5.422742298104672E-2</v>
      </c>
      <c r="BA9" s="227">
        <v>0.2931255515079213</v>
      </c>
      <c r="BB9" s="227">
        <v>182.82240647549054</v>
      </c>
    </row>
    <row r="10" spans="1:54">
      <c r="A10" t="s">
        <v>38</v>
      </c>
      <c r="B10" s="172">
        <v>367763</v>
      </c>
      <c r="C10" s="172">
        <v>6012281</v>
      </c>
      <c r="D10" t="s">
        <v>12</v>
      </c>
      <c r="E10" t="s">
        <v>151</v>
      </c>
      <c r="F10" t="s">
        <v>152</v>
      </c>
      <c r="G10" s="225">
        <v>0.66908212560386449</v>
      </c>
      <c r="H10" s="223">
        <v>1.0883185390944689E-3</v>
      </c>
      <c r="I10" s="223">
        <v>0.60065877678143853</v>
      </c>
      <c r="J10" s="223">
        <v>0.64174204258767831</v>
      </c>
      <c r="K10" s="223">
        <v>5.368694698414004E-2</v>
      </c>
      <c r="L10" s="223">
        <v>1.2603681177900228E-2</v>
      </c>
      <c r="M10" s="223">
        <v>0.34565427623442141</v>
      </c>
      <c r="N10">
        <v>8.6</v>
      </c>
      <c r="O10" s="224">
        <v>58.445869999999999</v>
      </c>
      <c r="P10">
        <v>422</v>
      </c>
      <c r="Q10">
        <v>8.16</v>
      </c>
      <c r="R10">
        <v>0.38</v>
      </c>
      <c r="S10" s="224">
        <v>21.473684210526315</v>
      </c>
      <c r="T10" s="224">
        <v>2.9666214394926103</v>
      </c>
      <c r="U10" s="224">
        <v>5.1933785605073899</v>
      </c>
      <c r="V10" s="224">
        <v>-5.5008202999999991</v>
      </c>
      <c r="W10" s="224">
        <v>-20.709350399999998</v>
      </c>
      <c r="X10" s="224">
        <v>4.6070000000000002</v>
      </c>
      <c r="Y10" t="s">
        <v>79</v>
      </c>
      <c r="Z10" s="224">
        <v>6402.7370685863798</v>
      </c>
      <c r="AA10" s="224">
        <v>22.215722187322601</v>
      </c>
      <c r="AB10" s="224">
        <v>1.0291594937268E-2</v>
      </c>
      <c r="AC10" s="224">
        <v>8.2062890184984596</v>
      </c>
      <c r="AD10" s="224">
        <v>4.3352199945329399</v>
      </c>
      <c r="AE10" s="224">
        <v>6753.4035856618802</v>
      </c>
      <c r="AF10" s="224">
        <v>75.769813441372705</v>
      </c>
      <c r="AG10" s="224">
        <v>4.9823304746627999</v>
      </c>
      <c r="AH10" s="224">
        <v>3.6880504574228401</v>
      </c>
      <c r="AI10" s="224">
        <v>0.468805025247096</v>
      </c>
      <c r="AJ10" s="224">
        <v>10.5251573939931</v>
      </c>
      <c r="AK10" s="224" t="s">
        <v>110</v>
      </c>
      <c r="AL10" s="224">
        <v>-1.73277055527716E-3</v>
      </c>
      <c r="AM10" s="224">
        <v>1034.11411016489</v>
      </c>
      <c r="AN10" s="224">
        <v>16.383597100454502</v>
      </c>
      <c r="AO10" s="224">
        <v>2.0180298973508901E-2</v>
      </c>
      <c r="AP10" s="224">
        <v>1.73333684747219</v>
      </c>
      <c r="AQ10" s="224">
        <v>2.3774068029100901</v>
      </c>
      <c r="AR10" s="224">
        <v>1818.6438689763499</v>
      </c>
      <c r="AS10" s="224">
        <v>39.549557053769803</v>
      </c>
      <c r="AT10" s="224">
        <v>2.7531491371297401</v>
      </c>
      <c r="AU10" s="224">
        <v>1.13480741700304</v>
      </c>
      <c r="AV10" s="224">
        <v>0</v>
      </c>
      <c r="AW10" s="224">
        <v>2.76903889650709</v>
      </c>
      <c r="AX10" s="224">
        <v>-1.9803099985067599E-4</v>
      </c>
      <c r="AY10" s="227">
        <v>2.4379218858163736E-2</v>
      </c>
      <c r="AZ10" s="227">
        <v>3.5022581321884412E-2</v>
      </c>
      <c r="BA10" s="227">
        <v>0.18027571290602074</v>
      </c>
      <c r="BB10" s="227">
        <v>112.43796213948514</v>
      </c>
    </row>
    <row r="11" spans="1:54">
      <c r="A11" t="s">
        <v>39</v>
      </c>
      <c r="B11" s="172">
        <v>367412</v>
      </c>
      <c r="C11" s="172">
        <v>6013992</v>
      </c>
      <c r="D11" t="s">
        <v>13</v>
      </c>
      <c r="E11" t="s">
        <v>148</v>
      </c>
      <c r="F11" t="s">
        <v>148</v>
      </c>
      <c r="G11" s="225">
        <v>0.71270718232044228</v>
      </c>
      <c r="H11" s="223">
        <v>0</v>
      </c>
      <c r="I11" s="223">
        <v>0.42487846703379434</v>
      </c>
      <c r="J11" s="223">
        <v>0.46236040896891101</v>
      </c>
      <c r="K11" s="223">
        <v>6.3196669410874623E-2</v>
      </c>
      <c r="L11" s="223">
        <v>2.5714727475757967E-2</v>
      </c>
      <c r="M11" s="223">
        <v>0.51192486355533096</v>
      </c>
      <c r="N11">
        <v>8.5</v>
      </c>
      <c r="O11" s="224">
        <v>65.452240000000003</v>
      </c>
      <c r="P11">
        <v>371</v>
      </c>
      <c r="Q11">
        <v>5.77</v>
      </c>
      <c r="R11">
        <v>0.45</v>
      </c>
      <c r="S11" s="224">
        <v>12.822222222222221</v>
      </c>
      <c r="T11" s="224">
        <v>3.9030949656750571</v>
      </c>
      <c r="U11" s="224">
        <v>1.8669050343249425</v>
      </c>
      <c r="V11" s="224">
        <v>-13.8441957</v>
      </c>
      <c r="W11" s="224">
        <v>-20.996195199999995</v>
      </c>
      <c r="X11" s="224">
        <v>5.0220000000000002</v>
      </c>
      <c r="Y11" t="s">
        <v>79</v>
      </c>
      <c r="Z11" s="224">
        <v>9642.9464280266693</v>
      </c>
      <c r="AA11" s="224">
        <v>5.8244946741997596</v>
      </c>
      <c r="AB11" s="224">
        <v>1.37741043352324E-2</v>
      </c>
      <c r="AC11" s="224">
        <v>11.255682314948301</v>
      </c>
      <c r="AD11" s="224">
        <v>6.0164138980179196</v>
      </c>
      <c r="AE11" s="224">
        <v>10094.467136595</v>
      </c>
      <c r="AF11" s="224">
        <v>73.765150598847697</v>
      </c>
      <c r="AG11" s="224">
        <v>7.2631073690541603</v>
      </c>
      <c r="AH11" s="224">
        <v>5.08396487654836</v>
      </c>
      <c r="AI11" s="224">
        <v>0.329823224588081</v>
      </c>
      <c r="AJ11" s="224">
        <v>16.350378905601701</v>
      </c>
      <c r="AK11" s="224" t="s">
        <v>110</v>
      </c>
      <c r="AL11" s="224">
        <v>-1.6836683377979601E-3</v>
      </c>
      <c r="AM11" s="224">
        <v>1403.05586672808</v>
      </c>
      <c r="AN11" s="224">
        <v>3.8957566050913099</v>
      </c>
      <c r="AO11" s="224">
        <v>2.24489126118512E-2</v>
      </c>
      <c r="AP11" s="224">
        <v>2.1347217943196202</v>
      </c>
      <c r="AQ11" s="224">
        <v>3.6447367917550202</v>
      </c>
      <c r="AR11" s="224">
        <v>3606.2006243410801</v>
      </c>
      <c r="AS11" s="224">
        <v>39.782014526267197</v>
      </c>
      <c r="AT11" s="224">
        <v>4.0804199371983101</v>
      </c>
      <c r="AU11" s="224">
        <v>1.67979682791829</v>
      </c>
      <c r="AV11" s="224">
        <v>0</v>
      </c>
      <c r="AW11" s="224">
        <v>4.0423134148598301</v>
      </c>
      <c r="AX11" s="224">
        <v>0</v>
      </c>
      <c r="AY11" s="227">
        <v>4.8409843567776632E-2</v>
      </c>
      <c r="AZ11" s="227">
        <v>7.0138863471133933E-2</v>
      </c>
      <c r="BA11" s="227">
        <v>0.25845879569270169</v>
      </c>
      <c r="BB11" s="227">
        <v>161.20075087353806</v>
      </c>
    </row>
    <row r="12" spans="1:54">
      <c r="A12" t="s">
        <v>40</v>
      </c>
      <c r="B12" s="172">
        <v>366520</v>
      </c>
      <c r="C12" s="172">
        <v>6015827</v>
      </c>
      <c r="D12" t="s">
        <v>14</v>
      </c>
      <c r="E12" t="s">
        <v>148</v>
      </c>
      <c r="F12" t="s">
        <v>148</v>
      </c>
      <c r="G12" s="225">
        <v>0.80172413793103414</v>
      </c>
      <c r="H12" s="223">
        <v>0</v>
      </c>
      <c r="I12" s="223">
        <v>3.1106033958719054E-2</v>
      </c>
      <c r="J12" s="223">
        <v>1.0565342492239581E-2</v>
      </c>
      <c r="K12" s="223">
        <v>4.5421619034037949E-2</v>
      </c>
      <c r="L12" s="223">
        <v>6.5962310500517415E-2</v>
      </c>
      <c r="M12" s="223">
        <v>0.92347234700724301</v>
      </c>
      <c r="N12">
        <v>8.3699999999999992</v>
      </c>
      <c r="O12" s="224">
        <v>97.55</v>
      </c>
      <c r="P12">
        <v>580</v>
      </c>
      <c r="Q12">
        <v>7.23</v>
      </c>
      <c r="R12">
        <v>0.75</v>
      </c>
      <c r="S12" s="224">
        <v>9.64</v>
      </c>
      <c r="T12" s="224">
        <v>5.9409500762382574</v>
      </c>
      <c r="U12" s="224">
        <v>1.289049923761743</v>
      </c>
      <c r="V12" s="224">
        <v>-17.308976499999996</v>
      </c>
      <c r="W12" s="224">
        <v>-20.971695999999998</v>
      </c>
      <c r="X12" s="224">
        <v>5.53</v>
      </c>
      <c r="Y12" t="s">
        <v>79</v>
      </c>
      <c r="Z12" s="224">
        <v>10673.968193088349</v>
      </c>
      <c r="AA12" s="224">
        <v>36.515999329778751</v>
      </c>
      <c r="AB12" s="224">
        <v>2.6934946421804752E-2</v>
      </c>
      <c r="AC12" s="224">
        <v>13.6510275900695</v>
      </c>
      <c r="AD12" s="224">
        <v>8.5048713957044093</v>
      </c>
      <c r="AE12" s="224">
        <v>11200.79971568355</v>
      </c>
      <c r="AF12" s="224">
        <v>81.136689146233351</v>
      </c>
      <c r="AG12" s="224">
        <v>8.7005118595843243</v>
      </c>
      <c r="AH12" s="224">
        <v>5.5513290441598899</v>
      </c>
      <c r="AI12" s="224">
        <v>0.707007946787089</v>
      </c>
      <c r="AJ12" s="224">
        <v>21.779660495737652</v>
      </c>
      <c r="AK12" s="224">
        <v>5.8259330801584495E-3</v>
      </c>
      <c r="AL12" s="224">
        <v>2.5994805475260002E-3</v>
      </c>
      <c r="AM12" s="224">
        <v>1559.2404899135799</v>
      </c>
      <c r="AN12" s="224">
        <v>27.1554759386432</v>
      </c>
      <c r="AO12" s="224">
        <v>3.0565315879318201E-2</v>
      </c>
      <c r="AP12" s="224">
        <v>2.5206388242628801</v>
      </c>
      <c r="AQ12" s="224">
        <v>4.8939302365032598</v>
      </c>
      <c r="AR12" s="224">
        <v>3312.90016363106</v>
      </c>
      <c r="AS12" s="224">
        <v>37.201259075496402</v>
      </c>
      <c r="AT12" s="224">
        <v>4.2229651020837196</v>
      </c>
      <c r="AU12" s="224">
        <v>1.9675155820986501</v>
      </c>
      <c r="AV12" s="224">
        <v>0</v>
      </c>
      <c r="AW12" s="224">
        <v>6.8877653520587101</v>
      </c>
      <c r="AX12" s="224">
        <v>2.2995399975178198E-3</v>
      </c>
      <c r="AY12" s="227">
        <v>4.3462873892901224E-2</v>
      </c>
      <c r="AZ12" s="227">
        <v>6.4523268843380679E-2</v>
      </c>
      <c r="BA12" s="227">
        <v>0.29453286896740616</v>
      </c>
      <c r="BB12" s="227">
        <v>183.70015037497123</v>
      </c>
    </row>
    <row r="13" spans="1:54">
      <c r="A13" t="s">
        <v>41</v>
      </c>
      <c r="B13" s="172">
        <v>362271</v>
      </c>
      <c r="C13" s="172">
        <v>6020991</v>
      </c>
      <c r="D13" t="s">
        <v>15</v>
      </c>
      <c r="E13" t="s">
        <v>148</v>
      </c>
      <c r="F13" t="s">
        <v>148</v>
      </c>
      <c r="G13" s="225">
        <v>0.80762250453720474</v>
      </c>
      <c r="H13" s="223">
        <v>0</v>
      </c>
      <c r="I13" s="223">
        <v>1.2658089944951456E-2</v>
      </c>
      <c r="J13" s="223">
        <v>6.3860410877214946E-2</v>
      </c>
      <c r="K13" s="223">
        <v>9.2753177219392885E-2</v>
      </c>
      <c r="L13" s="223">
        <v>4.1550856287129394E-2</v>
      </c>
      <c r="M13" s="223">
        <v>0.89458873283565565</v>
      </c>
      <c r="N13">
        <v>8.39</v>
      </c>
      <c r="O13" s="224">
        <v>100.87884</v>
      </c>
      <c r="P13">
        <v>685</v>
      </c>
      <c r="Q13">
        <v>6.52</v>
      </c>
      <c r="R13">
        <v>0.7</v>
      </c>
      <c r="S13" s="224">
        <v>9.3142857142857149</v>
      </c>
      <c r="T13" s="224">
        <v>5.158671841789114</v>
      </c>
      <c r="U13" s="224">
        <v>1.3613281582108856</v>
      </c>
      <c r="V13" s="224">
        <v>-13.7858941</v>
      </c>
      <c r="W13" s="224">
        <v>-19.761027199999997</v>
      </c>
      <c r="X13" s="224">
        <v>4.8029999999999999</v>
      </c>
      <c r="Y13" t="s">
        <v>79</v>
      </c>
      <c r="Z13" s="224">
        <v>12238.8837533142</v>
      </c>
      <c r="AA13" s="224">
        <v>42.336601824834503</v>
      </c>
      <c r="AB13" s="224">
        <v>1.9996343020605201E-2</v>
      </c>
      <c r="AC13" s="224">
        <v>15.1238064186825</v>
      </c>
      <c r="AD13" s="224">
        <v>8.9611610951795999</v>
      </c>
      <c r="AE13" s="224">
        <v>11954.1903846284</v>
      </c>
      <c r="AF13" s="224">
        <v>95.387125744701194</v>
      </c>
      <c r="AG13" s="224">
        <v>8.5643663150344995</v>
      </c>
      <c r="AH13" s="224">
        <v>5.5819509743842604</v>
      </c>
      <c r="AI13" s="224">
        <v>1.0040170678941749</v>
      </c>
      <c r="AJ13" s="224">
        <v>21.592508863363701</v>
      </c>
      <c r="AK13" s="224">
        <v>1.13122173660618E-2</v>
      </c>
      <c r="AL13" s="224">
        <v>5.5754686695012098E-3</v>
      </c>
      <c r="AM13" s="224">
        <v>1697.4985550930301</v>
      </c>
      <c r="AN13" s="224">
        <v>32.566704634133401</v>
      </c>
      <c r="AO13" s="224">
        <v>3.34717723917793E-2</v>
      </c>
      <c r="AP13" s="224">
        <v>2.6326071230959101</v>
      </c>
      <c r="AQ13" s="224">
        <v>5.4476663827326197</v>
      </c>
      <c r="AR13" s="224">
        <v>3089.53767893847</v>
      </c>
      <c r="AS13" s="224">
        <v>50.005575216547598</v>
      </c>
      <c r="AT13" s="224">
        <v>4.1902297516626001</v>
      </c>
      <c r="AU13" s="224">
        <v>2.0183917798766902</v>
      </c>
      <c r="AV13" s="224">
        <v>0</v>
      </c>
      <c r="AW13" s="224">
        <v>5.5367813857972497</v>
      </c>
      <c r="AX13" s="224">
        <v>2.8872960062114499E-3</v>
      </c>
      <c r="AY13" s="227">
        <v>3.758929694092758E-2</v>
      </c>
      <c r="AZ13" s="227">
        <v>5.272730669228165E-2</v>
      </c>
      <c r="BA13" s="227">
        <v>0.26578893378002327</v>
      </c>
      <c r="BB13" s="227">
        <v>165.77255799860052</v>
      </c>
    </row>
    <row r="14" spans="1:54">
      <c r="A14" t="s">
        <v>42</v>
      </c>
      <c r="B14" s="172">
        <v>360755</v>
      </c>
      <c r="C14" s="172">
        <v>6023844</v>
      </c>
      <c r="D14" t="s">
        <v>16</v>
      </c>
      <c r="E14" t="s">
        <v>148</v>
      </c>
      <c r="F14" t="s">
        <v>148</v>
      </c>
      <c r="G14" s="225">
        <v>0.74254742547425479</v>
      </c>
      <c r="H14" s="223">
        <v>0</v>
      </c>
      <c r="I14" s="223">
        <v>2.5202781268651366E-2</v>
      </c>
      <c r="J14" s="223">
        <v>3.3244061481136386E-2</v>
      </c>
      <c r="K14" s="223">
        <v>0.15734007729383023</v>
      </c>
      <c r="L14" s="223">
        <v>0.14929879708134522</v>
      </c>
      <c r="M14" s="223">
        <v>0.81745714143751846</v>
      </c>
      <c r="N14">
        <v>8.5399999999999991</v>
      </c>
      <c r="O14" s="224">
        <v>74.530919999999995</v>
      </c>
      <c r="P14">
        <v>373</v>
      </c>
      <c r="Q14">
        <v>7.23</v>
      </c>
      <c r="R14">
        <v>0.46</v>
      </c>
      <c r="S14" s="224">
        <v>15.717391304347826</v>
      </c>
      <c r="T14" s="224">
        <v>2.5784724004749484</v>
      </c>
      <c r="U14" s="224">
        <v>4.6515275995250516</v>
      </c>
      <c r="V14" s="224">
        <v>-6.9750178999999983</v>
      </c>
      <c r="W14" s="224">
        <v>-20.623236100000003</v>
      </c>
      <c r="X14" s="224">
        <v>5.3390000000000004</v>
      </c>
      <c r="Y14" t="s">
        <v>79</v>
      </c>
      <c r="Z14" s="224">
        <v>9521.1268755091496</v>
      </c>
      <c r="AA14" s="224">
        <v>20.459899211998</v>
      </c>
      <c r="AB14" s="224">
        <v>2.3353838553345201E-2</v>
      </c>
      <c r="AC14" s="224">
        <v>13.2926059495844</v>
      </c>
      <c r="AD14" s="224">
        <v>7.3170426929250496</v>
      </c>
      <c r="AE14" s="224">
        <v>10103.583335876499</v>
      </c>
      <c r="AF14" s="224">
        <v>110.604009082784</v>
      </c>
      <c r="AG14" s="224">
        <v>7.5766803970429697</v>
      </c>
      <c r="AH14" s="224">
        <v>4.5513785572577801</v>
      </c>
      <c r="AI14" s="224">
        <v>0.91626564573935398</v>
      </c>
      <c r="AJ14" s="224">
        <v>18.073934279755701</v>
      </c>
      <c r="AK14" s="224">
        <v>1.5664159777349002E-2</v>
      </c>
      <c r="AL14" s="224">
        <v>-2.1754175083008001E-3</v>
      </c>
      <c r="AM14" s="224">
        <v>1238.4388950924799</v>
      </c>
      <c r="AN14" s="224">
        <v>13.4063258024501</v>
      </c>
      <c r="AO14" s="224">
        <v>2.9288094281166001E-2</v>
      </c>
      <c r="AP14" s="224">
        <v>2.36150549567129</v>
      </c>
      <c r="AQ14" s="224">
        <v>3.2318436262339301</v>
      </c>
      <c r="AR14" s="224">
        <v>2399.5041481809399</v>
      </c>
      <c r="AS14" s="224">
        <v>56.731629917023497</v>
      </c>
      <c r="AT14" s="224">
        <v>3.3077652341247199</v>
      </c>
      <c r="AU14" s="224">
        <v>1.5473332802228099</v>
      </c>
      <c r="AV14" s="224">
        <v>0</v>
      </c>
      <c r="AW14" s="224">
        <v>3.9771535809746799</v>
      </c>
      <c r="AX14" s="224">
        <v>-3.9553051328492401E-4</v>
      </c>
      <c r="AY14" s="227">
        <v>4.0234763115100255E-2</v>
      </c>
      <c r="AZ14" s="227">
        <v>5.6359102276369602E-2</v>
      </c>
      <c r="BA14" s="227">
        <v>0.26772417858781583</v>
      </c>
      <c r="BB14" s="227">
        <v>166.97957018522075</v>
      </c>
    </row>
    <row r="15" spans="1:54">
      <c r="A15" t="s">
        <v>43</v>
      </c>
      <c r="B15" s="172">
        <v>342792</v>
      </c>
      <c r="C15" s="172">
        <v>6041428</v>
      </c>
      <c r="D15" t="s">
        <v>17</v>
      </c>
      <c r="E15" t="s">
        <v>147</v>
      </c>
      <c r="F15" t="s">
        <v>147</v>
      </c>
      <c r="G15" s="225">
        <v>0.18352059925093694</v>
      </c>
      <c r="H15" s="223">
        <v>8.8425070203919484E-4</v>
      </c>
      <c r="I15" s="223">
        <v>0.94155440515612099</v>
      </c>
      <c r="J15" s="223">
        <v>0.95108428499010633</v>
      </c>
      <c r="K15" s="223">
        <v>1.4989031373241488E-2</v>
      </c>
      <c r="L15" s="223">
        <v>5.4591515392561976E-3</v>
      </c>
      <c r="M15" s="223">
        <v>4.3456563470637477E-2</v>
      </c>
      <c r="N15">
        <v>9.0299999999999994</v>
      </c>
      <c r="O15" s="224">
        <v>7.5263100000000005</v>
      </c>
      <c r="P15">
        <v>47</v>
      </c>
      <c r="Q15">
        <v>0.36</v>
      </c>
      <c r="R15">
        <v>0.05</v>
      </c>
      <c r="S15" s="224">
        <v>7.1999999999999993</v>
      </c>
      <c r="T15" s="224">
        <v>0.30190158461912214</v>
      </c>
      <c r="U15" s="224">
        <v>5.8098415380877844E-2</v>
      </c>
      <c r="V15" s="224">
        <v>-8.1420910000000006</v>
      </c>
      <c r="W15" s="224">
        <v>-16.639835599999998</v>
      </c>
      <c r="X15" s="224">
        <v>3.9390000000000001</v>
      </c>
      <c r="Y15" t="s">
        <v>79</v>
      </c>
      <c r="Z15" s="224">
        <v>580.52883745036297</v>
      </c>
      <c r="AA15" s="224">
        <v>1.2269194045106799</v>
      </c>
      <c r="AB15" s="224">
        <v>-1.65650671670069E-3</v>
      </c>
      <c r="AC15" s="224">
        <v>1.4565111368947099</v>
      </c>
      <c r="AD15" s="224">
        <v>0.40634111550489999</v>
      </c>
      <c r="AE15" s="224">
        <v>717.00332927055103</v>
      </c>
      <c r="AF15" s="224">
        <v>6.3957724353910397</v>
      </c>
      <c r="AG15" s="224">
        <v>0.59061038819891998</v>
      </c>
      <c r="AH15" s="224">
        <v>0.61588919329193603</v>
      </c>
      <c r="AI15" s="224">
        <v>7.3751215624656502E-2</v>
      </c>
      <c r="AJ15" s="224">
        <v>1.29798343504686</v>
      </c>
      <c r="AK15" s="224" t="s">
        <v>110</v>
      </c>
      <c r="AL15" s="224">
        <v>-4.4860928892244802E-3</v>
      </c>
      <c r="AM15" s="224">
        <v>135.87987491425201</v>
      </c>
      <c r="AN15" s="224">
        <v>0.90292820101803495</v>
      </c>
      <c r="AO15" s="224">
        <v>2.4685381705162501E-3</v>
      </c>
      <c r="AP15" s="224">
        <v>0.50671489987002105</v>
      </c>
      <c r="AQ15" s="224">
        <v>0.27967845516121698</v>
      </c>
      <c r="AR15" s="224">
        <v>195.67680672626599</v>
      </c>
      <c r="AS15" s="224">
        <v>3.13847062377386</v>
      </c>
      <c r="AT15" s="224">
        <v>0.32461275843387799</v>
      </c>
      <c r="AU15" s="224">
        <v>0.211797957324838</v>
      </c>
      <c r="AV15" s="224">
        <v>0</v>
      </c>
      <c r="AW15" s="224">
        <v>0.77882378935247898</v>
      </c>
      <c r="AX15" s="224">
        <v>0</v>
      </c>
      <c r="AY15" s="227" t="s">
        <v>245</v>
      </c>
      <c r="AZ15" s="227" t="s">
        <v>245</v>
      </c>
      <c r="BA15" s="227">
        <v>9.0736281796415953E-3</v>
      </c>
      <c r="BB15" s="227">
        <v>5.6592218956424638</v>
      </c>
    </row>
    <row r="16" spans="1:54">
      <c r="A16" t="s">
        <v>44</v>
      </c>
      <c r="B16" s="172">
        <v>342792</v>
      </c>
      <c r="C16" s="172">
        <v>6041428</v>
      </c>
      <c r="D16" t="s">
        <v>18</v>
      </c>
      <c r="E16" t="s">
        <v>147</v>
      </c>
      <c r="F16" t="s">
        <v>147</v>
      </c>
      <c r="G16" s="225">
        <v>0.18571428571428603</v>
      </c>
      <c r="H16" s="223">
        <v>7.8002424761089743E-4</v>
      </c>
      <c r="I16" s="223">
        <v>0.97152164885903802</v>
      </c>
      <c r="J16" s="223">
        <v>0.96877467358381997</v>
      </c>
      <c r="K16" s="223">
        <v>6.6972501306095467E-3</v>
      </c>
      <c r="L16" s="223">
        <v>9.4442254058276377E-3</v>
      </c>
      <c r="M16" s="223">
        <v>2.1781101010352428E-2</v>
      </c>
      <c r="N16">
        <v>9.14</v>
      </c>
      <c r="O16" s="224">
        <v>6.39147</v>
      </c>
      <c r="P16">
        <v>21</v>
      </c>
      <c r="Q16">
        <v>0.37</v>
      </c>
      <c r="R16">
        <v>0.03</v>
      </c>
      <c r="S16" s="224">
        <v>12.333333333333334</v>
      </c>
      <c r="T16" s="224">
        <v>0.17576839455475041</v>
      </c>
      <c r="U16" s="224">
        <v>0.19423160544524959</v>
      </c>
      <c r="V16" s="224">
        <v>-5.9110136999999989</v>
      </c>
      <c r="W16" s="224">
        <v>-20.970455000000001</v>
      </c>
      <c r="X16" s="224">
        <v>4.8860000000000001</v>
      </c>
      <c r="Y16" t="s">
        <v>79</v>
      </c>
      <c r="Z16" s="224">
        <v>505.51139029009499</v>
      </c>
      <c r="AA16" s="224">
        <v>0.56449649037947203</v>
      </c>
      <c r="AB16" s="224">
        <v>5.5418854311469195E-4</v>
      </c>
      <c r="AC16" s="224">
        <v>1.17715197824027</v>
      </c>
      <c r="AD16" s="224">
        <v>0.39807364493458602</v>
      </c>
      <c r="AE16" s="224">
        <v>666.49540259587502</v>
      </c>
      <c r="AF16" s="224">
        <v>4.4739087338435999</v>
      </c>
      <c r="AG16" s="224">
        <v>0.55329133113775797</v>
      </c>
      <c r="AH16" s="224">
        <v>0.61570351974713</v>
      </c>
      <c r="AI16" s="224">
        <v>9.4269615252700056E-3</v>
      </c>
      <c r="AJ16" s="224">
        <v>1.0783954640912601</v>
      </c>
      <c r="AK16" s="224" t="s">
        <v>110</v>
      </c>
      <c r="AL16" s="224">
        <v>-4.1903620248620998E-3</v>
      </c>
      <c r="AM16" s="224">
        <v>115.99870484311499</v>
      </c>
      <c r="AN16" s="224">
        <v>0.35763198958980602</v>
      </c>
      <c r="AO16" s="224">
        <v>1.9003911302810099E-3</v>
      </c>
      <c r="AP16" s="224">
        <v>0.36630038096092199</v>
      </c>
      <c r="AQ16" s="224">
        <v>0.22430227036681499</v>
      </c>
      <c r="AR16" s="224">
        <v>175.00848312476899</v>
      </c>
      <c r="AS16" s="224">
        <v>1.6396288265168699</v>
      </c>
      <c r="AT16" s="224">
        <v>0.29817136042849601</v>
      </c>
      <c r="AU16" s="224">
        <v>0.21441592158442899</v>
      </c>
      <c r="AV16" s="224">
        <v>0</v>
      </c>
      <c r="AW16" s="224">
        <v>0.43699491155255499</v>
      </c>
      <c r="AX16" s="224">
        <v>-2.9931160301925901E-4</v>
      </c>
      <c r="AY16" s="227" t="s">
        <v>245</v>
      </c>
      <c r="AZ16" s="227">
        <v>6.6634375518000047E-4</v>
      </c>
      <c r="BA16" s="227">
        <v>9.1072385197399838E-3</v>
      </c>
      <c r="BB16" s="227">
        <v>5.6801846647618284</v>
      </c>
    </row>
    <row r="17" spans="1:54">
      <c r="A17" t="s">
        <v>45</v>
      </c>
      <c r="B17" s="172">
        <v>342792</v>
      </c>
      <c r="C17" s="172">
        <v>6041428</v>
      </c>
      <c r="D17" t="s">
        <v>19</v>
      </c>
      <c r="E17" t="s">
        <v>147</v>
      </c>
      <c r="F17" t="s">
        <v>147</v>
      </c>
      <c r="G17" s="225">
        <v>0.25208333333333294</v>
      </c>
      <c r="H17" s="223">
        <v>0</v>
      </c>
      <c r="I17" s="223">
        <v>0.94500005389562991</v>
      </c>
      <c r="J17" s="223">
        <v>0.95066485579133597</v>
      </c>
      <c r="K17" s="223">
        <v>2.4757503414780047E-2</v>
      </c>
      <c r="L17" s="223">
        <v>1.9092701519073926E-2</v>
      </c>
      <c r="M17" s="223">
        <v>3.0242442689590025E-2</v>
      </c>
      <c r="N17">
        <v>8.9600000000000009</v>
      </c>
      <c r="O17" s="224">
        <v>4.7928300000000004</v>
      </c>
      <c r="P17">
        <v>23</v>
      </c>
      <c r="Q17">
        <v>0.19</v>
      </c>
      <c r="R17">
        <v>0.03</v>
      </c>
      <c r="S17" s="224">
        <v>6.3333333333333339</v>
      </c>
      <c r="T17" s="224">
        <v>0.13095660274645363</v>
      </c>
      <c r="U17" s="224">
        <v>5.9043397253546376E-2</v>
      </c>
      <c r="V17" s="224">
        <v>-11.477775399999999</v>
      </c>
      <c r="W17" s="224">
        <v>-20.647531300000001</v>
      </c>
      <c r="X17" s="224">
        <v>5.5019999999999998</v>
      </c>
      <c r="Y17" t="s">
        <v>79</v>
      </c>
      <c r="Z17" s="224">
        <v>752.52391983604196</v>
      </c>
      <c r="AA17" s="224">
        <v>0.43416851207255203</v>
      </c>
      <c r="AB17" s="224">
        <v>-5.0244522077671798E-3</v>
      </c>
      <c r="AC17" s="224">
        <v>1.56411195418186</v>
      </c>
      <c r="AD17" s="224">
        <v>0.71481212014934103</v>
      </c>
      <c r="AE17" s="224">
        <v>888.132120754173</v>
      </c>
      <c r="AF17" s="224">
        <v>5.93650203783388</v>
      </c>
      <c r="AG17" s="224">
        <v>0.76382311004518499</v>
      </c>
      <c r="AH17" s="224">
        <v>0.81491035548135105</v>
      </c>
      <c r="AI17" s="224">
        <v>8.9314635842220047E-3</v>
      </c>
      <c r="AJ17" s="224">
        <v>1.66359622451472</v>
      </c>
      <c r="AK17" s="224" t="s">
        <v>110</v>
      </c>
      <c r="AL17" s="224">
        <v>-3.89999975595856E-3</v>
      </c>
      <c r="AM17" s="224">
        <v>167.64300096780099</v>
      </c>
      <c r="AN17" s="224">
        <v>0.25336363818496499</v>
      </c>
      <c r="AO17" s="224">
        <v>2.5714287403388902E-3</v>
      </c>
      <c r="AP17" s="224">
        <v>0.37714287813287201</v>
      </c>
      <c r="AQ17" s="224">
        <v>0.346090893435758</v>
      </c>
      <c r="AR17" s="224">
        <v>236.58189058303799</v>
      </c>
      <c r="AS17" s="224">
        <v>1.66160006483551</v>
      </c>
      <c r="AT17" s="224">
        <v>0.43685718090273401</v>
      </c>
      <c r="AU17" s="224">
        <v>0.245909081422724</v>
      </c>
      <c r="AV17" s="224">
        <v>0</v>
      </c>
      <c r="AW17" s="224">
        <v>0.59142859536223102</v>
      </c>
      <c r="AX17" s="224">
        <v>7.0000000050640698E-4</v>
      </c>
      <c r="AY17" s="227">
        <v>3.7274135079630381E-3</v>
      </c>
      <c r="AZ17" s="227">
        <v>5.5409744432332953E-3</v>
      </c>
      <c r="BA17" s="227">
        <v>1.4094583242346659E-2</v>
      </c>
      <c r="BB17" s="227">
        <v>8.7907915682516116</v>
      </c>
    </row>
    <row r="18" spans="1:54">
      <c r="A18" t="s">
        <v>46</v>
      </c>
      <c r="B18" s="172">
        <v>342726</v>
      </c>
      <c r="C18" s="172">
        <v>6041376</v>
      </c>
      <c r="D18" t="s">
        <v>20</v>
      </c>
      <c r="E18" t="s">
        <v>147</v>
      </c>
      <c r="F18" t="s">
        <v>147</v>
      </c>
      <c r="G18" s="225">
        <v>0.21120689655172498</v>
      </c>
      <c r="H18" s="223">
        <v>8.8072784873062925E-3</v>
      </c>
      <c r="I18" s="223">
        <v>0.94758960278038173</v>
      </c>
      <c r="J18" s="223">
        <v>0.95298769020688578</v>
      </c>
      <c r="K18" s="223">
        <v>5.9306230127063484E-3</v>
      </c>
      <c r="L18" s="223">
        <v>5.3253558620227183E-4</v>
      </c>
      <c r="M18" s="223">
        <v>4.6479774206911954E-2</v>
      </c>
      <c r="N18">
        <v>8.9499999999999993</v>
      </c>
      <c r="O18" s="224">
        <v>5.3750600000000004</v>
      </c>
      <c r="P18">
        <v>64</v>
      </c>
      <c r="Q18">
        <v>0.54</v>
      </c>
      <c r="R18">
        <v>0.05</v>
      </c>
      <c r="S18" s="224">
        <v>10.8</v>
      </c>
      <c r="T18" s="224">
        <v>0.38791288194703727</v>
      </c>
      <c r="U18" s="224">
        <v>0.15208711805296277</v>
      </c>
      <c r="V18" s="224">
        <v>-8.2909682999999994</v>
      </c>
      <c r="W18" s="224">
        <v>-21.959472100000003</v>
      </c>
      <c r="X18" s="224">
        <v>5.9130000000000003</v>
      </c>
      <c r="Y18" t="s">
        <v>79</v>
      </c>
      <c r="Z18" s="224">
        <v>1120.7345604386801</v>
      </c>
      <c r="AA18" s="224">
        <v>1.2090976994593601</v>
      </c>
      <c r="AB18" s="224">
        <v>4.5071437090993599E-3</v>
      </c>
      <c r="AC18" s="224">
        <v>2.0705254700673899</v>
      </c>
      <c r="AD18" s="224">
        <v>0.82548342533312602</v>
      </c>
      <c r="AE18" s="224">
        <v>1363.64005731366</v>
      </c>
      <c r="AF18" s="224">
        <v>29.147868650126401</v>
      </c>
      <c r="AG18" s="224">
        <v>1.10666483464518</v>
      </c>
      <c r="AH18" s="224">
        <v>1.08205252460929</v>
      </c>
      <c r="AI18" s="224">
        <v>3.0475945710521007E-2</v>
      </c>
      <c r="AJ18" s="224">
        <v>2.3909269711561398</v>
      </c>
      <c r="AK18" s="224" t="s">
        <v>110</v>
      </c>
      <c r="AL18" s="224">
        <v>-4.49550427290817E-3</v>
      </c>
      <c r="AM18" s="224">
        <v>198.72497238747201</v>
      </c>
      <c r="AN18" s="224">
        <v>0.89110884737301499</v>
      </c>
      <c r="AO18" s="224">
        <v>3.6154324243488998E-3</v>
      </c>
      <c r="AP18" s="224">
        <v>0.43023644853941501</v>
      </c>
      <c r="AQ18" s="224">
        <v>0.54854233687572396</v>
      </c>
      <c r="AR18" s="224">
        <v>354.333469322273</v>
      </c>
      <c r="AS18" s="224">
        <v>20.668531970267999</v>
      </c>
      <c r="AT18" s="224">
        <v>0.71243043978708798</v>
      </c>
      <c r="AU18" s="224">
        <v>0.39515029752978698</v>
      </c>
      <c r="AV18" s="224">
        <v>0</v>
      </c>
      <c r="AW18" s="224">
        <v>0.83916087320388899</v>
      </c>
      <c r="AX18" s="224">
        <v>0</v>
      </c>
      <c r="AY18" s="227">
        <v>6.4042879231634257E-3</v>
      </c>
      <c r="AZ18" s="227">
        <v>9.4962750936586973E-3</v>
      </c>
      <c r="BA18" s="227">
        <v>2.2015126216578425E-2</v>
      </c>
      <c r="BB18" s="227">
        <v>13.730834221279965</v>
      </c>
    </row>
    <row r="19" spans="1:54">
      <c r="A19" t="s">
        <v>47</v>
      </c>
      <c r="B19" s="172">
        <v>354117</v>
      </c>
      <c r="C19" s="172">
        <v>6031137</v>
      </c>
      <c r="D19" t="s">
        <v>21</v>
      </c>
      <c r="E19" t="s">
        <v>150</v>
      </c>
      <c r="F19" t="s">
        <v>150</v>
      </c>
      <c r="G19" s="225">
        <v>0.29891304347826125</v>
      </c>
      <c r="H19" s="223">
        <v>2.1739061018172311E-3</v>
      </c>
      <c r="I19" s="223">
        <v>0.83452618874004714</v>
      </c>
      <c r="J19" s="223">
        <v>0.84403883650700329</v>
      </c>
      <c r="K19" s="223">
        <v>1.8268252778064493E-2</v>
      </c>
      <c r="L19" s="223">
        <v>8.7556050111084003E-3</v>
      </c>
      <c r="M19" s="223">
        <v>0.14720555848188835</v>
      </c>
      <c r="N19">
        <v>8.86</v>
      </c>
      <c r="O19" s="224">
        <v>16.032640000000001</v>
      </c>
      <c r="P19">
        <v>79</v>
      </c>
      <c r="Q19">
        <v>1.65</v>
      </c>
      <c r="R19">
        <v>0.1</v>
      </c>
      <c r="S19" s="224">
        <v>16.499999999999996</v>
      </c>
      <c r="T19" s="224">
        <v>0.8219805236165818</v>
      </c>
      <c r="U19" s="224">
        <v>0.82801947638341811</v>
      </c>
      <c r="V19" s="224">
        <v>-7.5913490999999995</v>
      </c>
      <c r="W19" s="224">
        <v>-20.981590300000001</v>
      </c>
      <c r="X19" s="224">
        <v>4.6189999999999998</v>
      </c>
      <c r="Y19" t="s">
        <v>79</v>
      </c>
      <c r="Z19" s="224">
        <v>2531.9762459088302</v>
      </c>
      <c r="AA19" s="224">
        <v>3.10849733257231</v>
      </c>
      <c r="AB19" s="224">
        <v>6.5465018203937197E-3</v>
      </c>
      <c r="AC19" s="224">
        <v>3.49135855756042</v>
      </c>
      <c r="AD19" s="224">
        <v>1.8524963480413299</v>
      </c>
      <c r="AE19" s="224">
        <v>2747.2310150922999</v>
      </c>
      <c r="AF19" s="224">
        <v>25.6817096463604</v>
      </c>
      <c r="AG19" s="224">
        <v>2.31008403647273</v>
      </c>
      <c r="AH19" s="224">
        <v>1.7222755725405601</v>
      </c>
      <c r="AI19" s="224">
        <v>0.25961594956910461</v>
      </c>
      <c r="AJ19" s="224">
        <v>4.4401103864945703</v>
      </c>
      <c r="AK19" s="224" t="s">
        <v>110</v>
      </c>
      <c r="AL19" s="224">
        <v>-3.5059599343315599E-3</v>
      </c>
      <c r="AM19" s="224">
        <v>428.36250541212098</v>
      </c>
      <c r="AN19" s="224">
        <v>2.5043481958840301</v>
      </c>
      <c r="AO19" s="224">
        <v>1.2115835263994099E-2</v>
      </c>
      <c r="AP19" s="224">
        <v>0.69317844029126796</v>
      </c>
      <c r="AQ19" s="224">
        <v>0.94979644163114196</v>
      </c>
      <c r="AR19" s="224">
        <v>854.99024899870699</v>
      </c>
      <c r="AS19" s="224">
        <v>12.3583091993436</v>
      </c>
      <c r="AT19" s="224">
        <v>1.1385069345322301</v>
      </c>
      <c r="AU19" s="224">
        <v>0.68124902070253002</v>
      </c>
      <c r="AV19" s="224">
        <v>1.2500192827567536E-2</v>
      </c>
      <c r="AW19" s="224">
        <v>1.50284058926846</v>
      </c>
      <c r="AX19" s="224">
        <v>1.4023840174627101E-3</v>
      </c>
      <c r="AY19" s="227">
        <v>2.9329510029230225E-2</v>
      </c>
      <c r="AZ19" s="227">
        <v>3.9384329299355744E-2</v>
      </c>
      <c r="BA19" s="227">
        <v>8.414325332709105E-2</v>
      </c>
      <c r="BB19" s="227">
        <v>52.480147100106691</v>
      </c>
    </row>
    <row r="20" spans="1:54">
      <c r="A20" t="s">
        <v>48</v>
      </c>
      <c r="B20" s="172">
        <v>353988</v>
      </c>
      <c r="C20" s="172">
        <v>6031130</v>
      </c>
      <c r="D20" t="s">
        <v>22</v>
      </c>
      <c r="E20" t="s">
        <v>150</v>
      </c>
      <c r="F20" t="s">
        <v>151</v>
      </c>
      <c r="G20" s="225">
        <v>0.38599348534202027</v>
      </c>
      <c r="H20" s="223">
        <v>1.0507401386155573E-3</v>
      </c>
      <c r="I20" s="223">
        <v>0.78668523868768836</v>
      </c>
      <c r="J20" s="223">
        <v>0.80235731067585025</v>
      </c>
      <c r="K20" s="223">
        <v>1.5817346549447678E-2</v>
      </c>
      <c r="L20" s="223">
        <v>1.4527456128575976E-4</v>
      </c>
      <c r="M20" s="223">
        <v>0.19749741476286403</v>
      </c>
      <c r="N20">
        <v>8.83</v>
      </c>
      <c r="O20" s="224">
        <v>19.48648</v>
      </c>
      <c r="P20">
        <v>89</v>
      </c>
      <c r="Q20">
        <v>2.96</v>
      </c>
      <c r="R20">
        <v>0.09</v>
      </c>
      <c r="S20" s="224">
        <v>32.888888888888893</v>
      </c>
      <c r="T20" s="224">
        <v>0.96149809511377649</v>
      </c>
      <c r="U20" s="224">
        <v>1.9985019048862234</v>
      </c>
      <c r="V20" s="224">
        <v>-3.1729206999999997</v>
      </c>
      <c r="W20" s="224">
        <v>-20.9360368</v>
      </c>
      <c r="X20" s="224">
        <v>5.72</v>
      </c>
      <c r="Y20" t="s">
        <v>79</v>
      </c>
      <c r="Z20" s="224">
        <v>3296.96254467473</v>
      </c>
      <c r="AA20" s="224">
        <v>2.674475321778</v>
      </c>
      <c r="AB20" s="224">
        <v>7.2097251827900402E-3</v>
      </c>
      <c r="AC20" s="224">
        <v>5.2763541994262804</v>
      </c>
      <c r="AD20" s="224">
        <v>2.7055881936282602</v>
      </c>
      <c r="AE20" s="224">
        <v>4222.9015225605499</v>
      </c>
      <c r="AF20" s="224">
        <v>52.4682776686331</v>
      </c>
      <c r="AG20" s="224">
        <v>3.2966141489558498</v>
      </c>
      <c r="AH20" s="224">
        <v>2.1132260330090502</v>
      </c>
      <c r="AI20" s="224">
        <v>0.28201072853613102</v>
      </c>
      <c r="AJ20" s="224">
        <v>6.5599071960069004</v>
      </c>
      <c r="AK20" s="224" t="s">
        <v>110</v>
      </c>
      <c r="AL20" s="224">
        <v>-4.7913754030163699E-3</v>
      </c>
      <c r="AM20" s="224">
        <v>526.30532678699399</v>
      </c>
      <c r="AN20" s="224">
        <v>1.5739850360765599</v>
      </c>
      <c r="AO20" s="224">
        <v>1.6161386394677301E-2</v>
      </c>
      <c r="AP20" s="224">
        <v>0.88070050899622099</v>
      </c>
      <c r="AQ20" s="224">
        <v>0.86072337975945701</v>
      </c>
      <c r="AR20" s="224">
        <v>635.04529917970797</v>
      </c>
      <c r="AS20" s="224">
        <v>21.343581742487299</v>
      </c>
      <c r="AT20" s="224">
        <v>1.3797070995515399</v>
      </c>
      <c r="AU20" s="224">
        <v>0.884226537121798</v>
      </c>
      <c r="AV20" s="224">
        <v>3.3748342037254464E-2</v>
      </c>
      <c r="AW20" s="224">
        <v>1.7473311537668901</v>
      </c>
      <c r="AX20" s="224">
        <v>9.9820324527616594E-4</v>
      </c>
      <c r="AY20" s="227">
        <v>7.9094554731553805E-3</v>
      </c>
      <c r="AZ20" s="227">
        <v>1.2086576212034506E-2</v>
      </c>
      <c r="BA20" s="227">
        <v>0.13937410298206154</v>
      </c>
      <c r="BB20" s="227">
        <v>86.927628029911787</v>
      </c>
    </row>
    <row r="21" spans="1:54">
      <c r="A21" t="s">
        <v>49</v>
      </c>
      <c r="B21" s="172">
        <v>355432</v>
      </c>
      <c r="C21" s="172">
        <v>6025659</v>
      </c>
      <c r="D21" t="s">
        <v>23</v>
      </c>
      <c r="E21" t="s">
        <v>152</v>
      </c>
      <c r="F21" t="s">
        <v>152</v>
      </c>
      <c r="G21" s="225">
        <v>0.58415841584158412</v>
      </c>
      <c r="H21" s="223">
        <v>0</v>
      </c>
      <c r="I21" s="223">
        <v>0.53479308390022673</v>
      </c>
      <c r="J21" s="223">
        <v>0.57488200236069076</v>
      </c>
      <c r="K21" s="223">
        <v>7.1570294784580574E-2</v>
      </c>
      <c r="L21" s="223">
        <v>3.1481376324116614E-2</v>
      </c>
      <c r="M21" s="223">
        <v>0.39363662131519273</v>
      </c>
      <c r="N21">
        <v>8.59</v>
      </c>
      <c r="O21" s="224">
        <v>40.781910000000003</v>
      </c>
      <c r="P21">
        <v>331</v>
      </c>
      <c r="Q21">
        <v>4.83</v>
      </c>
      <c r="R21">
        <v>0.31</v>
      </c>
      <c r="S21" s="224">
        <v>15.580645161290322</v>
      </c>
      <c r="T21" s="224">
        <v>2.6331574894776097</v>
      </c>
      <c r="U21" s="224">
        <v>2.1968425105223903</v>
      </c>
      <c r="V21" s="224">
        <v>-9.5798500999999998</v>
      </c>
      <c r="W21" s="224">
        <v>-21.3520921</v>
      </c>
      <c r="X21" s="224">
        <v>3.7130000000000001</v>
      </c>
      <c r="Y21" t="s">
        <v>79</v>
      </c>
      <c r="Z21" s="224">
        <v>9907.5315724604006</v>
      </c>
      <c r="AA21" s="224">
        <v>16.739024417247698</v>
      </c>
      <c r="AB21" s="224">
        <v>2.0509977308925401E-2</v>
      </c>
      <c r="AC21" s="224">
        <v>11.5176832172793</v>
      </c>
      <c r="AD21" s="224">
        <v>6.1737806018067101</v>
      </c>
      <c r="AE21" s="224">
        <v>9629.4929341572097</v>
      </c>
      <c r="AF21" s="224">
        <v>92.628053119746795</v>
      </c>
      <c r="AG21" s="224">
        <v>7.0876891727604701</v>
      </c>
      <c r="AH21" s="224">
        <v>5.2036582946595598</v>
      </c>
      <c r="AI21" s="224">
        <v>0.54353658122260395</v>
      </c>
      <c r="AJ21" s="224">
        <v>15.8378046301262</v>
      </c>
      <c r="AK21" s="224" t="s">
        <v>110</v>
      </c>
      <c r="AL21" s="224">
        <v>2.8690684598515102E-10</v>
      </c>
      <c r="AM21" s="224">
        <v>1161.14694649377</v>
      </c>
      <c r="AN21" s="224">
        <v>12.242973635960301</v>
      </c>
      <c r="AO21" s="224">
        <v>2.61942335358183E-2</v>
      </c>
      <c r="AP21" s="224">
        <v>1.9030719597731001</v>
      </c>
      <c r="AQ21" s="224">
        <v>3.2999352843838401</v>
      </c>
      <c r="AR21" s="224">
        <v>2759.4391174308898</v>
      </c>
      <c r="AS21" s="224">
        <v>56.454455608858098</v>
      </c>
      <c r="AT21" s="224">
        <v>3.6217518390339198</v>
      </c>
      <c r="AU21" s="224">
        <v>1.6190492930575699</v>
      </c>
      <c r="AV21" s="224">
        <v>0</v>
      </c>
      <c r="AW21" s="224">
        <v>3.4904990194946399</v>
      </c>
      <c r="AX21" s="224">
        <v>2.0701892938772802E-3</v>
      </c>
      <c r="AY21" s="227">
        <v>5.4112685893711432E-2</v>
      </c>
      <c r="AZ21" s="227">
        <v>7.9355749954115609E-2</v>
      </c>
      <c r="BA21" s="227">
        <v>0.23993100633575623</v>
      </c>
      <c r="BB21" s="227">
        <v>149.64496865161118</v>
      </c>
    </row>
    <row r="22" spans="1:54">
      <c r="A22" t="s">
        <v>50</v>
      </c>
      <c r="B22" s="172">
        <v>372471</v>
      </c>
      <c r="C22" s="172">
        <v>6008708</v>
      </c>
      <c r="D22" t="s">
        <v>24</v>
      </c>
      <c r="E22" t="s">
        <v>147</v>
      </c>
      <c r="F22" t="s">
        <v>147</v>
      </c>
      <c r="G22" s="225">
        <v>0.26133333333333347</v>
      </c>
      <c r="H22" s="223">
        <v>8.135185731075645E-4</v>
      </c>
      <c r="I22" s="223">
        <v>0.89871749282188051</v>
      </c>
      <c r="J22" s="223">
        <v>0.90517399976259727</v>
      </c>
      <c r="K22" s="223">
        <v>2.9443013847698013E-2</v>
      </c>
      <c r="L22" s="223">
        <v>2.2986506906981247E-2</v>
      </c>
      <c r="M22" s="223">
        <v>7.1839493330421458E-2</v>
      </c>
      <c r="N22">
        <v>8.92</v>
      </c>
      <c r="O22" s="224">
        <v>14.29585</v>
      </c>
      <c r="P22">
        <v>73</v>
      </c>
      <c r="Q22">
        <v>1.52</v>
      </c>
      <c r="R22">
        <v>7.0000000000000007E-2</v>
      </c>
      <c r="S22" s="224">
        <v>21.714285714285712</v>
      </c>
      <c r="T22" s="224">
        <v>0.71423101350963103</v>
      </c>
      <c r="U22" s="224">
        <v>0.80576898649036899</v>
      </c>
      <c r="V22" s="224">
        <v>-5.4810393999999985</v>
      </c>
      <c r="W22" s="224">
        <v>-21.9837673</v>
      </c>
      <c r="X22" s="224">
        <v>4.4460000000000006</v>
      </c>
      <c r="Y22" t="s">
        <v>79</v>
      </c>
      <c r="Z22" s="224">
        <v>1588.7298267103301</v>
      </c>
      <c r="AA22" s="224">
        <v>5.2215817738908843</v>
      </c>
      <c r="AB22" s="224">
        <v>2.4709525172529798E-3</v>
      </c>
      <c r="AC22" s="224">
        <v>2.6238441776135701</v>
      </c>
      <c r="AD22" s="224">
        <v>0.53343775066218058</v>
      </c>
      <c r="AE22" s="224">
        <v>1558.08814458046</v>
      </c>
      <c r="AF22" s="224">
        <v>14.576040624956001</v>
      </c>
      <c r="AG22" s="224">
        <v>1.2366428230463651</v>
      </c>
      <c r="AH22" s="224">
        <v>1.1337132555198099</v>
      </c>
      <c r="AI22" s="224">
        <v>0.18983214269710671</v>
      </c>
      <c r="AJ22" s="224">
        <v>1.6005271994680599</v>
      </c>
      <c r="AK22" s="224" t="s">
        <v>110</v>
      </c>
      <c r="AL22" s="224">
        <v>-4.8749332183889004E-3</v>
      </c>
      <c r="AM22" s="224">
        <v>388.60387288052999</v>
      </c>
      <c r="AN22" s="224">
        <v>4.3540210483664898</v>
      </c>
      <c r="AO22" s="224">
        <v>4.2637903203752402E-3</v>
      </c>
      <c r="AP22" s="224">
        <v>0.58233904048716001</v>
      </c>
      <c r="AQ22" s="224">
        <v>0.29208901468168802</v>
      </c>
      <c r="AR22" s="224">
        <v>664.67883424353602</v>
      </c>
      <c r="AS22" s="224">
        <v>9.3694729239452297</v>
      </c>
      <c r="AT22" s="224">
        <v>0.874456085583872</v>
      </c>
      <c r="AU22" s="224">
        <v>0.355490269668714</v>
      </c>
      <c r="AV22" s="224">
        <v>0</v>
      </c>
      <c r="AW22" s="224">
        <v>0.48858300433150498</v>
      </c>
      <c r="AX22" s="224">
        <v>3.4820950784341802E-4</v>
      </c>
      <c r="AY22" s="227">
        <v>1.4990208816687008E-2</v>
      </c>
      <c r="AZ22" s="227">
        <v>2.0892277096427884E-2</v>
      </c>
      <c r="BA22" s="227">
        <v>3.3696354803271544E-2</v>
      </c>
      <c r="BB22" s="227">
        <v>21.016416490800463</v>
      </c>
    </row>
    <row r="23" spans="1:54">
      <c r="A23" t="s">
        <v>51</v>
      </c>
      <c r="B23" s="172">
        <v>372471</v>
      </c>
      <c r="C23" s="172">
        <v>6008709</v>
      </c>
      <c r="D23" t="s">
        <v>25</v>
      </c>
      <c r="E23" t="s">
        <v>149</v>
      </c>
      <c r="F23" t="s">
        <v>150</v>
      </c>
      <c r="G23" s="225">
        <v>0.27716535433070882</v>
      </c>
      <c r="H23" s="223">
        <v>1.7513942828573228E-4</v>
      </c>
      <c r="I23" s="223">
        <v>0.89216406841668627</v>
      </c>
      <c r="J23" s="223">
        <v>0.89742342231011973</v>
      </c>
      <c r="K23" s="223">
        <v>6.0922580225012271E-3</v>
      </c>
      <c r="L23" s="223">
        <v>8.3290412906777077E-4</v>
      </c>
      <c r="M23" s="223">
        <v>0.10174367356081251</v>
      </c>
      <c r="N23">
        <v>8.9700000000000006</v>
      </c>
      <c r="O23" s="224">
        <v>14.06888</v>
      </c>
      <c r="P23">
        <v>84</v>
      </c>
      <c r="Q23">
        <v>1.46</v>
      </c>
      <c r="R23">
        <v>0.08</v>
      </c>
      <c r="S23" s="224">
        <v>18.25</v>
      </c>
      <c r="T23" s="224">
        <v>0.75308497988043088</v>
      </c>
      <c r="U23" s="224">
        <v>0.70691502011956908</v>
      </c>
      <c r="V23" s="224">
        <v>-6.0900828999999996</v>
      </c>
      <c r="W23" s="224">
        <v>-22.8219517</v>
      </c>
      <c r="X23" s="224">
        <v>4.6760000000000002</v>
      </c>
      <c r="Y23" t="s">
        <v>79</v>
      </c>
      <c r="Z23" s="224">
        <v>1512.2098553127801</v>
      </c>
      <c r="AA23" s="224">
        <v>6.1666666139365702</v>
      </c>
      <c r="AB23" s="224">
        <v>1.1522064462932101E-3</v>
      </c>
      <c r="AC23" s="224">
        <v>2.32446138158025</v>
      </c>
      <c r="AD23" s="224">
        <v>0.45183776828834599</v>
      </c>
      <c r="AE23" s="224">
        <v>1796.7639616082699</v>
      </c>
      <c r="AF23" s="224">
        <v>15.397971694880599</v>
      </c>
      <c r="AG23" s="224">
        <v>0.91737587889007199</v>
      </c>
      <c r="AH23" s="224">
        <v>1.1508238409776901</v>
      </c>
      <c r="AI23" s="224">
        <v>0.1137389118729587</v>
      </c>
      <c r="AJ23" s="224">
        <v>1.36185045553553</v>
      </c>
      <c r="AK23" s="224" t="s">
        <v>110</v>
      </c>
      <c r="AL23" s="224">
        <v>-4.7122516993064198E-3</v>
      </c>
      <c r="AM23" s="224">
        <v>379.30971483997098</v>
      </c>
      <c r="AN23" s="224">
        <v>4.9854164854579501</v>
      </c>
      <c r="AO23" s="224">
        <v>4.10591355759422E-3</v>
      </c>
      <c r="AP23" s="224">
        <v>0.56394246057723996</v>
      </c>
      <c r="AQ23" s="224">
        <v>0.25721419551416302</v>
      </c>
      <c r="AR23" s="224">
        <v>721.37226388142301</v>
      </c>
      <c r="AS23" s="224">
        <v>8.4923799200814898</v>
      </c>
      <c r="AT23" s="224">
        <v>0.888691574392244</v>
      </c>
      <c r="AU23" s="224">
        <v>0.37242283033651902</v>
      </c>
      <c r="AV23" s="224">
        <v>0</v>
      </c>
      <c r="AW23" s="224">
        <v>0.51257082022851996</v>
      </c>
      <c r="AX23" s="224">
        <v>9.0234607706445502E-4</v>
      </c>
      <c r="AY23" s="227">
        <v>1.4676892918209046E-2</v>
      </c>
      <c r="AZ23" s="227">
        <v>2.2153800631258939E-2</v>
      </c>
      <c r="BA23" s="227">
        <v>3.9073784080498372E-2</v>
      </c>
      <c r="BB23" s="227">
        <v>24.370319131006838</v>
      </c>
    </row>
    <row r="24" spans="1:54">
      <c r="A24" t="s">
        <v>52</v>
      </c>
      <c r="B24" s="172">
        <v>367842</v>
      </c>
      <c r="C24" s="172">
        <v>6015627</v>
      </c>
      <c r="D24" t="s">
        <v>26</v>
      </c>
      <c r="E24" t="s">
        <v>147</v>
      </c>
      <c r="F24" t="s">
        <v>147</v>
      </c>
      <c r="G24" s="225">
        <v>0.21577726218097365</v>
      </c>
      <c r="H24" s="223">
        <v>1.14158274753275E-4</v>
      </c>
      <c r="I24" s="223">
        <v>0.93577863905151459</v>
      </c>
      <c r="J24" s="223">
        <v>0.93577863905151459</v>
      </c>
      <c r="K24" s="223">
        <v>0</v>
      </c>
      <c r="L24" s="223">
        <v>0</v>
      </c>
      <c r="M24" s="223">
        <v>6.4221360948485365E-2</v>
      </c>
      <c r="N24">
        <v>9.14</v>
      </c>
      <c r="O24" s="224">
        <v>10.930809999999999</v>
      </c>
      <c r="P24">
        <v>58</v>
      </c>
      <c r="Q24">
        <v>3.53</v>
      </c>
      <c r="R24">
        <v>0.06</v>
      </c>
      <c r="S24" s="224">
        <v>58.833333333333336</v>
      </c>
      <c r="T24" s="224">
        <v>0.34945188231593599</v>
      </c>
      <c r="U24" s="224">
        <v>3.1805481176840638</v>
      </c>
      <c r="V24" s="224">
        <v>1.2829873000000001</v>
      </c>
      <c r="W24" s="224">
        <v>-20.4835387</v>
      </c>
      <c r="X24" s="224">
        <v>4.806</v>
      </c>
      <c r="Y24" t="s">
        <v>79</v>
      </c>
      <c r="Z24" s="224">
        <v>496.69353968512797</v>
      </c>
      <c r="AA24" s="224">
        <v>7.9093001589817797</v>
      </c>
      <c r="AB24" s="224">
        <v>4.4034433815710403E-3</v>
      </c>
      <c r="AC24" s="224">
        <v>1.1425284590083999</v>
      </c>
      <c r="AD24" s="224">
        <v>0.25127149390818698</v>
      </c>
      <c r="AE24" s="224">
        <v>727.74398583827701</v>
      </c>
      <c r="AF24" s="224">
        <v>51.088639343625204</v>
      </c>
      <c r="AG24" s="224">
        <v>0.68447336510092704</v>
      </c>
      <c r="AH24" s="224">
        <v>0.63695811598204699</v>
      </c>
      <c r="AI24" s="224">
        <v>0.311368380779322</v>
      </c>
      <c r="AJ24" s="224">
        <v>0.75502537094375999</v>
      </c>
      <c r="AK24" s="224" t="s">
        <v>110</v>
      </c>
      <c r="AL24" s="224">
        <v>-5.1932486090653799E-3</v>
      </c>
      <c r="AM24" s="224">
        <v>175.138223575127</v>
      </c>
      <c r="AN24" s="224">
        <v>7.6054767202773803</v>
      </c>
      <c r="AO24" s="224">
        <v>1.01772458945018E-2</v>
      </c>
      <c r="AP24" s="224">
        <v>0.55689511990047602</v>
      </c>
      <c r="AQ24" s="224">
        <v>0.163333119178007</v>
      </c>
      <c r="AR24" s="224">
        <v>311.40837340305899</v>
      </c>
      <c r="AS24" s="224">
        <v>44.758414484825202</v>
      </c>
      <c r="AT24" s="224">
        <v>0.47481134906857603</v>
      </c>
      <c r="AU24" s="224">
        <v>0.24940304718666101</v>
      </c>
      <c r="AV24" s="224">
        <v>0.12825905464805837</v>
      </c>
      <c r="AW24" s="224">
        <v>0.51599588103962202</v>
      </c>
      <c r="AX24" s="224">
        <v>0</v>
      </c>
      <c r="AY24" s="227">
        <v>4.5223196073825907E-3</v>
      </c>
      <c r="AZ24" s="227">
        <v>6.679940335867933E-3</v>
      </c>
      <c r="BA24" s="227">
        <v>3.7024357721679606E-2</v>
      </c>
      <c r="BB24" s="227">
        <v>23.092091911011572</v>
      </c>
    </row>
    <row r="25" spans="1:54">
      <c r="A25" t="s">
        <v>53</v>
      </c>
      <c r="B25" s="172">
        <v>350402</v>
      </c>
      <c r="C25" s="172">
        <v>6032876</v>
      </c>
      <c r="D25" t="s">
        <v>27</v>
      </c>
      <c r="E25" t="s">
        <v>148</v>
      </c>
      <c r="F25" t="s">
        <v>148</v>
      </c>
      <c r="G25" s="225">
        <v>0.7737556561085972</v>
      </c>
      <c r="H25" s="223">
        <v>4.0337668263746283E-4</v>
      </c>
      <c r="I25" s="223">
        <v>5.4341455441442581E-2</v>
      </c>
      <c r="J25" s="223">
        <v>4.1593780014388813E-2</v>
      </c>
      <c r="K25" s="223">
        <v>0.11506784368224615</v>
      </c>
      <c r="L25" s="223">
        <v>0.12781551910929992</v>
      </c>
      <c r="M25" s="223">
        <v>0.83059070087631126</v>
      </c>
      <c r="N25">
        <v>8.25</v>
      </c>
      <c r="O25" s="224">
        <v>72.65598</v>
      </c>
      <c r="P25">
        <v>528</v>
      </c>
      <c r="Q25">
        <v>5.96</v>
      </c>
      <c r="R25">
        <v>0.68</v>
      </c>
      <c r="S25" s="224">
        <v>8.7647058823529402</v>
      </c>
      <c r="T25" s="224">
        <v>5.5526677538820817</v>
      </c>
      <c r="U25" s="224">
        <v>0.4073322461179183</v>
      </c>
      <c r="V25" s="224">
        <v>-20.069973699999995</v>
      </c>
      <c r="W25" s="224">
        <v>-20.241599000000001</v>
      </c>
      <c r="X25" s="224">
        <v>4.641</v>
      </c>
      <c r="Y25" t="s">
        <v>79</v>
      </c>
      <c r="Z25" s="224">
        <v>21937.051860045802</v>
      </c>
      <c r="AA25" s="224">
        <v>27.758163144359301</v>
      </c>
      <c r="AB25" s="224">
        <v>6.1558754078620402E-2</v>
      </c>
      <c r="AC25" s="224">
        <v>27.865780578833899</v>
      </c>
      <c r="AD25" s="224">
        <v>17.587665986903701</v>
      </c>
      <c r="AE25" s="224">
        <v>23654.374130691798</v>
      </c>
      <c r="AF25" s="224">
        <v>218.789596653948</v>
      </c>
      <c r="AG25" s="224">
        <v>17.9052239234932</v>
      </c>
      <c r="AH25" s="224">
        <v>11.5423217222113</v>
      </c>
      <c r="AI25" s="224">
        <v>1.066287776385102</v>
      </c>
      <c r="AJ25" s="224">
        <v>42.940145178259897</v>
      </c>
      <c r="AK25" s="224">
        <v>1.7533252937600999E-2</v>
      </c>
      <c r="AL25" s="224">
        <v>-3.2012802129676599E-3</v>
      </c>
      <c r="AM25" s="224">
        <v>2674.32016712211</v>
      </c>
      <c r="AN25" s="224">
        <v>15.1953505476614</v>
      </c>
      <c r="AO25" s="224">
        <v>6.4692545204045798E-2</v>
      </c>
      <c r="AP25" s="224">
        <v>4.0226568932225399</v>
      </c>
      <c r="AQ25" s="224">
        <v>7.5513838202154604</v>
      </c>
      <c r="AR25" s="224">
        <v>5467.6720384313103</v>
      </c>
      <c r="AS25" s="224">
        <v>103.445777210759</v>
      </c>
      <c r="AT25" s="224">
        <v>8.4496660439130604</v>
      </c>
      <c r="AU25" s="224">
        <v>3.44465035636693</v>
      </c>
      <c r="AV25" s="224">
        <v>0</v>
      </c>
      <c r="AW25" s="224">
        <v>9.4282476886158104</v>
      </c>
      <c r="AX25" s="224">
        <v>0</v>
      </c>
      <c r="AY25" s="227">
        <v>5.5859968155964106E-2</v>
      </c>
      <c r="AZ25" s="227">
        <v>7.7572515145068882E-2</v>
      </c>
      <c r="BA25" s="227">
        <v>0.64378220972256894</v>
      </c>
      <c r="BB25" s="227">
        <v>401.52696420396626</v>
      </c>
    </row>
    <row r="26" spans="1:54">
      <c r="A26" t="s">
        <v>54</v>
      </c>
      <c r="B26" s="172">
        <v>344861</v>
      </c>
      <c r="C26" s="172">
        <v>6038275</v>
      </c>
      <c r="D26" t="s">
        <v>28</v>
      </c>
      <c r="E26" t="s">
        <v>150</v>
      </c>
      <c r="F26" t="s">
        <v>150</v>
      </c>
      <c r="G26" s="225">
        <v>0.42342342342342382</v>
      </c>
      <c r="H26" s="223">
        <v>8.6734020073956728E-3</v>
      </c>
      <c r="I26" s="223">
        <v>0.81515588520347837</v>
      </c>
      <c r="J26" s="223">
        <v>0.8323645866274445</v>
      </c>
      <c r="K26" s="223">
        <v>2.2174043149744166E-2</v>
      </c>
      <c r="L26" s="223">
        <v>4.965341725777961E-3</v>
      </c>
      <c r="M26" s="223">
        <v>0.16267007164677749</v>
      </c>
      <c r="N26">
        <v>8.5299999999999994</v>
      </c>
      <c r="O26" s="224">
        <v>17.049049999999998</v>
      </c>
      <c r="P26">
        <v>166</v>
      </c>
      <c r="Q26">
        <v>1.47</v>
      </c>
      <c r="R26">
        <v>0.17</v>
      </c>
      <c r="S26" s="224">
        <v>8.6470588235294112</v>
      </c>
      <c r="T26" s="224">
        <v>1.2630267598268548</v>
      </c>
      <c r="U26" s="224">
        <v>0.20697324017314522</v>
      </c>
      <c r="V26" s="224">
        <v>-19.947123899999998</v>
      </c>
      <c r="W26" s="224">
        <v>-21.8349592</v>
      </c>
      <c r="X26" s="224">
        <v>1.2849999999999999</v>
      </c>
      <c r="Y26" t="s">
        <v>79</v>
      </c>
      <c r="Z26" s="224">
        <v>6271.22115492596</v>
      </c>
      <c r="AA26" s="224">
        <v>3.06644046029249</v>
      </c>
      <c r="AB26" s="224">
        <v>3.9962548372754298E-3</v>
      </c>
      <c r="AC26" s="224">
        <v>8.4809096069448309</v>
      </c>
      <c r="AD26" s="224">
        <v>5.1494600586497201</v>
      </c>
      <c r="AE26" s="224">
        <v>7424.8465423277303</v>
      </c>
      <c r="AF26" s="224">
        <v>47.658880624762901</v>
      </c>
      <c r="AG26" s="224">
        <v>5.0208733518975404</v>
      </c>
      <c r="AH26" s="224">
        <v>3.5487313297968099</v>
      </c>
      <c r="AI26" s="224">
        <v>0.61151970611501105</v>
      </c>
      <c r="AJ26" s="224">
        <v>12.7003259963387</v>
      </c>
      <c r="AK26" s="224" t="s">
        <v>110</v>
      </c>
      <c r="AL26" s="224">
        <v>-1.10132130311689E-3</v>
      </c>
      <c r="AM26" s="224">
        <v>842.23568929574901</v>
      </c>
      <c r="AN26" s="224">
        <v>2.0029489323944398</v>
      </c>
      <c r="AO26" s="224">
        <v>1.3540058846566399E-2</v>
      </c>
      <c r="AP26" s="224">
        <v>1.4701452102088</v>
      </c>
      <c r="AQ26" s="224">
        <v>2.9584591162696299</v>
      </c>
      <c r="AR26" s="224">
        <v>1894.6630528892699</v>
      </c>
      <c r="AS26" s="224">
        <v>20.449038100743898</v>
      </c>
      <c r="AT26" s="224">
        <v>2.73385221884736</v>
      </c>
      <c r="AU26" s="224">
        <v>1.2509556810806499</v>
      </c>
      <c r="AV26" s="224">
        <v>0</v>
      </c>
      <c r="AW26" s="224">
        <v>3.1185042400537402</v>
      </c>
      <c r="AX26" s="224">
        <v>1.8021625131641799E-3</v>
      </c>
      <c r="AY26" s="227">
        <v>3.5141029743546451E-2</v>
      </c>
      <c r="AZ26" s="227">
        <v>5.0504498050512291E-2</v>
      </c>
      <c r="BA26" s="227">
        <v>0.17188783412777789</v>
      </c>
      <c r="BB26" s="227">
        <v>107.20644214549507</v>
      </c>
    </row>
    <row r="27" spans="1:54">
      <c r="A27" t="s">
        <v>55</v>
      </c>
      <c r="B27" s="172">
        <v>333434</v>
      </c>
      <c r="C27" s="172">
        <v>6047916</v>
      </c>
      <c r="D27" t="s">
        <v>29</v>
      </c>
      <c r="E27" t="s">
        <v>152</v>
      </c>
      <c r="F27" t="s">
        <v>148</v>
      </c>
      <c r="G27" s="225">
        <v>0.64824120603015079</v>
      </c>
      <c r="H27" s="223">
        <v>1.7143870673491106E-3</v>
      </c>
      <c r="I27" s="223">
        <v>0.49786342531483863</v>
      </c>
      <c r="J27" s="223">
        <v>0.49490257711365515</v>
      </c>
      <c r="K27" s="223">
        <v>3.1135780740193298E-3</v>
      </c>
      <c r="L27" s="223">
        <v>6.0744262752027113E-3</v>
      </c>
      <c r="M27" s="223">
        <v>0.49902299661114208</v>
      </c>
      <c r="N27">
        <v>8.3699999999999992</v>
      </c>
      <c r="O27" s="224">
        <v>20.848290000000002</v>
      </c>
      <c r="P27">
        <v>281</v>
      </c>
      <c r="Q27">
        <v>2.82</v>
      </c>
      <c r="R27">
        <v>0.24</v>
      </c>
      <c r="S27" s="224">
        <v>11.75</v>
      </c>
      <c r="T27" s="224">
        <v>1.6735277760373899</v>
      </c>
      <c r="U27" s="224">
        <v>1.1464722239626099</v>
      </c>
      <c r="V27" s="224">
        <v>-12.661506099999999</v>
      </c>
      <c r="W27" s="224">
        <v>-21.974656599999999</v>
      </c>
      <c r="X27" s="224">
        <v>1.7489999999999999</v>
      </c>
      <c r="Y27" t="s">
        <v>79</v>
      </c>
      <c r="Z27" s="224">
        <v>16024.4268191379</v>
      </c>
      <c r="AA27" s="224">
        <v>7.1268378546447098</v>
      </c>
      <c r="AB27" s="224">
        <v>4.3608274277118199E-2</v>
      </c>
      <c r="AC27" s="224">
        <v>21.235982201313</v>
      </c>
      <c r="AD27" s="224">
        <v>11.4558937917541</v>
      </c>
      <c r="AE27" s="224">
        <v>17993.811090005001</v>
      </c>
      <c r="AF27" s="224">
        <v>169.11662221820501</v>
      </c>
      <c r="AG27" s="224">
        <v>12.4144151650992</v>
      </c>
      <c r="AH27" s="224">
        <v>8.4182656554139896</v>
      </c>
      <c r="AI27" s="224">
        <v>0.57178669576265595</v>
      </c>
      <c r="AJ27" s="224">
        <v>30.436706521524901</v>
      </c>
      <c r="AK27" s="224">
        <v>3.3640666526444998E-2</v>
      </c>
      <c r="AL27" s="224">
        <v>-2.3966444915635601E-3</v>
      </c>
      <c r="AM27" s="224">
        <v>1953.9345397694101</v>
      </c>
      <c r="AN27" s="224">
        <v>2.10087685000404</v>
      </c>
      <c r="AO27" s="224">
        <v>4.3082544959550301E-2</v>
      </c>
      <c r="AP27" s="224">
        <v>3.0416465471674399</v>
      </c>
      <c r="AQ27" s="224">
        <v>3.9912305498018199</v>
      </c>
      <c r="AR27" s="224">
        <v>2406.8493816413102</v>
      </c>
      <c r="AS27" s="224">
        <v>48.038045356567402</v>
      </c>
      <c r="AT27" s="224">
        <v>5.5256928240522099</v>
      </c>
      <c r="AU27" s="224">
        <v>1.9218548055615801</v>
      </c>
      <c r="AV27" s="224">
        <v>0.13261883365631782</v>
      </c>
      <c r="AW27" s="224">
        <v>7.42132444653957</v>
      </c>
      <c r="AX27" s="224">
        <v>0</v>
      </c>
      <c r="AY27" s="227">
        <v>3.3109262627651771E-2</v>
      </c>
      <c r="AZ27" s="227">
        <v>4.7204537535859382E-2</v>
      </c>
      <c r="BA27" s="227">
        <v>0.65430073851667558</v>
      </c>
      <c r="BB27" s="227">
        <v>408.08737061285058</v>
      </c>
    </row>
    <row r="28" spans="1:54">
      <c r="A28" t="s">
        <v>56</v>
      </c>
      <c r="B28" s="172">
        <v>320955</v>
      </c>
      <c r="C28" s="172">
        <v>6058852</v>
      </c>
      <c r="D28" t="s">
        <v>30</v>
      </c>
      <c r="E28" t="s">
        <v>149</v>
      </c>
      <c r="F28" t="s">
        <v>150</v>
      </c>
      <c r="G28" s="225">
        <v>0.4229885057471271</v>
      </c>
      <c r="H28" s="223">
        <v>6.0228780052367986E-3</v>
      </c>
      <c r="I28" s="223">
        <v>0.88625750587550689</v>
      </c>
      <c r="J28" s="223">
        <v>0.88625750587550689</v>
      </c>
      <c r="K28" s="223">
        <v>8.046891418335065E-3</v>
      </c>
      <c r="L28" s="223">
        <v>8.046891418335065E-3</v>
      </c>
      <c r="M28" s="223">
        <v>0.10569560270615805</v>
      </c>
      <c r="N28">
        <v>8.58</v>
      </c>
      <c r="O28" s="224">
        <v>7.9506399999999999</v>
      </c>
      <c r="P28">
        <v>215</v>
      </c>
      <c r="Q28">
        <v>1.51</v>
      </c>
      <c r="R28">
        <v>0.13</v>
      </c>
      <c r="S28" s="224">
        <v>11.615384615384615</v>
      </c>
      <c r="T28" s="224">
        <v>1.0884882362166541</v>
      </c>
      <c r="U28" s="224">
        <v>0.42151176378334587</v>
      </c>
      <c r="V28" s="224">
        <v>-16.302232799999999</v>
      </c>
      <c r="W28" s="224">
        <v>-23.329114000000001</v>
      </c>
      <c r="X28" s="224">
        <v>1.8549999999999998</v>
      </c>
      <c r="Y28" t="s">
        <v>79</v>
      </c>
      <c r="Z28" s="224">
        <v>6176.45035654397</v>
      </c>
      <c r="AA28" s="224">
        <v>2.4350075138632201</v>
      </c>
      <c r="AB28" s="224">
        <v>1.54880451321203E-2</v>
      </c>
      <c r="AC28" s="224">
        <v>8.5745836486583897</v>
      </c>
      <c r="AD28" s="224">
        <v>4.23712760784416</v>
      </c>
      <c r="AE28" s="224">
        <v>6606.7710902461004</v>
      </c>
      <c r="AF28" s="224">
        <v>62.335939875863602</v>
      </c>
      <c r="AG28" s="224">
        <v>4.9055314046090501</v>
      </c>
      <c r="AH28" s="224">
        <v>3.85222107958066</v>
      </c>
      <c r="AI28" s="224">
        <v>0.33226149558650497</v>
      </c>
      <c r="AJ28" s="224">
        <v>12.815496785559599</v>
      </c>
      <c r="AK28" s="224" t="s">
        <v>110</v>
      </c>
      <c r="AL28" s="224">
        <v>-1.6885179982862499E-3</v>
      </c>
      <c r="AM28" s="224">
        <v>849.75218780732496</v>
      </c>
      <c r="AN28" s="224">
        <v>1.12327082133691</v>
      </c>
      <c r="AO28" s="224">
        <v>1.30540898315243E-2</v>
      </c>
      <c r="AP28" s="224">
        <v>1.3822200050161999</v>
      </c>
      <c r="AQ28" s="224">
        <v>2.0627009180504099</v>
      </c>
      <c r="AR28" s="224">
        <v>1092.9728743098899</v>
      </c>
      <c r="AS28" s="224">
        <v>28.759633950913301</v>
      </c>
      <c r="AT28" s="224">
        <v>2.6577370307239199</v>
      </c>
      <c r="AU28" s="224">
        <v>0.97166535450200398</v>
      </c>
      <c r="AV28" s="224">
        <v>3.0910011120866665E-2</v>
      </c>
      <c r="AW28" s="224">
        <v>3.7913617230178498</v>
      </c>
      <c r="AX28" s="224">
        <v>0</v>
      </c>
      <c r="AY28" s="227">
        <v>2.518214999457892E-2</v>
      </c>
      <c r="AZ28" s="227">
        <v>3.7202171656934437E-2</v>
      </c>
      <c r="BA28" s="227">
        <v>0.13898758948069603</v>
      </c>
      <c r="BB28" s="227">
        <v>86.686559559110123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78" sqref="T78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3"/>
  <sheetViews>
    <sheetView topLeftCell="A5" zoomScaleNormal="100" workbookViewId="0">
      <selection activeCell="A39" sqref="A39:E42"/>
    </sheetView>
  </sheetViews>
  <sheetFormatPr defaultColWidth="8.85546875" defaultRowHeight="12.75"/>
  <cols>
    <col min="1" max="1" width="29.85546875" style="16" customWidth="1"/>
    <col min="2" max="2" width="10.42578125" style="16" customWidth="1"/>
    <col min="3" max="3" width="17.5703125" style="16" customWidth="1"/>
    <col min="4" max="4" width="19.28515625" style="16" customWidth="1"/>
    <col min="5" max="5" width="15.42578125" style="16" customWidth="1"/>
    <col min="6" max="6" width="12.5703125" style="16" hidden="1" customWidth="1"/>
    <col min="7" max="8" width="11.28515625" style="16" hidden="1" customWidth="1"/>
    <col min="9" max="9" width="17.140625" style="16" customWidth="1"/>
    <col min="10" max="14" width="16.5703125" style="16" customWidth="1"/>
    <col min="15" max="16384" width="8.85546875" style="16"/>
  </cols>
  <sheetData>
    <row r="1" spans="1:16" ht="23.25">
      <c r="A1" s="14" t="s">
        <v>115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N1" s="15"/>
    </row>
    <row r="2" spans="1:16" ht="15">
      <c r="A2" s="17" t="s">
        <v>116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M2" s="19"/>
      <c r="N2" s="18"/>
    </row>
    <row r="3" spans="1:16" ht="15">
      <c r="A3" s="17" t="s">
        <v>117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N3" s="18"/>
    </row>
    <row r="4" spans="1:16">
      <c r="A4" s="20" t="s">
        <v>118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N4" s="18"/>
    </row>
    <row r="5" spans="1:16" ht="15.75">
      <c r="A5" s="21"/>
      <c r="B5" s="22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6" ht="15.75">
      <c r="A6" s="24" t="s">
        <v>119</v>
      </c>
      <c r="B6" s="25" t="s">
        <v>120</v>
      </c>
      <c r="C6" s="24" t="s">
        <v>121</v>
      </c>
      <c r="D6" s="24" t="s">
        <v>121</v>
      </c>
      <c r="E6" s="24" t="s">
        <v>122</v>
      </c>
      <c r="F6" s="24" t="s">
        <v>123</v>
      </c>
      <c r="G6" s="24"/>
      <c r="H6" s="24"/>
      <c r="I6" s="24" t="s">
        <v>124</v>
      </c>
      <c r="J6" s="24" t="s">
        <v>125</v>
      </c>
      <c r="K6" s="24" t="s">
        <v>125</v>
      </c>
      <c r="L6" s="24" t="s">
        <v>126</v>
      </c>
      <c r="M6" s="24" t="s">
        <v>126</v>
      </c>
      <c r="N6" s="24" t="s">
        <v>127</v>
      </c>
    </row>
    <row r="7" spans="1:16" ht="15.75">
      <c r="A7" s="24"/>
      <c r="B7" s="25"/>
      <c r="C7" s="24" t="s">
        <v>128</v>
      </c>
      <c r="D7" s="24" t="s">
        <v>129</v>
      </c>
      <c r="E7" s="24" t="s">
        <v>130</v>
      </c>
      <c r="F7" s="24" t="s">
        <v>131</v>
      </c>
      <c r="G7" s="24" t="s">
        <v>132</v>
      </c>
      <c r="H7" s="24" t="s">
        <v>133</v>
      </c>
      <c r="I7" s="24" t="s">
        <v>133</v>
      </c>
      <c r="J7" s="24" t="s">
        <v>134</v>
      </c>
      <c r="K7" s="24" t="s">
        <v>135</v>
      </c>
      <c r="L7" s="24" t="s">
        <v>136</v>
      </c>
      <c r="M7" s="24" t="s">
        <v>137</v>
      </c>
      <c r="N7" s="24" t="s">
        <v>138</v>
      </c>
    </row>
    <row r="8" spans="1:16" ht="15.75">
      <c r="A8" s="24"/>
      <c r="B8" s="25"/>
      <c r="C8" s="24" t="s">
        <v>139</v>
      </c>
      <c r="D8" s="24" t="s">
        <v>139</v>
      </c>
      <c r="E8" s="24"/>
      <c r="F8" s="24" t="s">
        <v>140</v>
      </c>
      <c r="G8" s="24" t="s">
        <v>141</v>
      </c>
      <c r="H8" s="24" t="s">
        <v>141</v>
      </c>
      <c r="I8" s="24"/>
      <c r="J8" s="24" t="s">
        <v>142</v>
      </c>
      <c r="K8" s="24" t="s">
        <v>143</v>
      </c>
      <c r="L8" s="24" t="s">
        <v>142</v>
      </c>
      <c r="M8" s="24" t="s">
        <v>143</v>
      </c>
      <c r="N8" s="24"/>
    </row>
    <row r="9" spans="1:16" ht="16.5" thickBot="1">
      <c r="A9" s="26"/>
      <c r="B9" s="27"/>
      <c r="C9" s="27"/>
      <c r="D9" s="26"/>
      <c r="E9" s="28" t="s">
        <v>144</v>
      </c>
      <c r="F9" s="28" t="s">
        <v>140</v>
      </c>
      <c r="G9" s="28" t="s">
        <v>141</v>
      </c>
      <c r="H9" s="28" t="s">
        <v>141</v>
      </c>
      <c r="I9" s="28" t="s">
        <v>145</v>
      </c>
      <c r="J9" s="28" t="s">
        <v>146</v>
      </c>
      <c r="K9" s="28" t="s">
        <v>146</v>
      </c>
      <c r="L9" s="28" t="s">
        <v>146</v>
      </c>
      <c r="M9" s="28" t="s">
        <v>146</v>
      </c>
      <c r="N9" s="28" t="s">
        <v>146</v>
      </c>
    </row>
    <row r="10" spans="1:16" ht="15.75" thickTop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25"/>
      <c r="L10" s="30"/>
      <c r="M10" s="25"/>
      <c r="N10" s="30"/>
    </row>
    <row r="11" spans="1:16" ht="18">
      <c r="A11" s="31" t="s">
        <v>31</v>
      </c>
      <c r="B11" s="32" t="s">
        <v>5</v>
      </c>
      <c r="C11" s="32" t="s">
        <v>147</v>
      </c>
      <c r="D11" s="32" t="s">
        <v>147</v>
      </c>
      <c r="E11" s="33">
        <v>0.28782894736842157</v>
      </c>
      <c r="F11" s="34"/>
      <c r="G11" s="35">
        <v>56.581990131578912</v>
      </c>
      <c r="H11" s="35">
        <v>7.4290000000000003</v>
      </c>
      <c r="I11" s="33">
        <v>0.1312961948267318</v>
      </c>
      <c r="J11" s="33">
        <v>0.9151719020773057</v>
      </c>
      <c r="K11" s="36">
        <v>0.91990706969406244</v>
      </c>
      <c r="L11" s="33">
        <v>1.7930518756672457E-2</v>
      </c>
      <c r="M11" s="36">
        <v>1.319535113991563E-2</v>
      </c>
      <c r="N11" s="33">
        <v>6.6897579166021959E-2</v>
      </c>
      <c r="O11" s="37"/>
      <c r="P11" s="37"/>
    </row>
    <row r="12" spans="1:16" ht="18">
      <c r="A12" s="31" t="s">
        <v>32</v>
      </c>
      <c r="B12" s="32" t="s">
        <v>6</v>
      </c>
      <c r="C12" s="32" t="s">
        <v>147</v>
      </c>
      <c r="D12" s="32" t="s">
        <v>147</v>
      </c>
      <c r="E12" s="33">
        <v>0.19337979094076638</v>
      </c>
      <c r="F12" s="34"/>
      <c r="G12" s="35">
        <v>70.934181184669001</v>
      </c>
      <c r="H12" s="35">
        <v>1.4</v>
      </c>
      <c r="I12" s="33">
        <v>1.9736606197726603E-2</v>
      </c>
      <c r="J12" s="33">
        <v>0.94838652305540694</v>
      </c>
      <c r="K12" s="36">
        <v>0.9496650432870607</v>
      </c>
      <c r="L12" s="33">
        <v>1.2785202316537437E-3</v>
      </c>
      <c r="M12" s="36">
        <v>0</v>
      </c>
      <c r="N12" s="33">
        <v>5.0334956712939409E-2</v>
      </c>
      <c r="O12" s="37"/>
      <c r="P12" s="37"/>
    </row>
    <row r="13" spans="1:16" ht="18">
      <c r="A13" s="31" t="s">
        <v>33</v>
      </c>
      <c r="B13" s="32" t="s">
        <v>7</v>
      </c>
      <c r="C13" s="32" t="s">
        <v>148</v>
      </c>
      <c r="D13" s="32" t="s">
        <v>148</v>
      </c>
      <c r="E13" s="33">
        <v>0.8034934497816596</v>
      </c>
      <c r="F13" s="34"/>
      <c r="G13" s="35">
        <v>11.576200873362433</v>
      </c>
      <c r="H13" s="35">
        <v>0</v>
      </c>
      <c r="I13" s="33">
        <v>0</v>
      </c>
      <c r="J13" s="33">
        <v>0.18496871221862349</v>
      </c>
      <c r="K13" s="36">
        <v>0.42026373172545384</v>
      </c>
      <c r="L13" s="33">
        <v>0.24384730276988165</v>
      </c>
      <c r="M13" s="36">
        <v>8.5522832630512378E-3</v>
      </c>
      <c r="N13" s="33">
        <v>0.57118398501149492</v>
      </c>
      <c r="O13" s="37"/>
      <c r="P13" s="37"/>
    </row>
    <row r="14" spans="1:16" ht="18">
      <c r="A14" s="31" t="s">
        <v>34</v>
      </c>
      <c r="B14" s="32" t="s">
        <v>8</v>
      </c>
      <c r="C14" s="32" t="s">
        <v>148</v>
      </c>
      <c r="D14" s="32" t="s">
        <v>148</v>
      </c>
      <c r="E14" s="33">
        <v>0.79285714285714226</v>
      </c>
      <c r="F14" s="34"/>
      <c r="G14" s="35">
        <v>8.8781428571428851</v>
      </c>
      <c r="H14" s="35">
        <v>0</v>
      </c>
      <c r="I14" s="33">
        <v>0</v>
      </c>
      <c r="J14" s="33">
        <v>0.2115468164191377</v>
      </c>
      <c r="K14" s="36">
        <v>0.2115468164191377</v>
      </c>
      <c r="L14" s="33">
        <v>8.7654849869524445E-2</v>
      </c>
      <c r="M14" s="36">
        <v>8.7654849869524445E-2</v>
      </c>
      <c r="N14" s="33">
        <v>0.70079833371133793</v>
      </c>
      <c r="O14" s="37"/>
      <c r="P14" s="37"/>
    </row>
    <row r="15" spans="1:16" ht="18">
      <c r="A15" s="31" t="s">
        <v>35</v>
      </c>
      <c r="B15" s="32" t="s">
        <v>9</v>
      </c>
      <c r="C15" s="32" t="s">
        <v>148</v>
      </c>
      <c r="D15" s="32" t="s">
        <v>148</v>
      </c>
      <c r="E15" s="33">
        <v>0.80602006688963257</v>
      </c>
      <c r="F15" s="34"/>
      <c r="G15" s="35">
        <v>9.0491638795986393</v>
      </c>
      <c r="H15" s="35">
        <v>0</v>
      </c>
      <c r="I15" s="33">
        <v>0</v>
      </c>
      <c r="J15" s="33">
        <v>2.1265634374129407E-2</v>
      </c>
      <c r="K15" s="36">
        <v>0.19074071299303569</v>
      </c>
      <c r="L15" s="33">
        <v>0.19281522457327213</v>
      </c>
      <c r="M15" s="36">
        <v>2.3340145954365853E-2</v>
      </c>
      <c r="N15" s="33">
        <v>0.78591914105259852</v>
      </c>
      <c r="O15" s="37"/>
      <c r="P15" s="37"/>
    </row>
    <row r="16" spans="1:16" ht="18">
      <c r="A16" s="31" t="s">
        <v>36</v>
      </c>
      <c r="B16" s="32" t="s">
        <v>10</v>
      </c>
      <c r="C16" s="32" t="s">
        <v>149</v>
      </c>
      <c r="D16" s="32" t="s">
        <v>150</v>
      </c>
      <c r="E16" s="33">
        <v>0.36752136752136805</v>
      </c>
      <c r="F16" s="34"/>
      <c r="G16" s="35">
        <v>50.977777777777732</v>
      </c>
      <c r="H16" s="35">
        <v>0.60299999999999998</v>
      </c>
      <c r="I16" s="33">
        <v>1.182868352223192E-2</v>
      </c>
      <c r="J16" s="33">
        <v>0.87238328367297491</v>
      </c>
      <c r="K16" s="36">
        <v>0.88199409411478302</v>
      </c>
      <c r="L16" s="33">
        <v>1.8435093248456269E-2</v>
      </c>
      <c r="M16" s="36">
        <v>8.8242828066481139E-3</v>
      </c>
      <c r="N16" s="33">
        <v>0.10918162307856896</v>
      </c>
      <c r="O16" s="37"/>
      <c r="P16" s="37"/>
    </row>
    <row r="17" spans="1:16" ht="18">
      <c r="A17" s="31" t="s">
        <v>37</v>
      </c>
      <c r="B17" s="32" t="s">
        <v>11</v>
      </c>
      <c r="C17" s="32" t="s">
        <v>148</v>
      </c>
      <c r="D17" s="32" t="s">
        <v>148</v>
      </c>
      <c r="E17" s="33">
        <v>0.80083857442348017</v>
      </c>
      <c r="F17" s="34"/>
      <c r="G17" s="35">
        <v>9.2928721174004139</v>
      </c>
      <c r="H17" s="35">
        <v>0</v>
      </c>
      <c r="I17" s="33">
        <v>0</v>
      </c>
      <c r="J17" s="33">
        <v>0.10921935674621608</v>
      </c>
      <c r="K17" s="36">
        <v>0.14526308682330835</v>
      </c>
      <c r="L17" s="33">
        <v>7.1643088149870526E-2</v>
      </c>
      <c r="M17" s="36">
        <v>3.5599358072778246E-2</v>
      </c>
      <c r="N17" s="33">
        <v>0.8191375551039134</v>
      </c>
      <c r="O17" s="37"/>
      <c r="P17" s="37"/>
    </row>
    <row r="18" spans="1:16" ht="18">
      <c r="A18" s="31" t="s">
        <v>38</v>
      </c>
      <c r="B18" s="32" t="s">
        <v>12</v>
      </c>
      <c r="C18" s="32" t="s">
        <v>151</v>
      </c>
      <c r="D18" s="32" t="s">
        <v>152</v>
      </c>
      <c r="E18" s="33">
        <v>0.66908212560386449</v>
      </c>
      <c r="F18" s="34"/>
      <c r="G18" s="35">
        <v>22.052367149758474</v>
      </c>
      <c r="H18" s="35">
        <v>2.4E-2</v>
      </c>
      <c r="I18" s="33">
        <v>1.0883185390944689E-3</v>
      </c>
      <c r="J18" s="33">
        <v>0.60065877678143853</v>
      </c>
      <c r="K18" s="36">
        <v>0.64174204258767831</v>
      </c>
      <c r="L18" s="33">
        <v>5.368694698414004E-2</v>
      </c>
      <c r="M18" s="36">
        <v>1.2603681177900228E-2</v>
      </c>
      <c r="N18" s="33">
        <v>0.34565427623442141</v>
      </c>
      <c r="O18" s="37"/>
      <c r="P18" s="37"/>
    </row>
    <row r="19" spans="1:16" ht="18">
      <c r="A19" s="31" t="s">
        <v>39</v>
      </c>
      <c r="B19" s="32" t="s">
        <v>13</v>
      </c>
      <c r="C19" s="32" t="s">
        <v>148</v>
      </c>
      <c r="D19" s="32" t="s">
        <v>148</v>
      </c>
      <c r="E19" s="33">
        <v>0.71270718232044228</v>
      </c>
      <c r="F19" s="34"/>
      <c r="G19" s="35">
        <v>12.916685082872913</v>
      </c>
      <c r="H19" s="35">
        <v>0</v>
      </c>
      <c r="I19" s="33">
        <v>0</v>
      </c>
      <c r="J19" s="33">
        <v>0.42487846703379434</v>
      </c>
      <c r="K19" s="36">
        <v>0.46236040896891101</v>
      </c>
      <c r="L19" s="33">
        <v>6.3196669410874623E-2</v>
      </c>
      <c r="M19" s="36">
        <v>2.5714727475757967E-2</v>
      </c>
      <c r="N19" s="33">
        <v>0.51192486355533096</v>
      </c>
      <c r="O19" s="37"/>
      <c r="P19" s="37"/>
    </row>
    <row r="20" spans="1:16" ht="18">
      <c r="A20" s="31" t="s">
        <v>40</v>
      </c>
      <c r="B20" s="32" t="s">
        <v>14</v>
      </c>
      <c r="C20" s="32" t="s">
        <v>148</v>
      </c>
      <c r="D20" s="32" t="s">
        <v>148</v>
      </c>
      <c r="E20" s="33">
        <v>0.80172413793103414</v>
      </c>
      <c r="F20" s="34"/>
      <c r="G20" s="35">
        <v>7.5800862068965635</v>
      </c>
      <c r="H20" s="35">
        <v>0</v>
      </c>
      <c r="I20" s="33">
        <v>0</v>
      </c>
      <c r="J20" s="33">
        <v>3.1106033958719054E-2</v>
      </c>
      <c r="K20" s="36">
        <v>1.0565342492239581E-2</v>
      </c>
      <c r="L20" s="33">
        <v>4.5421619034037949E-2</v>
      </c>
      <c r="M20" s="36">
        <v>6.5962310500517415E-2</v>
      </c>
      <c r="N20" s="33">
        <v>0.92347234700724301</v>
      </c>
      <c r="O20" s="37"/>
      <c r="P20" s="37"/>
    </row>
    <row r="21" spans="1:16" ht="18">
      <c r="A21" s="31" t="s">
        <v>41</v>
      </c>
      <c r="B21" s="32" t="s">
        <v>15</v>
      </c>
      <c r="C21" s="32" t="s">
        <v>148</v>
      </c>
      <c r="D21" s="32" t="s">
        <v>148</v>
      </c>
      <c r="E21" s="33">
        <v>0.80762250453720474</v>
      </c>
      <c r="F21" s="34"/>
      <c r="G21" s="35">
        <v>7.9490381125227021</v>
      </c>
      <c r="H21" s="35">
        <v>0</v>
      </c>
      <c r="I21" s="33">
        <v>0</v>
      </c>
      <c r="J21" s="33">
        <v>1.2658089944951456E-2</v>
      </c>
      <c r="K21" s="36">
        <v>6.3860410877214946E-2</v>
      </c>
      <c r="L21" s="33">
        <v>9.2753177219392885E-2</v>
      </c>
      <c r="M21" s="36">
        <v>4.1550856287129394E-2</v>
      </c>
      <c r="N21" s="33">
        <v>0.89458873283565565</v>
      </c>
      <c r="O21" s="37"/>
      <c r="P21" s="37"/>
    </row>
    <row r="22" spans="1:16" ht="18">
      <c r="A22" s="31" t="s">
        <v>42</v>
      </c>
      <c r="B22" s="32" t="s">
        <v>16</v>
      </c>
      <c r="C22" s="32" t="s">
        <v>148</v>
      </c>
      <c r="D22" s="32" t="s">
        <v>148</v>
      </c>
      <c r="E22" s="33">
        <v>0.74254742547425479</v>
      </c>
      <c r="F22" s="34"/>
      <c r="G22" s="35">
        <v>9.3094850948509471</v>
      </c>
      <c r="H22" s="35">
        <v>0</v>
      </c>
      <c r="I22" s="33">
        <v>0</v>
      </c>
      <c r="J22" s="33">
        <v>2.5202781268651366E-2</v>
      </c>
      <c r="K22" s="36">
        <v>3.3244061481136386E-2</v>
      </c>
      <c r="L22" s="33">
        <v>0.15734007729383023</v>
      </c>
      <c r="M22" s="36">
        <v>0.14929879708134522</v>
      </c>
      <c r="N22" s="33">
        <v>0.81745714143751846</v>
      </c>
      <c r="O22" s="37"/>
      <c r="P22" s="37"/>
    </row>
    <row r="23" spans="1:16" ht="18">
      <c r="A23" s="31" t="s">
        <v>43</v>
      </c>
      <c r="B23" s="32" t="s">
        <v>17</v>
      </c>
      <c r="C23" s="32" t="s">
        <v>147</v>
      </c>
      <c r="D23" s="32" t="s">
        <v>147</v>
      </c>
      <c r="E23" s="33">
        <v>0.18352059925093694</v>
      </c>
      <c r="F23" s="34"/>
      <c r="G23" s="35">
        <v>59.937752808988719</v>
      </c>
      <c r="H23" s="35">
        <v>5.2999999999999999E-2</v>
      </c>
      <c r="I23" s="33">
        <v>8.8425070203919484E-4</v>
      </c>
      <c r="J23" s="33">
        <v>0.94155440515612099</v>
      </c>
      <c r="K23" s="36">
        <v>0.95108428499010633</v>
      </c>
      <c r="L23" s="33">
        <v>1.4989031373241488E-2</v>
      </c>
      <c r="M23" s="36">
        <v>5.4591515392561976E-3</v>
      </c>
      <c r="N23" s="33">
        <v>4.3456563470637477E-2</v>
      </c>
      <c r="O23" s="37"/>
      <c r="P23" s="37"/>
    </row>
    <row r="24" spans="1:16" ht="18">
      <c r="A24" s="31" t="s">
        <v>44</v>
      </c>
      <c r="B24" s="32" t="s">
        <v>18</v>
      </c>
      <c r="C24" s="32" t="s">
        <v>147</v>
      </c>
      <c r="D24" s="32" t="s">
        <v>147</v>
      </c>
      <c r="E24" s="33">
        <v>0.18571428571428603</v>
      </c>
      <c r="F24" s="34"/>
      <c r="G24" s="35">
        <v>64.100571428571413</v>
      </c>
      <c r="H24" s="35">
        <v>0.05</v>
      </c>
      <c r="I24" s="33">
        <v>7.8002424761089743E-4</v>
      </c>
      <c r="J24" s="33">
        <v>0.97152164885903802</v>
      </c>
      <c r="K24" s="36">
        <v>0.96877467358381997</v>
      </c>
      <c r="L24" s="33">
        <v>6.6972501306095467E-3</v>
      </c>
      <c r="M24" s="36">
        <v>9.4442254058276377E-3</v>
      </c>
      <c r="N24" s="33">
        <v>2.1781101010352428E-2</v>
      </c>
      <c r="O24" s="37"/>
      <c r="P24" s="37"/>
    </row>
    <row r="25" spans="1:16" ht="18">
      <c r="A25" s="31" t="s">
        <v>45</v>
      </c>
      <c r="B25" s="32" t="s">
        <v>19</v>
      </c>
      <c r="C25" s="32" t="s">
        <v>147</v>
      </c>
      <c r="D25" s="32" t="s">
        <v>147</v>
      </c>
      <c r="E25" s="33">
        <v>0.25208333333333294</v>
      </c>
      <c r="F25" s="34"/>
      <c r="G25" s="38">
        <v>69.601125000000053</v>
      </c>
      <c r="H25" s="38">
        <v>0</v>
      </c>
      <c r="I25" s="33">
        <v>0</v>
      </c>
      <c r="J25" s="33">
        <v>0.94500005389562991</v>
      </c>
      <c r="K25" s="36">
        <v>0.95066485579133597</v>
      </c>
      <c r="L25" s="33">
        <v>2.4757503414780047E-2</v>
      </c>
      <c r="M25" s="36">
        <v>1.9092701519073926E-2</v>
      </c>
      <c r="N25" s="33">
        <v>3.0242442689590025E-2</v>
      </c>
      <c r="O25" s="37"/>
      <c r="P25" s="37"/>
    </row>
    <row r="26" spans="1:16" ht="18">
      <c r="A26" s="31" t="s">
        <v>46</v>
      </c>
      <c r="B26" s="32" t="s">
        <v>20</v>
      </c>
      <c r="C26" s="32" t="s">
        <v>147</v>
      </c>
      <c r="D26" s="32" t="s">
        <v>147</v>
      </c>
      <c r="E26" s="33">
        <v>0.21120689655172498</v>
      </c>
      <c r="F26" s="34"/>
      <c r="G26" s="35">
        <v>73.689051724137855</v>
      </c>
      <c r="H26" s="35">
        <v>0.64900000000000002</v>
      </c>
      <c r="I26" s="33">
        <v>8.8072784873062925E-3</v>
      </c>
      <c r="J26" s="33">
        <v>0.94758960278038173</v>
      </c>
      <c r="K26" s="36">
        <v>0.95298769020688578</v>
      </c>
      <c r="L26" s="33">
        <v>5.9306230127063484E-3</v>
      </c>
      <c r="M26" s="36">
        <v>5.3253558620227183E-4</v>
      </c>
      <c r="N26" s="33">
        <v>4.6479774206911954E-2</v>
      </c>
      <c r="O26" s="37"/>
      <c r="P26" s="37"/>
    </row>
    <row r="27" spans="1:16" ht="18">
      <c r="A27" s="31" t="s">
        <v>47</v>
      </c>
      <c r="B27" s="32" t="s">
        <v>21</v>
      </c>
      <c r="C27" s="32" t="s">
        <v>150</v>
      </c>
      <c r="D27" s="32" t="s">
        <v>150</v>
      </c>
      <c r="E27" s="33">
        <v>0.29891304347826125</v>
      </c>
      <c r="F27" s="34"/>
      <c r="G27" s="35">
        <v>51.060163043478234</v>
      </c>
      <c r="H27" s="35">
        <v>0.111</v>
      </c>
      <c r="I27" s="33">
        <v>2.1739061018172311E-3</v>
      </c>
      <c r="J27" s="33">
        <v>0.83452618874004714</v>
      </c>
      <c r="K27" s="36">
        <v>0.84403883650700329</v>
      </c>
      <c r="L27" s="33">
        <v>1.8268252778064493E-2</v>
      </c>
      <c r="M27" s="36">
        <v>8.7556050111084003E-3</v>
      </c>
      <c r="N27" s="33">
        <v>0.14720555848188835</v>
      </c>
      <c r="O27" s="37"/>
      <c r="P27" s="37"/>
    </row>
    <row r="28" spans="1:16" ht="18">
      <c r="A28" s="31" t="s">
        <v>48</v>
      </c>
      <c r="B28" s="32" t="s">
        <v>22</v>
      </c>
      <c r="C28" s="32" t="s">
        <v>150</v>
      </c>
      <c r="D28" s="32" t="s">
        <v>151</v>
      </c>
      <c r="E28" s="33">
        <v>0.38599348534202027</v>
      </c>
      <c r="F28" s="34"/>
      <c r="G28" s="35">
        <v>39.971824104234472</v>
      </c>
      <c r="H28" s="35">
        <v>4.2000000000000003E-2</v>
      </c>
      <c r="I28" s="33">
        <v>1.0507401386155573E-3</v>
      </c>
      <c r="J28" s="33">
        <v>0.78668523868768836</v>
      </c>
      <c r="K28" s="36">
        <v>0.80235731067585025</v>
      </c>
      <c r="L28" s="33">
        <v>1.5817346549447678E-2</v>
      </c>
      <c r="M28" s="36">
        <v>1.4527456128575976E-4</v>
      </c>
      <c r="N28" s="33">
        <v>0.19749741476286403</v>
      </c>
      <c r="O28" s="37"/>
      <c r="P28" s="37"/>
    </row>
    <row r="29" spans="1:16" ht="18">
      <c r="A29" s="31" t="s">
        <v>49</v>
      </c>
      <c r="B29" s="32" t="s">
        <v>23</v>
      </c>
      <c r="C29" s="32" t="s">
        <v>152</v>
      </c>
      <c r="D29" s="32" t="s">
        <v>152</v>
      </c>
      <c r="E29" s="33">
        <v>0.58415841584158412</v>
      </c>
      <c r="F29" s="34"/>
      <c r="G29" s="35">
        <v>13.972277227722772</v>
      </c>
      <c r="H29" s="35">
        <v>0</v>
      </c>
      <c r="I29" s="33">
        <v>0</v>
      </c>
      <c r="J29" s="33">
        <v>0.53479308390022673</v>
      </c>
      <c r="K29" s="36">
        <v>0.57488200236069076</v>
      </c>
      <c r="L29" s="33">
        <v>7.1570294784580574E-2</v>
      </c>
      <c r="M29" s="36">
        <v>3.1481376324116614E-2</v>
      </c>
      <c r="N29" s="33">
        <v>0.39363662131519273</v>
      </c>
      <c r="O29" s="37"/>
      <c r="P29" s="37"/>
    </row>
    <row r="30" spans="1:16" ht="18">
      <c r="A30" s="31" t="s">
        <v>50</v>
      </c>
      <c r="B30" s="32" t="s">
        <v>24</v>
      </c>
      <c r="C30" s="32" t="s">
        <v>147</v>
      </c>
      <c r="D30" s="32" t="s">
        <v>147</v>
      </c>
      <c r="E30" s="33">
        <v>0.26133333333333347</v>
      </c>
      <c r="F30" s="34"/>
      <c r="G30" s="35">
        <v>62.690639999999988</v>
      </c>
      <c r="H30" s="35">
        <v>5.0999999999999997E-2</v>
      </c>
      <c r="I30" s="33">
        <v>8.135185731075645E-4</v>
      </c>
      <c r="J30" s="33">
        <v>0.89871749282188051</v>
      </c>
      <c r="K30" s="36">
        <v>0.90517399976259727</v>
      </c>
      <c r="L30" s="33">
        <v>2.9443013847698013E-2</v>
      </c>
      <c r="M30" s="36">
        <v>2.2986506906981247E-2</v>
      </c>
      <c r="N30" s="33">
        <v>7.1839493330421458E-2</v>
      </c>
      <c r="O30" s="37"/>
      <c r="P30" s="37"/>
    </row>
    <row r="31" spans="1:16" ht="18">
      <c r="A31" s="31" t="s">
        <v>51</v>
      </c>
      <c r="B31" s="32" t="s">
        <v>25</v>
      </c>
      <c r="C31" s="32" t="s">
        <v>149</v>
      </c>
      <c r="D31" s="32" t="s">
        <v>150</v>
      </c>
      <c r="E31" s="33">
        <v>0.27716535433070882</v>
      </c>
      <c r="F31" s="34"/>
      <c r="G31" s="35">
        <v>62.807102362204716</v>
      </c>
      <c r="H31" s="35">
        <v>1.0999999999999999E-2</v>
      </c>
      <c r="I31" s="33">
        <v>1.7513942828573228E-4</v>
      </c>
      <c r="J31" s="33">
        <v>0.89216406841668627</v>
      </c>
      <c r="K31" s="36">
        <v>0.89742342231011973</v>
      </c>
      <c r="L31" s="33">
        <v>6.0922580225012271E-3</v>
      </c>
      <c r="M31" s="36">
        <v>8.3290412906777077E-4</v>
      </c>
      <c r="N31" s="33">
        <v>0.10174367356081251</v>
      </c>
      <c r="O31" s="37"/>
      <c r="P31" s="37"/>
    </row>
    <row r="32" spans="1:16" ht="18">
      <c r="A32" s="31" t="s">
        <v>52</v>
      </c>
      <c r="B32" s="32" t="s">
        <v>26</v>
      </c>
      <c r="C32" s="32" t="s">
        <v>147</v>
      </c>
      <c r="D32" s="32" t="s">
        <v>147</v>
      </c>
      <c r="E32" s="33">
        <v>0.21577726218097365</v>
      </c>
      <c r="F32" s="34"/>
      <c r="G32" s="35">
        <v>70.078143851508187</v>
      </c>
      <c r="H32" s="35">
        <v>8.0000000000000002E-3</v>
      </c>
      <c r="I32" s="33">
        <v>1.14158274753275E-4</v>
      </c>
      <c r="J32" s="33">
        <v>0.93577863905151459</v>
      </c>
      <c r="K32" s="36">
        <v>0.93577863905151459</v>
      </c>
      <c r="L32" s="33">
        <v>0</v>
      </c>
      <c r="M32" s="36">
        <v>0</v>
      </c>
      <c r="N32" s="33">
        <v>6.4221360948485365E-2</v>
      </c>
      <c r="O32" s="37"/>
      <c r="P32" s="37"/>
    </row>
    <row r="33" spans="1:16" ht="18">
      <c r="A33" s="31" t="s">
        <v>53</v>
      </c>
      <c r="B33" s="32" t="s">
        <v>27</v>
      </c>
      <c r="C33" s="32" t="s">
        <v>148</v>
      </c>
      <c r="D33" s="32" t="s">
        <v>148</v>
      </c>
      <c r="E33" s="33">
        <v>0.7737556561085972</v>
      </c>
      <c r="F33" s="34"/>
      <c r="G33" s="35">
        <v>9.9162895927601831</v>
      </c>
      <c r="H33" s="35">
        <v>4.0000000000000001E-3</v>
      </c>
      <c r="I33" s="33">
        <v>4.0337668263746283E-4</v>
      </c>
      <c r="J33" s="33">
        <v>5.4341455441442581E-2</v>
      </c>
      <c r="K33" s="36">
        <v>4.1593780014388813E-2</v>
      </c>
      <c r="L33" s="33">
        <v>0.11506784368224615</v>
      </c>
      <c r="M33" s="36">
        <v>0.12781551910929992</v>
      </c>
      <c r="N33" s="33">
        <v>0.83059070087631126</v>
      </c>
      <c r="O33" s="37"/>
      <c r="P33" s="37"/>
    </row>
    <row r="34" spans="1:16" ht="18">
      <c r="A34" s="31" t="s">
        <v>54</v>
      </c>
      <c r="B34" s="32" t="s">
        <v>28</v>
      </c>
      <c r="C34" s="32" t="s">
        <v>150</v>
      </c>
      <c r="D34" s="32" t="s">
        <v>150</v>
      </c>
      <c r="E34" s="33">
        <v>0.42342342342342382</v>
      </c>
      <c r="F34" s="34"/>
      <c r="G34" s="35">
        <v>32.743783783783762</v>
      </c>
      <c r="H34" s="35">
        <v>0.28399999999999997</v>
      </c>
      <c r="I34" s="33">
        <v>8.6734020073956728E-3</v>
      </c>
      <c r="J34" s="33">
        <v>0.81515588520347837</v>
      </c>
      <c r="K34" s="36">
        <v>0.8323645866274445</v>
      </c>
      <c r="L34" s="33">
        <v>2.2174043149744166E-2</v>
      </c>
      <c r="M34" s="36">
        <v>4.965341725777961E-3</v>
      </c>
      <c r="N34" s="33">
        <v>0.16267007164677749</v>
      </c>
      <c r="O34" s="37"/>
      <c r="P34" s="37"/>
    </row>
    <row r="35" spans="1:16" ht="18">
      <c r="A35" s="31" t="s">
        <v>55</v>
      </c>
      <c r="B35" s="32" t="s">
        <v>29</v>
      </c>
      <c r="C35" s="32" t="s">
        <v>152</v>
      </c>
      <c r="D35" s="32" t="s">
        <v>148</v>
      </c>
      <c r="E35" s="33">
        <v>0.64824120603015079</v>
      </c>
      <c r="F35" s="34"/>
      <c r="G35" s="35">
        <v>19.832160804020102</v>
      </c>
      <c r="H35" s="35">
        <v>3.4000000000000002E-2</v>
      </c>
      <c r="I35" s="33">
        <v>1.7143870673491106E-3</v>
      </c>
      <c r="J35" s="33">
        <v>0.49786342531483863</v>
      </c>
      <c r="K35" s="36">
        <v>0.49490257711365515</v>
      </c>
      <c r="L35" s="33">
        <v>3.1135780740193298E-3</v>
      </c>
      <c r="M35" s="36">
        <v>6.0744262752027113E-3</v>
      </c>
      <c r="N35" s="33">
        <v>0.49902299661114208</v>
      </c>
      <c r="O35" s="37"/>
      <c r="P35" s="37"/>
    </row>
    <row r="36" spans="1:16" ht="18">
      <c r="A36" s="31" t="s">
        <v>56</v>
      </c>
      <c r="B36" s="32" t="s">
        <v>30</v>
      </c>
      <c r="C36" s="32" t="s">
        <v>149</v>
      </c>
      <c r="D36" s="32" t="s">
        <v>150</v>
      </c>
      <c r="E36" s="33">
        <v>0.4229885057471271</v>
      </c>
      <c r="F36" s="34"/>
      <c r="G36" s="35">
        <v>48.647839080459718</v>
      </c>
      <c r="H36" s="35">
        <v>0.29299999999999998</v>
      </c>
      <c r="I36" s="33">
        <v>6.0228780052367986E-3</v>
      </c>
      <c r="J36" s="33">
        <v>0.88625750587550689</v>
      </c>
      <c r="K36" s="36">
        <v>0.88625750587550689</v>
      </c>
      <c r="L36" s="33">
        <v>8.046891418335065E-3</v>
      </c>
      <c r="M36" s="36">
        <v>8.046891418335065E-3</v>
      </c>
      <c r="N36" s="33">
        <v>0.10569560270615805</v>
      </c>
      <c r="O36" s="37"/>
      <c r="P36" s="37"/>
    </row>
    <row r="37" spans="1:16" ht="15">
      <c r="A37" s="39"/>
      <c r="B37" s="39"/>
      <c r="C37" s="39"/>
      <c r="D37" s="39"/>
      <c r="E37" s="39"/>
      <c r="F37" s="39"/>
      <c r="G37" s="39"/>
      <c r="H37" s="39"/>
      <c r="I37" s="39"/>
      <c r="J37" s="40"/>
      <c r="K37" s="41"/>
      <c r="L37" s="40"/>
      <c r="M37" s="41"/>
      <c r="N37" s="40"/>
    </row>
    <row r="38" spans="1:16" ht="15">
      <c r="A38" s="42" t="s">
        <v>153</v>
      </c>
      <c r="J38" s="43"/>
      <c r="K38" s="43"/>
      <c r="L38" s="43"/>
      <c r="M38" s="43"/>
      <c r="N38" s="43"/>
    </row>
    <row r="39" spans="1:16" ht="22.5" customHeight="1">
      <c r="A39" s="16" t="str">
        <f>ROW(A1) &amp; ". The Hydrometer Analysis method was used to determine the percentage sand, silt and clay,"</f>
        <v>1. The Hydrometer Analysis method was used to determine the percentage sand, silt and clay,</v>
      </c>
      <c r="J39" s="43"/>
      <c r="K39" s="43"/>
      <c r="L39" s="43"/>
      <c r="M39" s="43"/>
      <c r="N39" s="43"/>
    </row>
    <row r="40" spans="1:16" ht="22.5" customHeight="1">
      <c r="A40" s="16" t="s">
        <v>154</v>
      </c>
      <c r="J40" s="43"/>
      <c r="K40" s="43"/>
      <c r="L40" s="43"/>
      <c r="M40" s="43"/>
      <c r="N40" s="43"/>
    </row>
    <row r="41" spans="1:16" ht="22.5" customHeight="1">
      <c r="A41" s="16" t="s">
        <v>155</v>
      </c>
      <c r="J41" s="43"/>
      <c r="K41" s="43"/>
      <c r="L41" s="43"/>
      <c r="M41" s="43"/>
      <c r="N41" s="43"/>
    </row>
    <row r="42" spans="1:16" ht="22.5" customHeight="1">
      <c r="A42" s="16" t="str">
        <f>ROW(A2) &amp; ". The texture classification was based on the hydrometer results and the appropriate texture triangle."</f>
        <v>2. The texture classification was based on the hydrometer results and the appropriate texture triangle.</v>
      </c>
      <c r="J42" s="43"/>
      <c r="K42" s="43"/>
      <c r="L42" s="43"/>
      <c r="M42" s="43"/>
      <c r="N42" s="43"/>
    </row>
    <row r="43" spans="1:16" ht="22.5" customHeight="1">
      <c r="A43" s="16" t="str">
        <f>ROW(A3) &amp; ". All services undertaken by EAL are covered by the EAL Laboratory Services Terms and Conditions (see EAL website: scu.edu.au/eal)."</f>
        <v>3. All services undertaken by EAL are covered by the EAL Laboratory Services Terms and Conditions (see EAL website: scu.edu.au/eal).</v>
      </c>
      <c r="J43" s="43"/>
      <c r="K43" s="43"/>
      <c r="L43" s="43"/>
      <c r="M43" s="43"/>
      <c r="N43" s="43"/>
    </row>
    <row r="44" spans="1:16" ht="22.5" customHeight="1">
      <c r="A44" s="16" t="str">
        <f>ROW(A4) &amp; ". This report is not to be reproduced except in full."</f>
        <v>4. This report is not to be reproduced except in full.</v>
      </c>
      <c r="J44" s="43"/>
      <c r="K44" s="43"/>
      <c r="L44" s="43"/>
      <c r="M44" s="43"/>
      <c r="N44" s="43"/>
    </row>
    <row r="45" spans="1:16" ht="22.5" customHeight="1">
      <c r="A45" s="16" t="str">
        <f ca="1">ROW(A5) &amp; ". This report was issued on " &amp; TEXT(TODAY(),"dd/mm/yyyy")</f>
        <v>5. This report was issued on 05/06/2020</v>
      </c>
      <c r="J45" s="43"/>
      <c r="K45" s="43"/>
      <c r="L45" s="43"/>
      <c r="M45" s="43"/>
      <c r="N45" s="43"/>
    </row>
    <row r="46" spans="1:16" ht="15">
      <c r="J46" s="43"/>
      <c r="K46" s="43"/>
      <c r="L46" s="43"/>
      <c r="M46" s="43"/>
      <c r="N46" s="43"/>
    </row>
    <row r="47" spans="1:16" ht="15">
      <c r="J47" s="43"/>
      <c r="K47" s="43"/>
      <c r="L47" s="43"/>
      <c r="M47" s="43"/>
      <c r="N47" s="43"/>
    </row>
    <row r="48" spans="1:16" ht="15">
      <c r="J48" s="43"/>
      <c r="K48" s="43"/>
      <c r="L48" s="43"/>
      <c r="M48" s="43"/>
      <c r="N48" s="43"/>
    </row>
    <row r="49" spans="10:14" ht="15">
      <c r="J49" s="43"/>
      <c r="K49" s="43"/>
      <c r="L49" s="43"/>
      <c r="M49" s="43"/>
      <c r="N49" s="43"/>
    </row>
    <row r="50" spans="10:14" ht="15">
      <c r="J50" s="43"/>
      <c r="K50" s="43"/>
      <c r="L50" s="43"/>
      <c r="M50" s="43"/>
      <c r="N50" s="43"/>
    </row>
    <row r="51" spans="10:14" ht="15">
      <c r="J51" s="43"/>
      <c r="K51" s="43"/>
      <c r="L51" s="43"/>
      <c r="M51" s="43"/>
      <c r="N51" s="43"/>
    </row>
    <row r="52" spans="10:14" ht="15">
      <c r="J52" s="43"/>
      <c r="K52" s="43"/>
      <c r="L52" s="43"/>
      <c r="M52" s="43"/>
      <c r="N52" s="43"/>
    </row>
    <row r="53" spans="10:14" ht="15">
      <c r="J53" s="43"/>
      <c r="K53" s="43"/>
      <c r="L53" s="43"/>
      <c r="M53" s="43"/>
      <c r="N53" s="43"/>
    </row>
  </sheetData>
  <conditionalFormatting sqref="J11:N33">
    <cfRule type="cellIs" dxfId="5" priority="2" operator="lessThan">
      <formula>0</formula>
    </cfRule>
  </conditionalFormatting>
  <conditionalFormatting sqref="J34:N36">
    <cfRule type="cellIs" dxfId="4" priority="1" operator="lessThan">
      <formula>0</formula>
    </cfRule>
  </conditionalFormatting>
  <printOptions horizontalCentered="1" verticalCentered="1"/>
  <pageMargins left="0.70000000000000007" right="0.70000000000000007" top="0.75000000000000011" bottom="0.75000000000000011" header="0.30000000000000004" footer="0.30000000000000004"/>
  <pageSetup paperSize="10" scale="36" orientation="landscape" horizontalDpi="4294967292" verticalDpi="4294967292" r:id="rId1"/>
  <headerFooter>
    <oddHeader>&amp;C&amp;12&amp;K000000PAGE &amp;P OF &amp;N</oddHeader>
    <oddFooter xml:space="preserve">&amp;C&amp;"Geneva,Regular"&amp;12&amp;K008000Environmental Analysis Laboratory, Southern Cross University, 
Tel. 02 6620 3678, website: scu.edu.au/eal
&amp;R&amp;"Geneva,Regular"&amp;K000000&amp;G
checked: ...............
Graham Lancaster (Nata signatory)
Laboratory Manager&amp;12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32" workbookViewId="0">
      <selection activeCell="B43" sqref="B43"/>
    </sheetView>
  </sheetViews>
  <sheetFormatPr defaultColWidth="11.42578125" defaultRowHeight="12.75"/>
  <cols>
    <col min="1" max="1" width="37.7109375" style="7" customWidth="1"/>
    <col min="2" max="2" width="39.28515625" style="11" customWidth="1"/>
    <col min="3" max="3" width="9.5703125" style="6" customWidth="1"/>
    <col min="4" max="28" width="9.7109375" style="6" customWidth="1"/>
    <col min="29" max="16384" width="11.42578125" style="7"/>
  </cols>
  <sheetData>
    <row r="1" spans="1:28" ht="23.25">
      <c r="A1" s="4" t="s">
        <v>111</v>
      </c>
      <c r="B1" s="5"/>
    </row>
    <row r="2" spans="1:28">
      <c r="A2" s="1" t="s">
        <v>4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s="8" customFormat="1">
      <c r="A3" s="2" t="s">
        <v>58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8" customFormat="1">
      <c r="A4" s="3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>
      <c r="A5" s="176"/>
      <c r="B5" s="192"/>
      <c r="C5" s="193" t="s">
        <v>61</v>
      </c>
      <c r="D5" s="193" t="s">
        <v>80</v>
      </c>
      <c r="E5" s="193" t="s">
        <v>81</v>
      </c>
      <c r="F5" s="193" t="s">
        <v>82</v>
      </c>
      <c r="G5" s="193" t="s">
        <v>83</v>
      </c>
      <c r="H5" s="193" t="s">
        <v>84</v>
      </c>
      <c r="I5" s="193" t="s">
        <v>85</v>
      </c>
      <c r="J5" s="193" t="s">
        <v>86</v>
      </c>
      <c r="K5" s="193" t="s">
        <v>87</v>
      </c>
      <c r="L5" s="193" t="s">
        <v>88</v>
      </c>
      <c r="M5" s="193" t="s">
        <v>89</v>
      </c>
      <c r="N5" s="193" t="s">
        <v>90</v>
      </c>
      <c r="O5" s="193" t="s">
        <v>91</v>
      </c>
      <c r="P5" s="193" t="s">
        <v>92</v>
      </c>
      <c r="Q5" s="193" t="s">
        <v>93</v>
      </c>
      <c r="R5" s="193" t="s">
        <v>94</v>
      </c>
      <c r="S5" s="193" t="s">
        <v>95</v>
      </c>
      <c r="T5" s="193" t="s">
        <v>96</v>
      </c>
      <c r="U5" s="193" t="s">
        <v>97</v>
      </c>
      <c r="V5" s="193" t="s">
        <v>98</v>
      </c>
      <c r="W5" s="193" t="s">
        <v>99</v>
      </c>
      <c r="X5" s="193" t="s">
        <v>100</v>
      </c>
      <c r="Y5" s="193" t="s">
        <v>101</v>
      </c>
      <c r="Z5" s="193" t="s">
        <v>102</v>
      </c>
      <c r="AA5" s="193" t="s">
        <v>103</v>
      </c>
      <c r="AB5" s="193" t="s">
        <v>104</v>
      </c>
    </row>
    <row r="6" spans="1:28" ht="48" thickBot="1">
      <c r="A6" s="194"/>
      <c r="B6" s="177" t="s">
        <v>1</v>
      </c>
      <c r="C6" s="195" t="s">
        <v>31</v>
      </c>
      <c r="D6" s="195" t="s">
        <v>32</v>
      </c>
      <c r="E6" s="195" t="s">
        <v>33</v>
      </c>
      <c r="F6" s="195" t="s">
        <v>34</v>
      </c>
      <c r="G6" s="195" t="s">
        <v>35</v>
      </c>
      <c r="H6" s="195" t="s">
        <v>36</v>
      </c>
      <c r="I6" s="195" t="s">
        <v>37</v>
      </c>
      <c r="J6" s="195" t="s">
        <v>38</v>
      </c>
      <c r="K6" s="195" t="s">
        <v>39</v>
      </c>
      <c r="L6" s="195" t="s">
        <v>40</v>
      </c>
      <c r="M6" s="195" t="s">
        <v>41</v>
      </c>
      <c r="N6" s="195" t="s">
        <v>42</v>
      </c>
      <c r="O6" s="195" t="s">
        <v>43</v>
      </c>
      <c r="P6" s="195" t="s">
        <v>44</v>
      </c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  <c r="W6" s="195" t="s">
        <v>51</v>
      </c>
      <c r="X6" s="195" t="s">
        <v>52</v>
      </c>
      <c r="Y6" s="195" t="s">
        <v>53</v>
      </c>
      <c r="Z6" s="195" t="s">
        <v>54</v>
      </c>
      <c r="AA6" s="195" t="s">
        <v>55</v>
      </c>
      <c r="AB6" s="195" t="s">
        <v>56</v>
      </c>
    </row>
    <row r="7" spans="1:28" ht="13.5" thickTop="1">
      <c r="A7" s="178"/>
      <c r="B7" s="179" t="s">
        <v>0</v>
      </c>
      <c r="C7" s="196" t="s">
        <v>5</v>
      </c>
      <c r="D7" s="196" t="s">
        <v>6</v>
      </c>
      <c r="E7" s="196" t="s">
        <v>7</v>
      </c>
      <c r="F7" s="196" t="s">
        <v>8</v>
      </c>
      <c r="G7" s="196" t="s">
        <v>9</v>
      </c>
      <c r="H7" s="196" t="s">
        <v>10</v>
      </c>
      <c r="I7" s="196" t="s">
        <v>11</v>
      </c>
      <c r="J7" s="196" t="s">
        <v>12</v>
      </c>
      <c r="K7" s="196" t="s">
        <v>13</v>
      </c>
      <c r="L7" s="196" t="s">
        <v>14</v>
      </c>
      <c r="M7" s="196" t="s">
        <v>15</v>
      </c>
      <c r="N7" s="196" t="s">
        <v>16</v>
      </c>
      <c r="O7" s="196" t="s">
        <v>17</v>
      </c>
      <c r="P7" s="196" t="s">
        <v>18</v>
      </c>
      <c r="Q7" s="196" t="s">
        <v>19</v>
      </c>
      <c r="R7" s="196" t="s">
        <v>20</v>
      </c>
      <c r="S7" s="196" t="s">
        <v>21</v>
      </c>
      <c r="T7" s="196" t="s">
        <v>22</v>
      </c>
      <c r="U7" s="196" t="s">
        <v>23</v>
      </c>
      <c r="V7" s="196" t="s">
        <v>24</v>
      </c>
      <c r="W7" s="196" t="s">
        <v>25</v>
      </c>
      <c r="X7" s="196" t="s">
        <v>26</v>
      </c>
      <c r="Y7" s="196" t="s">
        <v>27</v>
      </c>
      <c r="Z7" s="196" t="s">
        <v>28</v>
      </c>
      <c r="AA7" s="196" t="s">
        <v>29</v>
      </c>
      <c r="AB7" s="196" t="s">
        <v>30</v>
      </c>
    </row>
    <row r="8" spans="1:28" ht="15">
      <c r="A8" s="180"/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1:28" ht="15">
      <c r="A9" s="197" t="s">
        <v>62</v>
      </c>
      <c r="B9" s="198" t="s">
        <v>288</v>
      </c>
      <c r="C9" s="213">
        <v>28.782894736842156</v>
      </c>
      <c r="D9" s="213">
        <v>19.337979094076637</v>
      </c>
      <c r="E9" s="213">
        <v>80.349344978165959</v>
      </c>
      <c r="F9" s="213">
        <v>79.285714285714221</v>
      </c>
      <c r="G9" s="213">
        <v>80.602006688963257</v>
      </c>
      <c r="H9" s="213">
        <v>36.752136752136806</v>
      </c>
      <c r="I9" s="213">
        <v>80.08385744234802</v>
      </c>
      <c r="J9" s="213">
        <v>66.908212560386445</v>
      </c>
      <c r="K9" s="213">
        <v>71.270718232044231</v>
      </c>
      <c r="L9" s="213">
        <v>80.172413793103416</v>
      </c>
      <c r="M9" s="213">
        <v>80.762250453720469</v>
      </c>
      <c r="N9" s="213">
        <v>74.254742547425479</v>
      </c>
      <c r="O9" s="213">
        <v>18.352059925093695</v>
      </c>
      <c r="P9" s="213">
        <v>18.571428571428601</v>
      </c>
      <c r="Q9" s="213">
        <v>25.208333333333293</v>
      </c>
      <c r="R9" s="213">
        <v>21.120689655172498</v>
      </c>
      <c r="S9" s="213">
        <v>29.891304347826125</v>
      </c>
      <c r="T9" s="213">
        <v>38.599348534202029</v>
      </c>
      <c r="U9" s="213">
        <v>58.415841584158414</v>
      </c>
      <c r="V9" s="213">
        <v>26.133333333333347</v>
      </c>
      <c r="W9" s="213">
        <v>27.716535433070881</v>
      </c>
      <c r="X9" s="213">
        <v>21.577726218097364</v>
      </c>
      <c r="Y9" s="213">
        <v>77.375565610859724</v>
      </c>
      <c r="Z9" s="213">
        <v>42.342342342342384</v>
      </c>
      <c r="AA9" s="213">
        <v>64.824120603015075</v>
      </c>
      <c r="AB9" s="213">
        <v>42.298850574712709</v>
      </c>
    </row>
    <row r="10" spans="1:28" ht="15">
      <c r="A10" s="197" t="s">
        <v>63</v>
      </c>
      <c r="B10" s="198" t="s">
        <v>289</v>
      </c>
      <c r="C10" s="182">
        <v>9.27</v>
      </c>
      <c r="D10" s="182">
        <v>9.1999999999999993</v>
      </c>
      <c r="E10" s="182">
        <v>8.51</v>
      </c>
      <c r="F10" s="182">
        <v>8.44</v>
      </c>
      <c r="G10" s="182">
        <v>8.27</v>
      </c>
      <c r="H10" s="182">
        <v>9.15</v>
      </c>
      <c r="I10" s="182">
        <v>8.41</v>
      </c>
      <c r="J10" s="182">
        <v>8.6</v>
      </c>
      <c r="K10" s="182">
        <v>8.5</v>
      </c>
      <c r="L10" s="182">
        <v>8.3699999999999992</v>
      </c>
      <c r="M10" s="182">
        <v>8.39</v>
      </c>
      <c r="N10" s="182">
        <v>8.5399999999999991</v>
      </c>
      <c r="O10" s="182">
        <v>9.0299999999999994</v>
      </c>
      <c r="P10" s="182">
        <v>9.14</v>
      </c>
      <c r="Q10" s="182">
        <v>8.9600000000000009</v>
      </c>
      <c r="R10" s="182">
        <v>8.9499999999999993</v>
      </c>
      <c r="S10" s="182">
        <v>8.86</v>
      </c>
      <c r="T10" s="182">
        <v>8.83</v>
      </c>
      <c r="U10" s="182">
        <v>8.59</v>
      </c>
      <c r="V10" s="182">
        <v>8.92</v>
      </c>
      <c r="W10" s="182">
        <v>8.9700000000000006</v>
      </c>
      <c r="X10" s="182">
        <v>9.14</v>
      </c>
      <c r="Y10" s="182">
        <v>8.25</v>
      </c>
      <c r="Z10" s="182">
        <v>8.5299999999999994</v>
      </c>
      <c r="AA10" s="182">
        <v>8.3699999999999992</v>
      </c>
      <c r="AB10" s="182">
        <v>8.58</v>
      </c>
    </row>
    <row r="11" spans="1:28" ht="15">
      <c r="A11" s="180" t="s">
        <v>64</v>
      </c>
      <c r="B11" s="198" t="s">
        <v>290</v>
      </c>
      <c r="C11" s="182">
        <v>12.391299999999999</v>
      </c>
      <c r="D11" s="182">
        <v>9.3519100000000002</v>
      </c>
      <c r="E11" s="182">
        <v>96.043449999999993</v>
      </c>
      <c r="F11" s="182">
        <v>95.155320000000003</v>
      </c>
      <c r="G11" s="182">
        <v>108.8</v>
      </c>
      <c r="H11" s="182">
        <v>20.848290000000002</v>
      </c>
      <c r="I11" s="182">
        <v>100.3</v>
      </c>
      <c r="J11" s="182">
        <v>58.445869999999999</v>
      </c>
      <c r="K11" s="182">
        <v>65.452240000000003</v>
      </c>
      <c r="L11" s="182">
        <v>97.55</v>
      </c>
      <c r="M11" s="182">
        <v>100.87884</v>
      </c>
      <c r="N11" s="182">
        <v>74.530919999999995</v>
      </c>
      <c r="O11" s="182">
        <v>7.5263100000000005</v>
      </c>
      <c r="P11" s="182">
        <v>6.39147</v>
      </c>
      <c r="Q11" s="182">
        <v>4.7928300000000004</v>
      </c>
      <c r="R11" s="182">
        <v>5.3750600000000004</v>
      </c>
      <c r="S11" s="182">
        <v>16.032640000000001</v>
      </c>
      <c r="T11" s="182">
        <v>19.48648</v>
      </c>
      <c r="U11" s="182">
        <v>40.781910000000003</v>
      </c>
      <c r="V11" s="182">
        <v>14.29585</v>
      </c>
      <c r="W11" s="182">
        <v>14.06888</v>
      </c>
      <c r="X11" s="182">
        <v>10.930809999999999</v>
      </c>
      <c r="Y11" s="182">
        <v>72.65598</v>
      </c>
      <c r="Z11" s="182">
        <v>17.049049999999998</v>
      </c>
      <c r="AA11" s="182">
        <v>20.848290000000002</v>
      </c>
      <c r="AB11" s="182">
        <v>7.9506399999999999</v>
      </c>
    </row>
    <row r="12" spans="1:28" ht="9.75" customHeight="1">
      <c r="A12" s="178"/>
      <c r="B12" s="199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 spans="1:28" ht="15">
      <c r="A13" s="180" t="s">
        <v>105</v>
      </c>
      <c r="B13" s="198" t="s">
        <v>291</v>
      </c>
      <c r="C13" s="201">
        <v>163</v>
      </c>
      <c r="D13" s="201">
        <v>171</v>
      </c>
      <c r="E13" s="201">
        <v>547</v>
      </c>
      <c r="F13" s="201">
        <v>504</v>
      </c>
      <c r="G13" s="201">
        <v>688</v>
      </c>
      <c r="H13" s="201">
        <v>130</v>
      </c>
      <c r="I13" s="201">
        <v>522</v>
      </c>
      <c r="J13" s="201">
        <v>422</v>
      </c>
      <c r="K13" s="201">
        <v>371</v>
      </c>
      <c r="L13" s="201">
        <v>580</v>
      </c>
      <c r="M13" s="201">
        <v>685</v>
      </c>
      <c r="N13" s="201">
        <v>373</v>
      </c>
      <c r="O13" s="201">
        <v>47</v>
      </c>
      <c r="P13" s="201">
        <v>21</v>
      </c>
      <c r="Q13" s="201">
        <v>23</v>
      </c>
      <c r="R13" s="201">
        <v>64</v>
      </c>
      <c r="S13" s="201">
        <v>79</v>
      </c>
      <c r="T13" s="201">
        <v>89</v>
      </c>
      <c r="U13" s="201">
        <v>331</v>
      </c>
      <c r="V13" s="201">
        <v>73</v>
      </c>
      <c r="W13" s="201">
        <v>84</v>
      </c>
      <c r="X13" s="201">
        <v>58</v>
      </c>
      <c r="Y13" s="201">
        <v>528</v>
      </c>
      <c r="Z13" s="201">
        <v>166</v>
      </c>
      <c r="AA13" s="201">
        <v>281</v>
      </c>
      <c r="AB13" s="201">
        <v>215</v>
      </c>
    </row>
    <row r="14" spans="1:28" ht="9.75" customHeight="1">
      <c r="A14" s="178"/>
      <c r="B14" s="202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 spans="1:28" ht="15">
      <c r="A15" s="180" t="s">
        <v>65</v>
      </c>
      <c r="B15" s="203" t="s">
        <v>66</v>
      </c>
      <c r="C15" s="182">
        <v>8.6199999999999992</v>
      </c>
      <c r="D15" s="182">
        <v>7.4</v>
      </c>
      <c r="E15" s="182">
        <v>10.1</v>
      </c>
      <c r="F15" s="182">
        <v>9.3420000000000005</v>
      </c>
      <c r="G15" s="182">
        <v>9.32</v>
      </c>
      <c r="H15" s="182">
        <v>6.06</v>
      </c>
      <c r="I15" s="182">
        <v>7.83</v>
      </c>
      <c r="J15" s="182">
        <v>8.16</v>
      </c>
      <c r="K15" s="182">
        <v>5.77</v>
      </c>
      <c r="L15" s="182">
        <v>7.23</v>
      </c>
      <c r="M15" s="182">
        <v>6.52</v>
      </c>
      <c r="N15" s="182">
        <v>7.23</v>
      </c>
      <c r="O15" s="182">
        <v>0.36</v>
      </c>
      <c r="P15" s="182">
        <v>0.37</v>
      </c>
      <c r="Q15" s="182">
        <v>0.19</v>
      </c>
      <c r="R15" s="182">
        <v>0.54</v>
      </c>
      <c r="S15" s="182">
        <v>1.65</v>
      </c>
      <c r="T15" s="182">
        <v>2.96</v>
      </c>
      <c r="U15" s="182">
        <v>4.83</v>
      </c>
      <c r="V15" s="182">
        <v>1.52</v>
      </c>
      <c r="W15" s="182">
        <v>1.46</v>
      </c>
      <c r="X15" s="182">
        <v>3.53</v>
      </c>
      <c r="Y15" s="182">
        <v>5.96</v>
      </c>
      <c r="Z15" s="182">
        <v>1.47</v>
      </c>
      <c r="AA15" s="182">
        <v>2.82</v>
      </c>
      <c r="AB15" s="182">
        <v>1.51</v>
      </c>
    </row>
    <row r="16" spans="1:28" ht="15">
      <c r="A16" s="180" t="s">
        <v>67</v>
      </c>
      <c r="B16" s="203" t="s">
        <v>66</v>
      </c>
      <c r="C16" s="182">
        <v>0.05</v>
      </c>
      <c r="D16" s="182">
        <v>0.04</v>
      </c>
      <c r="E16" s="182">
        <v>0.78</v>
      </c>
      <c r="F16" s="182">
        <v>0.75</v>
      </c>
      <c r="G16" s="182">
        <v>0.78</v>
      </c>
      <c r="H16" s="182">
        <v>0.14000000000000001</v>
      </c>
      <c r="I16" s="182">
        <v>0.72</v>
      </c>
      <c r="J16" s="182">
        <v>0.38</v>
      </c>
      <c r="K16" s="182">
        <v>0.45</v>
      </c>
      <c r="L16" s="182">
        <v>0.75</v>
      </c>
      <c r="M16" s="182">
        <v>0.7</v>
      </c>
      <c r="N16" s="182">
        <v>0.46</v>
      </c>
      <c r="O16" s="182">
        <v>0.05</v>
      </c>
      <c r="P16" s="182">
        <v>0.03</v>
      </c>
      <c r="Q16" s="182">
        <v>0.03</v>
      </c>
      <c r="R16" s="182">
        <v>0.05</v>
      </c>
      <c r="S16" s="182">
        <v>0.1</v>
      </c>
      <c r="T16" s="182">
        <v>0.09</v>
      </c>
      <c r="U16" s="182">
        <v>0.31</v>
      </c>
      <c r="V16" s="182">
        <v>7.0000000000000007E-2</v>
      </c>
      <c r="W16" s="182">
        <v>0.08</v>
      </c>
      <c r="X16" s="182">
        <v>0.06</v>
      </c>
      <c r="Y16" s="182">
        <v>0.68</v>
      </c>
      <c r="Z16" s="182">
        <v>0.17</v>
      </c>
      <c r="AA16" s="182">
        <v>0.24</v>
      </c>
      <c r="AB16" s="182">
        <v>0.13</v>
      </c>
    </row>
    <row r="17" spans="1:28" ht="15">
      <c r="A17" s="180" t="s">
        <v>292</v>
      </c>
      <c r="B17" s="203" t="s">
        <v>293</v>
      </c>
      <c r="C17" s="213">
        <v>172.39999999999998</v>
      </c>
      <c r="D17" s="213">
        <v>185</v>
      </c>
      <c r="E17" s="213">
        <v>12.948717948717947</v>
      </c>
      <c r="F17" s="213">
        <v>124.56</v>
      </c>
      <c r="G17" s="213">
        <v>11.948717948717949</v>
      </c>
      <c r="H17" s="213">
        <v>43.285714285714278</v>
      </c>
      <c r="I17" s="213">
        <v>10.875</v>
      </c>
      <c r="J17" s="213">
        <v>21.473684210526315</v>
      </c>
      <c r="K17" s="213">
        <v>12.822222222222221</v>
      </c>
      <c r="L17" s="213">
        <v>9.64</v>
      </c>
      <c r="M17" s="213">
        <v>9.3142857142857149</v>
      </c>
      <c r="N17" s="213">
        <v>15.717391304347826</v>
      </c>
      <c r="O17" s="213">
        <v>7.1999999999999993</v>
      </c>
      <c r="P17" s="213">
        <v>12.333333333333334</v>
      </c>
      <c r="Q17" s="213">
        <v>6.3333333333333339</v>
      </c>
      <c r="R17" s="213">
        <v>10.8</v>
      </c>
      <c r="S17" s="213">
        <v>16.499999999999996</v>
      </c>
      <c r="T17" s="213">
        <v>32.888888888888893</v>
      </c>
      <c r="U17" s="213">
        <v>15.580645161290322</v>
      </c>
      <c r="V17" s="213">
        <v>21.714285714285712</v>
      </c>
      <c r="W17" s="213">
        <v>18.25</v>
      </c>
      <c r="X17" s="213">
        <v>58.833333333333336</v>
      </c>
      <c r="Y17" s="213">
        <v>8.7647058823529402</v>
      </c>
      <c r="Z17" s="213">
        <v>8.6470588235294112</v>
      </c>
      <c r="AA17" s="213">
        <v>11.75</v>
      </c>
      <c r="AB17" s="213">
        <v>11.615384615384615</v>
      </c>
    </row>
    <row r="18" spans="1:28" ht="9.75" customHeight="1">
      <c r="A18" s="178"/>
      <c r="B18" s="202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 spans="1:28" ht="15.75">
      <c r="A19" s="210" t="s">
        <v>294</v>
      </c>
      <c r="B19" s="221" t="s">
        <v>295</v>
      </c>
      <c r="C19" s="222">
        <v>0.25985260248733305</v>
      </c>
      <c r="D19" s="222">
        <v>0.29658179338561202</v>
      </c>
      <c r="E19" s="222">
        <v>6.3559958898923803</v>
      </c>
      <c r="F19" s="222">
        <v>6.314675085503815</v>
      </c>
      <c r="G19" s="222">
        <v>6.6444064955474067</v>
      </c>
      <c r="H19" s="222">
        <v>0.81661789883268499</v>
      </c>
      <c r="I19" s="222">
        <v>5.5456662692546139</v>
      </c>
      <c r="J19" s="222">
        <v>2.9666214394926103</v>
      </c>
      <c r="K19" s="222">
        <v>3.9030949656750571</v>
      </c>
      <c r="L19" s="222">
        <v>5.9409500762382574</v>
      </c>
      <c r="M19" s="222">
        <v>5.158671841789114</v>
      </c>
      <c r="N19" s="222">
        <v>2.5784724004749484</v>
      </c>
      <c r="O19" s="222">
        <v>0.30190158461912214</v>
      </c>
      <c r="P19" s="222">
        <v>0.17576839455475041</v>
      </c>
      <c r="Q19" s="222">
        <v>0.13095660274645363</v>
      </c>
      <c r="R19" s="222">
        <v>0.38791288194703727</v>
      </c>
      <c r="S19" s="222">
        <v>0.8219805236165818</v>
      </c>
      <c r="T19" s="222">
        <v>0.96149809511377649</v>
      </c>
      <c r="U19" s="222">
        <v>2.6331574894776097</v>
      </c>
      <c r="V19" s="222">
        <v>0.71423101350963103</v>
      </c>
      <c r="W19" s="222">
        <v>0.75308497988043088</v>
      </c>
      <c r="X19" s="222">
        <v>0.34945188231593599</v>
      </c>
      <c r="Y19" s="222">
        <v>5.5526677538820817</v>
      </c>
      <c r="Z19" s="222">
        <v>1.2630267598268548</v>
      </c>
      <c r="AA19" s="222">
        <v>1.6735277760373899</v>
      </c>
      <c r="AB19" s="222">
        <v>1.0884882362166541</v>
      </c>
    </row>
    <row r="20" spans="1:28" ht="15">
      <c r="A20" s="180" t="s">
        <v>296</v>
      </c>
      <c r="B20" s="203" t="s">
        <v>297</v>
      </c>
      <c r="C20" s="182">
        <f>C15-C19</f>
        <v>8.3601473975126659</v>
      </c>
      <c r="D20" s="182">
        <f t="shared" ref="D20:AB20" si="0">D15-D19</f>
        <v>7.1034182066143883</v>
      </c>
      <c r="E20" s="182">
        <f t="shared" si="0"/>
        <v>3.7440041101076194</v>
      </c>
      <c r="F20" s="182">
        <f t="shared" si="0"/>
        <v>3.0273249144961856</v>
      </c>
      <c r="G20" s="182">
        <f t="shared" si="0"/>
        <v>2.6755935044525936</v>
      </c>
      <c r="H20" s="182">
        <f t="shared" si="0"/>
        <v>5.243382101167315</v>
      </c>
      <c r="I20" s="182">
        <f t="shared" si="0"/>
        <v>2.2843337307453861</v>
      </c>
      <c r="J20" s="182">
        <f t="shared" si="0"/>
        <v>5.1933785605073899</v>
      </c>
      <c r="K20" s="182">
        <f t="shared" si="0"/>
        <v>1.8669050343249425</v>
      </c>
      <c r="L20" s="182">
        <f t="shared" si="0"/>
        <v>1.289049923761743</v>
      </c>
      <c r="M20" s="182">
        <f t="shared" si="0"/>
        <v>1.3613281582108856</v>
      </c>
      <c r="N20" s="182">
        <f t="shared" si="0"/>
        <v>4.6515275995250516</v>
      </c>
      <c r="O20" s="182">
        <f t="shared" si="0"/>
        <v>5.8098415380877844E-2</v>
      </c>
      <c r="P20" s="182">
        <f t="shared" si="0"/>
        <v>0.19423160544524959</v>
      </c>
      <c r="Q20" s="182">
        <f t="shared" si="0"/>
        <v>5.9043397253546376E-2</v>
      </c>
      <c r="R20" s="182">
        <f t="shared" si="0"/>
        <v>0.15208711805296277</v>
      </c>
      <c r="S20" s="182">
        <f t="shared" si="0"/>
        <v>0.82801947638341811</v>
      </c>
      <c r="T20" s="182">
        <f t="shared" si="0"/>
        <v>1.9985019048862234</v>
      </c>
      <c r="U20" s="182">
        <f t="shared" si="0"/>
        <v>2.1968425105223903</v>
      </c>
      <c r="V20" s="182">
        <f t="shared" si="0"/>
        <v>0.80576898649036899</v>
      </c>
      <c r="W20" s="182">
        <f t="shared" si="0"/>
        <v>0.70691502011956908</v>
      </c>
      <c r="X20" s="182">
        <f t="shared" si="0"/>
        <v>3.1805481176840638</v>
      </c>
      <c r="Y20" s="182">
        <f t="shared" si="0"/>
        <v>0.4073322461179183</v>
      </c>
      <c r="Z20" s="182">
        <f t="shared" si="0"/>
        <v>0.20697324017314522</v>
      </c>
      <c r="AA20" s="182">
        <f t="shared" si="0"/>
        <v>1.1464722239626099</v>
      </c>
      <c r="AB20" s="182">
        <f t="shared" si="0"/>
        <v>0.42151176378334587</v>
      </c>
    </row>
    <row r="21" spans="1:28" ht="15">
      <c r="A21" s="178"/>
      <c r="B21" s="202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21.75" customHeight="1">
      <c r="A22" s="180" t="s">
        <v>270</v>
      </c>
      <c r="B22" s="203" t="s">
        <v>271</v>
      </c>
      <c r="C22" s="182">
        <v>2.5812390000000001</v>
      </c>
      <c r="D22" s="182">
        <v>3.6098458000000004</v>
      </c>
      <c r="E22" s="182">
        <v>-14.096141899999999</v>
      </c>
      <c r="F22" s="182">
        <v>-15.933683400000001</v>
      </c>
      <c r="G22" s="182">
        <v>-16.8602624</v>
      </c>
      <c r="H22" s="182">
        <v>-0.28282709999999978</v>
      </c>
      <c r="I22" s="182">
        <v>-14.372033399999999</v>
      </c>
      <c r="J22" s="182">
        <v>-5.5008202999999991</v>
      </c>
      <c r="K22" s="182">
        <v>-13.8441957</v>
      </c>
      <c r="L22" s="182">
        <v>-17.308976499999996</v>
      </c>
      <c r="M22" s="182">
        <v>-13.7858941</v>
      </c>
      <c r="N22" s="182">
        <v>-6.9750178999999983</v>
      </c>
      <c r="O22" s="182">
        <v>-8.1420910000000006</v>
      </c>
      <c r="P22" s="182">
        <v>-5.9110136999999989</v>
      </c>
      <c r="Q22" s="182">
        <v>-11.477775399999999</v>
      </c>
      <c r="R22" s="182">
        <v>-8.2909682999999994</v>
      </c>
      <c r="S22" s="182">
        <v>-7.5913490999999995</v>
      </c>
      <c r="T22" s="182">
        <v>-3.1729206999999997</v>
      </c>
      <c r="U22" s="182">
        <v>-9.5798500999999998</v>
      </c>
      <c r="V22" s="182">
        <v>-5.4810393999999985</v>
      </c>
      <c r="W22" s="182">
        <v>-6.0900828999999996</v>
      </c>
      <c r="X22" s="182">
        <v>1.2829873000000001</v>
      </c>
      <c r="Y22" s="182">
        <v>-20.069973699999995</v>
      </c>
      <c r="Z22" s="182">
        <v>-19.947123899999998</v>
      </c>
      <c r="AA22" s="182">
        <v>-12.661506099999999</v>
      </c>
      <c r="AB22" s="182">
        <v>-16.302232799999999</v>
      </c>
    </row>
    <row r="23" spans="1:28" s="9" customFormat="1" ht="15" customHeight="1">
      <c r="A23" s="180" t="s">
        <v>298</v>
      </c>
      <c r="B23" s="203" t="s">
        <v>299</v>
      </c>
      <c r="C23" s="213">
        <v>-19.917209599999996</v>
      </c>
      <c r="D23" s="213">
        <v>-19.476223999999998</v>
      </c>
      <c r="E23" s="213">
        <v>-21.677068799999997</v>
      </c>
      <c r="F23" s="213">
        <v>-22.293631999999995</v>
      </c>
      <c r="G23" s="213">
        <v>-22.948985599999997</v>
      </c>
      <c r="H23" s="213">
        <v>-20.669539199999999</v>
      </c>
      <c r="I23" s="213">
        <v>-21.199334399999998</v>
      </c>
      <c r="J23" s="213">
        <v>-20.709350399999998</v>
      </c>
      <c r="K23" s="213">
        <v>-20.996195199999995</v>
      </c>
      <c r="L23" s="213">
        <v>-20.971695999999998</v>
      </c>
      <c r="M23" s="213">
        <v>-19.761027199999997</v>
      </c>
      <c r="N23" s="213">
        <v>-20.623236100000003</v>
      </c>
      <c r="O23" s="213">
        <v>-16.639835599999998</v>
      </c>
      <c r="P23" s="213">
        <v>-20.970455000000001</v>
      </c>
      <c r="Q23" s="213">
        <v>-20.647531300000001</v>
      </c>
      <c r="R23" s="213">
        <v>-21.959472100000003</v>
      </c>
      <c r="S23" s="213">
        <v>-20.981590300000001</v>
      </c>
      <c r="T23" s="213">
        <v>-20.9360368</v>
      </c>
      <c r="U23" s="213">
        <v>-21.3520921</v>
      </c>
      <c r="V23" s="213">
        <v>-21.9837673</v>
      </c>
      <c r="W23" s="213">
        <v>-22.8219517</v>
      </c>
      <c r="X23" s="213">
        <v>-20.4835387</v>
      </c>
      <c r="Y23" s="213">
        <v>-20.241599000000001</v>
      </c>
      <c r="Z23" s="213">
        <v>-21.8349592</v>
      </c>
      <c r="AA23" s="213">
        <v>-21.974656599999999</v>
      </c>
      <c r="AB23" s="213">
        <v>-23.329114000000001</v>
      </c>
    </row>
    <row r="24" spans="1:28" s="9" customFormat="1" ht="15" customHeight="1">
      <c r="A24" s="180" t="s">
        <v>112</v>
      </c>
      <c r="B24" s="203" t="s">
        <v>271</v>
      </c>
      <c r="C24" s="182">
        <v>7.1379999999999999</v>
      </c>
      <c r="D24" s="182">
        <v>5.9690000000000003</v>
      </c>
      <c r="E24" s="182">
        <v>6.093</v>
      </c>
      <c r="F24" s="182">
        <v>5.5369999999999999</v>
      </c>
      <c r="G24" s="182">
        <v>4.6779999999999999</v>
      </c>
      <c r="H24" s="182">
        <v>3.371</v>
      </c>
      <c r="I24" s="182">
        <v>5.1290000000000004</v>
      </c>
      <c r="J24" s="182">
        <v>4.6070000000000002</v>
      </c>
      <c r="K24" s="182">
        <v>5.0220000000000002</v>
      </c>
      <c r="L24" s="182">
        <v>5.53</v>
      </c>
      <c r="M24" s="182">
        <v>4.8029999999999999</v>
      </c>
      <c r="N24" s="182">
        <v>5.3390000000000004</v>
      </c>
      <c r="O24" s="182">
        <v>3.9390000000000001</v>
      </c>
      <c r="P24" s="182">
        <v>4.8860000000000001</v>
      </c>
      <c r="Q24" s="182">
        <v>5.5019999999999998</v>
      </c>
      <c r="R24" s="182">
        <v>5.9130000000000003</v>
      </c>
      <c r="S24" s="182">
        <v>4.6189999999999998</v>
      </c>
      <c r="T24" s="182">
        <v>5.72</v>
      </c>
      <c r="U24" s="182">
        <v>3.7130000000000001</v>
      </c>
      <c r="V24" s="182">
        <v>4.4460000000000006</v>
      </c>
      <c r="W24" s="182">
        <v>4.6760000000000002</v>
      </c>
      <c r="X24" s="182">
        <v>4.806</v>
      </c>
      <c r="Y24" s="182">
        <v>4.641</v>
      </c>
      <c r="Z24" s="182">
        <v>1.2849999999999999</v>
      </c>
      <c r="AA24" s="182">
        <v>1.7489999999999999</v>
      </c>
      <c r="AB24" s="182">
        <v>1.8549999999999998</v>
      </c>
    </row>
    <row r="25" spans="1:28" ht="15.75">
      <c r="A25" s="206" t="s">
        <v>68</v>
      </c>
      <c r="B25" s="207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</row>
    <row r="26" spans="1:28" ht="18" customHeight="1">
      <c r="A26" s="180"/>
      <c r="B26" s="209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</row>
    <row r="27" spans="1:28" ht="18" customHeight="1">
      <c r="A27" s="210" t="s">
        <v>113</v>
      </c>
      <c r="B27" s="204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</row>
    <row r="28" spans="1:28" ht="18" customHeight="1">
      <c r="A28" s="180" t="s">
        <v>69</v>
      </c>
      <c r="B28" s="204" t="s">
        <v>59</v>
      </c>
      <c r="C28" s="182" t="s">
        <v>79</v>
      </c>
      <c r="D28" s="182" t="s">
        <v>79</v>
      </c>
      <c r="E28" s="182" t="s">
        <v>79</v>
      </c>
      <c r="F28" s="182" t="s">
        <v>79</v>
      </c>
      <c r="G28" s="182" t="s">
        <v>79</v>
      </c>
      <c r="H28" s="182" t="s">
        <v>79</v>
      </c>
      <c r="I28" s="182" t="s">
        <v>79</v>
      </c>
      <c r="J28" s="182" t="s">
        <v>79</v>
      </c>
      <c r="K28" s="182" t="s">
        <v>79</v>
      </c>
      <c r="L28" s="182" t="s">
        <v>79</v>
      </c>
      <c r="M28" s="182" t="s">
        <v>79</v>
      </c>
      <c r="N28" s="182" t="s">
        <v>79</v>
      </c>
      <c r="O28" s="182" t="s">
        <v>79</v>
      </c>
      <c r="P28" s="182" t="s">
        <v>79</v>
      </c>
      <c r="Q28" s="182" t="s">
        <v>79</v>
      </c>
      <c r="R28" s="182" t="s">
        <v>79</v>
      </c>
      <c r="S28" s="182" t="s">
        <v>79</v>
      </c>
      <c r="T28" s="182" t="s">
        <v>79</v>
      </c>
      <c r="U28" s="182" t="s">
        <v>79</v>
      </c>
      <c r="V28" s="182" t="s">
        <v>79</v>
      </c>
      <c r="W28" s="182" t="s">
        <v>79</v>
      </c>
      <c r="X28" s="182" t="s">
        <v>79</v>
      </c>
      <c r="Y28" s="182" t="s">
        <v>79</v>
      </c>
      <c r="Z28" s="182" t="s">
        <v>79</v>
      </c>
      <c r="AA28" s="182" t="s">
        <v>79</v>
      </c>
      <c r="AB28" s="182" t="s">
        <v>79</v>
      </c>
    </row>
    <row r="29" spans="1:28" ht="18" customHeight="1">
      <c r="A29" s="180" t="s">
        <v>107</v>
      </c>
      <c r="B29" s="204" t="s">
        <v>59</v>
      </c>
      <c r="C29" s="215">
        <v>374.56958233255199</v>
      </c>
      <c r="D29" s="215">
        <v>275.255751473781</v>
      </c>
      <c r="E29" s="215">
        <v>3891.8654814855099</v>
      </c>
      <c r="F29" s="215">
        <v>4593.6974491027004</v>
      </c>
      <c r="G29" s="215">
        <v>4962.5617462086302</v>
      </c>
      <c r="H29" s="215">
        <v>541.82588409927098</v>
      </c>
      <c r="I29" s="215">
        <v>9922.0281361956695</v>
      </c>
      <c r="J29" s="215">
        <v>6402.7370685863798</v>
      </c>
      <c r="K29" s="215">
        <v>9642.9464280266693</v>
      </c>
      <c r="L29" s="215">
        <v>10673.968193088349</v>
      </c>
      <c r="M29" s="215">
        <v>12238.8837533142</v>
      </c>
      <c r="N29" s="215">
        <v>9521.1268755091496</v>
      </c>
      <c r="O29" s="215">
        <v>580.52883745036297</v>
      </c>
      <c r="P29" s="215">
        <v>505.51139029009499</v>
      </c>
      <c r="Q29" s="215">
        <v>752.52391983604196</v>
      </c>
      <c r="R29" s="215">
        <v>1120.7345604386801</v>
      </c>
      <c r="S29" s="215">
        <v>2531.9762459088302</v>
      </c>
      <c r="T29" s="215">
        <v>3296.96254467473</v>
      </c>
      <c r="U29" s="215">
        <v>9907.5315724604006</v>
      </c>
      <c r="V29" s="215">
        <v>1588.7298267103301</v>
      </c>
      <c r="W29" s="215">
        <v>1512.2098553127801</v>
      </c>
      <c r="X29" s="215">
        <v>496.69353968512797</v>
      </c>
      <c r="Y29" s="215">
        <v>21937.051860045802</v>
      </c>
      <c r="Z29" s="215">
        <v>6271.22115492596</v>
      </c>
      <c r="AA29" s="215">
        <v>16024.4268191379</v>
      </c>
      <c r="AB29" s="215">
        <v>6176.45035654397</v>
      </c>
    </row>
    <row r="30" spans="1:28" ht="18" customHeight="1">
      <c r="A30" s="180" t="s">
        <v>70</v>
      </c>
      <c r="B30" s="204" t="s">
        <v>59</v>
      </c>
      <c r="C30" s="213">
        <v>4.0341338776193298</v>
      </c>
      <c r="D30" s="213">
        <v>6.1096355455764</v>
      </c>
      <c r="E30" s="213">
        <v>12.7946005942859</v>
      </c>
      <c r="F30" s="213">
        <v>22.552526121514099</v>
      </c>
      <c r="G30" s="213">
        <v>24.0813755063824</v>
      </c>
      <c r="H30" s="213">
        <v>9.1132101731310602</v>
      </c>
      <c r="I30" s="213">
        <v>34.7699851777204</v>
      </c>
      <c r="J30" s="213">
        <v>22.215722187322601</v>
      </c>
      <c r="K30" s="213">
        <v>5.8244946741997596</v>
      </c>
      <c r="L30" s="213">
        <v>36.515999329778751</v>
      </c>
      <c r="M30" s="213">
        <v>42.336601824834503</v>
      </c>
      <c r="N30" s="213">
        <v>20.459899211998</v>
      </c>
      <c r="O30" s="213">
        <v>1.2269194045106799</v>
      </c>
      <c r="P30" s="213">
        <v>0.56449649037947203</v>
      </c>
      <c r="Q30" s="213">
        <v>0.43416851207255203</v>
      </c>
      <c r="R30" s="213">
        <v>1.2090976994593601</v>
      </c>
      <c r="S30" s="213">
        <v>3.10849733257231</v>
      </c>
      <c r="T30" s="213">
        <v>2.674475321778</v>
      </c>
      <c r="U30" s="213">
        <v>16.739024417247698</v>
      </c>
      <c r="V30" s="213">
        <v>5.2215817738908843</v>
      </c>
      <c r="W30" s="213">
        <v>6.1666666139365702</v>
      </c>
      <c r="X30" s="213">
        <v>7.9093001589817797</v>
      </c>
      <c r="Y30" s="213">
        <v>27.758163144359301</v>
      </c>
      <c r="Z30" s="213">
        <v>3.06644046029249</v>
      </c>
      <c r="AA30" s="213">
        <v>7.1268378546447098</v>
      </c>
      <c r="AB30" s="213">
        <v>2.4350075138632201</v>
      </c>
    </row>
    <row r="31" spans="1:28" ht="18" customHeight="1">
      <c r="A31" s="180" t="s">
        <v>72</v>
      </c>
      <c r="B31" s="204" t="s">
        <v>59</v>
      </c>
      <c r="C31" s="213">
        <v>3.4478794669734799E-3</v>
      </c>
      <c r="D31" s="213">
        <v>3.6771971147293303E-2</v>
      </c>
      <c r="E31" s="213">
        <v>5.50547092278783E-2</v>
      </c>
      <c r="F31" s="213">
        <v>3.2728132490335599E-2</v>
      </c>
      <c r="G31" s="213">
        <v>3.7333150894696701E-2</v>
      </c>
      <c r="H31" s="213">
        <v>2.3049971757741899E-2</v>
      </c>
      <c r="I31" s="213">
        <v>1.8282370761696101E-2</v>
      </c>
      <c r="J31" s="213">
        <v>1.0291594937268E-2</v>
      </c>
      <c r="K31" s="213">
        <v>1.37741043352324E-2</v>
      </c>
      <c r="L31" s="213">
        <v>2.6934946421804752E-2</v>
      </c>
      <c r="M31" s="213">
        <v>1.9996343020605201E-2</v>
      </c>
      <c r="N31" s="213">
        <v>2.3353838553345201E-2</v>
      </c>
      <c r="O31" s="213">
        <v>-1.65650671670069E-3</v>
      </c>
      <c r="P31" s="213">
        <v>5.5418854311469195E-4</v>
      </c>
      <c r="Q31" s="213">
        <v>-5.0244522077671798E-3</v>
      </c>
      <c r="R31" s="213">
        <v>4.5071437090993599E-3</v>
      </c>
      <c r="S31" s="213">
        <v>6.5465018203937197E-3</v>
      </c>
      <c r="T31" s="213">
        <v>7.2097251827900402E-3</v>
      </c>
      <c r="U31" s="213">
        <v>2.0509977308925401E-2</v>
      </c>
      <c r="V31" s="213">
        <v>2.4709525172529798E-3</v>
      </c>
      <c r="W31" s="213">
        <v>1.1522064462932101E-3</v>
      </c>
      <c r="X31" s="213">
        <v>4.4034433815710403E-3</v>
      </c>
      <c r="Y31" s="213">
        <v>6.1558754078620402E-2</v>
      </c>
      <c r="Z31" s="213">
        <v>3.9962548372754298E-3</v>
      </c>
      <c r="AA31" s="213">
        <v>4.3608274277118199E-2</v>
      </c>
      <c r="AB31" s="213">
        <v>1.54880451321203E-2</v>
      </c>
    </row>
    <row r="32" spans="1:28" ht="18" customHeight="1">
      <c r="A32" s="180" t="s">
        <v>73</v>
      </c>
      <c r="B32" s="204" t="s">
        <v>59</v>
      </c>
      <c r="C32" s="213">
        <v>1.14791398731386</v>
      </c>
      <c r="D32" s="213">
        <v>2.58995406115974</v>
      </c>
      <c r="E32" s="213">
        <v>6.1903862509883103</v>
      </c>
      <c r="F32" s="213">
        <v>7.5159346772976896</v>
      </c>
      <c r="G32" s="213">
        <v>8.0774574376273698</v>
      </c>
      <c r="H32" s="213">
        <v>1.4027636435636599</v>
      </c>
      <c r="I32" s="213">
        <v>11.9632984109573</v>
      </c>
      <c r="J32" s="213">
        <v>8.2062890184984596</v>
      </c>
      <c r="K32" s="213">
        <v>11.255682314948301</v>
      </c>
      <c r="L32" s="213">
        <v>13.6510275900695</v>
      </c>
      <c r="M32" s="213">
        <v>15.1238064186825</v>
      </c>
      <c r="N32" s="213">
        <v>13.2926059495844</v>
      </c>
      <c r="O32" s="213">
        <v>1.4565111368947099</v>
      </c>
      <c r="P32" s="213">
        <v>1.17715197824027</v>
      </c>
      <c r="Q32" s="213">
        <v>1.56411195418186</v>
      </c>
      <c r="R32" s="213">
        <v>2.0705254700673899</v>
      </c>
      <c r="S32" s="213">
        <v>3.49135855756042</v>
      </c>
      <c r="T32" s="213">
        <v>5.2763541994262804</v>
      </c>
      <c r="U32" s="213">
        <v>11.5176832172793</v>
      </c>
      <c r="V32" s="213">
        <v>2.6238441776135701</v>
      </c>
      <c r="W32" s="213">
        <v>2.32446138158025</v>
      </c>
      <c r="X32" s="213">
        <v>1.1425284590083999</v>
      </c>
      <c r="Y32" s="213">
        <v>27.865780578833899</v>
      </c>
      <c r="Z32" s="213">
        <v>8.4809096069448309</v>
      </c>
      <c r="AA32" s="213">
        <v>21.235982201313</v>
      </c>
      <c r="AB32" s="213">
        <v>8.5745836486583897</v>
      </c>
    </row>
    <row r="33" spans="1:28" ht="15">
      <c r="A33" s="180" t="s">
        <v>74</v>
      </c>
      <c r="B33" s="204" t="s">
        <v>59</v>
      </c>
      <c r="C33" s="213">
        <v>0.28761062761074002</v>
      </c>
      <c r="D33" s="213">
        <v>0.20345326460087401</v>
      </c>
      <c r="E33" s="213">
        <v>5.17347996330997</v>
      </c>
      <c r="F33" s="213">
        <v>4.8329794301611404</v>
      </c>
      <c r="G33" s="213">
        <v>5.5787211727637596</v>
      </c>
      <c r="H33" s="213">
        <v>0.718179546927317</v>
      </c>
      <c r="I33" s="213">
        <v>7.2567875217213196</v>
      </c>
      <c r="J33" s="213">
        <v>4.3352199945329399</v>
      </c>
      <c r="K33" s="213">
        <v>6.0164138980179196</v>
      </c>
      <c r="L33" s="213">
        <v>8.5048713957044093</v>
      </c>
      <c r="M33" s="213">
        <v>8.9611610951795999</v>
      </c>
      <c r="N33" s="213">
        <v>7.3170426929250496</v>
      </c>
      <c r="O33" s="213">
        <v>0.40634111550489999</v>
      </c>
      <c r="P33" s="213">
        <v>0.39807364493458602</v>
      </c>
      <c r="Q33" s="213">
        <v>0.71481212014934103</v>
      </c>
      <c r="R33" s="213">
        <v>0.82548342533312602</v>
      </c>
      <c r="S33" s="213">
        <v>1.8524963480413299</v>
      </c>
      <c r="T33" s="213">
        <v>2.7055881936282602</v>
      </c>
      <c r="U33" s="213">
        <v>6.1737806018067101</v>
      </c>
      <c r="V33" s="213">
        <v>0.53343775066218058</v>
      </c>
      <c r="W33" s="213">
        <v>0.45183776828834599</v>
      </c>
      <c r="X33" s="213">
        <v>0.25127149390818698</v>
      </c>
      <c r="Y33" s="213">
        <v>17.587665986903701</v>
      </c>
      <c r="Z33" s="213">
        <v>5.1494600586497201</v>
      </c>
      <c r="AA33" s="213">
        <v>11.4558937917541</v>
      </c>
      <c r="AB33" s="213">
        <v>4.23712760784416</v>
      </c>
    </row>
    <row r="34" spans="1:28" ht="18" customHeight="1">
      <c r="A34" s="180" t="s">
        <v>108</v>
      </c>
      <c r="B34" s="204" t="s">
        <v>59</v>
      </c>
      <c r="C34" s="215">
        <v>1312.03190867428</v>
      </c>
      <c r="D34" s="215">
        <v>1131.4256298919099</v>
      </c>
      <c r="E34" s="215">
        <v>5674.4731799117699</v>
      </c>
      <c r="F34" s="215">
        <v>6768.9789703592496</v>
      </c>
      <c r="G34" s="215">
        <v>7115.7730074581996</v>
      </c>
      <c r="H34" s="215">
        <v>1088.8577716587499</v>
      </c>
      <c r="I34" s="215">
        <v>10042.539668958199</v>
      </c>
      <c r="J34" s="215">
        <v>6753.4035856618802</v>
      </c>
      <c r="K34" s="215">
        <v>10094.467136595</v>
      </c>
      <c r="L34" s="215">
        <v>11200.79971568355</v>
      </c>
      <c r="M34" s="215">
        <v>11954.1903846284</v>
      </c>
      <c r="N34" s="215">
        <v>10103.583335876499</v>
      </c>
      <c r="O34" s="215">
        <v>717.00332927055103</v>
      </c>
      <c r="P34" s="215">
        <v>666.49540259587502</v>
      </c>
      <c r="Q34" s="215">
        <v>888.132120754173</v>
      </c>
      <c r="R34" s="215">
        <v>1363.64005731366</v>
      </c>
      <c r="S34" s="215">
        <v>2747.2310150922999</v>
      </c>
      <c r="T34" s="215">
        <v>4222.9015225605499</v>
      </c>
      <c r="U34" s="215">
        <v>9629.4929341572097</v>
      </c>
      <c r="V34" s="215">
        <v>1558.08814458046</v>
      </c>
      <c r="W34" s="215">
        <v>1796.7639616082699</v>
      </c>
      <c r="X34" s="215">
        <v>727.74398583827701</v>
      </c>
      <c r="Y34" s="215">
        <v>23654.374130691798</v>
      </c>
      <c r="Z34" s="215">
        <v>7424.8465423277303</v>
      </c>
      <c r="AA34" s="215">
        <v>17993.811090005001</v>
      </c>
      <c r="AB34" s="215">
        <v>6606.7710902461004</v>
      </c>
    </row>
    <row r="35" spans="1:28" ht="18" customHeight="1">
      <c r="A35" s="180" t="s">
        <v>75</v>
      </c>
      <c r="B35" s="204" t="s">
        <v>59</v>
      </c>
      <c r="C35" s="201">
        <v>70.302779053357895</v>
      </c>
      <c r="D35" s="201">
        <v>102.182445936674</v>
      </c>
      <c r="E35" s="201">
        <v>73.307471429384407</v>
      </c>
      <c r="F35" s="201">
        <v>67.707151243251204</v>
      </c>
      <c r="G35" s="201">
        <v>101.09426767504399</v>
      </c>
      <c r="H35" s="201">
        <v>70.805654842260097</v>
      </c>
      <c r="I35" s="201">
        <v>95.224357341791205</v>
      </c>
      <c r="J35" s="201">
        <v>75.769813441372705</v>
      </c>
      <c r="K35" s="201">
        <v>73.765150598847697</v>
      </c>
      <c r="L35" s="201">
        <v>81.136689146233351</v>
      </c>
      <c r="M35" s="201">
        <v>95.387125744701194</v>
      </c>
      <c r="N35" s="201">
        <v>110.604009082784</v>
      </c>
      <c r="O35" s="201">
        <v>6.3957724353910397</v>
      </c>
      <c r="P35" s="201">
        <v>4.4739087338435999</v>
      </c>
      <c r="Q35" s="201">
        <v>5.93650203783388</v>
      </c>
      <c r="R35" s="201">
        <v>29.147868650126401</v>
      </c>
      <c r="S35" s="201">
        <v>25.6817096463604</v>
      </c>
      <c r="T35" s="201">
        <v>52.4682776686331</v>
      </c>
      <c r="U35" s="201">
        <v>92.628053119746795</v>
      </c>
      <c r="V35" s="201">
        <v>14.576040624956001</v>
      </c>
      <c r="W35" s="201">
        <v>15.397971694880599</v>
      </c>
      <c r="X35" s="201">
        <v>51.088639343625204</v>
      </c>
      <c r="Y35" s="201">
        <v>218.789596653948</v>
      </c>
      <c r="Z35" s="201">
        <v>47.658880624762901</v>
      </c>
      <c r="AA35" s="201">
        <v>169.11662221820501</v>
      </c>
      <c r="AB35" s="201">
        <v>62.335939875863602</v>
      </c>
    </row>
    <row r="36" spans="1:28" ht="18" customHeight="1">
      <c r="A36" s="180" t="s">
        <v>76</v>
      </c>
      <c r="B36" s="204" t="s">
        <v>59</v>
      </c>
      <c r="C36" s="213">
        <v>0.62187708703525502</v>
      </c>
      <c r="D36" s="213">
        <v>0.87567990927119699</v>
      </c>
      <c r="E36" s="213">
        <v>6.1575528340582899</v>
      </c>
      <c r="F36" s="213">
        <v>6.7724493718389498</v>
      </c>
      <c r="G36" s="213">
        <v>6.3269436837776301</v>
      </c>
      <c r="H36" s="213">
        <v>1.4917173982634699</v>
      </c>
      <c r="I36" s="213">
        <v>8.01970415050749</v>
      </c>
      <c r="J36" s="213">
        <v>4.9823304746627999</v>
      </c>
      <c r="K36" s="213">
        <v>7.2631073690541603</v>
      </c>
      <c r="L36" s="213">
        <v>8.7005118595843243</v>
      </c>
      <c r="M36" s="213">
        <v>8.5643663150344995</v>
      </c>
      <c r="N36" s="213">
        <v>7.5766803970429697</v>
      </c>
      <c r="O36" s="213">
        <v>0.59061038819891998</v>
      </c>
      <c r="P36" s="213">
        <v>0.55329133113775797</v>
      </c>
      <c r="Q36" s="213">
        <v>0.76382311004518499</v>
      </c>
      <c r="R36" s="213">
        <v>1.10666483464518</v>
      </c>
      <c r="S36" s="213">
        <v>2.31008403647273</v>
      </c>
      <c r="T36" s="213">
        <v>3.2966141489558498</v>
      </c>
      <c r="U36" s="213">
        <v>7.0876891727604701</v>
      </c>
      <c r="V36" s="213">
        <v>1.2366428230463651</v>
      </c>
      <c r="W36" s="213">
        <v>0.91737587889007199</v>
      </c>
      <c r="X36" s="213">
        <v>0.68447336510092704</v>
      </c>
      <c r="Y36" s="213">
        <v>17.9052239234932</v>
      </c>
      <c r="Z36" s="213">
        <v>5.0208733518975404</v>
      </c>
      <c r="AA36" s="213">
        <v>12.4144151650992</v>
      </c>
      <c r="AB36" s="213">
        <v>4.9055314046090501</v>
      </c>
    </row>
    <row r="37" spans="1:28" ht="18" customHeight="1">
      <c r="A37" s="180" t="s">
        <v>71</v>
      </c>
      <c r="B37" s="204" t="s">
        <v>59</v>
      </c>
      <c r="C37" s="213">
        <v>1.1188369279659001</v>
      </c>
      <c r="D37" s="213">
        <v>0.82950979926409996</v>
      </c>
      <c r="E37" s="213">
        <v>4.6038354596359499</v>
      </c>
      <c r="F37" s="213">
        <v>4.4859538375416701</v>
      </c>
      <c r="G37" s="213">
        <v>4.6449329770888701</v>
      </c>
      <c r="H37" s="213">
        <v>1.0427231234488901</v>
      </c>
      <c r="I37" s="213">
        <v>4.8692808395215099</v>
      </c>
      <c r="J37" s="213">
        <v>3.6880504574228401</v>
      </c>
      <c r="K37" s="213">
        <v>5.08396487654836</v>
      </c>
      <c r="L37" s="213">
        <v>5.5513290441598899</v>
      </c>
      <c r="M37" s="213">
        <v>5.5819509743842604</v>
      </c>
      <c r="N37" s="213">
        <v>4.5513785572577801</v>
      </c>
      <c r="O37" s="213">
        <v>0.61588919329193603</v>
      </c>
      <c r="P37" s="213">
        <v>0.61570351974713</v>
      </c>
      <c r="Q37" s="213">
        <v>0.81491035548135105</v>
      </c>
      <c r="R37" s="213">
        <v>1.08205252460929</v>
      </c>
      <c r="S37" s="213">
        <v>1.7222755725405601</v>
      </c>
      <c r="T37" s="213">
        <v>2.1132260330090502</v>
      </c>
      <c r="U37" s="213">
        <v>5.2036582946595598</v>
      </c>
      <c r="V37" s="213">
        <v>1.1337132555198099</v>
      </c>
      <c r="W37" s="213">
        <v>1.1508238409776901</v>
      </c>
      <c r="X37" s="213">
        <v>0.63695811598204699</v>
      </c>
      <c r="Y37" s="213">
        <v>11.5423217222113</v>
      </c>
      <c r="Z37" s="213">
        <v>3.5487313297968099</v>
      </c>
      <c r="AA37" s="213">
        <v>8.4182656554139896</v>
      </c>
      <c r="AB37" s="213">
        <v>3.85222107958066</v>
      </c>
    </row>
    <row r="38" spans="1:28" ht="8.1" customHeight="1">
      <c r="A38" s="180" t="s">
        <v>77</v>
      </c>
      <c r="B38" s="204" t="s">
        <v>59</v>
      </c>
      <c r="C38" s="213">
        <v>0.65810369137566205</v>
      </c>
      <c r="D38" s="213">
        <v>0.58260320680843403</v>
      </c>
      <c r="E38" s="213">
        <v>0.96242240719201999</v>
      </c>
      <c r="F38" s="213">
        <v>1.0045467696128529</v>
      </c>
      <c r="G38" s="213">
        <v>1.1923477144046399</v>
      </c>
      <c r="H38" s="213">
        <v>0.62906695201989205</v>
      </c>
      <c r="I38" s="213">
        <v>1.086344912398987</v>
      </c>
      <c r="J38" s="213">
        <v>0.468805025247096</v>
      </c>
      <c r="K38" s="213">
        <v>0.329823224588081</v>
      </c>
      <c r="L38" s="213">
        <v>0.707007946787089</v>
      </c>
      <c r="M38" s="213">
        <v>1.0040170678941749</v>
      </c>
      <c r="N38" s="213">
        <v>0.91626564573935398</v>
      </c>
      <c r="O38" s="213">
        <v>7.3751215624656502E-2</v>
      </c>
      <c r="P38" s="213">
        <v>9.4269615252700056E-3</v>
      </c>
      <c r="Q38" s="213">
        <v>8.9314635842220047E-3</v>
      </c>
      <c r="R38" s="213">
        <v>3.0475945710521007E-2</v>
      </c>
      <c r="S38" s="213">
        <v>0.25961594956910461</v>
      </c>
      <c r="T38" s="213">
        <v>0.28201072853613102</v>
      </c>
      <c r="U38" s="213">
        <v>0.54353658122260395</v>
      </c>
      <c r="V38" s="213">
        <v>0.18983214269710671</v>
      </c>
      <c r="W38" s="213">
        <v>0.1137389118729587</v>
      </c>
      <c r="X38" s="213">
        <v>0.311368380779322</v>
      </c>
      <c r="Y38" s="213">
        <v>1.066287776385102</v>
      </c>
      <c r="Z38" s="213">
        <v>0.61151970611501105</v>
      </c>
      <c r="AA38" s="213">
        <v>0.57178669576265595</v>
      </c>
      <c r="AB38" s="213">
        <v>0.33226149558650497</v>
      </c>
    </row>
    <row r="39" spans="1:28" s="9" customFormat="1" ht="20.100000000000001" customHeight="1">
      <c r="A39" s="180" t="s">
        <v>78</v>
      </c>
      <c r="B39" s="204" t="s">
        <v>59</v>
      </c>
      <c r="C39" s="201">
        <v>1.7402022511859601</v>
      </c>
      <c r="D39" s="201">
        <v>1.41390959829617</v>
      </c>
      <c r="E39" s="201">
        <v>11.057279256240401</v>
      </c>
      <c r="F39" s="201">
        <v>12.822238417523501</v>
      </c>
      <c r="G39" s="201">
        <v>12.750189508023601</v>
      </c>
      <c r="H39" s="201">
        <v>2.2166582394927801</v>
      </c>
      <c r="I39" s="201">
        <v>18.349044549837501</v>
      </c>
      <c r="J39" s="201">
        <v>10.5251573939931</v>
      </c>
      <c r="K39" s="201">
        <v>16.350378905601701</v>
      </c>
      <c r="L39" s="201">
        <v>21.779660495737652</v>
      </c>
      <c r="M39" s="201">
        <v>21.592508863363701</v>
      </c>
      <c r="N39" s="201">
        <v>18.073934279755701</v>
      </c>
      <c r="O39" s="201">
        <v>1.29798343504686</v>
      </c>
      <c r="P39" s="201">
        <v>1.0783954640912601</v>
      </c>
      <c r="Q39" s="201">
        <v>1.66359622451472</v>
      </c>
      <c r="R39" s="201">
        <v>2.3909269711561398</v>
      </c>
      <c r="S39" s="201">
        <v>4.4401103864945703</v>
      </c>
      <c r="T39" s="201">
        <v>6.5599071960069004</v>
      </c>
      <c r="U39" s="201">
        <v>15.8378046301262</v>
      </c>
      <c r="V39" s="201">
        <v>1.6005271994680599</v>
      </c>
      <c r="W39" s="201">
        <v>1.36185045553553</v>
      </c>
      <c r="X39" s="201">
        <v>0.75502537094375999</v>
      </c>
      <c r="Y39" s="201">
        <v>42.940145178259897</v>
      </c>
      <c r="Z39" s="201">
        <v>12.7003259963387</v>
      </c>
      <c r="AA39" s="201">
        <v>30.436706521524901</v>
      </c>
      <c r="AB39" s="201">
        <v>12.815496785559599</v>
      </c>
    </row>
    <row r="40" spans="1:28" ht="15">
      <c r="A40" s="180" t="s">
        <v>106</v>
      </c>
      <c r="B40" s="204" t="s">
        <v>59</v>
      </c>
      <c r="C40" s="182" t="s">
        <v>110</v>
      </c>
      <c r="D40" s="182" t="s">
        <v>110</v>
      </c>
      <c r="E40" s="182">
        <v>7.5700216008471998E-3</v>
      </c>
      <c r="F40" s="182">
        <v>8.8526907797865009E-3</v>
      </c>
      <c r="G40" s="182">
        <v>9.47687595228092E-3</v>
      </c>
      <c r="H40" s="182">
        <v>5.7048687018474396E-3</v>
      </c>
      <c r="I40" s="182" t="s">
        <v>110</v>
      </c>
      <c r="J40" s="182" t="s">
        <v>110</v>
      </c>
      <c r="K40" s="182" t="s">
        <v>110</v>
      </c>
      <c r="L40" s="182">
        <v>5.8259330801584495E-3</v>
      </c>
      <c r="M40" s="182">
        <v>1.13122173660618E-2</v>
      </c>
      <c r="N40" s="182">
        <v>1.5664159777349002E-2</v>
      </c>
      <c r="O40" s="182" t="s">
        <v>110</v>
      </c>
      <c r="P40" s="182" t="s">
        <v>110</v>
      </c>
      <c r="Q40" s="182" t="s">
        <v>110</v>
      </c>
      <c r="R40" s="182" t="s">
        <v>110</v>
      </c>
      <c r="S40" s="182" t="s">
        <v>110</v>
      </c>
      <c r="T40" s="182" t="s">
        <v>110</v>
      </c>
      <c r="U40" s="182" t="s">
        <v>110</v>
      </c>
      <c r="V40" s="182" t="s">
        <v>110</v>
      </c>
      <c r="W40" s="182" t="s">
        <v>110</v>
      </c>
      <c r="X40" s="182" t="s">
        <v>110</v>
      </c>
      <c r="Y40" s="182">
        <v>1.7533252937600999E-2</v>
      </c>
      <c r="Z40" s="182" t="s">
        <v>110</v>
      </c>
      <c r="AA40" s="182">
        <v>3.3640666526444998E-2</v>
      </c>
      <c r="AB40" s="182" t="s">
        <v>110</v>
      </c>
    </row>
    <row r="41" spans="1:28" ht="18" customHeight="1">
      <c r="A41" s="178"/>
      <c r="B41" s="199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28" ht="18" customHeight="1">
      <c r="A42" s="210" t="s">
        <v>114</v>
      </c>
      <c r="B42" s="204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</row>
    <row r="43" spans="1:28" ht="18" customHeight="1">
      <c r="A43" s="180" t="s">
        <v>69</v>
      </c>
      <c r="B43" s="204" t="s">
        <v>109</v>
      </c>
      <c r="C43" s="182">
        <v>-3.07692274643067E-3</v>
      </c>
      <c r="D43" s="182">
        <v>-3.8829149302653898E-3</v>
      </c>
      <c r="E43" s="182">
        <v>2.17262523031918E-3</v>
      </c>
      <c r="F43" s="182">
        <v>1.75832780385553E-3</v>
      </c>
      <c r="G43" s="182">
        <v>1.20216386464181E-3</v>
      </c>
      <c r="H43" s="182">
        <v>0</v>
      </c>
      <c r="I43" s="182">
        <v>2.2591911154458901E-3</v>
      </c>
      <c r="J43" s="182">
        <v>-1.73277055527716E-3</v>
      </c>
      <c r="K43" s="182">
        <v>-1.6836683377979601E-3</v>
      </c>
      <c r="L43" s="182">
        <v>2.5994805475260002E-3</v>
      </c>
      <c r="M43" s="182">
        <v>5.5754686695012098E-3</v>
      </c>
      <c r="N43" s="182">
        <v>-2.1754175083008001E-3</v>
      </c>
      <c r="O43" s="182">
        <v>-4.4860928892244802E-3</v>
      </c>
      <c r="P43" s="182">
        <v>-4.1903620248620998E-3</v>
      </c>
      <c r="Q43" s="182">
        <v>-3.89999975595856E-3</v>
      </c>
      <c r="R43" s="182">
        <v>-4.49550427290817E-3</v>
      </c>
      <c r="S43" s="182">
        <v>-3.5059599343315599E-3</v>
      </c>
      <c r="T43" s="182">
        <v>-4.7913754030163699E-3</v>
      </c>
      <c r="U43" s="182">
        <v>2.8690684598515102E-10</v>
      </c>
      <c r="V43" s="182">
        <v>-4.8749332183889004E-3</v>
      </c>
      <c r="W43" s="182">
        <v>-4.7122516993064198E-3</v>
      </c>
      <c r="X43" s="182">
        <v>-5.1932486090653799E-3</v>
      </c>
      <c r="Y43" s="182">
        <v>-3.2012802129676599E-3</v>
      </c>
      <c r="Z43" s="182">
        <v>-1.10132130311689E-3</v>
      </c>
      <c r="AA43" s="182">
        <v>-2.3966444915635601E-3</v>
      </c>
      <c r="AB43" s="182">
        <v>-1.6885179982862499E-3</v>
      </c>
    </row>
    <row r="44" spans="1:28" ht="18" customHeight="1">
      <c r="A44" s="180" t="s">
        <v>107</v>
      </c>
      <c r="B44" s="204" t="s">
        <v>109</v>
      </c>
      <c r="C44" s="215">
        <v>15.990570705226901</v>
      </c>
      <c r="D44" s="215">
        <v>29.326763377928799</v>
      </c>
      <c r="E44" s="215">
        <v>862.66119290623703</v>
      </c>
      <c r="F44" s="215">
        <v>926.692285174223</v>
      </c>
      <c r="G44" s="215">
        <v>985.572584483946</v>
      </c>
      <c r="H44" s="215">
        <v>192.544466107566</v>
      </c>
      <c r="I44" s="215">
        <v>1527.6147270700301</v>
      </c>
      <c r="J44" s="215">
        <v>1034.11411016489</v>
      </c>
      <c r="K44" s="215">
        <v>1403.05586672808</v>
      </c>
      <c r="L44" s="215">
        <v>1559.2404899135799</v>
      </c>
      <c r="M44" s="215">
        <v>1697.4985550930301</v>
      </c>
      <c r="N44" s="215">
        <v>1238.4388950924799</v>
      </c>
      <c r="O44" s="215">
        <v>135.87987491425201</v>
      </c>
      <c r="P44" s="215">
        <v>115.99870484311499</v>
      </c>
      <c r="Q44" s="215">
        <v>167.64300096780099</v>
      </c>
      <c r="R44" s="215">
        <v>198.72497238747201</v>
      </c>
      <c r="S44" s="215">
        <v>428.36250541212098</v>
      </c>
      <c r="T44" s="215">
        <v>526.30532678699399</v>
      </c>
      <c r="U44" s="215">
        <v>1161.14694649377</v>
      </c>
      <c r="V44" s="215">
        <v>388.60387288052999</v>
      </c>
      <c r="W44" s="215">
        <v>379.30971483997098</v>
      </c>
      <c r="X44" s="215">
        <v>175.138223575127</v>
      </c>
      <c r="Y44" s="215">
        <v>2674.32016712211</v>
      </c>
      <c r="Z44" s="215">
        <v>842.23568929574901</v>
      </c>
      <c r="AA44" s="215">
        <v>1953.9345397694101</v>
      </c>
      <c r="AB44" s="215">
        <v>849.75218780732496</v>
      </c>
    </row>
    <row r="45" spans="1:28" ht="18" customHeight="1">
      <c r="A45" s="180" t="s">
        <v>70</v>
      </c>
      <c r="B45" s="204" t="s">
        <v>109</v>
      </c>
      <c r="C45" s="182">
        <v>1.0348747925782</v>
      </c>
      <c r="D45" s="182">
        <v>1.97956253589387</v>
      </c>
      <c r="E45" s="182">
        <v>8.4717106460383</v>
      </c>
      <c r="F45" s="182">
        <v>14.635324831136799</v>
      </c>
      <c r="G45" s="182">
        <v>17.3597022602934</v>
      </c>
      <c r="H45" s="182">
        <v>6.46226816860172</v>
      </c>
      <c r="I45" s="182">
        <v>26.963068419846699</v>
      </c>
      <c r="J45" s="182">
        <v>16.383597100454502</v>
      </c>
      <c r="K45" s="182">
        <v>3.8957566050913099</v>
      </c>
      <c r="L45" s="182">
        <v>27.1554759386432</v>
      </c>
      <c r="M45" s="182">
        <v>32.566704634133401</v>
      </c>
      <c r="N45" s="182">
        <v>13.4063258024501</v>
      </c>
      <c r="O45" s="182">
        <v>0.90292820101803495</v>
      </c>
      <c r="P45" s="182">
        <v>0.35763198958980602</v>
      </c>
      <c r="Q45" s="182">
        <v>0.25336363818496499</v>
      </c>
      <c r="R45" s="182">
        <v>0.89110884737301499</v>
      </c>
      <c r="S45" s="182">
        <v>2.5043481958840301</v>
      </c>
      <c r="T45" s="182">
        <v>1.5739850360765599</v>
      </c>
      <c r="U45" s="182">
        <v>12.242973635960301</v>
      </c>
      <c r="V45" s="182">
        <v>4.3540210483664898</v>
      </c>
      <c r="W45" s="182">
        <v>4.9854164854579501</v>
      </c>
      <c r="X45" s="182">
        <v>7.6054767202773803</v>
      </c>
      <c r="Y45" s="182">
        <v>15.1953505476614</v>
      </c>
      <c r="Z45" s="182">
        <v>2.0029489323944398</v>
      </c>
      <c r="AA45" s="182">
        <v>2.10087685000404</v>
      </c>
      <c r="AB45" s="182">
        <v>1.12327082133691</v>
      </c>
    </row>
    <row r="46" spans="1:28" ht="18" customHeight="1">
      <c r="A46" s="180" t="s">
        <v>72</v>
      </c>
      <c r="B46" s="204" t="s">
        <v>109</v>
      </c>
      <c r="C46" s="182">
        <v>3.4975777403278199E-3</v>
      </c>
      <c r="D46" s="182">
        <v>2.3231117041560501E-2</v>
      </c>
      <c r="E46" s="182">
        <v>4.7496781624123699E-2</v>
      </c>
      <c r="F46" s="182">
        <v>3.4050156794582301E-2</v>
      </c>
      <c r="G46" s="182">
        <v>4.7418688444644197E-2</v>
      </c>
      <c r="H46" s="182">
        <v>2.3466516811247101E-2</v>
      </c>
      <c r="I46" s="182">
        <v>3.0415947572954599E-2</v>
      </c>
      <c r="J46" s="182">
        <v>2.0180298973508901E-2</v>
      </c>
      <c r="K46" s="182">
        <v>2.24489126118512E-2</v>
      </c>
      <c r="L46" s="182">
        <v>3.0565315879318201E-2</v>
      </c>
      <c r="M46" s="182">
        <v>3.34717723917793E-2</v>
      </c>
      <c r="N46" s="182">
        <v>2.9288094281166001E-2</v>
      </c>
      <c r="O46" s="182">
        <v>2.4685381705162501E-3</v>
      </c>
      <c r="P46" s="182">
        <v>1.9003911302810099E-3</v>
      </c>
      <c r="Q46" s="182">
        <v>2.5714287403388902E-3</v>
      </c>
      <c r="R46" s="182">
        <v>3.6154324243488998E-3</v>
      </c>
      <c r="S46" s="182">
        <v>1.2115835263994099E-2</v>
      </c>
      <c r="T46" s="182">
        <v>1.6161386394677301E-2</v>
      </c>
      <c r="U46" s="182">
        <v>2.61942335358183E-2</v>
      </c>
      <c r="V46" s="182">
        <v>4.2637903203752402E-3</v>
      </c>
      <c r="W46" s="182">
        <v>4.10591355759422E-3</v>
      </c>
      <c r="X46" s="182">
        <v>1.01772458945018E-2</v>
      </c>
      <c r="Y46" s="182">
        <v>6.4692545204045798E-2</v>
      </c>
      <c r="Z46" s="182">
        <v>1.3540058846566399E-2</v>
      </c>
      <c r="AA46" s="182">
        <v>4.3082544959550301E-2</v>
      </c>
      <c r="AB46" s="182">
        <v>1.30540898315243E-2</v>
      </c>
    </row>
    <row r="47" spans="1:28" ht="18" customHeight="1">
      <c r="A47" s="180" t="s">
        <v>73</v>
      </c>
      <c r="B47" s="204" t="s">
        <v>109</v>
      </c>
      <c r="C47" s="182">
        <v>0.111638902855237</v>
      </c>
      <c r="D47" s="182">
        <v>0.76036872082137297</v>
      </c>
      <c r="E47" s="182">
        <v>1.6182764727777199</v>
      </c>
      <c r="F47" s="182">
        <v>2.3196901168959498</v>
      </c>
      <c r="G47" s="182">
        <v>2.4218833924824801</v>
      </c>
      <c r="H47" s="182">
        <v>0.73541036457234199</v>
      </c>
      <c r="I47" s="182">
        <v>2.4220286194982199</v>
      </c>
      <c r="J47" s="182">
        <v>1.73333684747219</v>
      </c>
      <c r="K47" s="182">
        <v>2.1347217943196202</v>
      </c>
      <c r="L47" s="182">
        <v>2.5206388242628801</v>
      </c>
      <c r="M47" s="182">
        <v>2.6326071230959101</v>
      </c>
      <c r="N47" s="182">
        <v>2.36150549567129</v>
      </c>
      <c r="O47" s="182">
        <v>0.50671489987002105</v>
      </c>
      <c r="P47" s="182">
        <v>0.36630038096092199</v>
      </c>
      <c r="Q47" s="182">
        <v>0.37714287813287201</v>
      </c>
      <c r="R47" s="182">
        <v>0.43023644853941501</v>
      </c>
      <c r="S47" s="182">
        <v>0.69317844029126796</v>
      </c>
      <c r="T47" s="182">
        <v>0.88070050899622099</v>
      </c>
      <c r="U47" s="182">
        <v>1.9030719597731001</v>
      </c>
      <c r="V47" s="182">
        <v>0.58233904048716001</v>
      </c>
      <c r="W47" s="182">
        <v>0.56394246057723996</v>
      </c>
      <c r="X47" s="182">
        <v>0.55689511990047602</v>
      </c>
      <c r="Y47" s="182">
        <v>4.0226568932225399</v>
      </c>
      <c r="Z47" s="182">
        <v>1.4701452102088</v>
      </c>
      <c r="AA47" s="182">
        <v>3.0416465471674399</v>
      </c>
      <c r="AB47" s="182">
        <v>1.3822200050161999</v>
      </c>
    </row>
    <row r="48" spans="1:28" ht="15">
      <c r="A48" s="180" t="s">
        <v>74</v>
      </c>
      <c r="B48" s="204" t="s">
        <v>109</v>
      </c>
      <c r="C48" s="182">
        <v>6.2260322362905499E-3</v>
      </c>
      <c r="D48" s="182">
        <v>3.7109444774132798E-3</v>
      </c>
      <c r="E48" s="182">
        <v>3.6435459493672302</v>
      </c>
      <c r="F48" s="182">
        <v>3.0792933575934698</v>
      </c>
      <c r="G48" s="182">
        <v>4.0598529980717997</v>
      </c>
      <c r="H48" s="182">
        <v>0.42234566607464002</v>
      </c>
      <c r="I48" s="182">
        <v>4.51147320479624</v>
      </c>
      <c r="J48" s="182">
        <v>2.3774068029100901</v>
      </c>
      <c r="K48" s="182">
        <v>3.6447367917550202</v>
      </c>
      <c r="L48" s="182">
        <v>4.8939302365032598</v>
      </c>
      <c r="M48" s="182">
        <v>5.4476663827326197</v>
      </c>
      <c r="N48" s="182">
        <v>3.2318436262339301</v>
      </c>
      <c r="O48" s="182">
        <v>0.27967845516121698</v>
      </c>
      <c r="P48" s="182">
        <v>0.22430227036681499</v>
      </c>
      <c r="Q48" s="182">
        <v>0.346090893435758</v>
      </c>
      <c r="R48" s="182">
        <v>0.54854233687572396</v>
      </c>
      <c r="S48" s="182">
        <v>0.94979644163114196</v>
      </c>
      <c r="T48" s="182">
        <v>0.86072337975945701</v>
      </c>
      <c r="U48" s="182">
        <v>3.2999352843838401</v>
      </c>
      <c r="V48" s="182">
        <v>0.29208901468168802</v>
      </c>
      <c r="W48" s="182">
        <v>0.25721419551416302</v>
      </c>
      <c r="X48" s="182">
        <v>0.163333119178007</v>
      </c>
      <c r="Y48" s="182">
        <v>7.5513838202154604</v>
      </c>
      <c r="Z48" s="182">
        <v>2.9584591162696299</v>
      </c>
      <c r="AA48" s="182">
        <v>3.9912305498018199</v>
      </c>
      <c r="AB48" s="182">
        <v>2.0627009180504099</v>
      </c>
    </row>
    <row r="49" spans="1:28" ht="18" customHeight="1">
      <c r="A49" s="180" t="s">
        <v>108</v>
      </c>
      <c r="B49" s="204" t="s">
        <v>109</v>
      </c>
      <c r="C49" s="215">
        <v>114.547388725186</v>
      </c>
      <c r="D49" s="215">
        <v>225.07209267002901</v>
      </c>
      <c r="E49" s="215">
        <v>2380.9813544280701</v>
      </c>
      <c r="F49" s="215">
        <v>2778.8757590841401</v>
      </c>
      <c r="G49" s="215">
        <v>2933.4058624975301</v>
      </c>
      <c r="H49" s="215">
        <v>303.54505265108497</v>
      </c>
      <c r="I49" s="215">
        <v>3123.2870758669301</v>
      </c>
      <c r="J49" s="215">
        <v>1818.6438689763499</v>
      </c>
      <c r="K49" s="215">
        <v>3606.2006243410801</v>
      </c>
      <c r="L49" s="215">
        <v>3312.90016363106</v>
      </c>
      <c r="M49" s="215">
        <v>3089.53767893847</v>
      </c>
      <c r="N49" s="215">
        <v>2399.5041481809399</v>
      </c>
      <c r="O49" s="215">
        <v>195.67680672626599</v>
      </c>
      <c r="P49" s="215">
        <v>175.00848312476899</v>
      </c>
      <c r="Q49" s="215">
        <v>236.58189058303799</v>
      </c>
      <c r="R49" s="215">
        <v>354.333469322273</v>
      </c>
      <c r="S49" s="215">
        <v>854.99024899870699</v>
      </c>
      <c r="T49" s="215">
        <v>635.04529917970797</v>
      </c>
      <c r="U49" s="215">
        <v>2759.4391174308898</v>
      </c>
      <c r="V49" s="215">
        <v>664.67883424353602</v>
      </c>
      <c r="W49" s="215">
        <v>721.37226388142301</v>
      </c>
      <c r="X49" s="215">
        <v>311.40837340305899</v>
      </c>
      <c r="Y49" s="215">
        <v>5467.6720384313103</v>
      </c>
      <c r="Z49" s="215">
        <v>1894.6630528892699</v>
      </c>
      <c r="AA49" s="215">
        <v>2406.8493816413102</v>
      </c>
      <c r="AB49" s="215">
        <v>1092.9728743098899</v>
      </c>
    </row>
    <row r="50" spans="1:28" ht="18" customHeight="1">
      <c r="A50" s="180" t="s">
        <v>75</v>
      </c>
      <c r="B50" s="204" t="s">
        <v>109</v>
      </c>
      <c r="C50" s="182">
        <v>44.906103030822401</v>
      </c>
      <c r="D50" s="182">
        <v>76.639089419930997</v>
      </c>
      <c r="E50" s="182">
        <v>45.4573378701702</v>
      </c>
      <c r="F50" s="182">
        <v>35.5293544003096</v>
      </c>
      <c r="G50" s="182">
        <v>68.344418288218293</v>
      </c>
      <c r="H50" s="182">
        <v>56.7204157329802</v>
      </c>
      <c r="I50" s="182">
        <v>55.991067934178197</v>
      </c>
      <c r="J50" s="182">
        <v>39.549557053769803</v>
      </c>
      <c r="K50" s="182">
        <v>39.782014526267197</v>
      </c>
      <c r="L50" s="182">
        <v>37.201259075496402</v>
      </c>
      <c r="M50" s="182">
        <v>50.005575216547598</v>
      </c>
      <c r="N50" s="182">
        <v>56.731629917023497</v>
      </c>
      <c r="O50" s="182">
        <v>3.13847062377386</v>
      </c>
      <c r="P50" s="182">
        <v>1.6396288265168699</v>
      </c>
      <c r="Q50" s="182">
        <v>1.66160006483551</v>
      </c>
      <c r="R50" s="182">
        <v>20.668531970267999</v>
      </c>
      <c r="S50" s="182">
        <v>12.3583091993436</v>
      </c>
      <c r="T50" s="182">
        <v>21.343581742487299</v>
      </c>
      <c r="U50" s="182">
        <v>56.454455608858098</v>
      </c>
      <c r="V50" s="182">
        <v>9.3694729239452297</v>
      </c>
      <c r="W50" s="182">
        <v>8.4923799200814898</v>
      </c>
      <c r="X50" s="182">
        <v>44.758414484825202</v>
      </c>
      <c r="Y50" s="182">
        <v>103.445777210759</v>
      </c>
      <c r="Z50" s="182">
        <v>20.449038100743898</v>
      </c>
      <c r="AA50" s="182">
        <v>48.038045356567402</v>
      </c>
      <c r="AB50" s="182">
        <v>28.759633950913301</v>
      </c>
    </row>
    <row r="51" spans="1:28" ht="18" customHeight="1">
      <c r="A51" s="180" t="s">
        <v>76</v>
      </c>
      <c r="B51" s="204" t="s">
        <v>109</v>
      </c>
      <c r="C51" s="182">
        <v>6.2672816512750307E-2</v>
      </c>
      <c r="D51" s="182">
        <v>0.10724242383296</v>
      </c>
      <c r="E51" s="182">
        <v>3.87009424380016</v>
      </c>
      <c r="F51" s="182">
        <v>3.70802478267986</v>
      </c>
      <c r="G51" s="182">
        <v>3.7485570597839901</v>
      </c>
      <c r="H51" s="182">
        <v>0.826437726026513</v>
      </c>
      <c r="I51" s="182">
        <v>3.6757329259753302</v>
      </c>
      <c r="J51" s="182">
        <v>2.7531491371297401</v>
      </c>
      <c r="K51" s="182">
        <v>4.0804199371983101</v>
      </c>
      <c r="L51" s="182">
        <v>4.2229651020837196</v>
      </c>
      <c r="M51" s="182">
        <v>4.1902297516626001</v>
      </c>
      <c r="N51" s="182">
        <v>3.3077652341247199</v>
      </c>
      <c r="O51" s="182">
        <v>0.32461275843387799</v>
      </c>
      <c r="P51" s="182">
        <v>0.29817136042849601</v>
      </c>
      <c r="Q51" s="182">
        <v>0.43685718090273401</v>
      </c>
      <c r="R51" s="182">
        <v>0.71243043978708798</v>
      </c>
      <c r="S51" s="182">
        <v>1.1385069345322301</v>
      </c>
      <c r="T51" s="182">
        <v>1.3797070995515399</v>
      </c>
      <c r="U51" s="182">
        <v>3.6217518390339198</v>
      </c>
      <c r="V51" s="182">
        <v>0.874456085583872</v>
      </c>
      <c r="W51" s="182">
        <v>0.888691574392244</v>
      </c>
      <c r="X51" s="182">
        <v>0.47481134906857603</v>
      </c>
      <c r="Y51" s="182">
        <v>8.4496660439130604</v>
      </c>
      <c r="Z51" s="182">
        <v>2.73385221884736</v>
      </c>
      <c r="AA51" s="182">
        <v>5.5256928240522099</v>
      </c>
      <c r="AB51" s="182">
        <v>2.6577370307239199</v>
      </c>
    </row>
    <row r="52" spans="1:28" ht="18" customHeight="1">
      <c r="A52" s="180" t="s">
        <v>71</v>
      </c>
      <c r="B52" s="204" t="s">
        <v>109</v>
      </c>
      <c r="C52" s="182">
        <v>0.142837801217922</v>
      </c>
      <c r="D52" s="182">
        <v>0.163553086993493</v>
      </c>
      <c r="E52" s="182">
        <v>2.2019821686785002</v>
      </c>
      <c r="F52" s="182">
        <v>2.2996794261594</v>
      </c>
      <c r="G52" s="182">
        <v>2.19485980795465</v>
      </c>
      <c r="H52" s="182">
        <v>0.47843561922299499</v>
      </c>
      <c r="I52" s="182">
        <v>1.9816464172258501</v>
      </c>
      <c r="J52" s="182">
        <v>1.13480741700304</v>
      </c>
      <c r="K52" s="182">
        <v>1.67979682791829</v>
      </c>
      <c r="L52" s="182">
        <v>1.9675155820986501</v>
      </c>
      <c r="M52" s="182">
        <v>2.0183917798766902</v>
      </c>
      <c r="N52" s="182">
        <v>1.5473332802228099</v>
      </c>
      <c r="O52" s="182">
        <v>0.211797957324838</v>
      </c>
      <c r="P52" s="182">
        <v>0.21441592158442899</v>
      </c>
      <c r="Q52" s="182">
        <v>0.245909081422724</v>
      </c>
      <c r="R52" s="182">
        <v>0.39515029752978698</v>
      </c>
      <c r="S52" s="182">
        <v>0.68124902070253002</v>
      </c>
      <c r="T52" s="182">
        <v>0.884226537121798</v>
      </c>
      <c r="U52" s="182">
        <v>1.6190492930575699</v>
      </c>
      <c r="V52" s="182">
        <v>0.355490269668714</v>
      </c>
      <c r="W52" s="182">
        <v>0.37242283033651902</v>
      </c>
      <c r="X52" s="182">
        <v>0.24940304718666101</v>
      </c>
      <c r="Y52" s="182">
        <v>3.44465035636693</v>
      </c>
      <c r="Z52" s="182">
        <v>1.2509556810806499</v>
      </c>
      <c r="AA52" s="182">
        <v>1.9218548055615801</v>
      </c>
      <c r="AB52" s="182">
        <v>0.97166535450200398</v>
      </c>
    </row>
    <row r="53" spans="1:28" ht="15">
      <c r="A53" s="180" t="s">
        <v>77</v>
      </c>
      <c r="B53" s="204" t="s">
        <v>109</v>
      </c>
      <c r="C53" s="182">
        <v>0.2802836372190306</v>
      </c>
      <c r="D53" s="182">
        <v>0.17743195337225581</v>
      </c>
      <c r="E53" s="182">
        <v>0</v>
      </c>
      <c r="F53" s="182">
        <v>0</v>
      </c>
      <c r="G53" s="182">
        <v>0</v>
      </c>
      <c r="H53" s="182">
        <v>8.2817845731920969E-2</v>
      </c>
      <c r="I53" s="182">
        <v>0</v>
      </c>
      <c r="J53" s="182">
        <v>0</v>
      </c>
      <c r="K53" s="182">
        <v>0</v>
      </c>
      <c r="L53" s="182">
        <v>0</v>
      </c>
      <c r="M53" s="182">
        <v>0</v>
      </c>
      <c r="N53" s="182">
        <v>0</v>
      </c>
      <c r="O53" s="182">
        <v>0</v>
      </c>
      <c r="P53" s="182">
        <v>0</v>
      </c>
      <c r="Q53" s="182">
        <v>0</v>
      </c>
      <c r="R53" s="182">
        <v>0</v>
      </c>
      <c r="S53" s="182">
        <v>1.2500192827567536E-2</v>
      </c>
      <c r="T53" s="182">
        <v>3.3748342037254464E-2</v>
      </c>
      <c r="U53" s="182">
        <v>0</v>
      </c>
      <c r="V53" s="182">
        <v>0</v>
      </c>
      <c r="W53" s="182">
        <v>0</v>
      </c>
      <c r="X53" s="182">
        <v>0.12825905464805837</v>
      </c>
      <c r="Y53" s="182">
        <v>0</v>
      </c>
      <c r="Z53" s="182">
        <v>0</v>
      </c>
      <c r="AA53" s="182">
        <v>0.13261883365631782</v>
      </c>
      <c r="AB53" s="182">
        <v>3.0910011120866665E-2</v>
      </c>
    </row>
    <row r="54" spans="1:28" ht="15">
      <c r="A54" s="180" t="s">
        <v>78</v>
      </c>
      <c r="B54" s="204" t="s">
        <v>109</v>
      </c>
      <c r="C54" s="182">
        <v>0.56027415700756</v>
      </c>
      <c r="D54" s="182">
        <v>0.98670619616506805</v>
      </c>
      <c r="E54" s="182">
        <v>6.3831911767856298</v>
      </c>
      <c r="F54" s="182">
        <v>6.2297829775263596</v>
      </c>
      <c r="G54" s="182">
        <v>6.1434392916310001</v>
      </c>
      <c r="H54" s="182">
        <v>1.4215220777725901</v>
      </c>
      <c r="I54" s="182">
        <v>4.8107075177207301</v>
      </c>
      <c r="J54" s="182">
        <v>2.76903889650709</v>
      </c>
      <c r="K54" s="182">
        <v>4.0423134148598301</v>
      </c>
      <c r="L54" s="182">
        <v>6.8877653520587101</v>
      </c>
      <c r="M54" s="182">
        <v>5.5367813857972497</v>
      </c>
      <c r="N54" s="182">
        <v>3.9771535809746799</v>
      </c>
      <c r="O54" s="182">
        <v>0.77882378935247898</v>
      </c>
      <c r="P54" s="182">
        <v>0.43699491155255499</v>
      </c>
      <c r="Q54" s="182">
        <v>0.59142859536223102</v>
      </c>
      <c r="R54" s="182">
        <v>0.83916087320388899</v>
      </c>
      <c r="S54" s="182">
        <v>1.50284058926846</v>
      </c>
      <c r="T54" s="182">
        <v>1.7473311537668901</v>
      </c>
      <c r="U54" s="182">
        <v>3.4904990194946399</v>
      </c>
      <c r="V54" s="182">
        <v>0.48858300433150498</v>
      </c>
      <c r="W54" s="182">
        <v>0.51257082022851996</v>
      </c>
      <c r="X54" s="182">
        <v>0.51599588103962202</v>
      </c>
      <c r="Y54" s="182">
        <v>9.4282476886158104</v>
      </c>
      <c r="Z54" s="182">
        <v>3.1185042400537402</v>
      </c>
      <c r="AA54" s="182">
        <v>7.42132444653957</v>
      </c>
      <c r="AB54" s="182">
        <v>3.7913617230178498</v>
      </c>
    </row>
    <row r="55" spans="1:28" ht="15">
      <c r="A55" s="180" t="s">
        <v>106</v>
      </c>
      <c r="B55" s="204" t="s">
        <v>109</v>
      </c>
      <c r="C55" s="182">
        <v>-9.9255580619143894E-5</v>
      </c>
      <c r="D55" s="182">
        <v>-4.9780965671172102E-4</v>
      </c>
      <c r="E55" s="182">
        <v>0</v>
      </c>
      <c r="F55" s="182">
        <v>0</v>
      </c>
      <c r="G55" s="182">
        <v>4.0072128821393502E-4</v>
      </c>
      <c r="H55" s="182">
        <v>1.98708408482334E-4</v>
      </c>
      <c r="I55" s="182">
        <v>1.2322857844792299E-3</v>
      </c>
      <c r="J55" s="182">
        <v>-1.9803099985067599E-4</v>
      </c>
      <c r="K55" s="182">
        <v>0</v>
      </c>
      <c r="L55" s="182">
        <v>2.2995399975178198E-3</v>
      </c>
      <c r="M55" s="182">
        <v>2.8872960062114499E-3</v>
      </c>
      <c r="N55" s="182">
        <v>-3.9553051328492401E-4</v>
      </c>
      <c r="O55" s="182">
        <v>0</v>
      </c>
      <c r="P55" s="182">
        <v>-2.9931160301925901E-4</v>
      </c>
      <c r="Q55" s="182">
        <v>7.0000000050640698E-4</v>
      </c>
      <c r="R55" s="182">
        <v>0</v>
      </c>
      <c r="S55" s="182">
        <v>1.4023840174627101E-3</v>
      </c>
      <c r="T55" s="182">
        <v>9.9820324527616594E-4</v>
      </c>
      <c r="U55" s="182">
        <v>2.0701892938772802E-3</v>
      </c>
      <c r="V55" s="182">
        <v>3.4820950784341802E-4</v>
      </c>
      <c r="W55" s="182">
        <v>9.0234607706445502E-4</v>
      </c>
      <c r="X55" s="182">
        <v>0</v>
      </c>
      <c r="Y55" s="182">
        <v>0</v>
      </c>
      <c r="Z55" s="182">
        <v>1.8021625131641799E-3</v>
      </c>
      <c r="AA55" s="182">
        <v>0</v>
      </c>
      <c r="AB55" s="182">
        <v>0</v>
      </c>
    </row>
    <row r="56" spans="1:28" ht="17.25" customHeight="1">
      <c r="A56" s="211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</row>
    <row r="57" spans="1:28" s="9" customFormat="1" ht="17.25" customHeight="1">
      <c r="A57" s="175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 s="9" customFormat="1" ht="17.25" customHeight="1">
      <c r="A58" s="183" t="s">
        <v>60</v>
      </c>
      <c r="B58" s="18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 ht="17.25" customHeight="1">
      <c r="A59" s="185" t="s">
        <v>272</v>
      </c>
      <c r="B59" s="186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</row>
    <row r="60" spans="1:28" ht="17.25" customHeight="1">
      <c r="A60" s="185" t="s">
        <v>273</v>
      </c>
      <c r="B60" s="186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</row>
    <row r="61" spans="1:28" ht="17.25" customHeight="1">
      <c r="A61" s="185" t="s">
        <v>274</v>
      </c>
      <c r="B61" s="186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</row>
    <row r="62" spans="1:28" s="9" customFormat="1" ht="17.25" customHeight="1">
      <c r="A62" s="188" t="s">
        <v>2</v>
      </c>
      <c r="B62" s="186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</row>
    <row r="63" spans="1:28" s="9" customFormat="1" ht="17.25" customHeight="1">
      <c r="A63" s="185" t="s">
        <v>275</v>
      </c>
      <c r="B63" s="187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</row>
    <row r="64" spans="1:28" s="10" customFormat="1" ht="17.25" customHeight="1">
      <c r="A64" s="185" t="s">
        <v>276</v>
      </c>
      <c r="B64" s="186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</row>
    <row r="65" spans="1:28" s="9" customFormat="1" ht="17.25" customHeight="1">
      <c r="A65" s="185" t="s">
        <v>277</v>
      </c>
      <c r="B65" s="186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</row>
    <row r="66" spans="1:28" ht="17.25" customHeight="1">
      <c r="A66" s="185" t="s">
        <v>278</v>
      </c>
      <c r="B66" s="186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</row>
    <row r="67" spans="1:28" ht="17.25" customHeight="1">
      <c r="A67" s="188" t="s">
        <v>3</v>
      </c>
      <c r="B67" s="186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</row>
    <row r="68" spans="1:28" ht="17.25" customHeight="1">
      <c r="A68" s="185" t="s">
        <v>279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</row>
    <row r="69" spans="1:28" ht="17.25" customHeight="1">
      <c r="A69" s="185" t="s">
        <v>280</v>
      </c>
      <c r="B69" s="186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</row>
    <row r="70" spans="1:28" s="9" customFormat="1" ht="17.25" customHeight="1">
      <c r="A70" s="185" t="s">
        <v>281</v>
      </c>
      <c r="B70" s="186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</row>
    <row r="71" spans="1:28" ht="17.25" customHeight="1">
      <c r="A71" s="185" t="s">
        <v>282</v>
      </c>
      <c r="B71" s="186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</row>
    <row r="72" spans="1:28" ht="17.25" customHeight="1">
      <c r="A72" s="185" t="s">
        <v>283</v>
      </c>
      <c r="B72" s="186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</row>
    <row r="73" spans="1:28" s="9" customFormat="1" ht="17.25" customHeight="1">
      <c r="A73" s="185" t="s">
        <v>284</v>
      </c>
      <c r="B73" s="186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</row>
    <row r="74" spans="1:28" ht="17.25" customHeight="1">
      <c r="A74" s="191" t="s">
        <v>285</v>
      </c>
      <c r="B74" s="190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</row>
    <row r="75" spans="1:28" s="13" customFormat="1" ht="18" customHeight="1">
      <c r="A75" s="191" t="s">
        <v>286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</row>
    <row r="76" spans="1:28" ht="17.25" customHeight="1">
      <c r="A76" s="12" t="str">
        <f ca="1">IF(OFFSET(A76,-1,,,)="Notes: ","1. This report was issued on " &amp; TEXT(TODAY(),"dd/mm/yyyy") &amp; ".",
IF(NOT(ISERROR(VALUE(LEFT(OFFSET(A76,-1,,,),2)))),VALUE(LEFT(OFFSET(A76,-1,,,),2))+1&amp;". This report was issued on " &amp; TEXT(TODAY(),"dd/mm/yyyy") &amp; ".",
IF(NOT(ISERROR(VALUE(LEFT(OFFSET(A76,-1,,,),1)))),VALUE(LEFT(OFFSET(A76,-1,,,),1))+1&amp;". This report was issued on " &amp; TEXT(TODAY(),"dd/mm/yyyy") &amp; ".",
IF(NOT(ISERROR(VALUE(LEFT(OFFSET(A76,-2,,,),2)))),VALUE(LEFT(OFFSET(A76,-2,,,),2))+1&amp;". This report was issued on " &amp; TEXT(TODAY(),"dd/mm/yyyy") &amp; ".",
IF(NOT(ISERROR(VALUE(LEFT(OFFSET(A76,-2,,,),1)))),VALUE(LEFT(OFFSET(A76,-2,,,),1))+1&amp;". This report was issued on " &amp; TEXT(TODAY(),"dd/mm/yyyy") &amp; ".",
IF(NOT(ISERROR(VALUE(LEFT(OFFSET(A76,-3,,,),2)))),VALUE(LEFT(OFFSET(A76,-3,,,),2))+1&amp;". This report was issued on " &amp; TEXT(TODAY(),"dd/mm/yyyy") &amp; ".",
IF(NOT(ISERROR(VALUE(LEFT(OFFSET(A76,-3,,,),1)))),VALUE(LEFT(OFFSET(A76,-3,,,),1))+1&amp;". This report was issued on " &amp; TEXT(TODAY(),"dd/mm/yyyy") &amp; ".",
IF(NOT(ISERROR(VALUE(LEFT(OFFSET(A76,-4,,,),2)))),VALUE(LEFT(OFFSET(A76,-4,,,),2))+1&amp;". This report was issued on " &amp; TEXT(TODAY(),"dd/mm/yyyy") &amp; ".",
IF(NOT(ISERROR(VALUE(LEFT(OFFSET(A76,-4,,,),1)))),VALUE(LEFT(OFFSET(A76,-4,,,),1))+1&amp;". This report was issued on " &amp; TEXT(TODAY(),"dd/mm/yyyy") &amp; ".",
IF(NOT(ISERROR(VALUE(LEFT(OFFSET(A76,-5,,,),2)))),VALUE(LEFT(OFFSET(A76,-5,,,),2))+1&amp;". This report was issued on " &amp; TEXT(TODAY(),"dd/mm/yyyy") &amp; ".",
IF(NOT(ISERROR(VALUE(LEFT(OFFSET(A76,-5,,,),1)))),VALUE(LEFT(OFFSET(A76,-5,,,),1))+1&amp;". This report was issued on " &amp; TEXT(TODAY(),"dd/mm/yyyy") &amp; ".",
"ERROR: NOTES ABOVE ARE NOT NUMBERED (searches within 5 rows for a number)")))))))))))</f>
        <v>19. This report was issued on 05/06/2020.</v>
      </c>
    </row>
  </sheetData>
  <printOptions horizontalCentered="1" verticalCentered="1"/>
  <pageMargins left="0.51" right="0.51" top="0.51" bottom="0.98" header="0.39000000000000007" footer="0.39000000000000007"/>
  <pageSetup paperSize="9" scale="33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 ...............
Graham Lancaster 
Laboratory Manager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3"/>
  <sheetViews>
    <sheetView topLeftCell="A33" zoomScaleNormal="100" workbookViewId="0">
      <selection activeCell="A39" sqref="A39:A41"/>
    </sheetView>
  </sheetViews>
  <sheetFormatPr defaultColWidth="8.7109375" defaultRowHeight="12.75"/>
  <cols>
    <col min="1" max="1" width="29.140625" style="52" customWidth="1"/>
    <col min="2" max="2" width="7.140625" style="147" hidden="1" customWidth="1"/>
    <col min="3" max="3" width="15" style="52" customWidth="1"/>
    <col min="4" max="4" width="9.7109375" style="52" hidden="1" customWidth="1"/>
    <col min="5" max="5" width="7.5703125" style="52" hidden="1" customWidth="1"/>
    <col min="6" max="6" width="16.5703125" style="52" hidden="1" customWidth="1"/>
    <col min="7" max="7" width="6.28515625" style="52" hidden="1" customWidth="1"/>
    <col min="8" max="9" width="17.85546875" style="52" customWidth="1"/>
    <col min="10" max="13" width="8.42578125" style="52" hidden="1" customWidth="1"/>
    <col min="14" max="14" width="10.28515625" style="52" hidden="1" customWidth="1"/>
    <col min="15" max="15" width="8.85546875" style="52" hidden="1" customWidth="1"/>
    <col min="16" max="16" width="11.42578125" style="52" hidden="1" customWidth="1"/>
    <col min="17" max="21" width="10.28515625" style="52" hidden="1" customWidth="1"/>
    <col min="22" max="22" width="15.140625" style="52" hidden="1" customWidth="1"/>
    <col min="23" max="23" width="8.85546875" style="52" hidden="1" customWidth="1"/>
    <col min="24" max="24" width="11.42578125" style="52" hidden="1" customWidth="1"/>
    <col min="25" max="25" width="10.7109375" style="52" hidden="1" customWidth="1"/>
    <col min="26" max="26" width="10.85546875" style="52" hidden="1" customWidth="1"/>
    <col min="27" max="27" width="9.85546875" style="52" hidden="1" customWidth="1"/>
    <col min="28" max="28" width="13" style="52" hidden="1" customWidth="1"/>
    <col min="29" max="29" width="20.85546875" style="52" hidden="1" customWidth="1"/>
    <col min="30" max="33" width="21.7109375" style="52" customWidth="1"/>
    <col min="34" max="34" width="12.7109375" style="52" hidden="1" customWidth="1"/>
    <col min="35" max="35" width="17.42578125" style="147" hidden="1" customWidth="1"/>
    <col min="36" max="37" width="10.5703125" style="52" hidden="1" customWidth="1"/>
    <col min="38" max="39" width="18.85546875" style="52" hidden="1" customWidth="1"/>
    <col min="40" max="40" width="12.85546875" style="52" hidden="1" customWidth="1"/>
    <col min="41" max="41" width="12.42578125" style="52" hidden="1" customWidth="1"/>
    <col min="42" max="43" width="13.140625" style="52" hidden="1" customWidth="1"/>
    <col min="44" max="45" width="12.28515625" style="52" hidden="1" customWidth="1"/>
    <col min="46" max="50" width="13.28515625" style="52" hidden="1" customWidth="1"/>
    <col min="51" max="54" width="15.42578125" style="52" hidden="1" customWidth="1"/>
    <col min="55" max="55" width="15.42578125" style="52" customWidth="1"/>
    <col min="56" max="56" width="11" style="52" customWidth="1"/>
    <col min="57" max="58" width="8.7109375" style="52" customWidth="1"/>
    <col min="59" max="16384" width="8.7109375" style="52"/>
  </cols>
  <sheetData>
    <row r="1" spans="1:57" ht="23.25">
      <c r="A1" s="44" t="s">
        <v>156</v>
      </c>
      <c r="B1" s="45"/>
      <c r="C1" s="46"/>
      <c r="D1" s="47"/>
      <c r="E1" s="47"/>
      <c r="F1" s="47"/>
      <c r="G1" s="47"/>
      <c r="H1" s="48"/>
      <c r="I1" s="48"/>
      <c r="J1" s="49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45"/>
      <c r="Z1" s="45"/>
      <c r="AA1" s="50"/>
      <c r="AB1" s="50"/>
      <c r="AC1" s="50"/>
      <c r="AD1" s="50"/>
      <c r="AE1" s="50"/>
      <c r="AF1" s="50"/>
      <c r="AG1" s="50"/>
      <c r="AH1" s="51"/>
      <c r="AI1" s="51"/>
      <c r="AJ1" s="50"/>
      <c r="AK1" s="50"/>
      <c r="AL1" s="50"/>
      <c r="AM1" s="50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57" s="54" customFormat="1">
      <c r="A2" s="1" t="s">
        <v>157</v>
      </c>
      <c r="B2" s="53"/>
      <c r="C2" s="1"/>
      <c r="D2" s="1"/>
      <c r="E2" s="53"/>
      <c r="F2" s="1"/>
      <c r="G2" s="1"/>
      <c r="H2" s="53"/>
      <c r="I2" s="1"/>
      <c r="J2" s="1"/>
      <c r="K2" s="53"/>
      <c r="L2" s="1"/>
      <c r="M2" s="1"/>
      <c r="N2" s="53"/>
      <c r="O2" s="1"/>
      <c r="P2" s="1"/>
      <c r="Q2" s="53"/>
      <c r="R2" s="1"/>
      <c r="S2" s="1"/>
      <c r="T2" s="53"/>
      <c r="U2" s="1"/>
      <c r="V2" s="1"/>
      <c r="W2" s="53"/>
      <c r="X2" s="1"/>
      <c r="Y2" s="1"/>
      <c r="Z2" s="53"/>
      <c r="AA2" s="1"/>
      <c r="AB2" s="1"/>
      <c r="AC2" s="53"/>
      <c r="AD2" s="1"/>
      <c r="AE2" s="1"/>
      <c r="AF2" s="53"/>
      <c r="AG2" s="1"/>
      <c r="AH2" s="1"/>
      <c r="AI2" s="53"/>
      <c r="AJ2" s="1"/>
      <c r="AK2" s="1"/>
      <c r="AL2" s="53"/>
      <c r="AM2" s="1"/>
      <c r="AN2" s="1"/>
      <c r="AO2" s="53"/>
      <c r="AP2" s="1"/>
      <c r="AQ2" s="1"/>
      <c r="AR2" s="53"/>
      <c r="AS2" s="1"/>
      <c r="AT2" s="1"/>
      <c r="AU2" s="53"/>
      <c r="AV2" s="1"/>
      <c r="AW2" s="1"/>
      <c r="AX2" s="53"/>
      <c r="AY2" s="1"/>
      <c r="AZ2" s="1"/>
      <c r="BA2" s="53"/>
      <c r="BB2" s="1"/>
      <c r="BC2" s="173"/>
    </row>
    <row r="3" spans="1:57" ht="15" customHeight="1">
      <c r="A3" s="2" t="s">
        <v>158</v>
      </c>
      <c r="B3" s="55"/>
      <c r="C3" s="46"/>
      <c r="D3" s="46"/>
      <c r="E3" s="46"/>
      <c r="F3" s="46"/>
      <c r="G3" s="46"/>
      <c r="H3" s="56"/>
      <c r="I3" s="56"/>
      <c r="J3" s="57"/>
      <c r="K3" s="58"/>
      <c r="L3" s="58"/>
      <c r="M3" s="58"/>
      <c r="N3" s="58"/>
      <c r="O3" s="58"/>
      <c r="P3" s="58"/>
      <c r="Q3" s="59"/>
      <c r="R3" s="59"/>
      <c r="S3" s="59"/>
      <c r="T3" s="59"/>
      <c r="U3" s="59"/>
      <c r="V3" s="59"/>
      <c r="W3" s="58"/>
      <c r="X3" s="58"/>
      <c r="Y3" s="55"/>
      <c r="Z3" s="55"/>
      <c r="AA3" s="58"/>
      <c r="AB3" s="58"/>
      <c r="AC3" s="58"/>
      <c r="AD3" s="58"/>
      <c r="AE3" s="60"/>
      <c r="AF3" s="58"/>
      <c r="AG3" s="58"/>
      <c r="AH3" s="61"/>
      <c r="AI3" s="61"/>
      <c r="AJ3" s="58"/>
      <c r="AK3" s="58"/>
      <c r="AL3" s="58"/>
      <c r="AM3" s="58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</row>
    <row r="4" spans="1:57" s="67" customFormat="1" ht="20.100000000000001" customHeight="1">
      <c r="A4" s="3" t="s">
        <v>159</v>
      </c>
      <c r="B4" s="62"/>
      <c r="C4" s="63"/>
      <c r="D4" s="3"/>
      <c r="E4" s="64" t="s">
        <v>160</v>
      </c>
      <c r="F4" s="64" t="s">
        <v>160</v>
      </c>
      <c r="G4" s="64" t="s">
        <v>160</v>
      </c>
      <c r="H4" s="64"/>
      <c r="I4" s="64"/>
      <c r="J4" s="65"/>
      <c r="K4" s="66"/>
      <c r="L4" s="66"/>
      <c r="M4" s="66"/>
      <c r="N4" s="66"/>
      <c r="O4" s="64" t="s">
        <v>160</v>
      </c>
      <c r="P4" s="64" t="s">
        <v>160</v>
      </c>
      <c r="Q4" s="66"/>
      <c r="R4" s="64" t="s">
        <v>160</v>
      </c>
      <c r="S4" s="64" t="s">
        <v>160</v>
      </c>
      <c r="T4" s="64" t="s">
        <v>160</v>
      </c>
      <c r="U4" s="64" t="s">
        <v>160</v>
      </c>
      <c r="V4" s="66"/>
      <c r="W4" s="64" t="s">
        <v>160</v>
      </c>
      <c r="X4" s="64" t="s">
        <v>160</v>
      </c>
      <c r="Y4" s="66"/>
      <c r="Z4" s="66"/>
      <c r="AA4" s="64" t="s">
        <v>160</v>
      </c>
      <c r="AB4" s="64" t="s">
        <v>160</v>
      </c>
      <c r="AC4" s="64" t="s">
        <v>160</v>
      </c>
      <c r="AD4" s="66"/>
      <c r="AE4" s="66"/>
      <c r="AF4" s="65"/>
      <c r="AG4" s="65"/>
      <c r="AH4" s="64"/>
      <c r="AI4" s="64"/>
      <c r="AJ4" s="256"/>
      <c r="AK4" s="257"/>
      <c r="AL4" s="62" t="s">
        <v>160</v>
      </c>
      <c r="AM4" s="62" t="s">
        <v>160</v>
      </c>
      <c r="AN4" s="64"/>
      <c r="AO4" s="64"/>
      <c r="AP4" s="246" t="s">
        <v>161</v>
      </c>
      <c r="AQ4" s="250"/>
      <c r="AR4" s="246" t="s">
        <v>162</v>
      </c>
      <c r="AS4" s="250"/>
      <c r="AT4" s="62" t="s">
        <v>160</v>
      </c>
      <c r="AU4" s="62" t="s">
        <v>160</v>
      </c>
      <c r="AV4" s="62" t="s">
        <v>160</v>
      </c>
      <c r="AW4" s="62" t="s">
        <v>160</v>
      </c>
      <c r="AX4" s="62" t="s">
        <v>160</v>
      </c>
      <c r="AY4" s="251" t="s">
        <v>161</v>
      </c>
      <c r="AZ4" s="252"/>
      <c r="BA4" s="251" t="s">
        <v>162</v>
      </c>
      <c r="BB4" s="252"/>
      <c r="BC4" s="171"/>
    </row>
    <row r="5" spans="1:57" s="77" customFormat="1" ht="27" customHeight="1">
      <c r="A5" s="68" t="s">
        <v>163</v>
      </c>
      <c r="B5" s="69" t="s">
        <v>164</v>
      </c>
      <c r="C5" s="69" t="s">
        <v>165</v>
      </c>
      <c r="D5" s="69" t="s">
        <v>166</v>
      </c>
      <c r="E5" s="70"/>
      <c r="F5" s="70"/>
      <c r="G5" s="70"/>
      <c r="H5" s="253" t="s">
        <v>167</v>
      </c>
      <c r="I5" s="250"/>
      <c r="J5" s="248" t="s">
        <v>168</v>
      </c>
      <c r="K5" s="254"/>
      <c r="L5" s="254"/>
      <c r="M5" s="249"/>
      <c r="N5" s="246" t="s">
        <v>169</v>
      </c>
      <c r="O5" s="255"/>
      <c r="P5" s="255"/>
      <c r="Q5" s="255"/>
      <c r="R5" s="255"/>
      <c r="S5" s="255"/>
      <c r="T5" s="255"/>
      <c r="U5" s="255"/>
      <c r="V5" s="247"/>
      <c r="W5" s="71" t="s">
        <v>170</v>
      </c>
      <c r="X5" s="72" t="s">
        <v>170</v>
      </c>
      <c r="Y5" s="246" t="s">
        <v>171</v>
      </c>
      <c r="Z5" s="247"/>
      <c r="AA5" s="70" t="s">
        <v>170</v>
      </c>
      <c r="AB5" s="70" t="s">
        <v>170</v>
      </c>
      <c r="AC5" s="69" t="s">
        <v>172</v>
      </c>
      <c r="AD5" s="246" t="s">
        <v>173</v>
      </c>
      <c r="AE5" s="250"/>
      <c r="AF5" s="246" t="s">
        <v>174</v>
      </c>
      <c r="AG5" s="247"/>
      <c r="AH5" s="68"/>
      <c r="AI5" s="73" t="s">
        <v>175</v>
      </c>
      <c r="AJ5" s="246" t="s">
        <v>176</v>
      </c>
      <c r="AK5" s="247"/>
      <c r="AL5" s="74" t="s">
        <v>177</v>
      </c>
      <c r="AM5" s="74" t="s">
        <v>178</v>
      </c>
      <c r="AN5" s="248" t="s">
        <v>179</v>
      </c>
      <c r="AO5" s="249"/>
      <c r="AP5" s="246" t="s">
        <v>179</v>
      </c>
      <c r="AQ5" s="250"/>
      <c r="AR5" s="246" t="s">
        <v>179</v>
      </c>
      <c r="AS5" s="250"/>
      <c r="AT5" s="75" t="s">
        <v>180</v>
      </c>
      <c r="AU5" s="75" t="s">
        <v>181</v>
      </c>
      <c r="AV5" s="75" t="s">
        <v>182</v>
      </c>
      <c r="AW5" s="75" t="s">
        <v>183</v>
      </c>
      <c r="AX5" s="75" t="s">
        <v>184</v>
      </c>
      <c r="AY5" s="75" t="s">
        <v>185</v>
      </c>
      <c r="AZ5" s="76" t="s">
        <v>186</v>
      </c>
      <c r="BA5" s="75" t="s">
        <v>185</v>
      </c>
      <c r="BB5" s="76" t="s">
        <v>186</v>
      </c>
      <c r="BC5" s="170"/>
      <c r="BD5" s="197" t="s">
        <v>63</v>
      </c>
      <c r="BE5" s="180" t="s">
        <v>64</v>
      </c>
    </row>
    <row r="6" spans="1:57" s="91" customFormat="1" ht="31.5" customHeight="1">
      <c r="A6" s="78"/>
      <c r="B6" s="79"/>
      <c r="C6" s="80"/>
      <c r="D6" s="79"/>
      <c r="E6" s="81" t="s">
        <v>187</v>
      </c>
      <c r="F6" s="82" t="s">
        <v>188</v>
      </c>
      <c r="G6" s="82" t="s">
        <v>189</v>
      </c>
      <c r="H6" s="237" t="s">
        <v>190</v>
      </c>
      <c r="I6" s="236"/>
      <c r="J6" s="83"/>
      <c r="K6" s="83"/>
      <c r="L6" s="83"/>
      <c r="M6" s="83"/>
      <c r="N6" s="84" t="s">
        <v>191</v>
      </c>
      <c r="O6" s="85" t="s">
        <v>192</v>
      </c>
      <c r="P6" s="85" t="s">
        <v>193</v>
      </c>
      <c r="Q6" s="84" t="s">
        <v>194</v>
      </c>
      <c r="R6" s="84" t="s">
        <v>194</v>
      </c>
      <c r="S6" s="85" t="s">
        <v>195</v>
      </c>
      <c r="T6" s="85" t="s">
        <v>196</v>
      </c>
      <c r="U6" s="84" t="s">
        <v>197</v>
      </c>
      <c r="V6" s="84" t="s">
        <v>198</v>
      </c>
      <c r="W6" s="85" t="s">
        <v>192</v>
      </c>
      <c r="X6" s="85" t="s">
        <v>193</v>
      </c>
      <c r="Y6" s="237" t="s">
        <v>199</v>
      </c>
      <c r="Z6" s="238"/>
      <c r="AA6" s="85" t="s">
        <v>200</v>
      </c>
      <c r="AB6" s="81" t="s">
        <v>201</v>
      </c>
      <c r="AC6" s="86" t="s">
        <v>202</v>
      </c>
      <c r="AD6" s="237" t="s">
        <v>203</v>
      </c>
      <c r="AE6" s="236"/>
      <c r="AF6" s="237" t="s">
        <v>204</v>
      </c>
      <c r="AG6" s="236"/>
      <c r="AH6" s="87"/>
      <c r="AI6" s="88" t="s">
        <v>205</v>
      </c>
      <c r="AJ6" s="237"/>
      <c r="AK6" s="238"/>
      <c r="AL6" s="89"/>
      <c r="AM6" s="79"/>
      <c r="AN6" s="233" t="s">
        <v>206</v>
      </c>
      <c r="AO6" s="234"/>
      <c r="AP6" s="235" t="s">
        <v>207</v>
      </c>
      <c r="AQ6" s="236"/>
      <c r="AR6" s="235" t="s">
        <v>207</v>
      </c>
      <c r="AS6" s="236"/>
      <c r="AT6" s="90" t="s">
        <v>208</v>
      </c>
      <c r="AU6" s="90" t="s">
        <v>208</v>
      </c>
      <c r="AV6" s="90" t="s">
        <v>208</v>
      </c>
      <c r="AW6" s="90" t="s">
        <v>208</v>
      </c>
      <c r="AX6" s="90" t="s">
        <v>208</v>
      </c>
      <c r="AY6" s="90"/>
      <c r="AZ6" s="90"/>
      <c r="BA6" s="90"/>
      <c r="BB6" s="90"/>
      <c r="BC6" s="216"/>
      <c r="BD6" s="91" t="s">
        <v>287</v>
      </c>
    </row>
    <row r="7" spans="1:57" s="103" customFormat="1" ht="26.25" thickBot="1">
      <c r="A7" s="92"/>
      <c r="B7" s="93" t="s">
        <v>209</v>
      </c>
      <c r="C7" s="94"/>
      <c r="D7" s="93"/>
      <c r="E7" s="95" t="s">
        <v>210</v>
      </c>
      <c r="F7" s="95" t="s">
        <v>210</v>
      </c>
      <c r="G7" s="95" t="s">
        <v>210</v>
      </c>
      <c r="H7" s="96" t="s">
        <v>211</v>
      </c>
      <c r="I7" s="96" t="s">
        <v>212</v>
      </c>
      <c r="J7" s="97" t="s">
        <v>213</v>
      </c>
      <c r="K7" s="95" t="s">
        <v>214</v>
      </c>
      <c r="L7" s="98" t="s">
        <v>215</v>
      </c>
      <c r="M7" s="95" t="s">
        <v>216</v>
      </c>
      <c r="N7" s="97"/>
      <c r="O7" s="99" t="s">
        <v>217</v>
      </c>
      <c r="P7" s="99" t="s">
        <v>217</v>
      </c>
      <c r="Q7" s="97" t="s">
        <v>218</v>
      </c>
      <c r="R7" s="97" t="s">
        <v>219</v>
      </c>
      <c r="S7" s="99" t="s">
        <v>220</v>
      </c>
      <c r="T7" s="99" t="s">
        <v>220</v>
      </c>
      <c r="U7" s="97" t="s">
        <v>219</v>
      </c>
      <c r="V7" s="97"/>
      <c r="W7" s="99" t="s">
        <v>217</v>
      </c>
      <c r="X7" s="99" t="s">
        <v>217</v>
      </c>
      <c r="Y7" s="97" t="s">
        <v>221</v>
      </c>
      <c r="Z7" s="100" t="s">
        <v>222</v>
      </c>
      <c r="AA7" s="99" t="s">
        <v>217</v>
      </c>
      <c r="AB7" s="99" t="s">
        <v>217</v>
      </c>
      <c r="AC7" s="101" t="s">
        <v>223</v>
      </c>
      <c r="AD7" s="97" t="s">
        <v>224</v>
      </c>
      <c r="AE7" s="97" t="s">
        <v>225</v>
      </c>
      <c r="AF7" s="97" t="s">
        <v>226</v>
      </c>
      <c r="AG7" s="97" t="s">
        <v>227</v>
      </c>
      <c r="AH7" s="95" t="s">
        <v>228</v>
      </c>
      <c r="AI7" s="97" t="s">
        <v>227</v>
      </c>
      <c r="AJ7" s="97" t="s">
        <v>229</v>
      </c>
      <c r="AK7" s="95" t="s">
        <v>227</v>
      </c>
      <c r="AL7" s="102" t="s">
        <v>230</v>
      </c>
      <c r="AM7" s="102" t="s">
        <v>231</v>
      </c>
      <c r="AN7" s="102" t="s">
        <v>232</v>
      </c>
      <c r="AO7" s="95" t="s">
        <v>227</v>
      </c>
      <c r="AP7" s="102" t="s">
        <v>233</v>
      </c>
      <c r="AQ7" s="95" t="s">
        <v>227</v>
      </c>
      <c r="AR7" s="102" t="s">
        <v>233</v>
      </c>
      <c r="AS7" s="95" t="s">
        <v>227</v>
      </c>
      <c r="AT7" s="95" t="s">
        <v>160</v>
      </c>
      <c r="AU7" s="95" t="s">
        <v>160</v>
      </c>
      <c r="AV7" s="95" t="s">
        <v>160</v>
      </c>
      <c r="AW7" s="95" t="s">
        <v>160</v>
      </c>
      <c r="AX7" s="95" t="s">
        <v>160</v>
      </c>
      <c r="AY7" s="95" t="s">
        <v>227</v>
      </c>
      <c r="AZ7" s="93" t="s">
        <v>234</v>
      </c>
      <c r="BA7" s="95" t="s">
        <v>227</v>
      </c>
      <c r="BB7" s="93" t="s">
        <v>234</v>
      </c>
      <c r="BC7" s="89"/>
    </row>
    <row r="8" spans="1:57" s="113" customFormat="1" ht="12" thickTop="1">
      <c r="A8" s="104" t="s">
        <v>235</v>
      </c>
      <c r="B8" s="105"/>
      <c r="C8" s="105"/>
      <c r="D8" s="106" t="s">
        <v>236</v>
      </c>
      <c r="E8" s="107"/>
      <c r="F8" s="107"/>
      <c r="G8" s="107"/>
      <c r="H8" s="239" t="s">
        <v>236</v>
      </c>
      <c r="I8" s="240"/>
      <c r="J8" s="239" t="s">
        <v>237</v>
      </c>
      <c r="K8" s="241"/>
      <c r="L8" s="241"/>
      <c r="M8" s="240"/>
      <c r="N8" s="239" t="s">
        <v>236</v>
      </c>
      <c r="O8" s="241"/>
      <c r="P8" s="241"/>
      <c r="Q8" s="240"/>
      <c r="R8" s="108"/>
      <c r="S8" s="108"/>
      <c r="T8" s="108"/>
      <c r="U8" s="108"/>
      <c r="V8" s="108"/>
      <c r="W8" s="109" t="s">
        <v>236</v>
      </c>
      <c r="X8" s="109" t="s">
        <v>236</v>
      </c>
      <c r="Y8" s="242" t="s">
        <v>236</v>
      </c>
      <c r="Z8" s="243"/>
      <c r="AA8" s="244" t="s">
        <v>236</v>
      </c>
      <c r="AB8" s="245"/>
      <c r="AC8" s="110" t="s">
        <v>236</v>
      </c>
      <c r="AD8" s="239" t="s">
        <v>236</v>
      </c>
      <c r="AE8" s="240"/>
      <c r="AF8" s="231" t="s">
        <v>238</v>
      </c>
      <c r="AG8" s="232"/>
      <c r="AH8" s="231" t="s">
        <v>239</v>
      </c>
      <c r="AI8" s="232"/>
      <c r="AJ8" s="231" t="s">
        <v>236</v>
      </c>
      <c r="AK8" s="232"/>
      <c r="AL8" s="111" t="s">
        <v>240</v>
      </c>
      <c r="AM8" s="111" t="s">
        <v>241</v>
      </c>
      <c r="AN8" s="231" t="s">
        <v>242</v>
      </c>
      <c r="AO8" s="232"/>
      <c r="AP8" s="231" t="s">
        <v>243</v>
      </c>
      <c r="AQ8" s="232"/>
      <c r="AR8" s="231" t="s">
        <v>243</v>
      </c>
      <c r="AS8" s="232"/>
      <c r="AT8" s="112"/>
      <c r="AU8" s="112"/>
      <c r="AV8" s="112"/>
      <c r="AW8" s="112"/>
      <c r="AX8" s="112"/>
      <c r="AY8" s="112" t="s">
        <v>236</v>
      </c>
      <c r="AZ8" s="112" t="s">
        <v>236</v>
      </c>
      <c r="BA8" s="112" t="s">
        <v>236</v>
      </c>
      <c r="BB8" s="112" t="s">
        <v>236</v>
      </c>
      <c r="BC8" s="217"/>
    </row>
    <row r="9" spans="1:57">
      <c r="A9" s="114"/>
      <c r="B9" s="115"/>
      <c r="C9" s="116"/>
      <c r="D9" s="117"/>
      <c r="E9" s="118"/>
      <c r="F9" s="118"/>
      <c r="G9" s="118"/>
      <c r="H9" s="119"/>
      <c r="I9" s="119"/>
      <c r="J9" s="119"/>
      <c r="K9" s="119"/>
      <c r="L9" s="119"/>
      <c r="M9" s="119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17"/>
      <c r="Z9" s="117"/>
      <c r="AA9" s="121"/>
      <c r="AB9" s="121"/>
      <c r="AC9" s="121"/>
      <c r="AD9" s="120"/>
      <c r="AE9" s="120"/>
      <c r="AF9" s="120"/>
      <c r="AG9" s="120"/>
      <c r="AH9" s="122"/>
      <c r="AI9" s="122"/>
      <c r="AJ9" s="120"/>
      <c r="AK9" s="120"/>
      <c r="AL9" s="120"/>
      <c r="AM9" s="120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218"/>
    </row>
    <row r="10" spans="1:57" s="135" customFormat="1" ht="15.75">
      <c r="A10" s="123" t="s">
        <v>31</v>
      </c>
      <c r="B10" s="124" t="s">
        <v>244</v>
      </c>
      <c r="C10" s="125" t="s">
        <v>5</v>
      </c>
      <c r="D10" s="126"/>
      <c r="E10" s="127">
        <v>21.8</v>
      </c>
      <c r="F10" s="127"/>
      <c r="G10" s="127"/>
      <c r="H10" s="128">
        <v>32.590000000000003</v>
      </c>
      <c r="I10" s="129">
        <v>30.84</v>
      </c>
      <c r="J10" s="129" t="s">
        <v>244</v>
      </c>
      <c r="K10" s="129" t="s">
        <v>244</v>
      </c>
      <c r="L10" s="129" t="str">
        <f>IF(OR(OR(K10="",K10="..")*OR(J10="",J10="..")),"..",K10-J10)</f>
        <v>..</v>
      </c>
      <c r="M10" s="130" t="s">
        <v>244</v>
      </c>
      <c r="N10" s="129"/>
      <c r="O10" s="129"/>
      <c r="P10" s="129"/>
      <c r="Q10" s="131" t="str">
        <f>IF(OR(ISBLANK(O10),ISBLANK(P10)),"..",
((O10-P10)*50/1/10000)*3)</f>
        <v>..</v>
      </c>
      <c r="R10" s="129" t="str">
        <f>IF(OR(ISBLANK(O10),ISBLANK(P10)),"..",(O10-P10)*3)</f>
        <v>..</v>
      </c>
      <c r="S10" s="129"/>
      <c r="T10" s="129"/>
      <c r="U10" s="129" t="str">
        <f>IF(S10="","..",S10-T10)</f>
        <v>..</v>
      </c>
      <c r="V10" s="129" t="str">
        <f>IF(OR(R10="..",U10=".."),"..",R10/U10)</f>
        <v>..</v>
      </c>
      <c r="W10" s="129"/>
      <c r="X10" s="129"/>
      <c r="Y10" s="132" t="str">
        <f>IF(OR(ISBLANK(W10),ISBLANK(X10),W10="..",X10=".."),"..",
(W10-X10)*50/1/10000)</f>
        <v>..</v>
      </c>
      <c r="Z10" s="133" t="str">
        <f>IF(OR(ISBLANK(Y10), Y10=".."),"..",
Y10*623.7)</f>
        <v>..</v>
      </c>
      <c r="AA10" s="134"/>
      <c r="AB10" s="134"/>
      <c r="AC10" s="134" t="str">
        <f>IF(AA10="","..",(AA10-AB10)*400/1/10000)</f>
        <v>..</v>
      </c>
      <c r="AD10" s="132">
        <v>1.9425885822236546E-3</v>
      </c>
      <c r="AE10" s="132">
        <f>IF(OR(AD10="",AD10=".."),"..",AD10/((100-H10)/100))</f>
        <v>2.8817513458294836E-3</v>
      </c>
      <c r="AF10" s="132">
        <v>5.5642626701242162E-2</v>
      </c>
      <c r="AG10" s="133">
        <f>IF(OR(AF10="..",AF10=""),"..",
IF(NOT(ISNUMBER(AF10)),"0",AF10*623.7))</f>
        <v>34.70430627356474</v>
      </c>
      <c r="AH10" s="129" t="s">
        <v>244</v>
      </c>
      <c r="AI10" s="133" t="s">
        <v>244</v>
      </c>
      <c r="AJ10" s="132" t="str">
        <f>IF(AC10="..","..",(AC10-Y10)*2)</f>
        <v>..</v>
      </c>
      <c r="AK10" s="133" t="str">
        <f>IF(AJ10="..","..",IF(NOT(ISNUMBER(AJ10)),"0",
AJ10*0.75*623.7))</f>
        <v>..</v>
      </c>
      <c r="AL10" s="133"/>
      <c r="AM10" s="133"/>
      <c r="AN10" s="129" t="str">
        <f>IF(AL10="",IF(AM10="","..",AL10-AM10),AL10-AM10)</f>
        <v>..</v>
      </c>
      <c r="AO10" s="129" t="str">
        <f>IF(AN10="..","..",
AN10*1665)</f>
        <v>..</v>
      </c>
      <c r="AP10" s="129" t="s">
        <v>244</v>
      </c>
      <c r="AQ10" s="133" t="str">
        <f>IF(OR(AP10="", AP10=".."),"..",AP10*199.8)</f>
        <v>..</v>
      </c>
      <c r="AR10" s="129" t="s">
        <v>244</v>
      </c>
      <c r="AS10" s="133" t="str">
        <f>IF(OR(AR10="", AR10=".."),"..",AR10*199.8)</f>
        <v>..</v>
      </c>
      <c r="AT10" s="133">
        <f>IF(AG10="..","0",AG10)</f>
        <v>34.70430627356474</v>
      </c>
      <c r="AU10" s="133" t="str">
        <f>IF(AI10="..","0",AI10)</f>
        <v>0</v>
      </c>
      <c r="AV10" s="133" t="str">
        <f>IF(AK10="..","0",AK10)</f>
        <v>0</v>
      </c>
      <c r="AW10" s="133" t="str">
        <f>IF(AQ10="..","0",AQ10)</f>
        <v>0</v>
      </c>
      <c r="AX10" s="133" t="str">
        <f>IF(AS10="..","0",AS10)</f>
        <v>0</v>
      </c>
      <c r="AY10" s="133">
        <f xml:space="preserve"> IF(AND(AT10="0",AU10="0",AV10="0",AW10="0"),"..",
AT10+AU10+AV10)</f>
        <v>34.70430627356474</v>
      </c>
      <c r="AZ10" s="133">
        <f>IF(OR(AY10="",AY10=".."),"..",
IF(AY10&gt;0,AY10/19.98*1.5,AY10/19.98))</f>
        <v>2.6054283989162719</v>
      </c>
      <c r="BA10" s="133">
        <f xml:space="preserve"> IF(AX10&gt;AW10,
AT10+AU10+AV10-(AX10-AW10),AT10+AU10+AV10-(0))</f>
        <v>34.70430627356474</v>
      </c>
      <c r="BB10" s="133">
        <f>IF(OR(BA10="",BA10=".."),"..",
IF(BA10&gt;0,BA10/19.98*1.5,BA10/19.98))</f>
        <v>2.6054283989162719</v>
      </c>
      <c r="BC10" s="219"/>
      <c r="BD10" s="135">
        <v>9.27</v>
      </c>
      <c r="BE10" s="135">
        <v>12.391299999999999</v>
      </c>
    </row>
    <row r="11" spans="1:57" s="135" customFormat="1" ht="15.75">
      <c r="A11" s="123" t="s">
        <v>32</v>
      </c>
      <c r="B11" s="124" t="s">
        <v>244</v>
      </c>
      <c r="C11" s="125" t="s">
        <v>6</v>
      </c>
      <c r="D11" s="126"/>
      <c r="E11" s="127">
        <v>21.8</v>
      </c>
      <c r="F11" s="127"/>
      <c r="G11" s="127"/>
      <c r="H11" s="128">
        <v>27.71</v>
      </c>
      <c r="I11" s="129">
        <v>26.6</v>
      </c>
      <c r="J11" s="129" t="s">
        <v>244</v>
      </c>
      <c r="K11" s="129" t="s">
        <v>244</v>
      </c>
      <c r="L11" s="129" t="str">
        <f t="shared" ref="L11:L35" si="0">IF(OR(OR(K11="",K11="..")*OR(J11="",J11="..")),"..",K11-J11)</f>
        <v>..</v>
      </c>
      <c r="M11" s="130" t="s">
        <v>244</v>
      </c>
      <c r="N11" s="129"/>
      <c r="O11" s="129"/>
      <c r="P11" s="129"/>
      <c r="Q11" s="131" t="str">
        <f t="shared" ref="Q11:Q35" si="1">IF(OR(ISBLANK(O11),ISBLANK(P11)),"..",
((O11-P11)*50/1/10000)*3)</f>
        <v>..</v>
      </c>
      <c r="R11" s="129" t="str">
        <f t="shared" ref="R11:R35" si="2">IF(OR(ISBLANK(O11),ISBLANK(P11)),"..",(O11-P11)*3)</f>
        <v>..</v>
      </c>
      <c r="S11" s="129"/>
      <c r="T11" s="129"/>
      <c r="U11" s="129" t="str">
        <f t="shared" ref="U11:U35" si="3">IF(S11="","..",S11-T11)</f>
        <v>..</v>
      </c>
      <c r="V11" s="129" t="str">
        <f t="shared" ref="V11:V35" si="4">IF(OR(R11="..",U11=".."),"..",R11/U11)</f>
        <v>..</v>
      </c>
      <c r="W11" s="129"/>
      <c r="X11" s="129"/>
      <c r="Y11" s="132" t="str">
        <f t="shared" ref="Y11:Y35" si="5">IF(OR(ISBLANK(W11),ISBLANK(X11),W11="..",X11=".."),"..",
(W11-X11)*50/1/10000)</f>
        <v>..</v>
      </c>
      <c r="Z11" s="133" t="str">
        <f t="shared" ref="Z11:Z35" si="6">IF(OR(ISBLANK(Y11), Y11=".."),"..",
Y11*623.7)</f>
        <v>..</v>
      </c>
      <c r="AA11" s="134"/>
      <c r="AB11" s="134"/>
      <c r="AC11" s="134" t="str">
        <f t="shared" ref="AC11:AC35" si="7">IF(AA11="","..",(AA11-AB11)*400/1/10000)</f>
        <v>..</v>
      </c>
      <c r="AD11" s="132">
        <v>1.3960908157563E-3</v>
      </c>
      <c r="AE11" s="132">
        <f t="shared" ref="AE11:AE35" si="8">IF(OR(AD11="",AD11=".."),"..",AD11/((100-H11)/100))</f>
        <v>1.9312364307045237E-3</v>
      </c>
      <c r="AF11" s="132">
        <v>5.0468245089335555E-2</v>
      </c>
      <c r="AG11" s="133">
        <f t="shared" ref="AG11:AG35" si="9">IF(OR(AF11="..",AF11=""),"..",
IF(NOT(ISNUMBER(AF11)),"0",AF11*623.7))</f>
        <v>31.477044462218586</v>
      </c>
      <c r="AH11" s="129" t="s">
        <v>244</v>
      </c>
      <c r="AI11" s="133" t="s">
        <v>244</v>
      </c>
      <c r="AJ11" s="132" t="str">
        <f t="shared" ref="AJ11:AJ35" si="10">IF(AC11="..","..",(AC11-Y11)*2)</f>
        <v>..</v>
      </c>
      <c r="AK11" s="133" t="str">
        <f t="shared" ref="AK11:AK35" si="11">IF(AJ11="..","..",IF(NOT(ISNUMBER(AJ11)),"0",
AJ11*0.75*623.7))</f>
        <v>..</v>
      </c>
      <c r="AL11" s="133"/>
      <c r="AM11" s="133"/>
      <c r="AN11" s="129" t="str">
        <f t="shared" ref="AN11:AN35" si="12">IF(AL11="",IF(AM11="","..",AL11-AM11),AL11-AM11)</f>
        <v>..</v>
      </c>
      <c r="AO11" s="129" t="str">
        <f t="shared" ref="AO11:AO35" si="13">IF(AN11="..","..",
AN11*1665)</f>
        <v>..</v>
      </c>
      <c r="AP11" s="129" t="s">
        <v>244</v>
      </c>
      <c r="AQ11" s="133" t="str">
        <f t="shared" ref="AQ11:AQ35" si="14">IF(OR(AP11="", AP11=".."),"..",AP11*199.8)</f>
        <v>..</v>
      </c>
      <c r="AR11" s="129" t="s">
        <v>244</v>
      </c>
      <c r="AS11" s="133" t="str">
        <f t="shared" ref="AS11:AS35" si="15">IF(OR(AR11="", AR11=".."),"..",AR11*199.8)</f>
        <v>..</v>
      </c>
      <c r="AT11" s="133">
        <f t="shared" ref="AT11:AT35" si="16">IF(AG11="..","0",AG11)</f>
        <v>31.477044462218586</v>
      </c>
      <c r="AU11" s="133" t="str">
        <f t="shared" ref="AU11:AU35" si="17">IF(AI11="..","0",AI11)</f>
        <v>0</v>
      </c>
      <c r="AV11" s="133" t="str">
        <f t="shared" ref="AV11:AV35" si="18">IF(AK11="..","0",AK11)</f>
        <v>0</v>
      </c>
      <c r="AW11" s="133" t="str">
        <f t="shared" ref="AW11:AW35" si="19">IF(AQ11="..","0",AQ11)</f>
        <v>0</v>
      </c>
      <c r="AX11" s="133" t="str">
        <f t="shared" ref="AX11:AX35" si="20">IF(AS11="..","0",AS11)</f>
        <v>0</v>
      </c>
      <c r="AY11" s="133">
        <f t="shared" ref="AY11:AY35" si="21" xml:space="preserve"> IF(AND(AT11="0",AU11="0",AV11="0",AW11="0"),"..",
AT11+AU11+AV11)</f>
        <v>31.477044462218586</v>
      </c>
      <c r="AZ11" s="133">
        <f t="shared" ref="AZ11:AZ35" si="22">IF(OR(AY11="",AY11=".."),"..",
IF(AY11&gt;0,AY11/19.98*1.5,AY11/19.98))</f>
        <v>2.3631414761425362</v>
      </c>
      <c r="BA11" s="133">
        <f t="shared" ref="BA11:BA35" si="23" xml:space="preserve"> IF(AX11&gt;AW11,
AT11+AU11+AV11-(AX11-AW11),AT11+AU11+AV11-(0))</f>
        <v>31.477044462218586</v>
      </c>
      <c r="BB11" s="133">
        <f t="shared" ref="BB11:BB35" si="24">IF(OR(BA11="",BA11=".."),"..",
IF(BA11&gt;0,BA11/19.98*1.5,BA11/19.98))</f>
        <v>2.3631414761425362</v>
      </c>
      <c r="BC11" s="219"/>
      <c r="BD11" s="135">
        <v>9.1999999999999993</v>
      </c>
      <c r="BE11" s="135">
        <v>9.3519100000000002</v>
      </c>
    </row>
    <row r="12" spans="1:57" s="135" customFormat="1" ht="15.75">
      <c r="A12" s="123" t="s">
        <v>33</v>
      </c>
      <c r="B12" s="124" t="s">
        <v>244</v>
      </c>
      <c r="C12" s="125" t="s">
        <v>7</v>
      </c>
      <c r="D12" s="126"/>
      <c r="E12" s="127">
        <v>21.8</v>
      </c>
      <c r="F12" s="127"/>
      <c r="G12" s="127"/>
      <c r="H12" s="128">
        <v>26.08</v>
      </c>
      <c r="I12" s="129">
        <v>24.24</v>
      </c>
      <c r="J12" s="129" t="s">
        <v>244</v>
      </c>
      <c r="K12" s="129" t="s">
        <v>244</v>
      </c>
      <c r="L12" s="129" t="str">
        <f t="shared" si="0"/>
        <v>..</v>
      </c>
      <c r="M12" s="130" t="s">
        <v>244</v>
      </c>
      <c r="N12" s="129"/>
      <c r="O12" s="129"/>
      <c r="P12" s="129"/>
      <c r="Q12" s="131" t="str">
        <f t="shared" si="1"/>
        <v>..</v>
      </c>
      <c r="R12" s="129" t="str">
        <f t="shared" si="2"/>
        <v>..</v>
      </c>
      <c r="S12" s="129"/>
      <c r="T12" s="129"/>
      <c r="U12" s="129" t="str">
        <f t="shared" si="3"/>
        <v>..</v>
      </c>
      <c r="V12" s="129" t="str">
        <f t="shared" si="4"/>
        <v>..</v>
      </c>
      <c r="W12" s="129"/>
      <c r="X12" s="129"/>
      <c r="Y12" s="132" t="str">
        <f t="shared" si="5"/>
        <v>..</v>
      </c>
      <c r="Z12" s="133" t="str">
        <f t="shared" si="6"/>
        <v>..</v>
      </c>
      <c r="AA12" s="134"/>
      <c r="AB12" s="134"/>
      <c r="AC12" s="134" t="str">
        <f t="shared" si="7"/>
        <v>..</v>
      </c>
      <c r="AD12" s="132">
        <v>1.5656581238017584E-2</v>
      </c>
      <c r="AE12" s="132">
        <f t="shared" si="8"/>
        <v>2.1180439986495651E-2</v>
      </c>
      <c r="AF12" s="132">
        <v>0.21041005587526276</v>
      </c>
      <c r="AG12" s="133">
        <f t="shared" si="9"/>
        <v>131.23275184940138</v>
      </c>
      <c r="AH12" s="129" t="s">
        <v>244</v>
      </c>
      <c r="AI12" s="133" t="s">
        <v>244</v>
      </c>
      <c r="AJ12" s="132" t="str">
        <f t="shared" si="10"/>
        <v>..</v>
      </c>
      <c r="AK12" s="133" t="str">
        <f t="shared" si="11"/>
        <v>..</v>
      </c>
      <c r="AL12" s="133"/>
      <c r="AM12" s="133"/>
      <c r="AN12" s="129" t="str">
        <f t="shared" si="12"/>
        <v>..</v>
      </c>
      <c r="AO12" s="129" t="str">
        <f t="shared" si="13"/>
        <v>..</v>
      </c>
      <c r="AP12" s="129" t="s">
        <v>244</v>
      </c>
      <c r="AQ12" s="133" t="str">
        <f t="shared" si="14"/>
        <v>..</v>
      </c>
      <c r="AR12" s="129" t="s">
        <v>244</v>
      </c>
      <c r="AS12" s="133" t="str">
        <f t="shared" si="15"/>
        <v>..</v>
      </c>
      <c r="AT12" s="133">
        <f t="shared" si="16"/>
        <v>131.23275184940138</v>
      </c>
      <c r="AU12" s="133" t="str">
        <f t="shared" si="17"/>
        <v>0</v>
      </c>
      <c r="AV12" s="133" t="str">
        <f t="shared" si="18"/>
        <v>0</v>
      </c>
      <c r="AW12" s="133" t="str">
        <f t="shared" si="19"/>
        <v>0</v>
      </c>
      <c r="AX12" s="133" t="str">
        <f t="shared" si="20"/>
        <v>0</v>
      </c>
      <c r="AY12" s="133">
        <f t="shared" si="21"/>
        <v>131.23275184940138</v>
      </c>
      <c r="AZ12" s="133">
        <f t="shared" si="22"/>
        <v>9.8523086974025063</v>
      </c>
      <c r="BA12" s="133">
        <f t="shared" si="23"/>
        <v>131.23275184940138</v>
      </c>
      <c r="BB12" s="133">
        <f t="shared" si="24"/>
        <v>9.8523086974025063</v>
      </c>
      <c r="BC12" s="219"/>
      <c r="BD12" s="135">
        <v>8.51</v>
      </c>
      <c r="BE12" s="135">
        <v>96.043449999999993</v>
      </c>
    </row>
    <row r="13" spans="1:57" s="135" customFormat="1" ht="15.75">
      <c r="A13" s="123" t="s">
        <v>34</v>
      </c>
      <c r="B13" s="124" t="s">
        <v>244</v>
      </c>
      <c r="C13" s="125" t="s">
        <v>8</v>
      </c>
      <c r="D13" s="126"/>
      <c r="E13" s="127">
        <v>21.8</v>
      </c>
      <c r="F13" s="127"/>
      <c r="G13" s="127"/>
      <c r="H13" s="128">
        <v>28.48</v>
      </c>
      <c r="I13" s="129">
        <v>26.26</v>
      </c>
      <c r="J13" s="129" t="s">
        <v>244</v>
      </c>
      <c r="K13" s="129" t="s">
        <v>244</v>
      </c>
      <c r="L13" s="129" t="str">
        <f t="shared" si="0"/>
        <v>..</v>
      </c>
      <c r="M13" s="130" t="s">
        <v>244</v>
      </c>
      <c r="N13" s="129"/>
      <c r="O13" s="129"/>
      <c r="P13" s="129"/>
      <c r="Q13" s="131" t="str">
        <f t="shared" si="1"/>
        <v>..</v>
      </c>
      <c r="R13" s="129" t="str">
        <f t="shared" si="2"/>
        <v>..</v>
      </c>
      <c r="S13" s="129"/>
      <c r="T13" s="129"/>
      <c r="U13" s="129" t="str">
        <f t="shared" si="3"/>
        <v>..</v>
      </c>
      <c r="V13" s="129" t="str">
        <f t="shared" si="4"/>
        <v>..</v>
      </c>
      <c r="W13" s="129"/>
      <c r="X13" s="129"/>
      <c r="Y13" s="132" t="str">
        <f t="shared" si="5"/>
        <v>..</v>
      </c>
      <c r="Z13" s="133" t="str">
        <f t="shared" si="6"/>
        <v>..</v>
      </c>
      <c r="AA13" s="134"/>
      <c r="AB13" s="134"/>
      <c r="AC13" s="134" t="str">
        <f t="shared" si="7"/>
        <v>..</v>
      </c>
      <c r="AD13" s="132">
        <v>3.3370921361236525E-2</v>
      </c>
      <c r="AE13" s="132">
        <f t="shared" si="8"/>
        <v>4.665956566168418E-2</v>
      </c>
      <c r="AF13" s="132">
        <v>0.26276653723449528</v>
      </c>
      <c r="AG13" s="133">
        <f t="shared" si="9"/>
        <v>163.88748927315473</v>
      </c>
      <c r="AH13" s="129" t="s">
        <v>244</v>
      </c>
      <c r="AI13" s="133" t="s">
        <v>244</v>
      </c>
      <c r="AJ13" s="132" t="str">
        <f t="shared" si="10"/>
        <v>..</v>
      </c>
      <c r="AK13" s="133" t="str">
        <f t="shared" si="11"/>
        <v>..</v>
      </c>
      <c r="AL13" s="133"/>
      <c r="AM13" s="133"/>
      <c r="AN13" s="129" t="str">
        <f t="shared" si="12"/>
        <v>..</v>
      </c>
      <c r="AO13" s="129" t="str">
        <f t="shared" si="13"/>
        <v>..</v>
      </c>
      <c r="AP13" s="129" t="s">
        <v>244</v>
      </c>
      <c r="AQ13" s="133" t="str">
        <f t="shared" si="14"/>
        <v>..</v>
      </c>
      <c r="AR13" s="129" t="s">
        <v>244</v>
      </c>
      <c r="AS13" s="133" t="str">
        <f t="shared" si="15"/>
        <v>..</v>
      </c>
      <c r="AT13" s="133">
        <f t="shared" si="16"/>
        <v>163.88748927315473</v>
      </c>
      <c r="AU13" s="133" t="str">
        <f t="shared" si="17"/>
        <v>0</v>
      </c>
      <c r="AV13" s="133" t="str">
        <f t="shared" si="18"/>
        <v>0</v>
      </c>
      <c r="AW13" s="133" t="str">
        <f t="shared" si="19"/>
        <v>0</v>
      </c>
      <c r="AX13" s="133" t="str">
        <f t="shared" si="20"/>
        <v>0</v>
      </c>
      <c r="AY13" s="133">
        <f t="shared" si="21"/>
        <v>163.88748927315473</v>
      </c>
      <c r="AZ13" s="133">
        <f t="shared" si="22"/>
        <v>12.303865561047651</v>
      </c>
      <c r="BA13" s="133">
        <f t="shared" si="23"/>
        <v>163.88748927315473</v>
      </c>
      <c r="BB13" s="133">
        <f t="shared" si="24"/>
        <v>12.303865561047651</v>
      </c>
      <c r="BC13" s="219"/>
      <c r="BD13" s="135">
        <v>8.44</v>
      </c>
      <c r="BE13" s="135">
        <v>95.155320000000003</v>
      </c>
    </row>
    <row r="14" spans="1:57" s="135" customFormat="1" ht="15.75">
      <c r="A14" s="123" t="s">
        <v>35</v>
      </c>
      <c r="B14" s="124" t="s">
        <v>244</v>
      </c>
      <c r="C14" s="125" t="s">
        <v>9</v>
      </c>
      <c r="D14" s="126"/>
      <c r="E14" s="127">
        <v>21.8</v>
      </c>
      <c r="F14" s="127"/>
      <c r="G14" s="127"/>
      <c r="H14" s="128">
        <v>30.7</v>
      </c>
      <c r="I14" s="129">
        <v>28.29</v>
      </c>
      <c r="J14" s="129" t="s">
        <v>244</v>
      </c>
      <c r="K14" s="129" t="s">
        <v>244</v>
      </c>
      <c r="L14" s="129" t="str">
        <f t="shared" si="0"/>
        <v>..</v>
      </c>
      <c r="M14" s="130" t="s">
        <v>244</v>
      </c>
      <c r="N14" s="129"/>
      <c r="O14" s="129"/>
      <c r="P14" s="129"/>
      <c r="Q14" s="131" t="str">
        <f t="shared" si="1"/>
        <v>..</v>
      </c>
      <c r="R14" s="129" t="str">
        <f t="shared" si="2"/>
        <v>..</v>
      </c>
      <c r="S14" s="129"/>
      <c r="T14" s="129"/>
      <c r="U14" s="129" t="str">
        <f t="shared" si="3"/>
        <v>..</v>
      </c>
      <c r="V14" s="129" t="str">
        <f t="shared" si="4"/>
        <v>..</v>
      </c>
      <c r="W14" s="129"/>
      <c r="X14" s="129"/>
      <c r="Y14" s="132" t="str">
        <f t="shared" si="5"/>
        <v>..</v>
      </c>
      <c r="Z14" s="133" t="str">
        <f t="shared" si="6"/>
        <v>..</v>
      </c>
      <c r="AA14" s="134"/>
      <c r="AB14" s="134"/>
      <c r="AC14" s="134" t="str">
        <f t="shared" si="7"/>
        <v>..</v>
      </c>
      <c r="AD14" s="132">
        <v>3.077738144191873E-2</v>
      </c>
      <c r="AE14" s="132">
        <f t="shared" si="8"/>
        <v>4.4411805832494565E-2</v>
      </c>
      <c r="AF14" s="132">
        <v>0.2332057123690518</v>
      </c>
      <c r="AG14" s="133">
        <f t="shared" si="9"/>
        <v>145.45040280457761</v>
      </c>
      <c r="AH14" s="129" t="s">
        <v>244</v>
      </c>
      <c r="AI14" s="133" t="s">
        <v>244</v>
      </c>
      <c r="AJ14" s="132" t="str">
        <f t="shared" si="10"/>
        <v>..</v>
      </c>
      <c r="AK14" s="133" t="str">
        <f t="shared" si="11"/>
        <v>..</v>
      </c>
      <c r="AL14" s="133"/>
      <c r="AM14" s="133"/>
      <c r="AN14" s="129" t="str">
        <f t="shared" si="12"/>
        <v>..</v>
      </c>
      <c r="AO14" s="129" t="str">
        <f t="shared" si="13"/>
        <v>..</v>
      </c>
      <c r="AP14" s="129" t="s">
        <v>244</v>
      </c>
      <c r="AQ14" s="133" t="str">
        <f t="shared" si="14"/>
        <v>..</v>
      </c>
      <c r="AR14" s="129" t="s">
        <v>244</v>
      </c>
      <c r="AS14" s="133" t="str">
        <f t="shared" si="15"/>
        <v>..</v>
      </c>
      <c r="AT14" s="133">
        <f t="shared" si="16"/>
        <v>145.45040280457761</v>
      </c>
      <c r="AU14" s="133" t="str">
        <f t="shared" si="17"/>
        <v>0</v>
      </c>
      <c r="AV14" s="133" t="str">
        <f t="shared" si="18"/>
        <v>0</v>
      </c>
      <c r="AW14" s="133" t="str">
        <f t="shared" si="19"/>
        <v>0</v>
      </c>
      <c r="AX14" s="133" t="str">
        <f t="shared" si="20"/>
        <v>0</v>
      </c>
      <c r="AY14" s="133">
        <f t="shared" si="21"/>
        <v>145.45040280457761</v>
      </c>
      <c r="AZ14" s="133">
        <f t="shared" si="22"/>
        <v>10.919699910253573</v>
      </c>
      <c r="BA14" s="133">
        <f t="shared" si="23"/>
        <v>145.45040280457761</v>
      </c>
      <c r="BB14" s="133">
        <f t="shared" si="24"/>
        <v>10.919699910253573</v>
      </c>
      <c r="BC14" s="219"/>
      <c r="BD14" s="135">
        <v>8.27</v>
      </c>
      <c r="BE14" s="135">
        <v>108.8</v>
      </c>
    </row>
    <row r="15" spans="1:57" s="135" customFormat="1" ht="15.75">
      <c r="A15" s="123" t="s">
        <v>36</v>
      </c>
      <c r="B15" s="124" t="s">
        <v>244</v>
      </c>
      <c r="C15" s="125" t="s">
        <v>10</v>
      </c>
      <c r="D15" s="126"/>
      <c r="E15" s="127">
        <v>21.8</v>
      </c>
      <c r="F15" s="127"/>
      <c r="G15" s="127"/>
      <c r="H15" s="128">
        <v>30.44</v>
      </c>
      <c r="I15" s="129">
        <v>28.72</v>
      </c>
      <c r="J15" s="129" t="s">
        <v>244</v>
      </c>
      <c r="K15" s="129" t="s">
        <v>244</v>
      </c>
      <c r="L15" s="129" t="str">
        <f t="shared" si="0"/>
        <v>..</v>
      </c>
      <c r="M15" s="130" t="s">
        <v>244</v>
      </c>
      <c r="N15" s="129"/>
      <c r="O15" s="129"/>
      <c r="P15" s="129"/>
      <c r="Q15" s="131" t="str">
        <f t="shared" si="1"/>
        <v>..</v>
      </c>
      <c r="R15" s="129" t="str">
        <f t="shared" si="2"/>
        <v>..</v>
      </c>
      <c r="S15" s="129"/>
      <c r="T15" s="129"/>
      <c r="U15" s="129" t="str">
        <f t="shared" si="3"/>
        <v>..</v>
      </c>
      <c r="V15" s="129" t="str">
        <f t="shared" si="4"/>
        <v>..</v>
      </c>
      <c r="W15" s="129"/>
      <c r="X15" s="129"/>
      <c r="Y15" s="132" t="str">
        <f t="shared" si="5"/>
        <v>..</v>
      </c>
      <c r="Z15" s="133" t="str">
        <f t="shared" si="6"/>
        <v>..</v>
      </c>
      <c r="AA15" s="134"/>
      <c r="AB15" s="134"/>
      <c r="AC15" s="134" t="str">
        <f t="shared" si="7"/>
        <v>..</v>
      </c>
      <c r="AD15" s="132">
        <v>2.2861859658615865E-3</v>
      </c>
      <c r="AE15" s="132">
        <f t="shared" si="8"/>
        <v>3.2866388238378184E-3</v>
      </c>
      <c r="AF15" s="132">
        <v>5.6038986486019154E-2</v>
      </c>
      <c r="AG15" s="133">
        <f t="shared" si="9"/>
        <v>34.951515871330152</v>
      </c>
      <c r="AH15" s="129" t="s">
        <v>244</v>
      </c>
      <c r="AI15" s="133" t="s">
        <v>244</v>
      </c>
      <c r="AJ15" s="132" t="str">
        <f t="shared" si="10"/>
        <v>..</v>
      </c>
      <c r="AK15" s="133" t="str">
        <f t="shared" si="11"/>
        <v>..</v>
      </c>
      <c r="AL15" s="133"/>
      <c r="AM15" s="133"/>
      <c r="AN15" s="129" t="str">
        <f t="shared" si="12"/>
        <v>..</v>
      </c>
      <c r="AO15" s="129" t="str">
        <f t="shared" si="13"/>
        <v>..</v>
      </c>
      <c r="AP15" s="129" t="s">
        <v>244</v>
      </c>
      <c r="AQ15" s="133" t="str">
        <f t="shared" si="14"/>
        <v>..</v>
      </c>
      <c r="AR15" s="129" t="s">
        <v>244</v>
      </c>
      <c r="AS15" s="133" t="str">
        <f t="shared" si="15"/>
        <v>..</v>
      </c>
      <c r="AT15" s="133">
        <f t="shared" si="16"/>
        <v>34.951515871330152</v>
      </c>
      <c r="AU15" s="133" t="str">
        <f t="shared" si="17"/>
        <v>0</v>
      </c>
      <c r="AV15" s="133" t="str">
        <f t="shared" si="18"/>
        <v>0</v>
      </c>
      <c r="AW15" s="133" t="str">
        <f t="shared" si="19"/>
        <v>0</v>
      </c>
      <c r="AX15" s="133" t="str">
        <f t="shared" si="20"/>
        <v>0</v>
      </c>
      <c r="AY15" s="133">
        <f t="shared" si="21"/>
        <v>34.951515871330152</v>
      </c>
      <c r="AZ15" s="133">
        <f t="shared" si="22"/>
        <v>2.6239876780277891</v>
      </c>
      <c r="BA15" s="133">
        <f t="shared" si="23"/>
        <v>34.951515871330152</v>
      </c>
      <c r="BB15" s="133">
        <f t="shared" si="24"/>
        <v>2.6239876780277891</v>
      </c>
      <c r="BC15" s="219"/>
      <c r="BD15" s="135">
        <v>9.15</v>
      </c>
      <c r="BE15" s="135">
        <v>20.848290000000002</v>
      </c>
    </row>
    <row r="16" spans="1:57" s="135" customFormat="1" ht="15.75">
      <c r="A16" s="123" t="s">
        <v>37</v>
      </c>
      <c r="B16" s="124" t="s">
        <v>244</v>
      </c>
      <c r="C16" s="125" t="s">
        <v>11</v>
      </c>
      <c r="D16" s="126"/>
      <c r="E16" s="127">
        <v>21.8</v>
      </c>
      <c r="F16" s="127"/>
      <c r="G16" s="127"/>
      <c r="H16" s="128">
        <v>27.39</v>
      </c>
      <c r="I16" s="129">
        <v>23.57</v>
      </c>
      <c r="J16" s="129" t="s">
        <v>244</v>
      </c>
      <c r="K16" s="129" t="s">
        <v>244</v>
      </c>
      <c r="L16" s="129" t="str">
        <f t="shared" si="0"/>
        <v>..</v>
      </c>
      <c r="M16" s="130" t="s">
        <v>244</v>
      </c>
      <c r="N16" s="129"/>
      <c r="O16" s="129"/>
      <c r="P16" s="129"/>
      <c r="Q16" s="131" t="str">
        <f t="shared" si="1"/>
        <v>..</v>
      </c>
      <c r="R16" s="129" t="str">
        <f t="shared" si="2"/>
        <v>..</v>
      </c>
      <c r="S16" s="129"/>
      <c r="T16" s="129"/>
      <c r="U16" s="129" t="str">
        <f t="shared" si="3"/>
        <v>..</v>
      </c>
      <c r="V16" s="129" t="str">
        <f t="shared" si="4"/>
        <v>..</v>
      </c>
      <c r="W16" s="129"/>
      <c r="X16" s="129"/>
      <c r="Y16" s="132" t="str">
        <f t="shared" si="5"/>
        <v>..</v>
      </c>
      <c r="Z16" s="133" t="str">
        <f t="shared" si="6"/>
        <v>..</v>
      </c>
      <c r="AA16" s="134"/>
      <c r="AB16" s="134"/>
      <c r="AC16" s="134" t="str">
        <f t="shared" si="7"/>
        <v>..</v>
      </c>
      <c r="AD16" s="132">
        <v>3.9374531826538023E-2</v>
      </c>
      <c r="AE16" s="132">
        <f t="shared" si="8"/>
        <v>5.422742298104672E-2</v>
      </c>
      <c r="AF16" s="132">
        <v>0.2931255515079213</v>
      </c>
      <c r="AG16" s="133">
        <f t="shared" si="9"/>
        <v>182.82240647549054</v>
      </c>
      <c r="AH16" s="129" t="s">
        <v>244</v>
      </c>
      <c r="AI16" s="133" t="s">
        <v>244</v>
      </c>
      <c r="AJ16" s="132" t="str">
        <f t="shared" si="10"/>
        <v>..</v>
      </c>
      <c r="AK16" s="133" t="str">
        <f t="shared" si="11"/>
        <v>..</v>
      </c>
      <c r="AL16" s="133"/>
      <c r="AM16" s="133"/>
      <c r="AN16" s="129" t="str">
        <f t="shared" si="12"/>
        <v>..</v>
      </c>
      <c r="AO16" s="129" t="str">
        <f t="shared" si="13"/>
        <v>..</v>
      </c>
      <c r="AP16" s="129" t="s">
        <v>244</v>
      </c>
      <c r="AQ16" s="133" t="str">
        <f t="shared" si="14"/>
        <v>..</v>
      </c>
      <c r="AR16" s="129" t="s">
        <v>244</v>
      </c>
      <c r="AS16" s="133" t="str">
        <f t="shared" si="15"/>
        <v>..</v>
      </c>
      <c r="AT16" s="133">
        <f t="shared" si="16"/>
        <v>182.82240647549054</v>
      </c>
      <c r="AU16" s="133" t="str">
        <f t="shared" si="17"/>
        <v>0</v>
      </c>
      <c r="AV16" s="133" t="str">
        <f t="shared" si="18"/>
        <v>0</v>
      </c>
      <c r="AW16" s="133" t="str">
        <f t="shared" si="19"/>
        <v>0</v>
      </c>
      <c r="AX16" s="133" t="str">
        <f t="shared" si="20"/>
        <v>0</v>
      </c>
      <c r="AY16" s="133">
        <f t="shared" si="21"/>
        <v>182.82240647549054</v>
      </c>
      <c r="AZ16" s="133">
        <f t="shared" si="22"/>
        <v>13.725405891553343</v>
      </c>
      <c r="BA16" s="133">
        <f t="shared" si="23"/>
        <v>182.82240647549054</v>
      </c>
      <c r="BB16" s="133">
        <f t="shared" si="24"/>
        <v>13.725405891553343</v>
      </c>
      <c r="BC16" s="219"/>
      <c r="BD16" s="135">
        <v>8.41</v>
      </c>
      <c r="BE16" s="135">
        <v>100.3</v>
      </c>
    </row>
    <row r="17" spans="1:57" s="135" customFormat="1" ht="15.75">
      <c r="A17" s="123" t="s">
        <v>38</v>
      </c>
      <c r="B17" s="124" t="s">
        <v>244</v>
      </c>
      <c r="C17" s="125" t="s">
        <v>12</v>
      </c>
      <c r="D17" s="126"/>
      <c r="E17" s="127">
        <v>21.8</v>
      </c>
      <c r="F17" s="127"/>
      <c r="G17" s="127"/>
      <c r="H17" s="128">
        <v>30.39</v>
      </c>
      <c r="I17" s="129">
        <v>27.62</v>
      </c>
      <c r="J17" s="129" t="s">
        <v>244</v>
      </c>
      <c r="K17" s="129" t="s">
        <v>244</v>
      </c>
      <c r="L17" s="129" t="str">
        <f t="shared" si="0"/>
        <v>..</v>
      </c>
      <c r="M17" s="130" t="s">
        <v>244</v>
      </c>
      <c r="N17" s="129"/>
      <c r="O17" s="129"/>
      <c r="P17" s="129"/>
      <c r="Q17" s="131" t="str">
        <f t="shared" si="1"/>
        <v>..</v>
      </c>
      <c r="R17" s="129" t="str">
        <f t="shared" si="2"/>
        <v>..</v>
      </c>
      <c r="S17" s="129"/>
      <c r="T17" s="129"/>
      <c r="U17" s="129" t="str">
        <f t="shared" si="3"/>
        <v>..</v>
      </c>
      <c r="V17" s="129" t="str">
        <f t="shared" si="4"/>
        <v>..</v>
      </c>
      <c r="W17" s="129"/>
      <c r="X17" s="129"/>
      <c r="Y17" s="132" t="str">
        <f t="shared" si="5"/>
        <v>..</v>
      </c>
      <c r="Z17" s="133" t="str">
        <f t="shared" si="6"/>
        <v>..</v>
      </c>
      <c r="AA17" s="134"/>
      <c r="AB17" s="134"/>
      <c r="AC17" s="134" t="str">
        <f t="shared" si="7"/>
        <v>..</v>
      </c>
      <c r="AD17" s="132">
        <v>2.4379218858163736E-2</v>
      </c>
      <c r="AE17" s="132">
        <f t="shared" si="8"/>
        <v>3.5022581321884412E-2</v>
      </c>
      <c r="AF17" s="132">
        <v>0.18027571290602074</v>
      </c>
      <c r="AG17" s="133">
        <f t="shared" si="9"/>
        <v>112.43796213948514</v>
      </c>
      <c r="AH17" s="129" t="s">
        <v>244</v>
      </c>
      <c r="AI17" s="133" t="s">
        <v>244</v>
      </c>
      <c r="AJ17" s="132" t="str">
        <f t="shared" si="10"/>
        <v>..</v>
      </c>
      <c r="AK17" s="133" t="str">
        <f t="shared" si="11"/>
        <v>..</v>
      </c>
      <c r="AL17" s="133"/>
      <c r="AM17" s="133"/>
      <c r="AN17" s="129" t="str">
        <f t="shared" si="12"/>
        <v>..</v>
      </c>
      <c r="AO17" s="129" t="str">
        <f t="shared" si="13"/>
        <v>..</v>
      </c>
      <c r="AP17" s="129" t="s">
        <v>244</v>
      </c>
      <c r="AQ17" s="133" t="str">
        <f t="shared" si="14"/>
        <v>..</v>
      </c>
      <c r="AR17" s="129" t="s">
        <v>244</v>
      </c>
      <c r="AS17" s="133" t="str">
        <f t="shared" si="15"/>
        <v>..</v>
      </c>
      <c r="AT17" s="133">
        <f t="shared" si="16"/>
        <v>112.43796213948514</v>
      </c>
      <c r="AU17" s="133" t="str">
        <f t="shared" si="17"/>
        <v>0</v>
      </c>
      <c r="AV17" s="133" t="str">
        <f t="shared" si="18"/>
        <v>0</v>
      </c>
      <c r="AW17" s="133" t="str">
        <f t="shared" si="19"/>
        <v>0</v>
      </c>
      <c r="AX17" s="133" t="str">
        <f t="shared" si="20"/>
        <v>0</v>
      </c>
      <c r="AY17" s="133">
        <f t="shared" si="21"/>
        <v>112.43796213948514</v>
      </c>
      <c r="AZ17" s="133">
        <f t="shared" si="22"/>
        <v>8.4412884489102957</v>
      </c>
      <c r="BA17" s="133">
        <f t="shared" si="23"/>
        <v>112.43796213948514</v>
      </c>
      <c r="BB17" s="133">
        <f t="shared" si="24"/>
        <v>8.4412884489102957</v>
      </c>
      <c r="BC17" s="219"/>
      <c r="BD17" s="135">
        <v>8.6</v>
      </c>
      <c r="BE17" s="135">
        <v>58.445869999999999</v>
      </c>
    </row>
    <row r="18" spans="1:57" s="135" customFormat="1" ht="15.75">
      <c r="A18" s="123" t="s">
        <v>39</v>
      </c>
      <c r="B18" s="124" t="s">
        <v>244</v>
      </c>
      <c r="C18" s="125" t="s">
        <v>13</v>
      </c>
      <c r="D18" s="126"/>
      <c r="E18" s="127">
        <v>21.8</v>
      </c>
      <c r="F18" s="127"/>
      <c r="G18" s="127"/>
      <c r="H18" s="128">
        <v>30.98</v>
      </c>
      <c r="I18" s="129">
        <v>28.4</v>
      </c>
      <c r="J18" s="129" t="s">
        <v>244</v>
      </c>
      <c r="K18" s="129" t="s">
        <v>244</v>
      </c>
      <c r="L18" s="129" t="str">
        <f t="shared" si="0"/>
        <v>..</v>
      </c>
      <c r="M18" s="130" t="s">
        <v>244</v>
      </c>
      <c r="N18" s="129"/>
      <c r="O18" s="129"/>
      <c r="P18" s="129"/>
      <c r="Q18" s="131" t="str">
        <f t="shared" si="1"/>
        <v>..</v>
      </c>
      <c r="R18" s="129" t="str">
        <f t="shared" si="2"/>
        <v>..</v>
      </c>
      <c r="S18" s="129"/>
      <c r="T18" s="129"/>
      <c r="U18" s="129" t="str">
        <f t="shared" si="3"/>
        <v>..</v>
      </c>
      <c r="V18" s="129" t="str">
        <f t="shared" si="4"/>
        <v>..</v>
      </c>
      <c r="W18" s="129"/>
      <c r="X18" s="129"/>
      <c r="Y18" s="132" t="str">
        <f t="shared" si="5"/>
        <v>..</v>
      </c>
      <c r="Z18" s="133" t="str">
        <f t="shared" si="6"/>
        <v>..</v>
      </c>
      <c r="AA18" s="134"/>
      <c r="AB18" s="134"/>
      <c r="AC18" s="134" t="str">
        <f t="shared" si="7"/>
        <v>..</v>
      </c>
      <c r="AD18" s="132">
        <v>4.8409843567776632E-2</v>
      </c>
      <c r="AE18" s="132">
        <f t="shared" si="8"/>
        <v>7.0138863471133933E-2</v>
      </c>
      <c r="AF18" s="132">
        <v>0.25845879569270169</v>
      </c>
      <c r="AG18" s="133">
        <f t="shared" si="9"/>
        <v>161.20075087353806</v>
      </c>
      <c r="AH18" s="129" t="s">
        <v>244</v>
      </c>
      <c r="AI18" s="133" t="s">
        <v>244</v>
      </c>
      <c r="AJ18" s="132" t="str">
        <f t="shared" si="10"/>
        <v>..</v>
      </c>
      <c r="AK18" s="133" t="str">
        <f t="shared" si="11"/>
        <v>..</v>
      </c>
      <c r="AL18" s="133"/>
      <c r="AM18" s="133"/>
      <c r="AN18" s="129" t="str">
        <f t="shared" si="12"/>
        <v>..</v>
      </c>
      <c r="AO18" s="129" t="str">
        <f t="shared" si="13"/>
        <v>..</v>
      </c>
      <c r="AP18" s="129" t="s">
        <v>244</v>
      </c>
      <c r="AQ18" s="133" t="str">
        <f t="shared" si="14"/>
        <v>..</v>
      </c>
      <c r="AR18" s="129" t="s">
        <v>244</v>
      </c>
      <c r="AS18" s="133" t="str">
        <f t="shared" si="15"/>
        <v>..</v>
      </c>
      <c r="AT18" s="133">
        <f t="shared" si="16"/>
        <v>161.20075087353806</v>
      </c>
      <c r="AU18" s="133" t="str">
        <f t="shared" si="17"/>
        <v>0</v>
      </c>
      <c r="AV18" s="133" t="str">
        <f t="shared" si="18"/>
        <v>0</v>
      </c>
      <c r="AW18" s="133" t="str">
        <f t="shared" si="19"/>
        <v>0</v>
      </c>
      <c r="AX18" s="133" t="str">
        <f t="shared" si="20"/>
        <v>0</v>
      </c>
      <c r="AY18" s="133">
        <f t="shared" si="21"/>
        <v>161.20075087353806</v>
      </c>
      <c r="AZ18" s="133">
        <f t="shared" si="22"/>
        <v>12.102158473989345</v>
      </c>
      <c r="BA18" s="133">
        <f t="shared" si="23"/>
        <v>161.20075087353806</v>
      </c>
      <c r="BB18" s="133">
        <f t="shared" si="24"/>
        <v>12.102158473989345</v>
      </c>
      <c r="BC18" s="219"/>
      <c r="BD18" s="135">
        <v>8.5</v>
      </c>
      <c r="BE18" s="135">
        <v>65.452240000000003</v>
      </c>
    </row>
    <row r="19" spans="1:57" s="135" customFormat="1" ht="15.75">
      <c r="A19" s="123" t="s">
        <v>40</v>
      </c>
      <c r="B19" s="124" t="s">
        <v>244</v>
      </c>
      <c r="C19" s="125" t="s">
        <v>14</v>
      </c>
      <c r="D19" s="126"/>
      <c r="E19" s="127">
        <v>21.8</v>
      </c>
      <c r="F19" s="127"/>
      <c r="G19" s="127"/>
      <c r="H19" s="128">
        <v>32.64</v>
      </c>
      <c r="I19" s="129">
        <v>28.92</v>
      </c>
      <c r="J19" s="129" t="s">
        <v>244</v>
      </c>
      <c r="K19" s="129" t="s">
        <v>244</v>
      </c>
      <c r="L19" s="129" t="str">
        <f t="shared" si="0"/>
        <v>..</v>
      </c>
      <c r="M19" s="130" t="s">
        <v>244</v>
      </c>
      <c r="N19" s="129"/>
      <c r="O19" s="129"/>
      <c r="P19" s="129"/>
      <c r="Q19" s="131" t="str">
        <f t="shared" si="1"/>
        <v>..</v>
      </c>
      <c r="R19" s="129" t="str">
        <f t="shared" si="2"/>
        <v>..</v>
      </c>
      <c r="S19" s="129"/>
      <c r="T19" s="129"/>
      <c r="U19" s="129" t="str">
        <f t="shared" si="3"/>
        <v>..</v>
      </c>
      <c r="V19" s="129" t="str">
        <f t="shared" si="4"/>
        <v>..</v>
      </c>
      <c r="W19" s="129"/>
      <c r="X19" s="129"/>
      <c r="Y19" s="132" t="str">
        <f t="shared" si="5"/>
        <v>..</v>
      </c>
      <c r="Z19" s="133" t="str">
        <f t="shared" si="6"/>
        <v>..</v>
      </c>
      <c r="AA19" s="134"/>
      <c r="AB19" s="134"/>
      <c r="AC19" s="134" t="str">
        <f t="shared" si="7"/>
        <v>..</v>
      </c>
      <c r="AD19" s="132">
        <v>4.3462873892901224E-2</v>
      </c>
      <c r="AE19" s="132">
        <f t="shared" si="8"/>
        <v>6.4523268843380679E-2</v>
      </c>
      <c r="AF19" s="132">
        <v>0.29453286896740616</v>
      </c>
      <c r="AG19" s="133">
        <f t="shared" si="9"/>
        <v>183.70015037497123</v>
      </c>
      <c r="AH19" s="129" t="s">
        <v>244</v>
      </c>
      <c r="AI19" s="133" t="s">
        <v>244</v>
      </c>
      <c r="AJ19" s="132" t="str">
        <f t="shared" si="10"/>
        <v>..</v>
      </c>
      <c r="AK19" s="133" t="str">
        <f t="shared" si="11"/>
        <v>..</v>
      </c>
      <c r="AL19" s="133"/>
      <c r="AM19" s="133"/>
      <c r="AN19" s="129" t="str">
        <f t="shared" si="12"/>
        <v>..</v>
      </c>
      <c r="AO19" s="129" t="str">
        <f t="shared" si="13"/>
        <v>..</v>
      </c>
      <c r="AP19" s="129" t="s">
        <v>244</v>
      </c>
      <c r="AQ19" s="133" t="str">
        <f t="shared" si="14"/>
        <v>..</v>
      </c>
      <c r="AR19" s="129" t="s">
        <v>244</v>
      </c>
      <c r="AS19" s="133" t="str">
        <f t="shared" si="15"/>
        <v>..</v>
      </c>
      <c r="AT19" s="133">
        <f t="shared" si="16"/>
        <v>183.70015037497123</v>
      </c>
      <c r="AU19" s="133" t="str">
        <f t="shared" si="17"/>
        <v>0</v>
      </c>
      <c r="AV19" s="133" t="str">
        <f t="shared" si="18"/>
        <v>0</v>
      </c>
      <c r="AW19" s="133" t="str">
        <f t="shared" si="19"/>
        <v>0</v>
      </c>
      <c r="AX19" s="133" t="str">
        <f t="shared" si="20"/>
        <v>0</v>
      </c>
      <c r="AY19" s="133">
        <f t="shared" si="21"/>
        <v>183.70015037497123</v>
      </c>
      <c r="AZ19" s="133">
        <f t="shared" si="22"/>
        <v>13.791302580703544</v>
      </c>
      <c r="BA19" s="133">
        <f t="shared" si="23"/>
        <v>183.70015037497123</v>
      </c>
      <c r="BB19" s="133">
        <f t="shared" si="24"/>
        <v>13.791302580703544</v>
      </c>
      <c r="BC19" s="219"/>
      <c r="BD19" s="135">
        <v>8.3699999999999992</v>
      </c>
      <c r="BE19" s="135">
        <v>97.55</v>
      </c>
    </row>
    <row r="20" spans="1:57" s="135" customFormat="1" ht="15.75">
      <c r="A20" s="123" t="s">
        <v>41</v>
      </c>
      <c r="B20" s="124" t="s">
        <v>244</v>
      </c>
      <c r="C20" s="125" t="s">
        <v>15</v>
      </c>
      <c r="D20" s="126"/>
      <c r="E20" s="127">
        <v>21.8</v>
      </c>
      <c r="F20" s="127"/>
      <c r="G20" s="127"/>
      <c r="H20" s="128">
        <v>28.71</v>
      </c>
      <c r="I20" s="129">
        <v>24.26</v>
      </c>
      <c r="J20" s="129" t="s">
        <v>244</v>
      </c>
      <c r="K20" s="129" t="s">
        <v>244</v>
      </c>
      <c r="L20" s="129" t="str">
        <f t="shared" si="0"/>
        <v>..</v>
      </c>
      <c r="M20" s="130" t="s">
        <v>244</v>
      </c>
      <c r="N20" s="129"/>
      <c r="O20" s="129"/>
      <c r="P20" s="129"/>
      <c r="Q20" s="131" t="str">
        <f t="shared" si="1"/>
        <v>..</v>
      </c>
      <c r="R20" s="129" t="str">
        <f t="shared" si="2"/>
        <v>..</v>
      </c>
      <c r="S20" s="129"/>
      <c r="T20" s="129"/>
      <c r="U20" s="129" t="str">
        <f t="shared" si="3"/>
        <v>..</v>
      </c>
      <c r="V20" s="129" t="str">
        <f t="shared" si="4"/>
        <v>..</v>
      </c>
      <c r="W20" s="129"/>
      <c r="X20" s="129"/>
      <c r="Y20" s="132" t="str">
        <f t="shared" si="5"/>
        <v>..</v>
      </c>
      <c r="Z20" s="133" t="str">
        <f t="shared" si="6"/>
        <v>..</v>
      </c>
      <c r="AA20" s="134"/>
      <c r="AB20" s="134"/>
      <c r="AC20" s="134" t="str">
        <f t="shared" si="7"/>
        <v>..</v>
      </c>
      <c r="AD20" s="132">
        <v>3.758929694092758E-2</v>
      </c>
      <c r="AE20" s="132">
        <f t="shared" si="8"/>
        <v>5.272730669228165E-2</v>
      </c>
      <c r="AF20" s="132">
        <v>0.26578893378002327</v>
      </c>
      <c r="AG20" s="133">
        <f t="shared" si="9"/>
        <v>165.77255799860052</v>
      </c>
      <c r="AH20" s="129" t="s">
        <v>244</v>
      </c>
      <c r="AI20" s="133" t="s">
        <v>244</v>
      </c>
      <c r="AJ20" s="132" t="str">
        <f t="shared" si="10"/>
        <v>..</v>
      </c>
      <c r="AK20" s="133" t="str">
        <f t="shared" si="11"/>
        <v>..</v>
      </c>
      <c r="AL20" s="133"/>
      <c r="AM20" s="133"/>
      <c r="AN20" s="129" t="str">
        <f t="shared" si="12"/>
        <v>..</v>
      </c>
      <c r="AO20" s="129" t="str">
        <f t="shared" si="13"/>
        <v>..</v>
      </c>
      <c r="AP20" s="129" t="s">
        <v>244</v>
      </c>
      <c r="AQ20" s="133" t="str">
        <f t="shared" si="14"/>
        <v>..</v>
      </c>
      <c r="AR20" s="129" t="s">
        <v>244</v>
      </c>
      <c r="AS20" s="133" t="str">
        <f t="shared" si="15"/>
        <v>..</v>
      </c>
      <c r="AT20" s="133">
        <f t="shared" si="16"/>
        <v>165.77255799860052</v>
      </c>
      <c r="AU20" s="133" t="str">
        <f t="shared" si="17"/>
        <v>0</v>
      </c>
      <c r="AV20" s="133" t="str">
        <f t="shared" si="18"/>
        <v>0</v>
      </c>
      <c r="AW20" s="133" t="str">
        <f t="shared" si="19"/>
        <v>0</v>
      </c>
      <c r="AX20" s="133" t="str">
        <f t="shared" si="20"/>
        <v>0</v>
      </c>
      <c r="AY20" s="133">
        <f t="shared" si="21"/>
        <v>165.77255799860052</v>
      </c>
      <c r="AZ20" s="133">
        <f t="shared" si="22"/>
        <v>12.44538723713217</v>
      </c>
      <c r="BA20" s="133">
        <f t="shared" si="23"/>
        <v>165.77255799860052</v>
      </c>
      <c r="BB20" s="133">
        <f t="shared" si="24"/>
        <v>12.44538723713217</v>
      </c>
      <c r="BC20" s="219"/>
      <c r="BD20" s="135">
        <v>8.39</v>
      </c>
      <c r="BE20" s="135">
        <v>100.87884</v>
      </c>
    </row>
    <row r="21" spans="1:57" s="135" customFormat="1" ht="15.75">
      <c r="A21" s="123" t="s">
        <v>42</v>
      </c>
      <c r="B21" s="124" t="s">
        <v>244</v>
      </c>
      <c r="C21" s="125" t="s">
        <v>16</v>
      </c>
      <c r="D21" s="126"/>
      <c r="E21" s="127">
        <v>21.8</v>
      </c>
      <c r="F21" s="127"/>
      <c r="G21" s="127"/>
      <c r="H21" s="128">
        <v>28.61</v>
      </c>
      <c r="I21" s="129">
        <v>25.87</v>
      </c>
      <c r="J21" s="129" t="s">
        <v>244</v>
      </c>
      <c r="K21" s="129" t="s">
        <v>244</v>
      </c>
      <c r="L21" s="129" t="str">
        <f t="shared" si="0"/>
        <v>..</v>
      </c>
      <c r="M21" s="130" t="s">
        <v>244</v>
      </c>
      <c r="N21" s="129"/>
      <c r="O21" s="129"/>
      <c r="P21" s="129"/>
      <c r="Q21" s="131" t="str">
        <f t="shared" si="1"/>
        <v>..</v>
      </c>
      <c r="R21" s="129" t="str">
        <f t="shared" si="2"/>
        <v>..</v>
      </c>
      <c r="S21" s="129"/>
      <c r="T21" s="129"/>
      <c r="U21" s="129" t="str">
        <f t="shared" si="3"/>
        <v>..</v>
      </c>
      <c r="V21" s="129" t="str">
        <f t="shared" si="4"/>
        <v>..</v>
      </c>
      <c r="W21" s="129"/>
      <c r="X21" s="129"/>
      <c r="Y21" s="132" t="str">
        <f t="shared" si="5"/>
        <v>..</v>
      </c>
      <c r="Z21" s="133" t="str">
        <f t="shared" si="6"/>
        <v>..</v>
      </c>
      <c r="AA21" s="134"/>
      <c r="AB21" s="134"/>
      <c r="AC21" s="134" t="str">
        <f t="shared" si="7"/>
        <v>..</v>
      </c>
      <c r="AD21" s="132">
        <v>4.0234763115100255E-2</v>
      </c>
      <c r="AE21" s="132">
        <f t="shared" si="8"/>
        <v>5.6359102276369602E-2</v>
      </c>
      <c r="AF21" s="132">
        <v>0.26772417858781583</v>
      </c>
      <c r="AG21" s="133">
        <f t="shared" si="9"/>
        <v>166.97957018522075</v>
      </c>
      <c r="AH21" s="129" t="s">
        <v>244</v>
      </c>
      <c r="AI21" s="133" t="s">
        <v>244</v>
      </c>
      <c r="AJ21" s="132" t="str">
        <f t="shared" si="10"/>
        <v>..</v>
      </c>
      <c r="AK21" s="133" t="str">
        <f t="shared" si="11"/>
        <v>..</v>
      </c>
      <c r="AL21" s="133"/>
      <c r="AM21" s="133"/>
      <c r="AN21" s="129" t="str">
        <f t="shared" si="12"/>
        <v>..</v>
      </c>
      <c r="AO21" s="129" t="str">
        <f t="shared" si="13"/>
        <v>..</v>
      </c>
      <c r="AP21" s="129" t="s">
        <v>244</v>
      </c>
      <c r="AQ21" s="133" t="str">
        <f t="shared" si="14"/>
        <v>..</v>
      </c>
      <c r="AR21" s="129" t="s">
        <v>244</v>
      </c>
      <c r="AS21" s="133" t="str">
        <f t="shared" si="15"/>
        <v>..</v>
      </c>
      <c r="AT21" s="133">
        <f t="shared" si="16"/>
        <v>166.97957018522075</v>
      </c>
      <c r="AU21" s="133" t="str">
        <f t="shared" si="17"/>
        <v>0</v>
      </c>
      <c r="AV21" s="133" t="str">
        <f t="shared" si="18"/>
        <v>0</v>
      </c>
      <c r="AW21" s="133" t="str">
        <f t="shared" si="19"/>
        <v>0</v>
      </c>
      <c r="AX21" s="133" t="str">
        <f t="shared" si="20"/>
        <v>0</v>
      </c>
      <c r="AY21" s="133">
        <f t="shared" si="21"/>
        <v>166.97957018522075</v>
      </c>
      <c r="AZ21" s="133">
        <f t="shared" si="22"/>
        <v>12.536003767659217</v>
      </c>
      <c r="BA21" s="133">
        <f t="shared" si="23"/>
        <v>166.97957018522075</v>
      </c>
      <c r="BB21" s="133">
        <f t="shared" si="24"/>
        <v>12.536003767659217</v>
      </c>
      <c r="BC21" s="219"/>
      <c r="BD21" s="135">
        <v>8.5399999999999991</v>
      </c>
      <c r="BE21" s="135">
        <v>74.530919999999995</v>
      </c>
    </row>
    <row r="22" spans="1:57" s="135" customFormat="1" ht="15.75">
      <c r="A22" s="123" t="s">
        <v>43</v>
      </c>
      <c r="B22" s="124" t="s">
        <v>244</v>
      </c>
      <c r="C22" s="125" t="s">
        <v>17</v>
      </c>
      <c r="D22" s="126"/>
      <c r="E22" s="127">
        <v>21.8</v>
      </c>
      <c r="F22" s="127"/>
      <c r="G22" s="127"/>
      <c r="H22" s="128">
        <v>31.1</v>
      </c>
      <c r="I22" s="129">
        <v>30.61</v>
      </c>
      <c r="J22" s="129" t="s">
        <v>244</v>
      </c>
      <c r="K22" s="129" t="s">
        <v>244</v>
      </c>
      <c r="L22" s="129" t="str">
        <f t="shared" si="0"/>
        <v>..</v>
      </c>
      <c r="M22" s="130" t="s">
        <v>244</v>
      </c>
      <c r="N22" s="129"/>
      <c r="O22" s="129"/>
      <c r="P22" s="129"/>
      <c r="Q22" s="131" t="str">
        <f t="shared" si="1"/>
        <v>..</v>
      </c>
      <c r="R22" s="129" t="str">
        <f t="shared" si="2"/>
        <v>..</v>
      </c>
      <c r="S22" s="129"/>
      <c r="T22" s="129"/>
      <c r="U22" s="129" t="str">
        <f t="shared" si="3"/>
        <v>..</v>
      </c>
      <c r="V22" s="129" t="str">
        <f t="shared" si="4"/>
        <v>..</v>
      </c>
      <c r="W22" s="129"/>
      <c r="X22" s="129"/>
      <c r="Y22" s="132" t="str">
        <f t="shared" si="5"/>
        <v>..</v>
      </c>
      <c r="Z22" s="133" t="str">
        <f t="shared" si="6"/>
        <v>..</v>
      </c>
      <c r="AA22" s="134"/>
      <c r="AB22" s="134"/>
      <c r="AC22" s="134" t="str">
        <f t="shared" si="7"/>
        <v>..</v>
      </c>
      <c r="AD22" s="132" t="s">
        <v>245</v>
      </c>
      <c r="AE22" s="132" t="s">
        <v>245</v>
      </c>
      <c r="AF22" s="132">
        <v>9.0736281796415953E-3</v>
      </c>
      <c r="AG22" s="133">
        <f t="shared" si="9"/>
        <v>5.6592218956424638</v>
      </c>
      <c r="AH22" s="129" t="s">
        <v>244</v>
      </c>
      <c r="AI22" s="133" t="s">
        <v>244</v>
      </c>
      <c r="AJ22" s="132" t="str">
        <f t="shared" si="10"/>
        <v>..</v>
      </c>
      <c r="AK22" s="133" t="str">
        <f t="shared" si="11"/>
        <v>..</v>
      </c>
      <c r="AL22" s="133"/>
      <c r="AM22" s="133"/>
      <c r="AN22" s="129" t="str">
        <f t="shared" si="12"/>
        <v>..</v>
      </c>
      <c r="AO22" s="129" t="str">
        <f t="shared" si="13"/>
        <v>..</v>
      </c>
      <c r="AP22" s="129" t="s">
        <v>244</v>
      </c>
      <c r="AQ22" s="133" t="str">
        <f t="shared" si="14"/>
        <v>..</v>
      </c>
      <c r="AR22" s="129" t="s">
        <v>244</v>
      </c>
      <c r="AS22" s="133" t="str">
        <f t="shared" si="15"/>
        <v>..</v>
      </c>
      <c r="AT22" s="133">
        <f t="shared" si="16"/>
        <v>5.6592218956424638</v>
      </c>
      <c r="AU22" s="133" t="str">
        <f t="shared" si="17"/>
        <v>0</v>
      </c>
      <c r="AV22" s="133" t="str">
        <f t="shared" si="18"/>
        <v>0</v>
      </c>
      <c r="AW22" s="133" t="str">
        <f t="shared" si="19"/>
        <v>0</v>
      </c>
      <c r="AX22" s="133" t="str">
        <f t="shared" si="20"/>
        <v>0</v>
      </c>
      <c r="AY22" s="133">
        <f t="shared" si="21"/>
        <v>5.6592218956424638</v>
      </c>
      <c r="AZ22" s="133">
        <f t="shared" si="22"/>
        <v>0.42486650868186659</v>
      </c>
      <c r="BA22" s="133">
        <f t="shared" si="23"/>
        <v>5.6592218956424638</v>
      </c>
      <c r="BB22" s="133">
        <f t="shared" si="24"/>
        <v>0.42486650868186659</v>
      </c>
      <c r="BC22" s="219"/>
      <c r="BD22" s="135">
        <v>9.0299999999999994</v>
      </c>
      <c r="BE22" s="135">
        <v>7.5263100000000005</v>
      </c>
    </row>
    <row r="23" spans="1:57" s="135" customFormat="1" ht="15.75">
      <c r="A23" s="123" t="s">
        <v>44</v>
      </c>
      <c r="B23" s="124" t="s">
        <v>244</v>
      </c>
      <c r="C23" s="125" t="s">
        <v>18</v>
      </c>
      <c r="D23" s="126"/>
      <c r="E23" s="127">
        <v>21.8</v>
      </c>
      <c r="F23" s="127"/>
      <c r="G23" s="127"/>
      <c r="H23" s="128">
        <v>25.84</v>
      </c>
      <c r="I23" s="129">
        <v>25.06</v>
      </c>
      <c r="J23" s="129" t="s">
        <v>244</v>
      </c>
      <c r="K23" s="129" t="s">
        <v>244</v>
      </c>
      <c r="L23" s="129" t="str">
        <f t="shared" si="0"/>
        <v>..</v>
      </c>
      <c r="M23" s="130" t="s">
        <v>244</v>
      </c>
      <c r="N23" s="129"/>
      <c r="O23" s="129"/>
      <c r="P23" s="129"/>
      <c r="Q23" s="131" t="str">
        <f t="shared" si="1"/>
        <v>..</v>
      </c>
      <c r="R23" s="129" t="str">
        <f t="shared" si="2"/>
        <v>..</v>
      </c>
      <c r="S23" s="129"/>
      <c r="T23" s="129"/>
      <c r="U23" s="129" t="str">
        <f t="shared" si="3"/>
        <v>..</v>
      </c>
      <c r="V23" s="129" t="str">
        <f t="shared" si="4"/>
        <v>..</v>
      </c>
      <c r="W23" s="129"/>
      <c r="X23" s="129"/>
      <c r="Y23" s="132" t="str">
        <f t="shared" si="5"/>
        <v>..</v>
      </c>
      <c r="Z23" s="133" t="str">
        <f t="shared" si="6"/>
        <v>..</v>
      </c>
      <c r="AA23" s="134"/>
      <c r="AB23" s="134"/>
      <c r="AC23" s="134" t="str">
        <f t="shared" si="7"/>
        <v>..</v>
      </c>
      <c r="AD23" s="132" t="s">
        <v>245</v>
      </c>
      <c r="AE23" s="132">
        <v>6.6634375518000047E-4</v>
      </c>
      <c r="AF23" s="132">
        <v>9.1072385197399838E-3</v>
      </c>
      <c r="AG23" s="133">
        <f t="shared" si="9"/>
        <v>5.6801846647618284</v>
      </c>
      <c r="AH23" s="129" t="s">
        <v>244</v>
      </c>
      <c r="AI23" s="133" t="s">
        <v>244</v>
      </c>
      <c r="AJ23" s="132" t="str">
        <f t="shared" si="10"/>
        <v>..</v>
      </c>
      <c r="AK23" s="133" t="str">
        <f t="shared" si="11"/>
        <v>..</v>
      </c>
      <c r="AL23" s="133"/>
      <c r="AM23" s="133"/>
      <c r="AN23" s="129" t="str">
        <f t="shared" si="12"/>
        <v>..</v>
      </c>
      <c r="AO23" s="129" t="str">
        <f t="shared" si="13"/>
        <v>..</v>
      </c>
      <c r="AP23" s="129" t="s">
        <v>244</v>
      </c>
      <c r="AQ23" s="133" t="str">
        <f t="shared" si="14"/>
        <v>..</v>
      </c>
      <c r="AR23" s="129" t="s">
        <v>244</v>
      </c>
      <c r="AS23" s="133" t="str">
        <f t="shared" si="15"/>
        <v>..</v>
      </c>
      <c r="AT23" s="133">
        <f t="shared" si="16"/>
        <v>5.6801846647618284</v>
      </c>
      <c r="AU23" s="133" t="str">
        <f t="shared" si="17"/>
        <v>0</v>
      </c>
      <c r="AV23" s="133" t="str">
        <f t="shared" si="18"/>
        <v>0</v>
      </c>
      <c r="AW23" s="133" t="str">
        <f t="shared" si="19"/>
        <v>0</v>
      </c>
      <c r="AX23" s="133" t="str">
        <f t="shared" si="20"/>
        <v>0</v>
      </c>
      <c r="AY23" s="133">
        <f t="shared" si="21"/>
        <v>5.6801846647618284</v>
      </c>
      <c r="AZ23" s="133">
        <f t="shared" si="22"/>
        <v>0.42644029014728435</v>
      </c>
      <c r="BA23" s="133">
        <f t="shared" si="23"/>
        <v>5.6801846647618284</v>
      </c>
      <c r="BB23" s="133">
        <f t="shared" si="24"/>
        <v>0.42644029014728435</v>
      </c>
      <c r="BC23" s="219"/>
      <c r="BD23" s="135">
        <v>9.14</v>
      </c>
      <c r="BE23" s="135">
        <v>6.39147</v>
      </c>
    </row>
    <row r="24" spans="1:57" s="135" customFormat="1" ht="15.75">
      <c r="A24" s="123" t="s">
        <v>45</v>
      </c>
      <c r="B24" s="124" t="s">
        <v>244</v>
      </c>
      <c r="C24" s="125" t="s">
        <v>19</v>
      </c>
      <c r="D24" s="126"/>
      <c r="E24" s="127">
        <v>21.8</v>
      </c>
      <c r="F24" s="127"/>
      <c r="G24" s="127"/>
      <c r="H24" s="128">
        <v>32.729999999999997</v>
      </c>
      <c r="I24" s="129">
        <v>31.52</v>
      </c>
      <c r="J24" s="129" t="s">
        <v>244</v>
      </c>
      <c r="K24" s="129" t="s">
        <v>244</v>
      </c>
      <c r="L24" s="129" t="str">
        <f t="shared" si="0"/>
        <v>..</v>
      </c>
      <c r="M24" s="130" t="s">
        <v>244</v>
      </c>
      <c r="N24" s="129"/>
      <c r="O24" s="129"/>
      <c r="P24" s="129"/>
      <c r="Q24" s="131" t="str">
        <f t="shared" si="1"/>
        <v>..</v>
      </c>
      <c r="R24" s="129" t="str">
        <f t="shared" si="2"/>
        <v>..</v>
      </c>
      <c r="S24" s="129"/>
      <c r="T24" s="129"/>
      <c r="U24" s="129" t="str">
        <f t="shared" si="3"/>
        <v>..</v>
      </c>
      <c r="V24" s="129" t="str">
        <f t="shared" si="4"/>
        <v>..</v>
      </c>
      <c r="W24" s="129"/>
      <c r="X24" s="129"/>
      <c r="Y24" s="132" t="str">
        <f t="shared" si="5"/>
        <v>..</v>
      </c>
      <c r="Z24" s="133" t="str">
        <f t="shared" si="6"/>
        <v>..</v>
      </c>
      <c r="AA24" s="134"/>
      <c r="AB24" s="134"/>
      <c r="AC24" s="134" t="str">
        <f t="shared" si="7"/>
        <v>..</v>
      </c>
      <c r="AD24" s="132">
        <v>3.7274135079630381E-3</v>
      </c>
      <c r="AE24" s="132">
        <f t="shared" si="8"/>
        <v>5.5409744432332953E-3</v>
      </c>
      <c r="AF24" s="132">
        <v>1.4094583242346659E-2</v>
      </c>
      <c r="AG24" s="133">
        <f t="shared" si="9"/>
        <v>8.7907915682516116</v>
      </c>
      <c r="AH24" s="129" t="s">
        <v>244</v>
      </c>
      <c r="AI24" s="133" t="s">
        <v>244</v>
      </c>
      <c r="AJ24" s="132" t="str">
        <f t="shared" si="10"/>
        <v>..</v>
      </c>
      <c r="AK24" s="133" t="str">
        <f t="shared" si="11"/>
        <v>..</v>
      </c>
      <c r="AL24" s="133"/>
      <c r="AM24" s="133"/>
      <c r="AN24" s="129" t="str">
        <f t="shared" si="12"/>
        <v>..</v>
      </c>
      <c r="AO24" s="129" t="str">
        <f t="shared" si="13"/>
        <v>..</v>
      </c>
      <c r="AP24" s="129" t="s">
        <v>244</v>
      </c>
      <c r="AQ24" s="133" t="str">
        <f t="shared" si="14"/>
        <v>..</v>
      </c>
      <c r="AR24" s="129" t="s">
        <v>244</v>
      </c>
      <c r="AS24" s="133" t="str">
        <f t="shared" si="15"/>
        <v>..</v>
      </c>
      <c r="AT24" s="133">
        <f t="shared" si="16"/>
        <v>8.7907915682516116</v>
      </c>
      <c r="AU24" s="133" t="str">
        <f t="shared" si="17"/>
        <v>0</v>
      </c>
      <c r="AV24" s="133" t="str">
        <f t="shared" si="18"/>
        <v>0</v>
      </c>
      <c r="AW24" s="133" t="str">
        <f t="shared" si="19"/>
        <v>0</v>
      </c>
      <c r="AX24" s="133" t="str">
        <f t="shared" si="20"/>
        <v>0</v>
      </c>
      <c r="AY24" s="133">
        <f t="shared" si="21"/>
        <v>8.7907915682516116</v>
      </c>
      <c r="AZ24" s="133">
        <f t="shared" si="22"/>
        <v>0.6599693369558266</v>
      </c>
      <c r="BA24" s="133">
        <f t="shared" si="23"/>
        <v>8.7907915682516116</v>
      </c>
      <c r="BB24" s="133">
        <f t="shared" si="24"/>
        <v>0.6599693369558266</v>
      </c>
      <c r="BC24" s="219"/>
      <c r="BD24" s="135">
        <v>8.9600000000000009</v>
      </c>
      <c r="BE24" s="135">
        <v>4.7928300000000004</v>
      </c>
    </row>
    <row r="25" spans="1:57" s="135" customFormat="1" ht="15.75">
      <c r="A25" s="123" t="s">
        <v>46</v>
      </c>
      <c r="B25" s="124" t="s">
        <v>244</v>
      </c>
      <c r="C25" s="125" t="s">
        <v>20</v>
      </c>
      <c r="D25" s="126"/>
      <c r="E25" s="127">
        <v>21.8</v>
      </c>
      <c r="F25" s="127"/>
      <c r="G25" s="127"/>
      <c r="H25" s="128">
        <v>32.56</v>
      </c>
      <c r="I25" s="129">
        <v>31.58</v>
      </c>
      <c r="J25" s="129" t="s">
        <v>244</v>
      </c>
      <c r="K25" s="129" t="s">
        <v>244</v>
      </c>
      <c r="L25" s="129" t="str">
        <f t="shared" si="0"/>
        <v>..</v>
      </c>
      <c r="M25" s="130" t="s">
        <v>244</v>
      </c>
      <c r="N25" s="129"/>
      <c r="O25" s="129"/>
      <c r="P25" s="129"/>
      <c r="Q25" s="131" t="str">
        <f t="shared" si="1"/>
        <v>..</v>
      </c>
      <c r="R25" s="129" t="str">
        <f t="shared" si="2"/>
        <v>..</v>
      </c>
      <c r="S25" s="129"/>
      <c r="T25" s="129"/>
      <c r="U25" s="129" t="str">
        <f t="shared" si="3"/>
        <v>..</v>
      </c>
      <c r="V25" s="129" t="str">
        <f t="shared" si="4"/>
        <v>..</v>
      </c>
      <c r="W25" s="129"/>
      <c r="X25" s="129"/>
      <c r="Y25" s="132" t="str">
        <f t="shared" si="5"/>
        <v>..</v>
      </c>
      <c r="Z25" s="133" t="str">
        <f t="shared" si="6"/>
        <v>..</v>
      </c>
      <c r="AA25" s="134"/>
      <c r="AB25" s="134"/>
      <c r="AC25" s="134" t="str">
        <f t="shared" si="7"/>
        <v>..</v>
      </c>
      <c r="AD25" s="132">
        <v>6.4042879231634257E-3</v>
      </c>
      <c r="AE25" s="132">
        <f t="shared" si="8"/>
        <v>9.4962750936586973E-3</v>
      </c>
      <c r="AF25" s="132">
        <v>2.2015126216578425E-2</v>
      </c>
      <c r="AG25" s="133">
        <f t="shared" si="9"/>
        <v>13.730834221279965</v>
      </c>
      <c r="AH25" s="129" t="s">
        <v>244</v>
      </c>
      <c r="AI25" s="133" t="s">
        <v>244</v>
      </c>
      <c r="AJ25" s="132" t="str">
        <f t="shared" si="10"/>
        <v>..</v>
      </c>
      <c r="AK25" s="133" t="str">
        <f t="shared" si="11"/>
        <v>..</v>
      </c>
      <c r="AL25" s="133"/>
      <c r="AM25" s="133"/>
      <c r="AN25" s="129" t="str">
        <f t="shared" si="12"/>
        <v>..</v>
      </c>
      <c r="AO25" s="129" t="str">
        <f t="shared" si="13"/>
        <v>..</v>
      </c>
      <c r="AP25" s="129" t="s">
        <v>244</v>
      </c>
      <c r="AQ25" s="133" t="str">
        <f t="shared" si="14"/>
        <v>..</v>
      </c>
      <c r="AR25" s="129" t="s">
        <v>244</v>
      </c>
      <c r="AS25" s="133" t="str">
        <f t="shared" si="15"/>
        <v>..</v>
      </c>
      <c r="AT25" s="133">
        <f t="shared" si="16"/>
        <v>13.730834221279965</v>
      </c>
      <c r="AU25" s="133" t="str">
        <f t="shared" si="17"/>
        <v>0</v>
      </c>
      <c r="AV25" s="133" t="str">
        <f t="shared" si="18"/>
        <v>0</v>
      </c>
      <c r="AW25" s="133" t="str">
        <f t="shared" si="19"/>
        <v>0</v>
      </c>
      <c r="AX25" s="133" t="str">
        <f t="shared" si="20"/>
        <v>0</v>
      </c>
      <c r="AY25" s="133">
        <f t="shared" si="21"/>
        <v>13.730834221279965</v>
      </c>
      <c r="AZ25" s="133">
        <f t="shared" si="22"/>
        <v>1.0308434100060033</v>
      </c>
      <c r="BA25" s="133">
        <f t="shared" si="23"/>
        <v>13.730834221279965</v>
      </c>
      <c r="BB25" s="133">
        <f t="shared" si="24"/>
        <v>1.0308434100060033</v>
      </c>
      <c r="BC25" s="219"/>
      <c r="BD25" s="135">
        <v>8.9499999999999993</v>
      </c>
      <c r="BE25" s="135">
        <v>5.3750600000000004</v>
      </c>
    </row>
    <row r="26" spans="1:57" s="135" customFormat="1" ht="15.75">
      <c r="A26" s="123" t="s">
        <v>47</v>
      </c>
      <c r="B26" s="124" t="s">
        <v>244</v>
      </c>
      <c r="C26" s="125" t="s">
        <v>21</v>
      </c>
      <c r="D26" s="126"/>
      <c r="E26" s="127">
        <v>21.8</v>
      </c>
      <c r="F26" s="127"/>
      <c r="G26" s="127"/>
      <c r="H26" s="128">
        <v>25.53</v>
      </c>
      <c r="I26" s="129">
        <v>24.43</v>
      </c>
      <c r="J26" s="129" t="s">
        <v>244</v>
      </c>
      <c r="K26" s="129" t="s">
        <v>244</v>
      </c>
      <c r="L26" s="129" t="str">
        <f t="shared" si="0"/>
        <v>..</v>
      </c>
      <c r="M26" s="130" t="s">
        <v>244</v>
      </c>
      <c r="N26" s="129"/>
      <c r="O26" s="129"/>
      <c r="P26" s="129"/>
      <c r="Q26" s="131" t="str">
        <f t="shared" si="1"/>
        <v>..</v>
      </c>
      <c r="R26" s="129" t="str">
        <f t="shared" si="2"/>
        <v>..</v>
      </c>
      <c r="S26" s="129"/>
      <c r="T26" s="129"/>
      <c r="U26" s="129" t="str">
        <f t="shared" si="3"/>
        <v>..</v>
      </c>
      <c r="V26" s="129" t="str">
        <f t="shared" si="4"/>
        <v>..</v>
      </c>
      <c r="W26" s="129"/>
      <c r="X26" s="129"/>
      <c r="Y26" s="132" t="str">
        <f t="shared" si="5"/>
        <v>..</v>
      </c>
      <c r="Z26" s="133" t="str">
        <f t="shared" si="6"/>
        <v>..</v>
      </c>
      <c r="AA26" s="134"/>
      <c r="AB26" s="134"/>
      <c r="AC26" s="134" t="str">
        <f t="shared" si="7"/>
        <v>..</v>
      </c>
      <c r="AD26" s="132">
        <v>2.9329510029230225E-2</v>
      </c>
      <c r="AE26" s="132">
        <f t="shared" si="8"/>
        <v>3.9384329299355744E-2</v>
      </c>
      <c r="AF26" s="132">
        <v>8.414325332709105E-2</v>
      </c>
      <c r="AG26" s="133">
        <f t="shared" si="9"/>
        <v>52.480147100106691</v>
      </c>
      <c r="AH26" s="129" t="s">
        <v>244</v>
      </c>
      <c r="AI26" s="133" t="s">
        <v>244</v>
      </c>
      <c r="AJ26" s="132" t="str">
        <f t="shared" si="10"/>
        <v>..</v>
      </c>
      <c r="AK26" s="133" t="str">
        <f t="shared" si="11"/>
        <v>..</v>
      </c>
      <c r="AL26" s="133"/>
      <c r="AM26" s="133"/>
      <c r="AN26" s="129" t="str">
        <f t="shared" si="12"/>
        <v>..</v>
      </c>
      <c r="AO26" s="129" t="str">
        <f t="shared" si="13"/>
        <v>..</v>
      </c>
      <c r="AP26" s="129" t="s">
        <v>244</v>
      </c>
      <c r="AQ26" s="133" t="str">
        <f t="shared" si="14"/>
        <v>..</v>
      </c>
      <c r="AR26" s="129" t="s">
        <v>244</v>
      </c>
      <c r="AS26" s="133" t="str">
        <f t="shared" si="15"/>
        <v>..</v>
      </c>
      <c r="AT26" s="133">
        <f t="shared" si="16"/>
        <v>52.480147100106691</v>
      </c>
      <c r="AU26" s="133" t="str">
        <f t="shared" si="17"/>
        <v>0</v>
      </c>
      <c r="AV26" s="133" t="str">
        <f t="shared" si="18"/>
        <v>0</v>
      </c>
      <c r="AW26" s="133" t="str">
        <f t="shared" si="19"/>
        <v>0</v>
      </c>
      <c r="AX26" s="133" t="str">
        <f t="shared" si="20"/>
        <v>0</v>
      </c>
      <c r="AY26" s="133">
        <f t="shared" si="21"/>
        <v>52.480147100106691</v>
      </c>
      <c r="AZ26" s="133">
        <f t="shared" si="22"/>
        <v>3.9399509834914932</v>
      </c>
      <c r="BA26" s="133">
        <f t="shared" si="23"/>
        <v>52.480147100106691</v>
      </c>
      <c r="BB26" s="133">
        <f t="shared" si="24"/>
        <v>3.9399509834914932</v>
      </c>
      <c r="BC26" s="219"/>
      <c r="BD26" s="135">
        <v>8.86</v>
      </c>
      <c r="BE26" s="135">
        <v>16.032640000000001</v>
      </c>
    </row>
    <row r="27" spans="1:57" s="135" customFormat="1" ht="15.75">
      <c r="A27" s="123" t="s">
        <v>48</v>
      </c>
      <c r="B27" s="124" t="s">
        <v>244</v>
      </c>
      <c r="C27" s="125" t="s">
        <v>22</v>
      </c>
      <c r="D27" s="126"/>
      <c r="E27" s="127">
        <v>21.8</v>
      </c>
      <c r="F27" s="127"/>
      <c r="G27" s="127"/>
      <c r="H27" s="128">
        <v>34.56</v>
      </c>
      <c r="I27" s="129">
        <v>32.19</v>
      </c>
      <c r="J27" s="129" t="s">
        <v>244</v>
      </c>
      <c r="K27" s="129" t="s">
        <v>244</v>
      </c>
      <c r="L27" s="129" t="str">
        <f t="shared" si="0"/>
        <v>..</v>
      </c>
      <c r="M27" s="130" t="s">
        <v>244</v>
      </c>
      <c r="N27" s="129"/>
      <c r="O27" s="129"/>
      <c r="P27" s="129"/>
      <c r="Q27" s="131" t="str">
        <f t="shared" si="1"/>
        <v>..</v>
      </c>
      <c r="R27" s="129" t="str">
        <f t="shared" si="2"/>
        <v>..</v>
      </c>
      <c r="S27" s="129"/>
      <c r="T27" s="129"/>
      <c r="U27" s="129" t="str">
        <f t="shared" si="3"/>
        <v>..</v>
      </c>
      <c r="V27" s="129" t="str">
        <f t="shared" si="4"/>
        <v>..</v>
      </c>
      <c r="W27" s="129"/>
      <c r="X27" s="129"/>
      <c r="Y27" s="132" t="str">
        <f t="shared" si="5"/>
        <v>..</v>
      </c>
      <c r="Z27" s="133" t="str">
        <f t="shared" si="6"/>
        <v>..</v>
      </c>
      <c r="AA27" s="134"/>
      <c r="AB27" s="134"/>
      <c r="AC27" s="134" t="str">
        <f t="shared" si="7"/>
        <v>..</v>
      </c>
      <c r="AD27" s="132">
        <v>7.9094554731553805E-3</v>
      </c>
      <c r="AE27" s="132">
        <f t="shared" si="8"/>
        <v>1.2086576212034506E-2</v>
      </c>
      <c r="AF27" s="132">
        <v>0.13937410298206154</v>
      </c>
      <c r="AG27" s="133">
        <f t="shared" si="9"/>
        <v>86.927628029911787</v>
      </c>
      <c r="AH27" s="129" t="s">
        <v>244</v>
      </c>
      <c r="AI27" s="133" t="s">
        <v>244</v>
      </c>
      <c r="AJ27" s="132" t="str">
        <f t="shared" si="10"/>
        <v>..</v>
      </c>
      <c r="AK27" s="133" t="str">
        <f t="shared" si="11"/>
        <v>..</v>
      </c>
      <c r="AL27" s="133"/>
      <c r="AM27" s="133"/>
      <c r="AN27" s="129" t="str">
        <f t="shared" si="12"/>
        <v>..</v>
      </c>
      <c r="AO27" s="129" t="str">
        <f t="shared" si="13"/>
        <v>..</v>
      </c>
      <c r="AP27" s="129" t="s">
        <v>244</v>
      </c>
      <c r="AQ27" s="133" t="str">
        <f t="shared" si="14"/>
        <v>..</v>
      </c>
      <c r="AR27" s="129" t="s">
        <v>244</v>
      </c>
      <c r="AS27" s="133" t="str">
        <f t="shared" si="15"/>
        <v>..</v>
      </c>
      <c r="AT27" s="133">
        <f t="shared" si="16"/>
        <v>86.927628029911787</v>
      </c>
      <c r="AU27" s="133" t="str">
        <f t="shared" si="17"/>
        <v>0</v>
      </c>
      <c r="AV27" s="133" t="str">
        <f t="shared" si="18"/>
        <v>0</v>
      </c>
      <c r="AW27" s="133" t="str">
        <f t="shared" si="19"/>
        <v>0</v>
      </c>
      <c r="AX27" s="133" t="str">
        <f t="shared" si="20"/>
        <v>0</v>
      </c>
      <c r="AY27" s="133">
        <f t="shared" si="21"/>
        <v>86.927628029911787</v>
      </c>
      <c r="AZ27" s="133">
        <f t="shared" si="22"/>
        <v>6.5260982004438279</v>
      </c>
      <c r="BA27" s="133">
        <f t="shared" si="23"/>
        <v>86.927628029911787</v>
      </c>
      <c r="BB27" s="133">
        <f t="shared" si="24"/>
        <v>6.5260982004438279</v>
      </c>
      <c r="BC27" s="219"/>
      <c r="BD27" s="135">
        <v>8.83</v>
      </c>
      <c r="BE27" s="135">
        <v>19.48648</v>
      </c>
    </row>
    <row r="28" spans="1:57" s="135" customFormat="1" ht="15.75">
      <c r="A28" s="123" t="s">
        <v>49</v>
      </c>
      <c r="B28" s="124" t="s">
        <v>244</v>
      </c>
      <c r="C28" s="125" t="s">
        <v>23</v>
      </c>
      <c r="D28" s="126"/>
      <c r="E28" s="127">
        <v>21.8</v>
      </c>
      <c r="F28" s="127"/>
      <c r="G28" s="127"/>
      <c r="H28" s="128">
        <v>31.81</v>
      </c>
      <c r="I28" s="129">
        <v>29.45</v>
      </c>
      <c r="J28" s="129" t="s">
        <v>244</v>
      </c>
      <c r="K28" s="129" t="s">
        <v>244</v>
      </c>
      <c r="L28" s="129" t="str">
        <f t="shared" si="0"/>
        <v>..</v>
      </c>
      <c r="M28" s="130" t="s">
        <v>244</v>
      </c>
      <c r="N28" s="129"/>
      <c r="O28" s="129"/>
      <c r="P28" s="129"/>
      <c r="Q28" s="131" t="str">
        <f t="shared" si="1"/>
        <v>..</v>
      </c>
      <c r="R28" s="129" t="str">
        <f t="shared" si="2"/>
        <v>..</v>
      </c>
      <c r="S28" s="129"/>
      <c r="T28" s="129"/>
      <c r="U28" s="129" t="str">
        <f t="shared" si="3"/>
        <v>..</v>
      </c>
      <c r="V28" s="129" t="str">
        <f t="shared" si="4"/>
        <v>..</v>
      </c>
      <c r="W28" s="129"/>
      <c r="X28" s="129"/>
      <c r="Y28" s="132" t="str">
        <f t="shared" si="5"/>
        <v>..</v>
      </c>
      <c r="Z28" s="133" t="str">
        <f t="shared" si="6"/>
        <v>..</v>
      </c>
      <c r="AA28" s="134"/>
      <c r="AB28" s="134"/>
      <c r="AC28" s="134" t="str">
        <f t="shared" si="7"/>
        <v>..</v>
      </c>
      <c r="AD28" s="132">
        <v>5.4112685893711432E-2</v>
      </c>
      <c r="AE28" s="132">
        <f t="shared" si="8"/>
        <v>7.9355749954115609E-2</v>
      </c>
      <c r="AF28" s="132">
        <v>0.23993100633575623</v>
      </c>
      <c r="AG28" s="133">
        <f t="shared" si="9"/>
        <v>149.64496865161118</v>
      </c>
      <c r="AH28" s="129" t="s">
        <v>244</v>
      </c>
      <c r="AI28" s="133" t="s">
        <v>244</v>
      </c>
      <c r="AJ28" s="132" t="str">
        <f t="shared" si="10"/>
        <v>..</v>
      </c>
      <c r="AK28" s="133" t="str">
        <f t="shared" si="11"/>
        <v>..</v>
      </c>
      <c r="AL28" s="133"/>
      <c r="AM28" s="133"/>
      <c r="AN28" s="129" t="str">
        <f t="shared" si="12"/>
        <v>..</v>
      </c>
      <c r="AO28" s="129" t="str">
        <f t="shared" si="13"/>
        <v>..</v>
      </c>
      <c r="AP28" s="129" t="s">
        <v>244</v>
      </c>
      <c r="AQ28" s="133" t="str">
        <f t="shared" si="14"/>
        <v>..</v>
      </c>
      <c r="AR28" s="129" t="s">
        <v>244</v>
      </c>
      <c r="AS28" s="133" t="str">
        <f t="shared" si="15"/>
        <v>..</v>
      </c>
      <c r="AT28" s="133">
        <f t="shared" si="16"/>
        <v>149.64496865161118</v>
      </c>
      <c r="AU28" s="133" t="str">
        <f t="shared" si="17"/>
        <v>0</v>
      </c>
      <c r="AV28" s="133" t="str">
        <f t="shared" si="18"/>
        <v>0</v>
      </c>
      <c r="AW28" s="133" t="str">
        <f t="shared" si="19"/>
        <v>0</v>
      </c>
      <c r="AX28" s="133" t="str">
        <f t="shared" si="20"/>
        <v>0</v>
      </c>
      <c r="AY28" s="133">
        <f t="shared" si="21"/>
        <v>149.64496865161118</v>
      </c>
      <c r="AZ28" s="133">
        <f t="shared" si="22"/>
        <v>11.234607256126965</v>
      </c>
      <c r="BA28" s="133">
        <f t="shared" si="23"/>
        <v>149.64496865161118</v>
      </c>
      <c r="BB28" s="133">
        <f t="shared" si="24"/>
        <v>11.234607256126965</v>
      </c>
      <c r="BC28" s="219"/>
      <c r="BD28" s="135">
        <v>8.59</v>
      </c>
      <c r="BE28" s="135">
        <v>40.781910000000003</v>
      </c>
    </row>
    <row r="29" spans="1:57" s="135" customFormat="1" ht="15.75">
      <c r="A29" s="123" t="s">
        <v>50</v>
      </c>
      <c r="B29" s="124" t="s">
        <v>244</v>
      </c>
      <c r="C29" s="125" t="s">
        <v>24</v>
      </c>
      <c r="D29" s="126"/>
      <c r="E29" s="127">
        <v>21.8</v>
      </c>
      <c r="F29" s="127"/>
      <c r="G29" s="127"/>
      <c r="H29" s="128">
        <v>28.25</v>
      </c>
      <c r="I29" s="129">
        <v>27.27</v>
      </c>
      <c r="J29" s="129" t="s">
        <v>244</v>
      </c>
      <c r="K29" s="129" t="s">
        <v>244</v>
      </c>
      <c r="L29" s="129" t="str">
        <f t="shared" si="0"/>
        <v>..</v>
      </c>
      <c r="M29" s="130" t="s">
        <v>244</v>
      </c>
      <c r="N29" s="129"/>
      <c r="O29" s="129"/>
      <c r="P29" s="129"/>
      <c r="Q29" s="131" t="str">
        <f t="shared" si="1"/>
        <v>..</v>
      </c>
      <c r="R29" s="129" t="str">
        <f t="shared" si="2"/>
        <v>..</v>
      </c>
      <c r="S29" s="129"/>
      <c r="T29" s="129"/>
      <c r="U29" s="129" t="str">
        <f t="shared" si="3"/>
        <v>..</v>
      </c>
      <c r="V29" s="129" t="str">
        <f t="shared" si="4"/>
        <v>..</v>
      </c>
      <c r="W29" s="129"/>
      <c r="X29" s="129"/>
      <c r="Y29" s="132" t="str">
        <f t="shared" si="5"/>
        <v>..</v>
      </c>
      <c r="Z29" s="133" t="str">
        <f t="shared" si="6"/>
        <v>..</v>
      </c>
      <c r="AA29" s="134"/>
      <c r="AB29" s="134"/>
      <c r="AC29" s="134" t="str">
        <f t="shared" si="7"/>
        <v>..</v>
      </c>
      <c r="AD29" s="132">
        <v>1.4990208816687008E-2</v>
      </c>
      <c r="AE29" s="132">
        <f t="shared" si="8"/>
        <v>2.0892277096427884E-2</v>
      </c>
      <c r="AF29" s="132">
        <v>3.3696354803271544E-2</v>
      </c>
      <c r="AG29" s="133">
        <f t="shared" si="9"/>
        <v>21.016416490800463</v>
      </c>
      <c r="AH29" s="129" t="s">
        <v>244</v>
      </c>
      <c r="AI29" s="133" t="s">
        <v>244</v>
      </c>
      <c r="AJ29" s="132" t="str">
        <f t="shared" si="10"/>
        <v>..</v>
      </c>
      <c r="AK29" s="133" t="str">
        <f t="shared" si="11"/>
        <v>..</v>
      </c>
      <c r="AL29" s="133"/>
      <c r="AM29" s="133"/>
      <c r="AN29" s="129" t="str">
        <f t="shared" si="12"/>
        <v>..</v>
      </c>
      <c r="AO29" s="129" t="str">
        <f t="shared" si="13"/>
        <v>..</v>
      </c>
      <c r="AP29" s="129" t="s">
        <v>244</v>
      </c>
      <c r="AQ29" s="133" t="str">
        <f t="shared" si="14"/>
        <v>..</v>
      </c>
      <c r="AR29" s="129" t="s">
        <v>244</v>
      </c>
      <c r="AS29" s="133" t="str">
        <f t="shared" si="15"/>
        <v>..</v>
      </c>
      <c r="AT29" s="133">
        <f t="shared" si="16"/>
        <v>21.016416490800463</v>
      </c>
      <c r="AU29" s="133" t="str">
        <f t="shared" si="17"/>
        <v>0</v>
      </c>
      <c r="AV29" s="133" t="str">
        <f t="shared" si="18"/>
        <v>0</v>
      </c>
      <c r="AW29" s="133" t="str">
        <f t="shared" si="19"/>
        <v>0</v>
      </c>
      <c r="AX29" s="133" t="str">
        <f t="shared" si="20"/>
        <v>0</v>
      </c>
      <c r="AY29" s="133">
        <f t="shared" si="21"/>
        <v>21.016416490800463</v>
      </c>
      <c r="AZ29" s="133">
        <f t="shared" si="22"/>
        <v>1.5778090458558904</v>
      </c>
      <c r="BA29" s="133">
        <f t="shared" si="23"/>
        <v>21.016416490800463</v>
      </c>
      <c r="BB29" s="133">
        <f t="shared" si="24"/>
        <v>1.5778090458558904</v>
      </c>
      <c r="BC29" s="219"/>
      <c r="BD29" s="135">
        <v>8.92</v>
      </c>
      <c r="BE29" s="135">
        <v>14.29585</v>
      </c>
    </row>
    <row r="30" spans="1:57" s="135" customFormat="1" ht="15.75">
      <c r="A30" s="123" t="s">
        <v>51</v>
      </c>
      <c r="B30" s="124" t="s">
        <v>244</v>
      </c>
      <c r="C30" s="125" t="s">
        <v>25</v>
      </c>
      <c r="D30" s="126"/>
      <c r="E30" s="127">
        <v>21.8</v>
      </c>
      <c r="F30" s="127"/>
      <c r="G30" s="127"/>
      <c r="H30" s="128">
        <v>33.75</v>
      </c>
      <c r="I30" s="129">
        <v>31.99</v>
      </c>
      <c r="J30" s="129" t="s">
        <v>244</v>
      </c>
      <c r="K30" s="129" t="s">
        <v>244</v>
      </c>
      <c r="L30" s="129" t="str">
        <f t="shared" si="0"/>
        <v>..</v>
      </c>
      <c r="M30" s="130" t="s">
        <v>244</v>
      </c>
      <c r="N30" s="129"/>
      <c r="O30" s="129"/>
      <c r="P30" s="129"/>
      <c r="Q30" s="131" t="str">
        <f t="shared" si="1"/>
        <v>..</v>
      </c>
      <c r="R30" s="129" t="str">
        <f t="shared" si="2"/>
        <v>..</v>
      </c>
      <c r="S30" s="129"/>
      <c r="T30" s="129"/>
      <c r="U30" s="129" t="str">
        <f t="shared" si="3"/>
        <v>..</v>
      </c>
      <c r="V30" s="129" t="str">
        <f t="shared" si="4"/>
        <v>..</v>
      </c>
      <c r="W30" s="129"/>
      <c r="X30" s="129"/>
      <c r="Y30" s="132" t="str">
        <f t="shared" si="5"/>
        <v>..</v>
      </c>
      <c r="Z30" s="133" t="str">
        <f t="shared" si="6"/>
        <v>..</v>
      </c>
      <c r="AA30" s="134"/>
      <c r="AB30" s="134"/>
      <c r="AC30" s="134" t="str">
        <f t="shared" si="7"/>
        <v>..</v>
      </c>
      <c r="AD30" s="132">
        <v>1.4676892918209046E-2</v>
      </c>
      <c r="AE30" s="132">
        <f t="shared" si="8"/>
        <v>2.2153800631258939E-2</v>
      </c>
      <c r="AF30" s="132">
        <v>3.9073784080498372E-2</v>
      </c>
      <c r="AG30" s="133">
        <f t="shared" si="9"/>
        <v>24.370319131006838</v>
      </c>
      <c r="AH30" s="129" t="s">
        <v>244</v>
      </c>
      <c r="AI30" s="133" t="s">
        <v>244</v>
      </c>
      <c r="AJ30" s="132" t="str">
        <f t="shared" si="10"/>
        <v>..</v>
      </c>
      <c r="AK30" s="133" t="str">
        <f t="shared" si="11"/>
        <v>..</v>
      </c>
      <c r="AL30" s="133"/>
      <c r="AM30" s="133"/>
      <c r="AN30" s="129" t="str">
        <f t="shared" si="12"/>
        <v>..</v>
      </c>
      <c r="AO30" s="129" t="str">
        <f t="shared" si="13"/>
        <v>..</v>
      </c>
      <c r="AP30" s="129" t="s">
        <v>244</v>
      </c>
      <c r="AQ30" s="133" t="str">
        <f t="shared" si="14"/>
        <v>..</v>
      </c>
      <c r="AR30" s="129" t="s">
        <v>244</v>
      </c>
      <c r="AS30" s="133" t="str">
        <f t="shared" si="15"/>
        <v>..</v>
      </c>
      <c r="AT30" s="133">
        <f t="shared" si="16"/>
        <v>24.370319131006838</v>
      </c>
      <c r="AU30" s="133" t="str">
        <f t="shared" si="17"/>
        <v>0</v>
      </c>
      <c r="AV30" s="133" t="str">
        <f t="shared" si="18"/>
        <v>0</v>
      </c>
      <c r="AW30" s="133" t="str">
        <f t="shared" si="19"/>
        <v>0</v>
      </c>
      <c r="AX30" s="133" t="str">
        <f t="shared" si="20"/>
        <v>0</v>
      </c>
      <c r="AY30" s="133">
        <f t="shared" si="21"/>
        <v>24.370319131006838</v>
      </c>
      <c r="AZ30" s="133">
        <f t="shared" si="22"/>
        <v>1.8296035383638767</v>
      </c>
      <c r="BA30" s="133">
        <f t="shared" si="23"/>
        <v>24.370319131006838</v>
      </c>
      <c r="BB30" s="133">
        <f t="shared" si="24"/>
        <v>1.8296035383638767</v>
      </c>
      <c r="BC30" s="219"/>
      <c r="BD30" s="135">
        <v>8.9700000000000006</v>
      </c>
      <c r="BE30" s="135">
        <v>14.06888</v>
      </c>
    </row>
    <row r="31" spans="1:57" s="135" customFormat="1" ht="15.75">
      <c r="A31" s="123" t="s">
        <v>52</v>
      </c>
      <c r="B31" s="124" t="s">
        <v>244</v>
      </c>
      <c r="C31" s="125" t="s">
        <v>26</v>
      </c>
      <c r="D31" s="126"/>
      <c r="E31" s="127">
        <v>21.8</v>
      </c>
      <c r="F31" s="127"/>
      <c r="G31" s="127"/>
      <c r="H31" s="128">
        <v>32.299999999999997</v>
      </c>
      <c r="I31" s="129">
        <v>31.37</v>
      </c>
      <c r="J31" s="129" t="s">
        <v>244</v>
      </c>
      <c r="K31" s="129" t="s">
        <v>244</v>
      </c>
      <c r="L31" s="129" t="str">
        <f t="shared" si="0"/>
        <v>..</v>
      </c>
      <c r="M31" s="130" t="s">
        <v>244</v>
      </c>
      <c r="N31" s="129"/>
      <c r="O31" s="129"/>
      <c r="P31" s="129"/>
      <c r="Q31" s="131" t="str">
        <f t="shared" si="1"/>
        <v>..</v>
      </c>
      <c r="R31" s="129" t="str">
        <f t="shared" si="2"/>
        <v>..</v>
      </c>
      <c r="S31" s="129"/>
      <c r="T31" s="129"/>
      <c r="U31" s="129" t="str">
        <f t="shared" si="3"/>
        <v>..</v>
      </c>
      <c r="V31" s="129" t="str">
        <f t="shared" si="4"/>
        <v>..</v>
      </c>
      <c r="W31" s="129"/>
      <c r="X31" s="129"/>
      <c r="Y31" s="132" t="str">
        <f t="shared" si="5"/>
        <v>..</v>
      </c>
      <c r="Z31" s="133" t="str">
        <f t="shared" si="6"/>
        <v>..</v>
      </c>
      <c r="AA31" s="134"/>
      <c r="AB31" s="134"/>
      <c r="AC31" s="134" t="str">
        <f t="shared" si="7"/>
        <v>..</v>
      </c>
      <c r="AD31" s="132">
        <v>4.5223196073825907E-3</v>
      </c>
      <c r="AE31" s="132">
        <f t="shared" si="8"/>
        <v>6.679940335867933E-3</v>
      </c>
      <c r="AF31" s="132">
        <v>3.7024357721679606E-2</v>
      </c>
      <c r="AG31" s="133">
        <f t="shared" si="9"/>
        <v>23.092091911011572</v>
      </c>
      <c r="AH31" s="129" t="s">
        <v>244</v>
      </c>
      <c r="AI31" s="133" t="s">
        <v>244</v>
      </c>
      <c r="AJ31" s="132" t="str">
        <f t="shared" si="10"/>
        <v>..</v>
      </c>
      <c r="AK31" s="133" t="str">
        <f t="shared" si="11"/>
        <v>..</v>
      </c>
      <c r="AL31" s="133"/>
      <c r="AM31" s="133"/>
      <c r="AN31" s="129" t="str">
        <f t="shared" si="12"/>
        <v>..</v>
      </c>
      <c r="AO31" s="129" t="str">
        <f t="shared" si="13"/>
        <v>..</v>
      </c>
      <c r="AP31" s="129" t="s">
        <v>244</v>
      </c>
      <c r="AQ31" s="133" t="str">
        <f t="shared" si="14"/>
        <v>..</v>
      </c>
      <c r="AR31" s="129" t="s">
        <v>244</v>
      </c>
      <c r="AS31" s="133" t="str">
        <f t="shared" si="15"/>
        <v>..</v>
      </c>
      <c r="AT31" s="133">
        <f t="shared" si="16"/>
        <v>23.092091911011572</v>
      </c>
      <c r="AU31" s="133" t="str">
        <f t="shared" si="17"/>
        <v>0</v>
      </c>
      <c r="AV31" s="133" t="str">
        <f t="shared" si="18"/>
        <v>0</v>
      </c>
      <c r="AW31" s="133" t="str">
        <f t="shared" si="19"/>
        <v>0</v>
      </c>
      <c r="AX31" s="133" t="str">
        <f t="shared" si="20"/>
        <v>0</v>
      </c>
      <c r="AY31" s="133">
        <f t="shared" si="21"/>
        <v>23.092091911011572</v>
      </c>
      <c r="AZ31" s="133">
        <f t="shared" si="22"/>
        <v>1.7336405338597276</v>
      </c>
      <c r="BA31" s="133">
        <f t="shared" si="23"/>
        <v>23.092091911011572</v>
      </c>
      <c r="BB31" s="133">
        <f t="shared" si="24"/>
        <v>1.7336405338597276</v>
      </c>
      <c r="BC31" s="219"/>
      <c r="BD31" s="135">
        <v>9.14</v>
      </c>
      <c r="BE31" s="135">
        <v>10.930809999999999</v>
      </c>
    </row>
    <row r="32" spans="1:57" s="135" customFormat="1" ht="15.75">
      <c r="A32" s="123" t="s">
        <v>53</v>
      </c>
      <c r="B32" s="124" t="s">
        <v>244</v>
      </c>
      <c r="C32" s="125" t="s">
        <v>27</v>
      </c>
      <c r="D32" s="126"/>
      <c r="E32" s="127">
        <v>21.8</v>
      </c>
      <c r="F32" s="127"/>
      <c r="G32" s="127"/>
      <c r="H32" s="128">
        <v>27.99</v>
      </c>
      <c r="I32" s="129">
        <v>24.57</v>
      </c>
      <c r="J32" s="129" t="s">
        <v>244</v>
      </c>
      <c r="K32" s="129" t="s">
        <v>244</v>
      </c>
      <c r="L32" s="129" t="str">
        <f t="shared" si="0"/>
        <v>..</v>
      </c>
      <c r="M32" s="130" t="s">
        <v>244</v>
      </c>
      <c r="N32" s="129"/>
      <c r="O32" s="129"/>
      <c r="P32" s="129"/>
      <c r="Q32" s="131" t="str">
        <f t="shared" si="1"/>
        <v>..</v>
      </c>
      <c r="R32" s="129" t="str">
        <f t="shared" si="2"/>
        <v>..</v>
      </c>
      <c r="S32" s="129"/>
      <c r="T32" s="129"/>
      <c r="U32" s="129" t="str">
        <f t="shared" si="3"/>
        <v>..</v>
      </c>
      <c r="V32" s="129" t="str">
        <f t="shared" si="4"/>
        <v>..</v>
      </c>
      <c r="W32" s="129"/>
      <c r="X32" s="129"/>
      <c r="Y32" s="132" t="str">
        <f t="shared" si="5"/>
        <v>..</v>
      </c>
      <c r="Z32" s="133" t="str">
        <f t="shared" si="6"/>
        <v>..</v>
      </c>
      <c r="AA32" s="134"/>
      <c r="AB32" s="134"/>
      <c r="AC32" s="134" t="str">
        <f t="shared" si="7"/>
        <v>..</v>
      </c>
      <c r="AD32" s="132">
        <v>5.5859968155964106E-2</v>
      </c>
      <c r="AE32" s="132">
        <f t="shared" si="8"/>
        <v>7.7572515145068882E-2</v>
      </c>
      <c r="AF32" s="132">
        <v>0.64378220972256894</v>
      </c>
      <c r="AG32" s="133">
        <f t="shared" si="9"/>
        <v>401.52696420396626</v>
      </c>
      <c r="AH32" s="129" t="s">
        <v>244</v>
      </c>
      <c r="AI32" s="133" t="s">
        <v>244</v>
      </c>
      <c r="AJ32" s="132" t="str">
        <f t="shared" si="10"/>
        <v>..</v>
      </c>
      <c r="AK32" s="133" t="str">
        <f t="shared" si="11"/>
        <v>..</v>
      </c>
      <c r="AL32" s="133"/>
      <c r="AM32" s="133"/>
      <c r="AN32" s="129" t="str">
        <f t="shared" si="12"/>
        <v>..</v>
      </c>
      <c r="AO32" s="129" t="str">
        <f t="shared" si="13"/>
        <v>..</v>
      </c>
      <c r="AP32" s="129" t="s">
        <v>244</v>
      </c>
      <c r="AQ32" s="133" t="str">
        <f t="shared" si="14"/>
        <v>..</v>
      </c>
      <c r="AR32" s="129" t="s">
        <v>244</v>
      </c>
      <c r="AS32" s="133" t="str">
        <f t="shared" si="15"/>
        <v>..</v>
      </c>
      <c r="AT32" s="133">
        <f t="shared" si="16"/>
        <v>401.52696420396626</v>
      </c>
      <c r="AU32" s="133" t="str">
        <f t="shared" si="17"/>
        <v>0</v>
      </c>
      <c r="AV32" s="133" t="str">
        <f t="shared" si="18"/>
        <v>0</v>
      </c>
      <c r="AW32" s="133" t="str">
        <f t="shared" si="19"/>
        <v>0</v>
      </c>
      <c r="AX32" s="133" t="str">
        <f t="shared" si="20"/>
        <v>0</v>
      </c>
      <c r="AY32" s="133">
        <f t="shared" si="21"/>
        <v>401.52696420396626</v>
      </c>
      <c r="AZ32" s="133">
        <f t="shared" si="22"/>
        <v>30.144666982279748</v>
      </c>
      <c r="BA32" s="133">
        <f t="shared" si="23"/>
        <v>401.52696420396626</v>
      </c>
      <c r="BB32" s="133">
        <f t="shared" si="24"/>
        <v>30.144666982279748</v>
      </c>
      <c r="BC32" s="219"/>
      <c r="BD32" s="135">
        <v>8.25</v>
      </c>
      <c r="BE32" s="135">
        <v>72.65598</v>
      </c>
    </row>
    <row r="33" spans="1:57" s="135" customFormat="1" ht="15.75">
      <c r="A33" s="123" t="s">
        <v>54</v>
      </c>
      <c r="B33" s="124" t="s">
        <v>244</v>
      </c>
      <c r="C33" s="125" t="s">
        <v>28</v>
      </c>
      <c r="D33" s="126"/>
      <c r="E33" s="127">
        <v>21.8</v>
      </c>
      <c r="F33" s="127"/>
      <c r="G33" s="127"/>
      <c r="H33" s="128">
        <v>30.42</v>
      </c>
      <c r="I33" s="129">
        <v>28.54</v>
      </c>
      <c r="J33" s="129" t="s">
        <v>244</v>
      </c>
      <c r="K33" s="129" t="s">
        <v>244</v>
      </c>
      <c r="L33" s="129" t="str">
        <f t="shared" si="0"/>
        <v>..</v>
      </c>
      <c r="M33" s="130" t="s">
        <v>244</v>
      </c>
      <c r="N33" s="129"/>
      <c r="O33" s="129"/>
      <c r="P33" s="129"/>
      <c r="Q33" s="131" t="str">
        <f t="shared" si="1"/>
        <v>..</v>
      </c>
      <c r="R33" s="129" t="str">
        <f t="shared" si="2"/>
        <v>..</v>
      </c>
      <c r="S33" s="129"/>
      <c r="T33" s="129"/>
      <c r="U33" s="129" t="str">
        <f t="shared" si="3"/>
        <v>..</v>
      </c>
      <c r="V33" s="129" t="str">
        <f t="shared" si="4"/>
        <v>..</v>
      </c>
      <c r="W33" s="129"/>
      <c r="X33" s="129"/>
      <c r="Y33" s="132" t="str">
        <f t="shared" si="5"/>
        <v>..</v>
      </c>
      <c r="Z33" s="133" t="str">
        <f t="shared" si="6"/>
        <v>..</v>
      </c>
      <c r="AA33" s="134"/>
      <c r="AB33" s="134"/>
      <c r="AC33" s="134" t="str">
        <f t="shared" si="7"/>
        <v>..</v>
      </c>
      <c r="AD33" s="132">
        <v>3.5141029743546451E-2</v>
      </c>
      <c r="AE33" s="132">
        <f t="shared" si="8"/>
        <v>5.0504498050512291E-2</v>
      </c>
      <c r="AF33" s="132">
        <v>0.17188783412777789</v>
      </c>
      <c r="AG33" s="133">
        <f t="shared" si="9"/>
        <v>107.20644214549507</v>
      </c>
      <c r="AH33" s="129" t="s">
        <v>244</v>
      </c>
      <c r="AI33" s="133" t="s">
        <v>244</v>
      </c>
      <c r="AJ33" s="132" t="str">
        <f t="shared" si="10"/>
        <v>..</v>
      </c>
      <c r="AK33" s="133" t="str">
        <f t="shared" si="11"/>
        <v>..</v>
      </c>
      <c r="AL33" s="133"/>
      <c r="AM33" s="133"/>
      <c r="AN33" s="129" t="str">
        <f t="shared" si="12"/>
        <v>..</v>
      </c>
      <c r="AO33" s="129" t="str">
        <f t="shared" si="13"/>
        <v>..</v>
      </c>
      <c r="AP33" s="129" t="s">
        <v>244</v>
      </c>
      <c r="AQ33" s="133" t="str">
        <f t="shared" si="14"/>
        <v>..</v>
      </c>
      <c r="AR33" s="129" t="s">
        <v>244</v>
      </c>
      <c r="AS33" s="133" t="str">
        <f t="shared" si="15"/>
        <v>..</v>
      </c>
      <c r="AT33" s="133">
        <f t="shared" si="16"/>
        <v>107.20644214549507</v>
      </c>
      <c r="AU33" s="133" t="str">
        <f t="shared" si="17"/>
        <v>0</v>
      </c>
      <c r="AV33" s="133" t="str">
        <f t="shared" si="18"/>
        <v>0</v>
      </c>
      <c r="AW33" s="133" t="str">
        <f t="shared" si="19"/>
        <v>0</v>
      </c>
      <c r="AX33" s="133" t="str">
        <f t="shared" si="20"/>
        <v>0</v>
      </c>
      <c r="AY33" s="133">
        <f t="shared" si="21"/>
        <v>107.20644214549507</v>
      </c>
      <c r="AZ33" s="133">
        <f t="shared" si="22"/>
        <v>8.048531692604735</v>
      </c>
      <c r="BA33" s="133">
        <f t="shared" si="23"/>
        <v>107.20644214549507</v>
      </c>
      <c r="BB33" s="133">
        <f t="shared" si="24"/>
        <v>8.048531692604735</v>
      </c>
      <c r="BC33" s="219"/>
      <c r="BD33" s="135">
        <v>8.5299999999999994</v>
      </c>
      <c r="BE33" s="135">
        <v>17.049049999999998</v>
      </c>
    </row>
    <row r="34" spans="1:57" s="135" customFormat="1" ht="15.75">
      <c r="A34" s="123" t="s">
        <v>55</v>
      </c>
      <c r="B34" s="124" t="s">
        <v>244</v>
      </c>
      <c r="C34" s="125" t="s">
        <v>29</v>
      </c>
      <c r="D34" s="126"/>
      <c r="E34" s="127">
        <v>21.8</v>
      </c>
      <c r="F34" s="127"/>
      <c r="G34" s="127"/>
      <c r="H34" s="128">
        <v>29.86</v>
      </c>
      <c r="I34" s="129">
        <v>28.57</v>
      </c>
      <c r="J34" s="129" t="s">
        <v>244</v>
      </c>
      <c r="K34" s="129" t="s">
        <v>244</v>
      </c>
      <c r="L34" s="129" t="str">
        <f t="shared" si="0"/>
        <v>..</v>
      </c>
      <c r="M34" s="130" t="s">
        <v>244</v>
      </c>
      <c r="N34" s="129"/>
      <c r="O34" s="129"/>
      <c r="P34" s="129"/>
      <c r="Q34" s="131" t="str">
        <f t="shared" si="1"/>
        <v>..</v>
      </c>
      <c r="R34" s="129" t="str">
        <f t="shared" si="2"/>
        <v>..</v>
      </c>
      <c r="S34" s="129"/>
      <c r="T34" s="129"/>
      <c r="U34" s="129" t="str">
        <f t="shared" si="3"/>
        <v>..</v>
      </c>
      <c r="V34" s="129" t="str">
        <f t="shared" si="4"/>
        <v>..</v>
      </c>
      <c r="W34" s="129"/>
      <c r="X34" s="129"/>
      <c r="Y34" s="132" t="str">
        <f t="shared" si="5"/>
        <v>..</v>
      </c>
      <c r="Z34" s="133" t="str">
        <f t="shared" si="6"/>
        <v>..</v>
      </c>
      <c r="AA34" s="134"/>
      <c r="AB34" s="134"/>
      <c r="AC34" s="134" t="str">
        <f t="shared" si="7"/>
        <v>..</v>
      </c>
      <c r="AD34" s="132">
        <v>3.3109262627651771E-2</v>
      </c>
      <c r="AE34" s="132">
        <f t="shared" si="8"/>
        <v>4.7204537535859382E-2</v>
      </c>
      <c r="AF34" s="132">
        <v>0.65430073851667558</v>
      </c>
      <c r="AG34" s="133">
        <f t="shared" si="9"/>
        <v>408.08737061285058</v>
      </c>
      <c r="AH34" s="129" t="s">
        <v>244</v>
      </c>
      <c r="AI34" s="133" t="s">
        <v>244</v>
      </c>
      <c r="AJ34" s="132" t="str">
        <f t="shared" si="10"/>
        <v>..</v>
      </c>
      <c r="AK34" s="133" t="str">
        <f t="shared" si="11"/>
        <v>..</v>
      </c>
      <c r="AL34" s="133"/>
      <c r="AM34" s="133"/>
      <c r="AN34" s="129" t="str">
        <f t="shared" si="12"/>
        <v>..</v>
      </c>
      <c r="AO34" s="129" t="str">
        <f t="shared" si="13"/>
        <v>..</v>
      </c>
      <c r="AP34" s="129" t="s">
        <v>244</v>
      </c>
      <c r="AQ34" s="133" t="str">
        <f t="shared" si="14"/>
        <v>..</v>
      </c>
      <c r="AR34" s="129" t="s">
        <v>244</v>
      </c>
      <c r="AS34" s="133" t="str">
        <f t="shared" si="15"/>
        <v>..</v>
      </c>
      <c r="AT34" s="133">
        <f t="shared" si="16"/>
        <v>408.08737061285058</v>
      </c>
      <c r="AU34" s="133" t="str">
        <f t="shared" si="17"/>
        <v>0</v>
      </c>
      <c r="AV34" s="133" t="str">
        <f t="shared" si="18"/>
        <v>0</v>
      </c>
      <c r="AW34" s="133" t="str">
        <f t="shared" si="19"/>
        <v>0</v>
      </c>
      <c r="AX34" s="133" t="str">
        <f t="shared" si="20"/>
        <v>0</v>
      </c>
      <c r="AY34" s="133">
        <f t="shared" si="21"/>
        <v>408.08737061285058</v>
      </c>
      <c r="AZ34" s="133">
        <f t="shared" si="22"/>
        <v>30.637189985949739</v>
      </c>
      <c r="BA34" s="133">
        <f t="shared" si="23"/>
        <v>408.08737061285058</v>
      </c>
      <c r="BB34" s="133">
        <f t="shared" si="24"/>
        <v>30.637189985949739</v>
      </c>
      <c r="BC34" s="219"/>
      <c r="BD34" s="135">
        <v>8.3699999999999992</v>
      </c>
      <c r="BE34" s="135">
        <v>20.848290000000002</v>
      </c>
    </row>
    <row r="35" spans="1:57" s="135" customFormat="1" ht="15.75">
      <c r="A35" s="123" t="s">
        <v>56</v>
      </c>
      <c r="B35" s="124" t="s">
        <v>244</v>
      </c>
      <c r="C35" s="125" t="s">
        <v>30</v>
      </c>
      <c r="D35" s="126"/>
      <c r="E35" s="127">
        <v>21.8</v>
      </c>
      <c r="F35" s="127"/>
      <c r="G35" s="127"/>
      <c r="H35" s="128">
        <v>32.31</v>
      </c>
      <c r="I35" s="129">
        <v>30.47</v>
      </c>
      <c r="J35" s="129" t="s">
        <v>244</v>
      </c>
      <c r="K35" s="129" t="s">
        <v>244</v>
      </c>
      <c r="L35" s="129" t="str">
        <f t="shared" si="0"/>
        <v>..</v>
      </c>
      <c r="M35" s="130" t="s">
        <v>244</v>
      </c>
      <c r="N35" s="129"/>
      <c r="O35" s="129"/>
      <c r="P35" s="129"/>
      <c r="Q35" s="131" t="str">
        <f t="shared" si="1"/>
        <v>..</v>
      </c>
      <c r="R35" s="129" t="str">
        <f t="shared" si="2"/>
        <v>..</v>
      </c>
      <c r="S35" s="129"/>
      <c r="T35" s="129"/>
      <c r="U35" s="129" t="str">
        <f t="shared" si="3"/>
        <v>..</v>
      </c>
      <c r="V35" s="129" t="str">
        <f t="shared" si="4"/>
        <v>..</v>
      </c>
      <c r="W35" s="129"/>
      <c r="X35" s="129"/>
      <c r="Y35" s="132" t="str">
        <f t="shared" si="5"/>
        <v>..</v>
      </c>
      <c r="Z35" s="133" t="str">
        <f t="shared" si="6"/>
        <v>..</v>
      </c>
      <c r="AA35" s="134"/>
      <c r="AB35" s="134"/>
      <c r="AC35" s="134" t="str">
        <f t="shared" si="7"/>
        <v>..</v>
      </c>
      <c r="AD35" s="132">
        <v>2.518214999457892E-2</v>
      </c>
      <c r="AE35" s="132">
        <f t="shared" si="8"/>
        <v>3.7202171656934437E-2</v>
      </c>
      <c r="AF35" s="132">
        <v>0.13898758948069603</v>
      </c>
      <c r="AG35" s="133">
        <f t="shared" si="9"/>
        <v>86.686559559110123</v>
      </c>
      <c r="AH35" s="129" t="s">
        <v>244</v>
      </c>
      <c r="AI35" s="133" t="s">
        <v>244</v>
      </c>
      <c r="AJ35" s="132" t="str">
        <f t="shared" si="10"/>
        <v>..</v>
      </c>
      <c r="AK35" s="133" t="str">
        <f t="shared" si="11"/>
        <v>..</v>
      </c>
      <c r="AL35" s="133"/>
      <c r="AM35" s="133"/>
      <c r="AN35" s="129" t="str">
        <f t="shared" si="12"/>
        <v>..</v>
      </c>
      <c r="AO35" s="129" t="str">
        <f t="shared" si="13"/>
        <v>..</v>
      </c>
      <c r="AP35" s="129" t="s">
        <v>244</v>
      </c>
      <c r="AQ35" s="133" t="str">
        <f t="shared" si="14"/>
        <v>..</v>
      </c>
      <c r="AR35" s="129" t="s">
        <v>244</v>
      </c>
      <c r="AS35" s="133" t="str">
        <f t="shared" si="15"/>
        <v>..</v>
      </c>
      <c r="AT35" s="133">
        <f t="shared" si="16"/>
        <v>86.686559559110123</v>
      </c>
      <c r="AU35" s="133" t="str">
        <f t="shared" si="17"/>
        <v>0</v>
      </c>
      <c r="AV35" s="133" t="str">
        <f t="shared" si="18"/>
        <v>0</v>
      </c>
      <c r="AW35" s="133" t="str">
        <f t="shared" si="19"/>
        <v>0</v>
      </c>
      <c r="AX35" s="133" t="str">
        <f t="shared" si="20"/>
        <v>0</v>
      </c>
      <c r="AY35" s="133">
        <f t="shared" si="21"/>
        <v>86.686559559110123</v>
      </c>
      <c r="AZ35" s="133">
        <f t="shared" si="22"/>
        <v>6.5079999669001598</v>
      </c>
      <c r="BA35" s="133">
        <f t="shared" si="23"/>
        <v>86.686559559110123</v>
      </c>
      <c r="BB35" s="133">
        <f t="shared" si="24"/>
        <v>6.5079999669001598</v>
      </c>
      <c r="BC35" s="219"/>
      <c r="BD35" s="135">
        <v>8.58</v>
      </c>
      <c r="BE35" s="135">
        <v>7.9506399999999999</v>
      </c>
    </row>
    <row r="36" spans="1:57" ht="15.75">
      <c r="A36" s="136"/>
      <c r="B36" s="137"/>
      <c r="C36" s="138"/>
      <c r="D36" s="139"/>
      <c r="E36" s="140"/>
      <c r="F36" s="140"/>
      <c r="G36" s="140"/>
      <c r="H36" s="141"/>
      <c r="I36" s="141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4"/>
      <c r="Z36" s="144"/>
      <c r="AA36" s="145"/>
      <c r="AB36" s="145"/>
      <c r="AC36" s="145"/>
      <c r="AD36" s="143"/>
      <c r="AE36" s="143"/>
      <c r="AF36" s="143"/>
      <c r="AG36" s="143"/>
      <c r="AH36" s="139" t="s">
        <v>246</v>
      </c>
      <c r="AI36" s="139"/>
      <c r="AJ36" s="143"/>
      <c r="AK36" s="143"/>
      <c r="AL36" s="143"/>
      <c r="AM36" s="143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46"/>
      <c r="BA36" s="139"/>
      <c r="BB36" s="146"/>
      <c r="BC36" s="220"/>
    </row>
    <row r="37" spans="1:57">
      <c r="AA37" s="148"/>
      <c r="AB37" s="148"/>
      <c r="AC37" s="148"/>
      <c r="AL37" s="149"/>
    </row>
    <row r="38" spans="1:57" ht="20.25" customHeight="1">
      <c r="A38" s="150" t="s">
        <v>247</v>
      </c>
      <c r="B38" s="52"/>
      <c r="C38" s="46"/>
      <c r="D38" s="46"/>
      <c r="E38" s="46"/>
      <c r="F38" s="46"/>
      <c r="G38" s="46"/>
      <c r="H38" s="46"/>
      <c r="K38" s="57"/>
      <c r="L38" s="58"/>
      <c r="M38" s="58"/>
      <c r="N38" s="58"/>
      <c r="Q38" s="46"/>
      <c r="R38" s="46"/>
      <c r="S38" s="46"/>
      <c r="T38" s="46"/>
      <c r="U38" s="46"/>
      <c r="V38" s="46"/>
      <c r="X38" s="151"/>
      <c r="AD38" s="46"/>
      <c r="AE38" s="46"/>
      <c r="AG38" s="46"/>
      <c r="AH38" s="58"/>
      <c r="AI38" s="58"/>
      <c r="AJ38" s="58"/>
      <c r="AK38" s="58"/>
      <c r="AL38" s="58"/>
      <c r="AM38" s="58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152"/>
      <c r="BA38" s="152"/>
    </row>
    <row r="39" spans="1:57" s="54" customFormat="1" ht="20.25" customHeight="1">
      <c r="A39" s="1" t="s">
        <v>248</v>
      </c>
      <c r="C39" s="153"/>
      <c r="D39" s="153"/>
      <c r="E39" s="153"/>
      <c r="F39" s="153"/>
      <c r="G39" s="153"/>
      <c r="H39" s="153"/>
      <c r="K39" s="154"/>
      <c r="L39" s="155"/>
      <c r="M39" s="155"/>
      <c r="N39" s="155"/>
      <c r="Q39" s="153"/>
      <c r="R39" s="153"/>
      <c r="S39" s="153"/>
      <c r="T39" s="153"/>
      <c r="U39" s="153"/>
      <c r="V39" s="153"/>
      <c r="X39" s="156"/>
      <c r="AD39" s="153"/>
      <c r="AE39" s="153"/>
      <c r="AF39" s="157"/>
      <c r="AG39" s="153"/>
      <c r="AH39" s="155"/>
      <c r="AI39" s="155"/>
      <c r="AJ39" s="155"/>
      <c r="AK39" s="155"/>
      <c r="AL39" s="155"/>
      <c r="AM39" s="155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8"/>
      <c r="BA39" s="158"/>
    </row>
    <row r="40" spans="1:57" s="54" customFormat="1" ht="20.25" customHeight="1">
      <c r="A40" s="1" t="s">
        <v>249</v>
      </c>
      <c r="C40" s="153"/>
      <c r="D40" s="153"/>
      <c r="E40" s="153"/>
      <c r="F40" s="153"/>
      <c r="G40" s="153"/>
      <c r="H40" s="153"/>
      <c r="K40" s="154"/>
      <c r="L40" s="155"/>
      <c r="M40" s="155"/>
      <c r="N40" s="155"/>
      <c r="Q40" s="153"/>
      <c r="R40" s="153"/>
      <c r="S40" s="153"/>
      <c r="T40" s="153"/>
      <c r="U40" s="153"/>
      <c r="V40" s="153"/>
      <c r="AD40" s="153"/>
      <c r="AE40" s="153"/>
      <c r="AG40" s="153"/>
      <c r="AH40" s="159"/>
      <c r="AI40" s="155"/>
      <c r="AJ40" s="155"/>
      <c r="AK40" s="155"/>
      <c r="AL40" s="155"/>
      <c r="AM40" s="155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8"/>
      <c r="BA40" s="158"/>
    </row>
    <row r="41" spans="1:57" s="54" customFormat="1" ht="20.25" customHeight="1">
      <c r="A41" s="1" t="s">
        <v>250</v>
      </c>
      <c r="C41" s="153"/>
      <c r="D41" s="153"/>
      <c r="E41" s="153"/>
      <c r="F41" s="153"/>
      <c r="G41" s="153"/>
      <c r="H41" s="153"/>
      <c r="K41" s="154"/>
      <c r="L41" s="155"/>
      <c r="M41" s="155"/>
      <c r="N41" s="155"/>
      <c r="Q41" s="153"/>
      <c r="R41" s="153"/>
      <c r="S41" s="153"/>
      <c r="T41" s="153"/>
      <c r="U41" s="153"/>
      <c r="V41" s="153"/>
      <c r="AD41" s="153"/>
      <c r="AE41" s="153"/>
      <c r="AG41" s="153"/>
      <c r="AH41" s="155"/>
      <c r="AI41" s="155"/>
      <c r="AJ41" s="155"/>
      <c r="AK41" s="155"/>
      <c r="AL41" s="155"/>
      <c r="AM41" s="155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8"/>
      <c r="BA41" s="158"/>
    </row>
    <row r="42" spans="1:57" s="54" customFormat="1" ht="20.25" customHeight="1">
      <c r="A42" s="1" t="s">
        <v>251</v>
      </c>
      <c r="C42" s="1"/>
      <c r="D42" s="1"/>
      <c r="E42" s="53"/>
      <c r="F42" s="53"/>
      <c r="G42" s="53"/>
      <c r="H42" s="53"/>
      <c r="K42" s="154"/>
      <c r="L42" s="155"/>
      <c r="M42" s="155"/>
      <c r="N42" s="155"/>
      <c r="O42" s="160"/>
      <c r="P42" s="160"/>
      <c r="Q42" s="53"/>
      <c r="R42" s="53"/>
      <c r="S42" s="53"/>
      <c r="T42" s="53"/>
      <c r="U42" s="53"/>
      <c r="V42" s="53"/>
      <c r="W42" s="160"/>
      <c r="X42" s="160"/>
      <c r="Y42" s="160"/>
      <c r="AB42" s="160"/>
      <c r="AD42" s="53"/>
      <c r="AE42" s="53"/>
      <c r="AG42" s="53"/>
      <c r="AH42" s="155"/>
      <c r="AI42" s="155"/>
      <c r="AJ42" s="155"/>
      <c r="AK42" s="155"/>
      <c r="AL42" s="155"/>
      <c r="AM42" s="155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8"/>
      <c r="BA42" s="158"/>
    </row>
    <row r="43" spans="1:57" s="54" customFormat="1" ht="20.25" customHeight="1">
      <c r="A43" s="1" t="s">
        <v>252</v>
      </c>
      <c r="C43" s="1"/>
      <c r="D43" s="1"/>
      <c r="E43" s="53"/>
      <c r="F43" s="53"/>
      <c r="G43" s="53"/>
      <c r="H43" s="53"/>
      <c r="K43" s="154"/>
      <c r="L43" s="155"/>
      <c r="M43" s="155"/>
      <c r="N43" s="155"/>
      <c r="O43" s="160"/>
      <c r="P43" s="160"/>
      <c r="Q43" s="53"/>
      <c r="R43" s="53"/>
      <c r="S43" s="53"/>
      <c r="T43" s="53"/>
      <c r="U43" s="53"/>
      <c r="V43" s="53"/>
      <c r="W43" s="160"/>
      <c r="X43" s="160"/>
      <c r="Y43" s="160"/>
      <c r="AB43" s="160"/>
      <c r="AD43" s="53"/>
      <c r="AE43" s="53"/>
      <c r="AG43" s="53"/>
      <c r="AH43" s="155"/>
      <c r="AI43" s="155"/>
      <c r="AJ43" s="155"/>
      <c r="AK43" s="155"/>
      <c r="AL43" s="155"/>
      <c r="AM43" s="155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8"/>
      <c r="BA43" s="158"/>
    </row>
    <row r="44" spans="1:57" s="54" customFormat="1" ht="20.25" customHeight="1">
      <c r="A44" s="1" t="s">
        <v>253</v>
      </c>
      <c r="C44" s="1"/>
      <c r="D44" s="1"/>
      <c r="E44" s="53"/>
      <c r="F44" s="53"/>
      <c r="G44" s="53"/>
      <c r="H44" s="53"/>
      <c r="K44" s="154"/>
      <c r="L44" s="155"/>
      <c r="M44" s="155"/>
      <c r="N44" s="155"/>
      <c r="O44" s="160"/>
      <c r="P44" s="160"/>
      <c r="Q44" s="53"/>
      <c r="R44" s="53"/>
      <c r="S44" s="53"/>
      <c r="T44" s="53"/>
      <c r="U44" s="53"/>
      <c r="V44" s="53"/>
      <c r="W44" s="160"/>
      <c r="X44" s="160"/>
      <c r="Y44" s="160"/>
      <c r="AB44" s="160"/>
      <c r="AD44" s="53"/>
      <c r="AE44" s="53"/>
      <c r="AG44" s="53"/>
      <c r="AH44" s="155"/>
      <c r="AI44" s="155"/>
      <c r="AJ44" s="155"/>
      <c r="AK44" s="155"/>
      <c r="AL44" s="155"/>
      <c r="AM44" s="155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8"/>
      <c r="BA44" s="158"/>
    </row>
    <row r="45" spans="1:57" s="54" customFormat="1" ht="20.25" customHeight="1">
      <c r="A45" s="1" t="s">
        <v>254</v>
      </c>
      <c r="C45" s="1"/>
      <c r="D45" s="1"/>
      <c r="E45" s="53"/>
      <c r="F45" s="53"/>
      <c r="G45" s="53"/>
      <c r="H45" s="53"/>
      <c r="K45" s="154"/>
      <c r="L45" s="155"/>
      <c r="M45" s="155"/>
      <c r="N45" s="155"/>
      <c r="O45" s="160"/>
      <c r="P45" s="160"/>
      <c r="Q45" s="53"/>
      <c r="R45" s="53"/>
      <c r="S45" s="53"/>
      <c r="T45" s="53"/>
      <c r="U45" s="53"/>
      <c r="V45" s="53"/>
      <c r="W45" s="160"/>
      <c r="X45" s="160"/>
      <c r="Y45" s="160"/>
      <c r="AB45" s="160"/>
      <c r="AD45" s="53"/>
      <c r="AE45" s="53"/>
      <c r="AG45" s="53"/>
      <c r="AH45" s="155"/>
      <c r="AI45" s="155"/>
      <c r="AJ45" s="155"/>
      <c r="AK45" s="155"/>
      <c r="AL45" s="155"/>
      <c r="AM45" s="155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8"/>
      <c r="BA45" s="158"/>
    </row>
    <row r="46" spans="1:57" s="54" customFormat="1" ht="20.25" customHeight="1">
      <c r="A46" s="1" t="s">
        <v>255</v>
      </c>
      <c r="C46" s="1"/>
      <c r="D46" s="1"/>
      <c r="E46" s="53"/>
      <c r="F46" s="53"/>
      <c r="G46" s="53"/>
      <c r="H46" s="53"/>
      <c r="K46" s="154"/>
      <c r="L46" s="155"/>
      <c r="M46" s="155"/>
      <c r="N46" s="155"/>
      <c r="O46" s="160"/>
      <c r="P46" s="160"/>
      <c r="Q46" s="53"/>
      <c r="R46" s="53"/>
      <c r="S46" s="53"/>
      <c r="T46" s="53"/>
      <c r="U46" s="53"/>
      <c r="V46" s="53"/>
      <c r="W46" s="160"/>
      <c r="X46" s="160"/>
      <c r="Y46" s="160"/>
      <c r="AB46" s="160"/>
      <c r="AD46" s="53"/>
      <c r="AE46" s="53"/>
      <c r="AG46" s="53"/>
      <c r="AH46" s="155"/>
      <c r="AI46" s="155"/>
      <c r="AJ46" s="155"/>
      <c r="AK46" s="155"/>
      <c r="AL46" s="155"/>
      <c r="AM46" s="155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8"/>
      <c r="BA46" s="158"/>
    </row>
    <row r="47" spans="1:57" s="54" customFormat="1" ht="20.25" customHeight="1">
      <c r="A47" s="1" t="s">
        <v>256</v>
      </c>
      <c r="C47" s="1"/>
      <c r="D47" s="1"/>
      <c r="E47" s="53"/>
      <c r="F47" s="53"/>
      <c r="G47" s="53"/>
      <c r="H47" s="53"/>
      <c r="K47" s="154"/>
      <c r="L47" s="155"/>
      <c r="M47" s="155"/>
      <c r="N47" s="155"/>
      <c r="O47" s="53"/>
      <c r="P47" s="160"/>
      <c r="Q47" s="160"/>
      <c r="R47" s="160"/>
      <c r="U47" s="160"/>
      <c r="W47" s="53"/>
      <c r="X47" s="53"/>
      <c r="Z47" s="53"/>
      <c r="AD47" s="155"/>
      <c r="AE47" s="155"/>
      <c r="AF47" s="155"/>
      <c r="AG47" s="155"/>
      <c r="AH47" s="155"/>
      <c r="AI47" s="155"/>
      <c r="AJ47" s="154"/>
      <c r="AK47" s="154"/>
      <c r="AL47" s="154"/>
      <c r="AM47" s="154"/>
      <c r="AN47" s="154"/>
      <c r="AO47" s="154"/>
      <c r="AP47" s="154"/>
      <c r="AQ47" s="154"/>
      <c r="AR47" s="154"/>
      <c r="AS47" s="158"/>
      <c r="AT47" s="158"/>
    </row>
    <row r="48" spans="1:57" s="54" customFormat="1" ht="20.25" customHeight="1">
      <c r="A48" s="1" t="s">
        <v>257</v>
      </c>
      <c r="C48" s="1"/>
      <c r="D48" s="1"/>
      <c r="E48" s="53"/>
      <c r="F48" s="53"/>
      <c r="G48" s="53"/>
      <c r="H48" s="53"/>
      <c r="K48" s="154"/>
      <c r="L48" s="155"/>
      <c r="M48" s="155"/>
      <c r="N48" s="155"/>
      <c r="O48" s="160"/>
      <c r="P48" s="160"/>
      <c r="Q48" s="53"/>
      <c r="R48" s="53"/>
      <c r="S48" s="53"/>
      <c r="T48" s="53"/>
      <c r="U48" s="53"/>
      <c r="V48" s="53"/>
      <c r="W48" s="160"/>
      <c r="X48" s="160"/>
      <c r="Y48" s="160"/>
      <c r="AB48" s="160"/>
      <c r="AD48" s="53"/>
      <c r="AE48" s="53"/>
      <c r="AG48" s="53"/>
      <c r="AH48" s="155"/>
      <c r="AI48" s="155"/>
      <c r="AJ48" s="155"/>
      <c r="AK48" s="155"/>
      <c r="AL48" s="155"/>
      <c r="AM48" s="155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8"/>
      <c r="BA48" s="158"/>
    </row>
    <row r="49" spans="1:58" s="54" customFormat="1" ht="20.25" customHeight="1">
      <c r="A49" s="1" t="s">
        <v>258</v>
      </c>
      <c r="C49" s="153"/>
      <c r="D49" s="153"/>
      <c r="E49" s="153"/>
      <c r="F49" s="153"/>
      <c r="G49" s="153"/>
      <c r="H49" s="153"/>
      <c r="K49" s="154"/>
      <c r="L49" s="155"/>
      <c r="M49" s="155"/>
      <c r="N49" s="155"/>
      <c r="Q49" s="153"/>
      <c r="R49" s="153"/>
      <c r="S49" s="153"/>
      <c r="T49" s="153"/>
      <c r="U49" s="153"/>
      <c r="V49" s="153"/>
      <c r="AD49" s="153"/>
      <c r="AE49" s="153"/>
      <c r="AH49" s="153"/>
      <c r="AI49" s="147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</row>
    <row r="50" spans="1:58" s="54" customFormat="1" ht="20.25" customHeight="1">
      <c r="A50" s="1" t="s">
        <v>259</v>
      </c>
      <c r="C50" s="153"/>
      <c r="D50" s="153"/>
      <c r="E50" s="153"/>
      <c r="F50" s="153"/>
      <c r="G50" s="153"/>
      <c r="H50" s="153"/>
      <c r="K50" s="154"/>
      <c r="L50" s="155"/>
      <c r="M50" s="155"/>
      <c r="N50" s="155"/>
      <c r="Q50" s="153"/>
      <c r="R50" s="153"/>
      <c r="S50" s="153"/>
      <c r="T50" s="153"/>
      <c r="U50" s="153"/>
      <c r="V50" s="153"/>
      <c r="AD50" s="153"/>
      <c r="AE50" s="153"/>
      <c r="AH50" s="153"/>
      <c r="AI50" s="147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</row>
    <row r="51" spans="1:58" s="54" customFormat="1" ht="20.25" customHeight="1">
      <c r="A51" s="150" t="s">
        <v>260</v>
      </c>
      <c r="C51" s="153"/>
      <c r="D51" s="153"/>
      <c r="E51" s="153"/>
      <c r="F51" s="153"/>
      <c r="G51" s="153"/>
      <c r="H51" s="153"/>
      <c r="Q51" s="153"/>
      <c r="R51" s="153"/>
      <c r="S51" s="153"/>
      <c r="T51" s="153"/>
      <c r="U51" s="153"/>
      <c r="V51" s="153"/>
      <c r="AD51" s="153"/>
      <c r="AE51" s="153"/>
      <c r="AG51" s="153"/>
      <c r="AI51" s="147"/>
    </row>
    <row r="52" spans="1:58" s="54" customFormat="1" ht="20.25" customHeight="1">
      <c r="A52" s="1" t="s">
        <v>261</v>
      </c>
      <c r="C52" s="153"/>
      <c r="D52" s="153"/>
      <c r="E52" s="153"/>
      <c r="F52" s="153"/>
      <c r="G52" s="153"/>
      <c r="H52" s="153"/>
      <c r="I52" s="153"/>
      <c r="J52" s="153"/>
      <c r="K52" s="160"/>
      <c r="L52" s="160"/>
      <c r="M52" s="160"/>
      <c r="N52" s="160"/>
      <c r="Q52" s="153"/>
      <c r="R52" s="153"/>
      <c r="S52" s="153"/>
      <c r="T52" s="153"/>
      <c r="U52" s="153"/>
      <c r="V52" s="153"/>
      <c r="AD52" s="153"/>
      <c r="AE52" s="153"/>
      <c r="AG52" s="153"/>
      <c r="AI52" s="147"/>
    </row>
    <row r="53" spans="1:58" s="54" customFormat="1" ht="20.25" customHeight="1">
      <c r="A53" s="2" t="s">
        <v>262</v>
      </c>
      <c r="C53" s="1"/>
      <c r="D53" s="53"/>
      <c r="E53" s="53"/>
      <c r="F53" s="53"/>
      <c r="G53" s="53"/>
      <c r="H53" s="53"/>
      <c r="I53" s="160"/>
      <c r="J53" s="160"/>
      <c r="K53" s="154"/>
      <c r="L53" s="155"/>
      <c r="M53" s="155"/>
      <c r="N53" s="155"/>
      <c r="O53" s="160"/>
      <c r="P53" s="160"/>
      <c r="Q53" s="53"/>
      <c r="R53" s="53"/>
      <c r="S53" s="53"/>
      <c r="T53" s="53"/>
      <c r="U53" s="53"/>
      <c r="V53" s="53"/>
      <c r="W53" s="160"/>
      <c r="X53" s="160"/>
      <c r="Y53" s="160"/>
      <c r="Z53" s="160"/>
      <c r="AA53" s="160"/>
      <c r="AB53" s="160"/>
      <c r="AC53" s="160"/>
      <c r="AD53" s="53"/>
      <c r="AE53" s="53"/>
      <c r="AF53" s="160"/>
      <c r="AG53" s="53"/>
      <c r="AH53" s="155"/>
      <c r="AI53" s="155"/>
      <c r="AJ53" s="155"/>
      <c r="AK53" s="155"/>
      <c r="AL53" s="155"/>
      <c r="AM53" s="155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155"/>
      <c r="BA53" s="155"/>
    </row>
    <row r="54" spans="1:58" s="54" customFormat="1" ht="20.25" customHeight="1">
      <c r="A54" s="161" t="s">
        <v>263</v>
      </c>
      <c r="C54" s="153"/>
      <c r="D54" s="153"/>
      <c r="E54" s="153"/>
      <c r="F54" s="153"/>
      <c r="G54" s="153"/>
      <c r="H54" s="153"/>
      <c r="I54" s="153"/>
      <c r="J54" s="153"/>
      <c r="K54" s="160"/>
      <c r="L54" s="160"/>
      <c r="M54" s="160"/>
      <c r="N54" s="160"/>
      <c r="Q54" s="153"/>
      <c r="R54" s="153"/>
      <c r="S54" s="153"/>
      <c r="T54" s="153"/>
      <c r="U54" s="153"/>
      <c r="V54" s="153"/>
      <c r="AD54" s="153"/>
      <c r="AE54" s="153"/>
      <c r="AG54" s="153"/>
      <c r="AI54" s="147"/>
    </row>
    <row r="55" spans="1:58" s="54" customFormat="1" ht="20.25" customHeight="1">
      <c r="A55" s="1" t="s">
        <v>264</v>
      </c>
      <c r="C55" s="153"/>
      <c r="D55" s="153"/>
      <c r="E55" s="153"/>
      <c r="F55" s="153"/>
      <c r="G55" s="153"/>
      <c r="H55" s="153"/>
      <c r="K55" s="154"/>
      <c r="L55" s="155"/>
      <c r="M55" s="155"/>
      <c r="N55" s="155"/>
      <c r="Q55" s="153"/>
      <c r="R55" s="153"/>
      <c r="S55" s="153"/>
      <c r="T55" s="153"/>
      <c r="U55" s="153"/>
      <c r="V55" s="153"/>
      <c r="AD55" s="153"/>
      <c r="AE55" s="153"/>
      <c r="AH55" s="153"/>
      <c r="AI55" s="147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</row>
    <row r="56" spans="1:58" s="54" customFormat="1" ht="20.25" customHeight="1">
      <c r="A56" s="1" t="s">
        <v>265</v>
      </c>
      <c r="C56" s="1"/>
      <c r="D56" s="53"/>
      <c r="E56" s="53"/>
      <c r="F56" s="53"/>
      <c r="G56" s="53"/>
      <c r="H56" s="53"/>
      <c r="I56" s="160"/>
      <c r="J56" s="160"/>
      <c r="K56" s="154"/>
      <c r="L56" s="155"/>
      <c r="M56" s="155"/>
      <c r="N56" s="155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53"/>
      <c r="AZ56" s="53"/>
      <c r="BA56" s="53"/>
      <c r="BB56" s="53"/>
      <c r="BC56" s="53"/>
      <c r="BD56" s="155"/>
      <c r="BE56" s="155"/>
      <c r="BF56" s="155"/>
    </row>
    <row r="57" spans="1:58" s="54" customFormat="1" ht="20.25" customHeight="1">
      <c r="A57" s="2" t="s">
        <v>266</v>
      </c>
      <c r="C57" s="1"/>
      <c r="D57" s="53"/>
      <c r="E57" s="53"/>
      <c r="F57" s="53"/>
      <c r="G57" s="53"/>
      <c r="H57" s="53"/>
      <c r="I57" s="160"/>
      <c r="J57" s="160"/>
      <c r="K57" s="154"/>
      <c r="L57" s="155"/>
      <c r="M57" s="155"/>
      <c r="N57" s="155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53"/>
      <c r="AZ57" s="53"/>
      <c r="BA57" s="53"/>
      <c r="BB57" s="53"/>
      <c r="BC57" s="53"/>
      <c r="BD57" s="155"/>
      <c r="BE57" s="155"/>
      <c r="BF57" s="155"/>
    </row>
    <row r="58" spans="1:58" s="54" customFormat="1" ht="20.25" customHeight="1">
      <c r="A58" s="2" t="s">
        <v>267</v>
      </c>
      <c r="C58" s="153"/>
      <c r="D58" s="153"/>
      <c r="E58" s="153"/>
      <c r="F58" s="153"/>
      <c r="G58" s="153"/>
      <c r="H58" s="153"/>
      <c r="K58" s="154"/>
      <c r="L58" s="155"/>
      <c r="M58" s="155"/>
      <c r="N58" s="155"/>
      <c r="Q58" s="153"/>
      <c r="R58" s="153"/>
      <c r="S58" s="153"/>
      <c r="T58" s="153"/>
      <c r="U58" s="153"/>
      <c r="V58" s="153"/>
      <c r="AD58" s="153"/>
      <c r="AE58" s="153"/>
      <c r="AH58" s="153"/>
      <c r="AI58" s="147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</row>
    <row r="59" spans="1:58" s="135" customFormat="1" ht="18" customHeight="1">
      <c r="A59" s="162" t="str">
        <f ca="1">IF(OFFSET(A59,-1,,,)="Notes: ","1. Analysis conducted between sample arrival date and reporting date.",
IF(NOT(ISERROR(VALUE(LEFT(OFFSET(A59,-1,,,),2)))),VALUE(LEFT(OFFSET(A59,-1,,,),2))+1&amp;". Analysis conducted between sample arrival date and reporting date.",
IF(NOT(ISERROR(VALUE(LEFT(OFFSET(A59,-1,,,),1)))),VALUE(LEFT(OFFSET(A59,-1,,,),1))+1&amp;". Analysis conducted between sample arrival date and reporting date.",
IF(NOT(ISERROR(VALUE(LEFT(OFFSET(A59,-2,,,),2)))),VALUE(LEFT(OFFSET(A59,-2,,,),2))+1&amp;". Analysis conducted between sample arrival date and reporting date.",
IF(NOT(ISERROR(VALUE(LEFT(OFFSET(A59,-2,,,),1)))),VALUE(LEFT(OFFSET(A59,-2,,,),1))+1&amp;". Analysis conducted between sample arrival date and reporting date.",
IF(NOT(ISERROR(VALUE(LEFT(OFFSET(A59,-3,,,),2)))),VALUE(LEFT(OFFSET(A59,-3,,,),2))+1&amp;". Analysis conducted between sample arrival date and reporting date.",
IF(NOT(ISERROR(VALUE(LEFT(OFFSET(A59,-3,,,),1)))),VALUE(LEFT(OFFSET(A59,-3,,,),1))+1&amp;". Analysis conducted between sample arrival date and reporting date.",
IF(NOT(ISERROR(VALUE(LEFT(OFFSET(A59,-4,,,),2)))),VALUE(LEFT(OFFSET(A59,-4,,,),2))+1&amp;". Analysis conducted between sample arrival date and reporting date.",
IF(NOT(ISERROR(VALUE(LEFT(OFFSET(A59,-4,,,),1)))),VALUE(LEFT(OFFSET(A59,-4,,,),1))+1&amp;". Analysis conducted between sample arrival date and reporting date.",
IF(NOT(ISERROR(VALUE(LEFT(OFFSET(A59,-5,,,),2)))),VALUE(LEFT(OFFSET(A59,-5,,,),2))+1&amp;". Analysis conducted between sample arrival date and reporting date.",
IF(NOT(ISERROR(VALUE(LEFT(OFFSET(A59,-5,,,),1)))),VALUE(LEFT(OFFSET(A59,-5,,,),1))+1&amp;". Analysis conducted between sample arrival date and reporting date.",
"ERROR: NOTES ABOVE ARE NOT NUMBERED (searches within 5 rows for a number)")))))))))))</f>
        <v>19. Analysis conducted between sample arrival date and reporting date.</v>
      </c>
      <c r="B59" s="163"/>
      <c r="C59" s="164"/>
    </row>
    <row r="60" spans="1:58" ht="20.25" customHeight="1">
      <c r="A60" s="54" t="s">
        <v>268</v>
      </c>
      <c r="J60" s="165"/>
      <c r="K60" s="165"/>
      <c r="L60" s="165"/>
      <c r="M60" s="165"/>
    </row>
    <row r="61" spans="1:58" s="135" customFormat="1" ht="18" customHeight="1">
      <c r="A61" s="166" t="str">
        <f ca="1">IF(OFFSET(A61,-1,,,)="Notes: ","1. Results relate to the samples tested. ",
IF(NOT(ISERROR(VALUE(LEFT(OFFSET(A61,-1,,,),2)))),VALUE(LEFT(OFFSET(A61,-1,,,),2))+1&amp;". Results relate to the samples tested.",
IF(NOT(ISERROR(VALUE(LEFT(OFFSET(A61,-1,,,),1)))),VALUE(LEFT(OFFSET(A61,-1,,,),1))+1&amp;". Results relate to the samples tested.",
IF(NOT(ISERROR(VALUE(LEFT(OFFSET(A61,-2,,,),2)))),VALUE(LEFT(OFFSET(A61,-2,,,),2))+1&amp;". Results relate to the samples tested.",
IF(NOT(ISERROR(VALUE(LEFT(OFFSET(A61,-2,,,),1)))),VALUE(LEFT(OFFSET(A61,-2,,,),1))+1&amp;". Results relate to the samples tested.",
IF(NOT(ISERROR(VALUE(LEFT(OFFSET(A61,-3,,,),2)))),VALUE(LEFT(OFFSET(A61,-3,,,),2))+1&amp;". Results relate to the samples tested.",
IF(NOT(ISERROR(VALUE(LEFT(OFFSET(A61,-3,,,),1)))),VALUE(LEFT(OFFSET(A61,-3,,,),1))+1&amp;". Results relate to the samples tested.",
IF(NOT(ISERROR(VALUE(LEFT(OFFSET(A61,-4,,,),2)))),VALUE(LEFT(OFFSET(A61,-4,,,),2))+1&amp;". Results relate to the samples tested.",
IF(NOT(ISERROR(VALUE(LEFT(OFFSET(A61,-4,,,),1)))),VALUE(LEFT(OFFSET(A61,-4,,,),1))+1&amp;". Results relate to the samples tested.",
IF(NOT(ISERROR(VALUE(LEFT(OFFSET(A61,-5,,,),2)))),VALUE(LEFT(OFFSET(A61,-5,,,),2))+1&amp;". Results relate to the samples tested.",
IF(NOT(ISERROR(VALUE(LEFT(OFFSET(A61,-5,,,),1)))),VALUE(LEFT(OFFSET(A61,-5,,,),1))+1&amp;". Results relate to the samples tested.",
"ERROR: NOTES ABOVE ARE NOT NUMBERED (searches within 5 rows for a number)")))))))))))</f>
        <v>21. Results relate to the samples tested.</v>
      </c>
      <c r="B61" s="163"/>
      <c r="C61" s="164"/>
    </row>
    <row r="62" spans="1:58" ht="18" customHeight="1">
      <c r="A62" s="166" t="s">
        <v>269</v>
      </c>
      <c r="B62" s="167"/>
      <c r="C62" s="168"/>
      <c r="K62" s="169"/>
      <c r="AI62" s="52"/>
    </row>
    <row r="63" spans="1:58">
      <c r="J63" s="135"/>
      <c r="K63" s="135"/>
      <c r="L63" s="135"/>
      <c r="M63" s="135"/>
    </row>
  </sheetData>
  <mergeCells count="35">
    <mergeCell ref="BA4:BB4"/>
    <mergeCell ref="H5:I5"/>
    <mergeCell ref="J5:M5"/>
    <mergeCell ref="N5:V5"/>
    <mergeCell ref="Y5:Z5"/>
    <mergeCell ref="AD5:AE5"/>
    <mergeCell ref="AR5:AS5"/>
    <mergeCell ref="AJ4:AK4"/>
    <mergeCell ref="AP4:AQ4"/>
    <mergeCell ref="AR4:AS4"/>
    <mergeCell ref="AY4:AZ4"/>
    <mergeCell ref="AH8:AI8"/>
    <mergeCell ref="AF5:AG5"/>
    <mergeCell ref="AJ5:AK5"/>
    <mergeCell ref="AN5:AO5"/>
    <mergeCell ref="AP5:AQ5"/>
    <mergeCell ref="AJ8:AK8"/>
    <mergeCell ref="AN8:AO8"/>
    <mergeCell ref="AP8:AQ8"/>
    <mergeCell ref="AD8:AE8"/>
    <mergeCell ref="AF8:AG8"/>
    <mergeCell ref="H6:I6"/>
    <mergeCell ref="Y6:Z6"/>
    <mergeCell ref="AD6:AE6"/>
    <mergeCell ref="AF6:AG6"/>
    <mergeCell ref="H8:I8"/>
    <mergeCell ref="J8:M8"/>
    <mergeCell ref="N8:Q8"/>
    <mergeCell ref="Y8:Z8"/>
    <mergeCell ref="AA8:AB8"/>
    <mergeCell ref="AR8:AS8"/>
    <mergeCell ref="AN6:AO6"/>
    <mergeCell ref="AP6:AQ6"/>
    <mergeCell ref="AR6:AS6"/>
    <mergeCell ref="AJ6:AK6"/>
  </mergeCells>
  <conditionalFormatting sqref="AF10:AF35">
    <cfRule type="cellIs" dxfId="3" priority="4" operator="lessThan">
      <formula>0.005</formula>
    </cfRule>
  </conditionalFormatting>
  <conditionalFormatting sqref="AJ10:AJ35">
    <cfRule type="cellIs" dxfId="2" priority="3" operator="lessThan">
      <formula>0.001</formula>
    </cfRule>
  </conditionalFormatting>
  <conditionalFormatting sqref="AH10:AH35">
    <cfRule type="cellIs" dxfId="1" priority="2" operator="lessThan">
      <formula>4.5</formula>
    </cfRule>
  </conditionalFormatting>
  <conditionalFormatting sqref="A62">
    <cfRule type="expression" dxfId="0" priority="1">
      <formula>_xlfn.ISFORMULA(A62)</formula>
    </cfRule>
  </conditionalFormatting>
  <printOptions horizontalCentered="1" verticalCentered="1"/>
  <pageMargins left="0.51" right="0.51" top="0.71" bottom="1.3005511811023622" header="0.39000000000000007" footer="0.39000000000000007"/>
  <pageSetup scale="39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scu.edu.au/eal&amp;R&amp;12&amp;K000000&amp;G
checked: .................
Graham Lancaster
Laboratory Manager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Meta_data</vt:lpstr>
      <vt:lpstr>All_Data</vt:lpstr>
      <vt:lpstr>Figures</vt:lpstr>
      <vt:lpstr>Particle Size</vt:lpstr>
      <vt:lpstr>pH EC C N P metals</vt:lpstr>
      <vt:lpstr>AVS Pyrite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Luke Mosley</cp:lastModifiedBy>
  <cp:lastPrinted>2020-04-06T05:49:11Z</cp:lastPrinted>
  <dcterms:created xsi:type="dcterms:W3CDTF">1999-08-02T01:25:16Z</dcterms:created>
  <dcterms:modified xsi:type="dcterms:W3CDTF">2020-06-04T23:45:17Z</dcterms:modified>
</cp:coreProperties>
</file>