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drawings/drawing69.xml" ContentType="application/vnd.openxmlformats-officedocument.drawing+xml"/>
  <Override PartName="/xl/charts/chart6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lrifro\source\repos\TripSheet_SQLite\TripSheet_SQLite\Resources\"/>
    </mc:Choice>
  </mc:AlternateContent>
  <bookViews>
    <workbookView xWindow="240" yWindow="60" windowWidth="23835" windowHeight="9090" tabRatio="937"/>
  </bookViews>
  <sheets>
    <sheet name="POOH MWD Run11 (2)" sheetId="70" r:id="rId1"/>
    <sheet name="RIH Clean out run" sheetId="69" r:id="rId2"/>
    <sheet name="POOH WS" sheetId="67" r:id="rId3"/>
    <sheet name="POOH MWD Run11" sheetId="66" r:id="rId4"/>
    <sheet name="RIH MWD Run11" sheetId="65" r:id="rId5"/>
    <sheet name="POOH MWD Run10 (2)" sheetId="64" r:id="rId6"/>
    <sheet name="RIH MWD Run10" sheetId="63" r:id="rId7"/>
    <sheet name="POOH MWD Run09" sheetId="62" r:id="rId8"/>
    <sheet name="RIH MWD Run09" sheetId="61" r:id="rId9"/>
    <sheet name="BOP test" sheetId="60" r:id="rId10"/>
    <sheet name="Clean BOP DY2H" sheetId="59" r:id="rId11"/>
    <sheet name="POOH Mill" sheetId="58" r:id="rId12"/>
    <sheet name="RIH Whipstock" sheetId="57" r:id="rId13"/>
    <sheet name="RIH Junction" sheetId="56" r:id="rId14"/>
    <sheet name="RIH&amp;POOH Deflector" sheetId="55" r:id="rId15"/>
    <sheet name="POOH Clean ML area" sheetId="54" r:id="rId16"/>
    <sheet name="Clean ML area" sheetId="53" r:id="rId17"/>
    <sheet name="POOH screen drop 2 DY2H" sheetId="52" r:id="rId18"/>
    <sheet name="RIH screen drop 2 DY2H" sheetId="51" r:id="rId19"/>
    <sheet name="POOH screen drop 1 DY2H" sheetId="50" r:id="rId20"/>
    <sheet name="RIH_screens_Drop1 DY2H" sheetId="49" r:id="rId21"/>
    <sheet name="BOP test DY2H" sheetId="48" r:id="rId22"/>
    <sheet name="POOH 8.5 Drilling RUN 8" sheetId="47" r:id="rId23"/>
    <sheet name="RIH 8.5 Drilling RUN 8 " sheetId="46" r:id="rId24"/>
    <sheet name="POOH 8.5 Drilling RUN 7" sheetId="45" r:id="rId25"/>
    <sheet name="RIH 8.5 drilling (2)" sheetId="44" r:id="rId26"/>
    <sheet name="POOH 8.5 Drilling RUN 6" sheetId="43" r:id="rId27"/>
    <sheet name="RIH 8.5 Drilling " sheetId="42" r:id="rId28"/>
    <sheet name="WOW fill well" sheetId="41" r:id="rId29"/>
    <sheet name="POOH MWD_05 DY2H" sheetId="31" r:id="rId30"/>
    <sheet name="RIH 8.5 drilling" sheetId="40" r:id="rId31"/>
    <sheet name="Test BOP" sheetId="39" r:id="rId32"/>
    <sheet name="POOH Mill#2" sheetId="38" r:id="rId33"/>
    <sheet name="RIH Mill#2" sheetId="37" r:id="rId34"/>
    <sheet name="POOHafter mill#1" sheetId="36" r:id="rId35"/>
    <sheet name="RIH with whipstock" sheetId="35" r:id="rId36"/>
    <sheet name="PPOH with RT" sheetId="34" r:id="rId37"/>
    <sheet name="RIH_screens" sheetId="33" r:id="rId38"/>
    <sheet name="POOH MWD_04 DY1H (2)" sheetId="32" r:id="rId39"/>
    <sheet name="Cure losses" sheetId="30" r:id="rId40"/>
    <sheet name="RIH_MWD_04 DY1H" sheetId="29" r:id="rId41"/>
    <sheet name="POOH MWD_03 DY1H" sheetId="28" r:id="rId42"/>
    <sheet name="RIH 8.5in BHA DY1H" sheetId="27" r:id="rId43"/>
    <sheet name="POOH 8 58 Exp Liner (2)" sheetId="26" r:id="rId44"/>
    <sheet name="RIH 8 58 Exp Liner" sheetId="25" r:id="rId45"/>
    <sheet name="Circ BU and POOH MWD02" sheetId="24" r:id="rId46"/>
    <sheet name="mwd02" sheetId="23" r:id="rId47"/>
    <sheet name="Clean BOP" sheetId="22" r:id="rId48"/>
    <sheet name="RIH WS and Mill" sheetId="21" r:id="rId49"/>
    <sheet name="Cleanout" sheetId="20" r:id="rId50"/>
    <sheet name="RIH to pull IP" sheetId="19" r:id="rId51"/>
    <sheet name="POOH IP" sheetId="18" r:id="rId52"/>
    <sheet name="RIH mill_spear_2" sheetId="17" r:id="rId53"/>
    <sheet name="RIH mill_spear" sheetId="16" r:id="rId54"/>
    <sheet name="RIH taper mill" sheetId="15" r:id="rId55"/>
    <sheet name="RIH fish hook" sheetId="14" r:id="rId56"/>
    <sheet name="RIH spear 4" sheetId="13" r:id="rId57"/>
    <sheet name="RIH cutter_run5" sheetId="12" r:id="rId58"/>
    <sheet name="RIH spear 3" sheetId="11" r:id="rId59"/>
    <sheet name="RIH cutter_run4" sheetId="10" r:id="rId60"/>
    <sheet name="RIH spear 2" sheetId="9" r:id="rId61"/>
    <sheet name="RIH cutter_run3" sheetId="8" r:id="rId62"/>
    <sheet name="RIH cutter_run2" sheetId="7" r:id="rId63"/>
    <sheet name="RIH spear" sheetId="6" r:id="rId64"/>
    <sheet name="RIH cutter" sheetId="5" r:id="rId65"/>
    <sheet name="RIH Guns run#2" sheetId="4" r:id="rId66"/>
    <sheet name="RIH Guns" sheetId="3" r:id="rId67"/>
    <sheet name="POOH ME Plug" sheetId="2" r:id="rId68"/>
    <sheet name="Kill well_Pull Plug" sheetId="1" r:id="rId69"/>
  </sheets>
  <definedNames>
    <definedName name="_xlnm.Print_Area" localSheetId="9">'BOP test'!$A$1:$O$53</definedName>
    <definedName name="_xlnm.Print_Area" localSheetId="21">'BOP test DY2H'!$A$1:$O$53</definedName>
    <definedName name="_xlnm.Print_Area" localSheetId="45">'Circ BU and POOH MWD02'!$A$1:$O$53</definedName>
    <definedName name="_xlnm.Print_Area" localSheetId="47">'Clean BOP'!$A$1:$O$53</definedName>
    <definedName name="_xlnm.Print_Area" localSheetId="10">'Clean BOP DY2H'!$A$1:$O$53</definedName>
    <definedName name="_xlnm.Print_Area" localSheetId="16">'Clean ML area'!$A$1:$O$53</definedName>
    <definedName name="_xlnm.Print_Area" localSheetId="49">Cleanout!$A$1:$O$53</definedName>
    <definedName name="_xlnm.Print_Area" localSheetId="39">'Cure losses'!$A$1:$O$53</definedName>
    <definedName name="_xlnm.Print_Area" localSheetId="68">'Kill well_Pull Plug'!$A$1:$O$53</definedName>
    <definedName name="_xlnm.Print_Area" localSheetId="46">'mwd02'!$A$1:$O$53</definedName>
    <definedName name="_xlnm.Print_Area" localSheetId="43">'POOH 8 58 Exp Liner (2)'!$A$1:$O$53</definedName>
    <definedName name="_xlnm.Print_Area" localSheetId="26">'POOH 8.5 Drilling RUN 6'!$A$1:$O$53</definedName>
    <definedName name="_xlnm.Print_Area" localSheetId="24">'POOH 8.5 Drilling RUN 7'!$A$1:$O$53</definedName>
    <definedName name="_xlnm.Print_Area" localSheetId="22">'POOH 8.5 Drilling RUN 8'!$A$1:$O$53</definedName>
    <definedName name="_xlnm.Print_Area" localSheetId="15">'POOH Clean ML area'!$A$1:$O$53</definedName>
    <definedName name="_xlnm.Print_Area" localSheetId="51">'POOH IP'!$A$1:$O$53</definedName>
    <definedName name="_xlnm.Print_Area" localSheetId="67">'POOH ME Plug'!$A$1:$O$53</definedName>
    <definedName name="_xlnm.Print_Area" localSheetId="11">'POOH Mill'!$A$1:$O$53</definedName>
    <definedName name="_xlnm.Print_Area" localSheetId="32">'POOH Mill#2'!$A$1:$O$53</definedName>
    <definedName name="_xlnm.Print_Area" localSheetId="7">'POOH MWD Run09'!$A$1:$O$53</definedName>
    <definedName name="_xlnm.Print_Area" localSheetId="5">'POOH MWD Run10 (2)'!$A$1:$O$53</definedName>
    <definedName name="_xlnm.Print_Area" localSheetId="3">'POOH MWD Run11'!$A$1:$O$53</definedName>
    <definedName name="_xlnm.Print_Area" localSheetId="0">'POOH MWD Run11 (2)'!$A$1:$O$53</definedName>
    <definedName name="_xlnm.Print_Area" localSheetId="41">'POOH MWD_03 DY1H'!$A$1:$O$53</definedName>
    <definedName name="_xlnm.Print_Area" localSheetId="38">'POOH MWD_04 DY1H (2)'!$A$1:$O$53</definedName>
    <definedName name="_xlnm.Print_Area" localSheetId="29">'POOH MWD_05 DY2H'!$A$1:$O$53</definedName>
    <definedName name="_xlnm.Print_Area" localSheetId="19">'POOH screen drop 1 DY2H'!$A$1:$O$53</definedName>
    <definedName name="_xlnm.Print_Area" localSheetId="17">'POOH screen drop 2 DY2H'!$A$1:$O$53</definedName>
    <definedName name="_xlnm.Print_Area" localSheetId="2">'POOH WS'!$A$1:$O$53</definedName>
    <definedName name="_xlnm.Print_Area" localSheetId="34">'POOHafter mill#1'!$A$1:$O$53</definedName>
    <definedName name="_xlnm.Print_Area" localSheetId="36">'PPOH with RT'!$A$1:$O$53</definedName>
    <definedName name="_xlnm.Print_Area" localSheetId="44">'RIH 8 58 Exp Liner'!$A$1:$O$53</definedName>
    <definedName name="_xlnm.Print_Area" localSheetId="30">'RIH 8.5 drilling'!$A$1:$O$53</definedName>
    <definedName name="_xlnm.Print_Area" localSheetId="27">'RIH 8.5 Drilling '!$A$1:$O$53</definedName>
    <definedName name="_xlnm.Print_Area" localSheetId="25">'RIH 8.5 drilling (2)'!$A$1:$O$53</definedName>
    <definedName name="_xlnm.Print_Area" localSheetId="23">'RIH 8.5 Drilling RUN 8 '!$A$1:$O$53</definedName>
    <definedName name="_xlnm.Print_Area" localSheetId="42">'RIH 8.5in BHA DY1H'!$A$1:$O$53</definedName>
    <definedName name="_xlnm.Print_Area" localSheetId="1">'RIH Clean out run'!$A$1:$O$53</definedName>
    <definedName name="_xlnm.Print_Area" localSheetId="64">'RIH cutter'!$A$1:$O$53</definedName>
    <definedName name="_xlnm.Print_Area" localSheetId="62">'RIH cutter_run2'!$A$1:$O$53</definedName>
    <definedName name="_xlnm.Print_Area" localSheetId="61">'RIH cutter_run3'!$A$1:$O$53</definedName>
    <definedName name="_xlnm.Print_Area" localSheetId="59">'RIH cutter_run4'!$A$1:$O$53</definedName>
    <definedName name="_xlnm.Print_Area" localSheetId="57">'RIH cutter_run5'!$A$1:$O$53</definedName>
    <definedName name="_xlnm.Print_Area" localSheetId="55">'RIH fish hook'!$A$1:$O$53</definedName>
    <definedName name="_xlnm.Print_Area" localSheetId="66">'RIH Guns'!$A$1:$O$53</definedName>
    <definedName name="_xlnm.Print_Area" localSheetId="65">'RIH Guns run#2'!$A$1:$O$53</definedName>
    <definedName name="_xlnm.Print_Area" localSheetId="13">'RIH Junction'!$A$1:$O$53</definedName>
    <definedName name="_xlnm.Print_Area" localSheetId="33">'RIH Mill#2'!$A$1:$O$53</definedName>
    <definedName name="_xlnm.Print_Area" localSheetId="53">'RIH mill_spear'!$A$1:$O$53</definedName>
    <definedName name="_xlnm.Print_Area" localSheetId="52">'RIH mill_spear_2'!$A$1:$O$53</definedName>
    <definedName name="_xlnm.Print_Area" localSheetId="8">'RIH MWD Run09'!$A$1:$O$53</definedName>
    <definedName name="_xlnm.Print_Area" localSheetId="6">'RIH MWD Run10'!$A$1:$O$53</definedName>
    <definedName name="_xlnm.Print_Area" localSheetId="4">'RIH MWD Run11'!$A$1:$O$53</definedName>
    <definedName name="_xlnm.Print_Area" localSheetId="18">'RIH screen drop 2 DY2H'!$A$1:$O$53</definedName>
    <definedName name="_xlnm.Print_Area" localSheetId="63">'RIH spear'!$A$1:$O$53</definedName>
    <definedName name="_xlnm.Print_Area" localSheetId="60">'RIH spear 2'!$A$1:$O$53</definedName>
    <definedName name="_xlnm.Print_Area" localSheetId="58">'RIH spear 3'!$A$1:$O$53</definedName>
    <definedName name="_xlnm.Print_Area" localSheetId="56">'RIH spear 4'!$A$1:$O$53</definedName>
    <definedName name="_xlnm.Print_Area" localSheetId="54">'RIH taper mill'!$A$1:$O$53</definedName>
    <definedName name="_xlnm.Print_Area" localSheetId="50">'RIH to pull IP'!$A$1:$O$53</definedName>
    <definedName name="_xlnm.Print_Area" localSheetId="12">'RIH Whipstock'!$A$1:$O$53</definedName>
    <definedName name="_xlnm.Print_Area" localSheetId="35">'RIH with whipstock'!$A$1:$O$53</definedName>
    <definedName name="_xlnm.Print_Area" localSheetId="48">'RIH WS and Mill'!$A$1:$O$53</definedName>
    <definedName name="_xlnm.Print_Area" localSheetId="14">'RIH&amp;POOH Deflector'!$A$1:$O$53</definedName>
    <definedName name="_xlnm.Print_Area" localSheetId="40">'RIH_MWD_04 DY1H'!$A$1:$O$53</definedName>
    <definedName name="_xlnm.Print_Area" localSheetId="37">RIH_screens!$A$1:$O$53</definedName>
    <definedName name="_xlnm.Print_Area" localSheetId="20">'RIH_screens_Drop1 DY2H'!$A$1:$O$53</definedName>
    <definedName name="_xlnm.Print_Area" localSheetId="31">'Test BOP'!$A$1:$O$53</definedName>
    <definedName name="_xlnm.Print_Area" localSheetId="28">'WOW fill well'!$A$1:$O$53</definedName>
  </definedNames>
  <calcPr calcId="162913"/>
</workbook>
</file>

<file path=xl/calcChain.xml><?xml version="1.0" encoding="utf-8"?>
<calcChain xmlns="http://schemas.openxmlformats.org/spreadsheetml/2006/main">
  <c r="R7" i="70" l="1"/>
  <c r="S112" i="70" l="1"/>
  <c r="R112" i="70"/>
  <c r="M112" i="70"/>
  <c r="L112" i="70"/>
  <c r="K112" i="70"/>
  <c r="J112" i="70"/>
  <c r="I112" i="70"/>
  <c r="H112" i="70"/>
  <c r="S111" i="70"/>
  <c r="R111" i="70"/>
  <c r="M111" i="70"/>
  <c r="L111" i="70"/>
  <c r="K111" i="70"/>
  <c r="J111" i="70"/>
  <c r="I111" i="70"/>
  <c r="H111" i="70"/>
  <c r="S110" i="70"/>
  <c r="R110" i="70"/>
  <c r="M110" i="70"/>
  <c r="L110" i="70"/>
  <c r="K110" i="70"/>
  <c r="J110" i="70"/>
  <c r="I110" i="70"/>
  <c r="H110" i="70"/>
  <c r="S109" i="70"/>
  <c r="R109" i="70"/>
  <c r="M109" i="70"/>
  <c r="L109" i="70"/>
  <c r="K109" i="70"/>
  <c r="J109" i="70"/>
  <c r="I109" i="70"/>
  <c r="H109" i="70"/>
  <c r="S108" i="70"/>
  <c r="R108" i="70"/>
  <c r="M108" i="70"/>
  <c r="L108" i="70"/>
  <c r="K108" i="70"/>
  <c r="J108" i="70"/>
  <c r="I108" i="70"/>
  <c r="H108" i="70"/>
  <c r="S107" i="70"/>
  <c r="R107" i="70"/>
  <c r="M107" i="70"/>
  <c r="L107" i="70"/>
  <c r="K107" i="70"/>
  <c r="J107" i="70"/>
  <c r="I107" i="70"/>
  <c r="H107" i="70"/>
  <c r="S106" i="70"/>
  <c r="R106" i="70"/>
  <c r="M106" i="70"/>
  <c r="L106" i="70"/>
  <c r="K106" i="70"/>
  <c r="J106" i="70"/>
  <c r="I106" i="70"/>
  <c r="H106" i="70"/>
  <c r="S105" i="70"/>
  <c r="R105" i="70"/>
  <c r="M105" i="70"/>
  <c r="L105" i="70"/>
  <c r="K105" i="70"/>
  <c r="J105" i="70"/>
  <c r="I105" i="70"/>
  <c r="H105" i="70"/>
  <c r="S104" i="70"/>
  <c r="R104" i="70"/>
  <c r="M104" i="70"/>
  <c r="L104" i="70"/>
  <c r="K104" i="70"/>
  <c r="J104" i="70"/>
  <c r="I104" i="70"/>
  <c r="H104" i="70"/>
  <c r="S103" i="70"/>
  <c r="R103" i="70"/>
  <c r="M103" i="70"/>
  <c r="L103" i="70"/>
  <c r="K103" i="70"/>
  <c r="J103" i="70"/>
  <c r="I103" i="70"/>
  <c r="H103" i="70"/>
  <c r="S102" i="70"/>
  <c r="R102" i="70"/>
  <c r="M102" i="70"/>
  <c r="L102" i="70"/>
  <c r="K102" i="70"/>
  <c r="J102" i="70"/>
  <c r="I102" i="70"/>
  <c r="H102" i="70"/>
  <c r="S101" i="70"/>
  <c r="R101" i="70"/>
  <c r="M101" i="70"/>
  <c r="L101" i="70"/>
  <c r="K101" i="70"/>
  <c r="J101" i="70"/>
  <c r="I101" i="70"/>
  <c r="H101" i="70"/>
  <c r="S100" i="70"/>
  <c r="R100" i="70"/>
  <c r="M100" i="70"/>
  <c r="L100" i="70"/>
  <c r="K100" i="70"/>
  <c r="J100" i="70"/>
  <c r="I100" i="70"/>
  <c r="H100" i="70"/>
  <c r="S99" i="70"/>
  <c r="R99" i="70"/>
  <c r="M99" i="70"/>
  <c r="L99" i="70"/>
  <c r="K99" i="70"/>
  <c r="J99" i="70"/>
  <c r="I99" i="70"/>
  <c r="H99" i="70"/>
  <c r="S98" i="70"/>
  <c r="R98" i="70"/>
  <c r="M98" i="70"/>
  <c r="L98" i="70"/>
  <c r="K98" i="70"/>
  <c r="J98" i="70"/>
  <c r="I98" i="70"/>
  <c r="H98" i="70"/>
  <c r="S97" i="70"/>
  <c r="R97" i="70"/>
  <c r="M97" i="70"/>
  <c r="L97" i="70"/>
  <c r="K97" i="70"/>
  <c r="J97" i="70"/>
  <c r="I97" i="70"/>
  <c r="H97" i="70"/>
  <c r="S96" i="70"/>
  <c r="R96" i="70"/>
  <c r="M96" i="70"/>
  <c r="L96" i="70"/>
  <c r="K96" i="70"/>
  <c r="J96" i="70"/>
  <c r="I96" i="70"/>
  <c r="H96" i="70"/>
  <c r="S95" i="70"/>
  <c r="R95" i="70"/>
  <c r="M95" i="70"/>
  <c r="L95" i="70"/>
  <c r="K95" i="70"/>
  <c r="J95" i="70"/>
  <c r="I95" i="70"/>
  <c r="H95" i="70"/>
  <c r="S94" i="70"/>
  <c r="R94" i="70"/>
  <c r="M94" i="70"/>
  <c r="L94" i="70"/>
  <c r="K94" i="70"/>
  <c r="J94" i="70"/>
  <c r="I94" i="70"/>
  <c r="H94" i="70"/>
  <c r="S93" i="70"/>
  <c r="R93" i="70"/>
  <c r="M93" i="70"/>
  <c r="L93" i="70"/>
  <c r="K93" i="70"/>
  <c r="J93" i="70"/>
  <c r="I93" i="70"/>
  <c r="H93" i="70"/>
  <c r="S92" i="70"/>
  <c r="R92" i="70"/>
  <c r="M92" i="70"/>
  <c r="L92" i="70"/>
  <c r="K92" i="70"/>
  <c r="J92" i="70"/>
  <c r="I92" i="70"/>
  <c r="H92" i="70"/>
  <c r="S91" i="70"/>
  <c r="R91" i="70"/>
  <c r="M91" i="70"/>
  <c r="L91" i="70"/>
  <c r="K91" i="70"/>
  <c r="J91" i="70"/>
  <c r="I91" i="70"/>
  <c r="H91" i="70"/>
  <c r="S90" i="70"/>
  <c r="R90" i="70"/>
  <c r="M90" i="70"/>
  <c r="L90" i="70"/>
  <c r="K90" i="70"/>
  <c r="J90" i="70"/>
  <c r="I90" i="70"/>
  <c r="H90" i="70"/>
  <c r="S89" i="70"/>
  <c r="R89" i="70"/>
  <c r="M89" i="70"/>
  <c r="L89" i="70"/>
  <c r="K89" i="70"/>
  <c r="J89" i="70"/>
  <c r="I89" i="70"/>
  <c r="H89" i="70"/>
  <c r="S88" i="70"/>
  <c r="R88" i="70"/>
  <c r="M88" i="70"/>
  <c r="L88" i="70"/>
  <c r="K88" i="70"/>
  <c r="J88" i="70"/>
  <c r="I88" i="70"/>
  <c r="H88" i="70"/>
  <c r="S87" i="70"/>
  <c r="R87" i="70"/>
  <c r="M87" i="70"/>
  <c r="L87" i="70"/>
  <c r="K87" i="70"/>
  <c r="J87" i="70"/>
  <c r="I87" i="70"/>
  <c r="H87" i="70"/>
  <c r="S86" i="70"/>
  <c r="R86" i="70"/>
  <c r="M86" i="70"/>
  <c r="L86" i="70"/>
  <c r="K86" i="70"/>
  <c r="J86" i="70"/>
  <c r="I86" i="70"/>
  <c r="H86" i="70"/>
  <c r="S85" i="70"/>
  <c r="R85" i="70"/>
  <c r="M85" i="70"/>
  <c r="L85" i="70"/>
  <c r="K85" i="70"/>
  <c r="J85" i="70"/>
  <c r="I85" i="70"/>
  <c r="H85" i="70"/>
  <c r="S84" i="70"/>
  <c r="R84" i="70"/>
  <c r="M84" i="70"/>
  <c r="L84" i="70"/>
  <c r="K84" i="70"/>
  <c r="J84" i="70"/>
  <c r="I84" i="70"/>
  <c r="H84" i="70"/>
  <c r="S83" i="70"/>
  <c r="R83" i="70"/>
  <c r="M83" i="70"/>
  <c r="L83" i="70"/>
  <c r="K83" i="70"/>
  <c r="J83" i="70"/>
  <c r="I83" i="70"/>
  <c r="H83" i="70"/>
  <c r="S82" i="70"/>
  <c r="R82" i="70"/>
  <c r="M82" i="70"/>
  <c r="L82" i="70"/>
  <c r="K82" i="70"/>
  <c r="J82" i="70"/>
  <c r="I82" i="70"/>
  <c r="H82" i="70"/>
  <c r="S81" i="70"/>
  <c r="R81" i="70"/>
  <c r="M81" i="70"/>
  <c r="L81" i="70"/>
  <c r="K81" i="70"/>
  <c r="J81" i="70"/>
  <c r="I81" i="70"/>
  <c r="H81" i="70"/>
  <c r="S80" i="70"/>
  <c r="R80" i="70"/>
  <c r="M80" i="70"/>
  <c r="L80" i="70"/>
  <c r="K80" i="70"/>
  <c r="J80" i="70"/>
  <c r="I80" i="70"/>
  <c r="H80" i="70"/>
  <c r="S79" i="70"/>
  <c r="R79" i="70"/>
  <c r="M79" i="70"/>
  <c r="L79" i="70"/>
  <c r="K79" i="70"/>
  <c r="J79" i="70"/>
  <c r="I79" i="70"/>
  <c r="H79" i="70"/>
  <c r="S78" i="70"/>
  <c r="R78" i="70"/>
  <c r="M78" i="70"/>
  <c r="L78" i="70"/>
  <c r="K78" i="70"/>
  <c r="J78" i="70"/>
  <c r="I78" i="70"/>
  <c r="H78" i="70"/>
  <c r="S77" i="70"/>
  <c r="R77" i="70"/>
  <c r="M77" i="70"/>
  <c r="L77" i="70"/>
  <c r="K77" i="70"/>
  <c r="J77" i="70"/>
  <c r="I77" i="70"/>
  <c r="H77" i="70"/>
  <c r="S76" i="70"/>
  <c r="R76" i="70"/>
  <c r="M76" i="70"/>
  <c r="L76" i="70"/>
  <c r="K76" i="70"/>
  <c r="J76" i="70"/>
  <c r="I76" i="70"/>
  <c r="H76" i="70"/>
  <c r="S75" i="70"/>
  <c r="R75" i="70"/>
  <c r="M75" i="70"/>
  <c r="L75" i="70"/>
  <c r="K75" i="70"/>
  <c r="J75" i="70"/>
  <c r="I75" i="70"/>
  <c r="H75" i="70"/>
  <c r="S74" i="70"/>
  <c r="R74" i="70"/>
  <c r="M74" i="70"/>
  <c r="L74" i="70"/>
  <c r="K74" i="70"/>
  <c r="J74" i="70"/>
  <c r="I74" i="70"/>
  <c r="H74" i="70"/>
  <c r="S73" i="70"/>
  <c r="R73" i="70"/>
  <c r="M73" i="70"/>
  <c r="L73" i="70"/>
  <c r="K73" i="70"/>
  <c r="J73" i="70"/>
  <c r="I73" i="70"/>
  <c r="H73" i="70"/>
  <c r="S72" i="70"/>
  <c r="R72" i="70"/>
  <c r="M72" i="70"/>
  <c r="L72" i="70"/>
  <c r="K72" i="70"/>
  <c r="J72" i="70"/>
  <c r="I72" i="70"/>
  <c r="H72" i="70"/>
  <c r="S71" i="70"/>
  <c r="R71" i="70"/>
  <c r="M71" i="70"/>
  <c r="L71" i="70"/>
  <c r="K71" i="70"/>
  <c r="J71" i="70"/>
  <c r="I71" i="70"/>
  <c r="H71" i="70"/>
  <c r="S70" i="70"/>
  <c r="R70" i="70"/>
  <c r="M70" i="70"/>
  <c r="L70" i="70"/>
  <c r="K70" i="70"/>
  <c r="J70" i="70"/>
  <c r="I70" i="70"/>
  <c r="H70" i="70"/>
  <c r="S69" i="70"/>
  <c r="R69" i="70"/>
  <c r="M69" i="70"/>
  <c r="L69" i="70"/>
  <c r="K69" i="70"/>
  <c r="J69" i="70"/>
  <c r="I69" i="70"/>
  <c r="H69" i="70"/>
  <c r="S68" i="70"/>
  <c r="R68" i="70"/>
  <c r="M68" i="70"/>
  <c r="L68" i="70"/>
  <c r="K68" i="70"/>
  <c r="J68" i="70"/>
  <c r="I68" i="70"/>
  <c r="H68" i="70"/>
  <c r="S67" i="70"/>
  <c r="R67" i="70"/>
  <c r="M67" i="70"/>
  <c r="L67" i="70"/>
  <c r="K67" i="70"/>
  <c r="J67" i="70"/>
  <c r="I67" i="70"/>
  <c r="H67" i="70"/>
  <c r="S66" i="70"/>
  <c r="R66" i="70"/>
  <c r="M66" i="70"/>
  <c r="L66" i="70"/>
  <c r="K66" i="70"/>
  <c r="J66" i="70"/>
  <c r="I66" i="70"/>
  <c r="H66" i="70"/>
  <c r="S65" i="70"/>
  <c r="R65" i="70"/>
  <c r="M65" i="70"/>
  <c r="L65" i="70"/>
  <c r="K65" i="70"/>
  <c r="J65" i="70"/>
  <c r="I65" i="70"/>
  <c r="H65" i="70"/>
  <c r="S64" i="70"/>
  <c r="R64" i="70"/>
  <c r="M64" i="70"/>
  <c r="L64" i="70"/>
  <c r="K64" i="70"/>
  <c r="J64" i="70"/>
  <c r="I64" i="70"/>
  <c r="H64" i="70"/>
  <c r="S63" i="70"/>
  <c r="R63" i="70"/>
  <c r="M63" i="70"/>
  <c r="L63" i="70"/>
  <c r="K63" i="70"/>
  <c r="J63" i="70"/>
  <c r="I63" i="70"/>
  <c r="H63" i="70"/>
  <c r="S62" i="70"/>
  <c r="R62" i="70"/>
  <c r="M62" i="70"/>
  <c r="L62" i="70"/>
  <c r="K62" i="70"/>
  <c r="J62" i="70"/>
  <c r="I62" i="70"/>
  <c r="H62" i="70"/>
  <c r="S61" i="70"/>
  <c r="R61" i="70"/>
  <c r="M61" i="70"/>
  <c r="L61" i="70"/>
  <c r="K61" i="70"/>
  <c r="J61" i="70"/>
  <c r="I61" i="70"/>
  <c r="H61" i="70"/>
  <c r="S60" i="70"/>
  <c r="R60" i="70"/>
  <c r="M60" i="70"/>
  <c r="L60" i="70"/>
  <c r="K60" i="70"/>
  <c r="J60" i="70"/>
  <c r="I60" i="70"/>
  <c r="H60" i="70"/>
  <c r="S59" i="70"/>
  <c r="R59" i="70"/>
  <c r="M59" i="70"/>
  <c r="L59" i="70"/>
  <c r="K59" i="70"/>
  <c r="J59" i="70"/>
  <c r="I59" i="70"/>
  <c r="H59" i="70"/>
  <c r="S58" i="70"/>
  <c r="R58" i="70"/>
  <c r="M58" i="70"/>
  <c r="L58" i="70"/>
  <c r="K58" i="70"/>
  <c r="J58" i="70"/>
  <c r="I58" i="70"/>
  <c r="H58" i="70"/>
  <c r="S57" i="70"/>
  <c r="R57" i="70"/>
  <c r="M57" i="70"/>
  <c r="L57" i="70"/>
  <c r="K57" i="70"/>
  <c r="J57" i="70"/>
  <c r="I57" i="70"/>
  <c r="H57" i="70"/>
  <c r="S56" i="70"/>
  <c r="R56" i="70"/>
  <c r="M56" i="70"/>
  <c r="L56" i="70"/>
  <c r="K56" i="70"/>
  <c r="J56" i="70"/>
  <c r="I56" i="70"/>
  <c r="H56" i="70"/>
  <c r="S55" i="70"/>
  <c r="R55" i="70"/>
  <c r="M55" i="70"/>
  <c r="L55" i="70"/>
  <c r="K55" i="70"/>
  <c r="J55" i="70"/>
  <c r="I55" i="70"/>
  <c r="H55" i="70"/>
  <c r="S54" i="70"/>
  <c r="R54" i="70"/>
  <c r="M54" i="70"/>
  <c r="L54" i="70"/>
  <c r="K54" i="70"/>
  <c r="J54" i="70"/>
  <c r="I54" i="70"/>
  <c r="H54" i="70"/>
  <c r="S53" i="70"/>
  <c r="R53" i="70"/>
  <c r="M53" i="70"/>
  <c r="L53" i="70"/>
  <c r="K53" i="70"/>
  <c r="J53" i="70"/>
  <c r="I53" i="70"/>
  <c r="H53" i="70"/>
  <c r="S52" i="70"/>
  <c r="R52" i="70"/>
  <c r="M52" i="70"/>
  <c r="L52" i="70"/>
  <c r="K52" i="70"/>
  <c r="J52" i="70"/>
  <c r="I52" i="70"/>
  <c r="H52" i="70"/>
  <c r="S51" i="70"/>
  <c r="R51" i="70"/>
  <c r="M51" i="70"/>
  <c r="L51" i="70"/>
  <c r="K51" i="70"/>
  <c r="J51" i="70"/>
  <c r="I51" i="70"/>
  <c r="H51" i="70"/>
  <c r="S50" i="70"/>
  <c r="R50" i="70"/>
  <c r="M50" i="70"/>
  <c r="L50" i="70"/>
  <c r="K50" i="70"/>
  <c r="J50" i="70"/>
  <c r="I50" i="70"/>
  <c r="H50" i="70"/>
  <c r="S49" i="70"/>
  <c r="R49" i="70"/>
  <c r="M49" i="70"/>
  <c r="L49" i="70"/>
  <c r="K49" i="70"/>
  <c r="J49" i="70"/>
  <c r="I49" i="70"/>
  <c r="H49" i="70"/>
  <c r="S48" i="70"/>
  <c r="R48" i="70"/>
  <c r="M48" i="70"/>
  <c r="L48" i="70"/>
  <c r="K48" i="70"/>
  <c r="J48" i="70"/>
  <c r="I48" i="70"/>
  <c r="H48" i="70"/>
  <c r="S47" i="70"/>
  <c r="R47" i="70"/>
  <c r="M47" i="70"/>
  <c r="L47" i="70"/>
  <c r="K47" i="70"/>
  <c r="J47" i="70"/>
  <c r="I47" i="70"/>
  <c r="H47" i="70"/>
  <c r="S46" i="70"/>
  <c r="R46" i="70"/>
  <c r="M46" i="70"/>
  <c r="L46" i="70"/>
  <c r="K46" i="70"/>
  <c r="J46" i="70"/>
  <c r="I46" i="70"/>
  <c r="H46" i="70"/>
  <c r="S45" i="70"/>
  <c r="R45" i="70"/>
  <c r="M45" i="70"/>
  <c r="L45" i="70"/>
  <c r="K45" i="70"/>
  <c r="J45" i="70"/>
  <c r="I45" i="70"/>
  <c r="H45" i="70"/>
  <c r="S44" i="70"/>
  <c r="R44" i="70"/>
  <c r="M44" i="70"/>
  <c r="L44" i="70"/>
  <c r="K44" i="70"/>
  <c r="J44" i="70"/>
  <c r="I44" i="70"/>
  <c r="H44" i="70"/>
  <c r="S43" i="70"/>
  <c r="R43" i="70"/>
  <c r="M43" i="70"/>
  <c r="L43" i="70"/>
  <c r="K43" i="70"/>
  <c r="J43" i="70"/>
  <c r="I43" i="70"/>
  <c r="H43" i="70"/>
  <c r="S42" i="70"/>
  <c r="R42" i="70"/>
  <c r="M42" i="70"/>
  <c r="L42" i="70"/>
  <c r="K42" i="70"/>
  <c r="J42" i="70"/>
  <c r="I42" i="70"/>
  <c r="H42" i="70"/>
  <c r="S41" i="70"/>
  <c r="R41" i="70"/>
  <c r="M41" i="70"/>
  <c r="L41" i="70"/>
  <c r="K41" i="70"/>
  <c r="J41" i="70"/>
  <c r="I41" i="70"/>
  <c r="H41" i="70"/>
  <c r="S40" i="70"/>
  <c r="R40" i="70"/>
  <c r="M40" i="70"/>
  <c r="L40" i="70"/>
  <c r="K40" i="70"/>
  <c r="J40" i="70"/>
  <c r="I40" i="70"/>
  <c r="H40" i="70"/>
  <c r="S39" i="70"/>
  <c r="R39" i="70"/>
  <c r="M39" i="70"/>
  <c r="L39" i="70"/>
  <c r="K39" i="70"/>
  <c r="J39" i="70"/>
  <c r="I39" i="70"/>
  <c r="H39" i="70"/>
  <c r="S38" i="70"/>
  <c r="R38" i="70"/>
  <c r="M38" i="70"/>
  <c r="L38" i="70"/>
  <c r="K38" i="70"/>
  <c r="J38" i="70"/>
  <c r="I38" i="70"/>
  <c r="H38" i="70"/>
  <c r="S37" i="70"/>
  <c r="R37" i="70"/>
  <c r="M37" i="70"/>
  <c r="L37" i="70"/>
  <c r="K37" i="70"/>
  <c r="J37" i="70"/>
  <c r="I37" i="70"/>
  <c r="H37" i="70"/>
  <c r="S36" i="70"/>
  <c r="R36" i="70"/>
  <c r="M36" i="70"/>
  <c r="L36" i="70"/>
  <c r="K36" i="70"/>
  <c r="J36" i="70"/>
  <c r="I36" i="70"/>
  <c r="H36" i="70"/>
  <c r="S35" i="70"/>
  <c r="R35" i="70"/>
  <c r="M35" i="70"/>
  <c r="L35" i="70"/>
  <c r="K35" i="70"/>
  <c r="J35" i="70"/>
  <c r="I35" i="70"/>
  <c r="H35" i="70"/>
  <c r="S34" i="70"/>
  <c r="R34" i="70"/>
  <c r="M34" i="70"/>
  <c r="L34" i="70"/>
  <c r="K34" i="70"/>
  <c r="J34" i="70"/>
  <c r="I34" i="70"/>
  <c r="H34" i="70"/>
  <c r="S33" i="70"/>
  <c r="R33" i="70"/>
  <c r="M33" i="70"/>
  <c r="L33" i="70"/>
  <c r="K33" i="70"/>
  <c r="J33" i="70"/>
  <c r="I33" i="70"/>
  <c r="H33" i="70"/>
  <c r="S32" i="70"/>
  <c r="R32" i="70"/>
  <c r="M32" i="70"/>
  <c r="L32" i="70"/>
  <c r="K32" i="70"/>
  <c r="J32" i="70"/>
  <c r="I32" i="70"/>
  <c r="H32" i="70"/>
  <c r="S31" i="70"/>
  <c r="R31" i="70"/>
  <c r="M31" i="70"/>
  <c r="L31" i="70"/>
  <c r="K31" i="70"/>
  <c r="J31" i="70"/>
  <c r="I31" i="70"/>
  <c r="H31" i="70"/>
  <c r="S30" i="70"/>
  <c r="R30" i="70"/>
  <c r="M30" i="70"/>
  <c r="L30" i="70"/>
  <c r="K30" i="70"/>
  <c r="J30" i="70"/>
  <c r="I30" i="70"/>
  <c r="H30" i="70"/>
  <c r="S29" i="70"/>
  <c r="R29" i="70"/>
  <c r="M29" i="70"/>
  <c r="L29" i="70"/>
  <c r="K29" i="70"/>
  <c r="J29" i="70"/>
  <c r="I29" i="70"/>
  <c r="H29" i="70"/>
  <c r="S28" i="70"/>
  <c r="R28" i="70"/>
  <c r="M28" i="70"/>
  <c r="L28" i="70"/>
  <c r="K28" i="70"/>
  <c r="J28" i="70"/>
  <c r="I28" i="70"/>
  <c r="H28" i="70"/>
  <c r="S27" i="70"/>
  <c r="R27" i="70"/>
  <c r="M27" i="70"/>
  <c r="L27" i="70"/>
  <c r="K27" i="70"/>
  <c r="J27" i="70"/>
  <c r="I27" i="70"/>
  <c r="H27" i="70"/>
  <c r="S26" i="70"/>
  <c r="R26" i="70"/>
  <c r="M26" i="70"/>
  <c r="L26" i="70"/>
  <c r="K26" i="70"/>
  <c r="J26" i="70"/>
  <c r="I26" i="70"/>
  <c r="H26" i="70"/>
  <c r="S25" i="70"/>
  <c r="R25" i="70"/>
  <c r="M25" i="70"/>
  <c r="L25" i="70"/>
  <c r="K25" i="70"/>
  <c r="J25" i="70"/>
  <c r="I25" i="70"/>
  <c r="H25" i="70"/>
  <c r="S24" i="70"/>
  <c r="R24" i="70"/>
  <c r="M24" i="70"/>
  <c r="L24" i="70"/>
  <c r="K24" i="70"/>
  <c r="J24" i="70"/>
  <c r="I24" i="70"/>
  <c r="H24" i="70"/>
  <c r="S23" i="70"/>
  <c r="R23" i="70"/>
  <c r="M23" i="70"/>
  <c r="L23" i="70"/>
  <c r="K23" i="70"/>
  <c r="J23" i="70"/>
  <c r="I23" i="70"/>
  <c r="H23" i="70"/>
  <c r="S22" i="70"/>
  <c r="R22" i="70"/>
  <c r="M22" i="70"/>
  <c r="L22" i="70"/>
  <c r="K22" i="70"/>
  <c r="J22" i="70"/>
  <c r="I22" i="70"/>
  <c r="H22" i="70"/>
  <c r="S21" i="70"/>
  <c r="R21" i="70"/>
  <c r="M21" i="70"/>
  <c r="L21" i="70"/>
  <c r="K21" i="70"/>
  <c r="J21" i="70"/>
  <c r="I21" i="70"/>
  <c r="H21" i="70"/>
  <c r="S20" i="70"/>
  <c r="R20" i="70"/>
  <c r="M20" i="70"/>
  <c r="L20" i="70"/>
  <c r="K20" i="70"/>
  <c r="J20" i="70"/>
  <c r="I20" i="70"/>
  <c r="H20" i="70"/>
  <c r="S19" i="70"/>
  <c r="R19" i="70"/>
  <c r="M19" i="70"/>
  <c r="L19" i="70"/>
  <c r="K19" i="70"/>
  <c r="J19" i="70"/>
  <c r="I19" i="70"/>
  <c r="H19" i="70"/>
  <c r="J18" i="70"/>
  <c r="R18" i="70" s="1"/>
  <c r="I18" i="70"/>
  <c r="H18" i="70"/>
  <c r="J17" i="70"/>
  <c r="R17" i="70" s="1"/>
  <c r="I17" i="70"/>
  <c r="H17" i="70"/>
  <c r="I16" i="70"/>
  <c r="J16" i="70" s="1"/>
  <c r="R16" i="70" s="1"/>
  <c r="H16" i="70"/>
  <c r="I15" i="70"/>
  <c r="J15" i="70" s="1"/>
  <c r="R15" i="70" s="1"/>
  <c r="H15" i="70"/>
  <c r="I14" i="70"/>
  <c r="J14" i="70" s="1"/>
  <c r="R14" i="70" s="1"/>
  <c r="H14" i="70"/>
  <c r="I13" i="70"/>
  <c r="J13" i="70" s="1"/>
  <c r="R13" i="70" s="1"/>
  <c r="H13" i="70"/>
  <c r="I12" i="70"/>
  <c r="J12" i="70" s="1"/>
  <c r="R12" i="70" s="1"/>
  <c r="H12" i="70"/>
  <c r="I11" i="70"/>
  <c r="J11" i="70" s="1"/>
  <c r="R11" i="70" s="1"/>
  <c r="H11" i="70"/>
  <c r="I10" i="70"/>
  <c r="H10" i="70"/>
  <c r="I9" i="70"/>
  <c r="H9" i="70"/>
  <c r="I8" i="70"/>
  <c r="H8" i="70"/>
  <c r="I7" i="70"/>
  <c r="L7" i="70" s="1"/>
  <c r="H7" i="70"/>
  <c r="K7" i="70" s="1"/>
  <c r="J10" i="70" l="1"/>
  <c r="R10" i="70" s="1"/>
  <c r="L8" i="70"/>
  <c r="L9" i="70" s="1"/>
  <c r="J9" i="70"/>
  <c r="R9" i="70" s="1"/>
  <c r="K8" i="70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J8" i="70"/>
  <c r="R8" i="70" s="1"/>
  <c r="J7" i="70"/>
  <c r="M7" i="70"/>
  <c r="S7" i="70" s="1"/>
  <c r="S112" i="69"/>
  <c r="R112" i="69"/>
  <c r="M112" i="69"/>
  <c r="L112" i="69"/>
  <c r="K112" i="69"/>
  <c r="J112" i="69"/>
  <c r="I112" i="69"/>
  <c r="H112" i="69"/>
  <c r="S111" i="69"/>
  <c r="R111" i="69"/>
  <c r="M111" i="69"/>
  <c r="L111" i="69"/>
  <c r="K111" i="69"/>
  <c r="J111" i="69"/>
  <c r="I111" i="69"/>
  <c r="H111" i="69"/>
  <c r="S110" i="69"/>
  <c r="R110" i="69"/>
  <c r="M110" i="69"/>
  <c r="L110" i="69"/>
  <c r="K110" i="69"/>
  <c r="J110" i="69"/>
  <c r="I110" i="69"/>
  <c r="H110" i="69"/>
  <c r="S109" i="69"/>
  <c r="R109" i="69"/>
  <c r="M109" i="69"/>
  <c r="L109" i="69"/>
  <c r="K109" i="69"/>
  <c r="J109" i="69"/>
  <c r="I109" i="69"/>
  <c r="H109" i="69"/>
  <c r="S108" i="69"/>
  <c r="R108" i="69"/>
  <c r="M108" i="69"/>
  <c r="L108" i="69"/>
  <c r="K108" i="69"/>
  <c r="J108" i="69"/>
  <c r="I108" i="69"/>
  <c r="H108" i="69"/>
  <c r="S107" i="69"/>
  <c r="R107" i="69"/>
  <c r="M107" i="69"/>
  <c r="L107" i="69"/>
  <c r="K107" i="69"/>
  <c r="J107" i="69"/>
  <c r="I107" i="69"/>
  <c r="H107" i="69"/>
  <c r="S106" i="69"/>
  <c r="R106" i="69"/>
  <c r="M106" i="69"/>
  <c r="L106" i="69"/>
  <c r="K106" i="69"/>
  <c r="J106" i="69"/>
  <c r="I106" i="69"/>
  <c r="H106" i="69"/>
  <c r="S105" i="69"/>
  <c r="R105" i="69"/>
  <c r="M105" i="69"/>
  <c r="L105" i="69"/>
  <c r="K105" i="69"/>
  <c r="J105" i="69"/>
  <c r="I105" i="69"/>
  <c r="H105" i="69"/>
  <c r="S104" i="69"/>
  <c r="R104" i="69"/>
  <c r="M104" i="69"/>
  <c r="L104" i="69"/>
  <c r="K104" i="69"/>
  <c r="J104" i="69"/>
  <c r="I104" i="69"/>
  <c r="H104" i="69"/>
  <c r="S103" i="69"/>
  <c r="R103" i="69"/>
  <c r="M103" i="69"/>
  <c r="L103" i="69"/>
  <c r="K103" i="69"/>
  <c r="J103" i="69"/>
  <c r="I103" i="69"/>
  <c r="H103" i="69"/>
  <c r="S102" i="69"/>
  <c r="R102" i="69"/>
  <c r="M102" i="69"/>
  <c r="L102" i="69"/>
  <c r="K102" i="69"/>
  <c r="J102" i="69"/>
  <c r="I102" i="69"/>
  <c r="H102" i="69"/>
  <c r="S101" i="69"/>
  <c r="R101" i="69"/>
  <c r="M101" i="69"/>
  <c r="L101" i="69"/>
  <c r="K101" i="69"/>
  <c r="J101" i="69"/>
  <c r="I101" i="69"/>
  <c r="H101" i="69"/>
  <c r="S100" i="69"/>
  <c r="R100" i="69"/>
  <c r="M100" i="69"/>
  <c r="L100" i="69"/>
  <c r="K100" i="69"/>
  <c r="J100" i="69"/>
  <c r="I100" i="69"/>
  <c r="H100" i="69"/>
  <c r="S99" i="69"/>
  <c r="R99" i="69"/>
  <c r="M99" i="69"/>
  <c r="L99" i="69"/>
  <c r="K99" i="69"/>
  <c r="J99" i="69"/>
  <c r="I99" i="69"/>
  <c r="H99" i="69"/>
  <c r="S98" i="69"/>
  <c r="R98" i="69"/>
  <c r="M98" i="69"/>
  <c r="L98" i="69"/>
  <c r="K98" i="69"/>
  <c r="J98" i="69"/>
  <c r="I98" i="69"/>
  <c r="H98" i="69"/>
  <c r="S97" i="69"/>
  <c r="R97" i="69"/>
  <c r="M97" i="69"/>
  <c r="L97" i="69"/>
  <c r="K97" i="69"/>
  <c r="J97" i="69"/>
  <c r="I97" i="69"/>
  <c r="H97" i="69"/>
  <c r="S96" i="69"/>
  <c r="R96" i="69"/>
  <c r="M96" i="69"/>
  <c r="L96" i="69"/>
  <c r="K96" i="69"/>
  <c r="J96" i="69"/>
  <c r="I96" i="69"/>
  <c r="H96" i="69"/>
  <c r="S95" i="69"/>
  <c r="R95" i="69"/>
  <c r="M95" i="69"/>
  <c r="L95" i="69"/>
  <c r="K95" i="69"/>
  <c r="J95" i="69"/>
  <c r="I95" i="69"/>
  <c r="H95" i="69"/>
  <c r="S94" i="69"/>
  <c r="R94" i="69"/>
  <c r="M94" i="69"/>
  <c r="L94" i="69"/>
  <c r="K94" i="69"/>
  <c r="J94" i="69"/>
  <c r="I94" i="69"/>
  <c r="H94" i="69"/>
  <c r="S93" i="69"/>
  <c r="R93" i="69"/>
  <c r="M93" i="69"/>
  <c r="L93" i="69"/>
  <c r="K93" i="69"/>
  <c r="J93" i="69"/>
  <c r="I93" i="69"/>
  <c r="H93" i="69"/>
  <c r="S92" i="69"/>
  <c r="R92" i="69"/>
  <c r="M92" i="69"/>
  <c r="L92" i="69"/>
  <c r="K92" i="69"/>
  <c r="J92" i="69"/>
  <c r="I92" i="69"/>
  <c r="H92" i="69"/>
  <c r="S91" i="69"/>
  <c r="R91" i="69"/>
  <c r="M91" i="69"/>
  <c r="L91" i="69"/>
  <c r="K91" i="69"/>
  <c r="J91" i="69"/>
  <c r="I91" i="69"/>
  <c r="H91" i="69"/>
  <c r="S90" i="69"/>
  <c r="R90" i="69"/>
  <c r="M90" i="69"/>
  <c r="L90" i="69"/>
  <c r="K90" i="69"/>
  <c r="J90" i="69"/>
  <c r="I90" i="69"/>
  <c r="H90" i="69"/>
  <c r="S89" i="69"/>
  <c r="R89" i="69"/>
  <c r="M89" i="69"/>
  <c r="L89" i="69"/>
  <c r="K89" i="69"/>
  <c r="J89" i="69"/>
  <c r="I89" i="69"/>
  <c r="H89" i="69"/>
  <c r="S88" i="69"/>
  <c r="R88" i="69"/>
  <c r="M88" i="69"/>
  <c r="L88" i="69"/>
  <c r="K88" i="69"/>
  <c r="J88" i="69"/>
  <c r="I88" i="69"/>
  <c r="H88" i="69"/>
  <c r="S87" i="69"/>
  <c r="R87" i="69"/>
  <c r="M87" i="69"/>
  <c r="L87" i="69"/>
  <c r="K87" i="69"/>
  <c r="J87" i="69"/>
  <c r="I87" i="69"/>
  <c r="H87" i="69"/>
  <c r="S86" i="69"/>
  <c r="R86" i="69"/>
  <c r="M86" i="69"/>
  <c r="L86" i="69"/>
  <c r="K86" i="69"/>
  <c r="J86" i="69"/>
  <c r="I86" i="69"/>
  <c r="H86" i="69"/>
  <c r="S85" i="69"/>
  <c r="R85" i="69"/>
  <c r="M85" i="69"/>
  <c r="L85" i="69"/>
  <c r="K85" i="69"/>
  <c r="J85" i="69"/>
  <c r="I85" i="69"/>
  <c r="H85" i="69"/>
  <c r="S84" i="69"/>
  <c r="R84" i="69"/>
  <c r="M84" i="69"/>
  <c r="L84" i="69"/>
  <c r="K84" i="69"/>
  <c r="J84" i="69"/>
  <c r="I84" i="69"/>
  <c r="H84" i="69"/>
  <c r="S83" i="69"/>
  <c r="R83" i="69"/>
  <c r="M83" i="69"/>
  <c r="L83" i="69"/>
  <c r="K83" i="69"/>
  <c r="J83" i="69"/>
  <c r="I83" i="69"/>
  <c r="H83" i="69"/>
  <c r="S82" i="69"/>
  <c r="R82" i="69"/>
  <c r="M82" i="69"/>
  <c r="L82" i="69"/>
  <c r="K82" i="69"/>
  <c r="J82" i="69"/>
  <c r="I82" i="69"/>
  <c r="H82" i="69"/>
  <c r="S81" i="69"/>
  <c r="R81" i="69"/>
  <c r="M81" i="69"/>
  <c r="L81" i="69"/>
  <c r="K81" i="69"/>
  <c r="J81" i="69"/>
  <c r="I81" i="69"/>
  <c r="H81" i="69"/>
  <c r="S80" i="69"/>
  <c r="R80" i="69"/>
  <c r="M80" i="69"/>
  <c r="L80" i="69"/>
  <c r="K80" i="69"/>
  <c r="J80" i="69"/>
  <c r="I80" i="69"/>
  <c r="H80" i="69"/>
  <c r="S79" i="69"/>
  <c r="R79" i="69"/>
  <c r="M79" i="69"/>
  <c r="L79" i="69"/>
  <c r="K79" i="69"/>
  <c r="J79" i="69"/>
  <c r="I79" i="69"/>
  <c r="H79" i="69"/>
  <c r="S78" i="69"/>
  <c r="R78" i="69"/>
  <c r="M78" i="69"/>
  <c r="L78" i="69"/>
  <c r="K78" i="69"/>
  <c r="J78" i="69"/>
  <c r="I78" i="69"/>
  <c r="H78" i="69"/>
  <c r="S77" i="69"/>
  <c r="R77" i="69"/>
  <c r="M77" i="69"/>
  <c r="L77" i="69"/>
  <c r="K77" i="69"/>
  <c r="J77" i="69"/>
  <c r="I77" i="69"/>
  <c r="H77" i="69"/>
  <c r="S76" i="69"/>
  <c r="R76" i="69"/>
  <c r="M76" i="69"/>
  <c r="L76" i="69"/>
  <c r="K76" i="69"/>
  <c r="J76" i="69"/>
  <c r="I76" i="69"/>
  <c r="H76" i="69"/>
  <c r="S75" i="69"/>
  <c r="R75" i="69"/>
  <c r="M75" i="69"/>
  <c r="L75" i="69"/>
  <c r="K75" i="69"/>
  <c r="J75" i="69"/>
  <c r="I75" i="69"/>
  <c r="H75" i="69"/>
  <c r="S74" i="69"/>
  <c r="R74" i="69"/>
  <c r="M74" i="69"/>
  <c r="L74" i="69"/>
  <c r="K74" i="69"/>
  <c r="J74" i="69"/>
  <c r="I74" i="69"/>
  <c r="H74" i="69"/>
  <c r="S73" i="69"/>
  <c r="R73" i="69"/>
  <c r="M73" i="69"/>
  <c r="L73" i="69"/>
  <c r="K73" i="69"/>
  <c r="J73" i="69"/>
  <c r="I73" i="69"/>
  <c r="H73" i="69"/>
  <c r="S72" i="69"/>
  <c r="R72" i="69"/>
  <c r="M72" i="69"/>
  <c r="L72" i="69"/>
  <c r="K72" i="69"/>
  <c r="J72" i="69"/>
  <c r="I72" i="69"/>
  <c r="H72" i="69"/>
  <c r="S71" i="69"/>
  <c r="R71" i="69"/>
  <c r="M71" i="69"/>
  <c r="L71" i="69"/>
  <c r="K71" i="69"/>
  <c r="J71" i="69"/>
  <c r="I71" i="69"/>
  <c r="H71" i="69"/>
  <c r="S70" i="69"/>
  <c r="R70" i="69"/>
  <c r="M70" i="69"/>
  <c r="L70" i="69"/>
  <c r="K70" i="69"/>
  <c r="J70" i="69"/>
  <c r="I70" i="69"/>
  <c r="H70" i="69"/>
  <c r="S69" i="69"/>
  <c r="R69" i="69"/>
  <c r="M69" i="69"/>
  <c r="L69" i="69"/>
  <c r="K69" i="69"/>
  <c r="J69" i="69"/>
  <c r="I69" i="69"/>
  <c r="H69" i="69"/>
  <c r="S68" i="69"/>
  <c r="R68" i="69"/>
  <c r="M68" i="69"/>
  <c r="L68" i="69"/>
  <c r="K68" i="69"/>
  <c r="J68" i="69"/>
  <c r="I68" i="69"/>
  <c r="H68" i="69"/>
  <c r="S67" i="69"/>
  <c r="R67" i="69"/>
  <c r="M67" i="69"/>
  <c r="L67" i="69"/>
  <c r="K67" i="69"/>
  <c r="J67" i="69"/>
  <c r="I67" i="69"/>
  <c r="H67" i="69"/>
  <c r="S66" i="69"/>
  <c r="R66" i="69"/>
  <c r="M66" i="69"/>
  <c r="L66" i="69"/>
  <c r="K66" i="69"/>
  <c r="J66" i="69"/>
  <c r="I66" i="69"/>
  <c r="H66" i="69"/>
  <c r="S65" i="69"/>
  <c r="R65" i="69"/>
  <c r="M65" i="69"/>
  <c r="L65" i="69"/>
  <c r="K65" i="69"/>
  <c r="J65" i="69"/>
  <c r="I65" i="69"/>
  <c r="H65" i="69"/>
  <c r="S64" i="69"/>
  <c r="R64" i="69"/>
  <c r="M64" i="69"/>
  <c r="L64" i="69"/>
  <c r="K64" i="69"/>
  <c r="J64" i="69"/>
  <c r="I64" i="69"/>
  <c r="H64" i="69"/>
  <c r="S63" i="69"/>
  <c r="R63" i="69"/>
  <c r="M63" i="69"/>
  <c r="L63" i="69"/>
  <c r="K63" i="69"/>
  <c r="J63" i="69"/>
  <c r="I63" i="69"/>
  <c r="H63" i="69"/>
  <c r="S62" i="69"/>
  <c r="R62" i="69"/>
  <c r="M62" i="69"/>
  <c r="L62" i="69"/>
  <c r="K62" i="69"/>
  <c r="J62" i="69"/>
  <c r="I62" i="69"/>
  <c r="H62" i="69"/>
  <c r="S61" i="69"/>
  <c r="R61" i="69"/>
  <c r="M61" i="69"/>
  <c r="L61" i="69"/>
  <c r="K61" i="69"/>
  <c r="J61" i="69"/>
  <c r="I61" i="69"/>
  <c r="H61" i="69"/>
  <c r="S60" i="69"/>
  <c r="R60" i="69"/>
  <c r="M60" i="69"/>
  <c r="L60" i="69"/>
  <c r="K60" i="69"/>
  <c r="J60" i="69"/>
  <c r="I60" i="69"/>
  <c r="H60" i="69"/>
  <c r="S59" i="69"/>
  <c r="R59" i="69"/>
  <c r="M59" i="69"/>
  <c r="L59" i="69"/>
  <c r="K59" i="69"/>
  <c r="J59" i="69"/>
  <c r="I59" i="69"/>
  <c r="H59" i="69"/>
  <c r="S58" i="69"/>
  <c r="R58" i="69"/>
  <c r="M58" i="69"/>
  <c r="L58" i="69"/>
  <c r="K58" i="69"/>
  <c r="J58" i="69"/>
  <c r="I58" i="69"/>
  <c r="H58" i="69"/>
  <c r="S57" i="69"/>
  <c r="R57" i="69"/>
  <c r="M57" i="69"/>
  <c r="L57" i="69"/>
  <c r="K57" i="69"/>
  <c r="J57" i="69"/>
  <c r="I57" i="69"/>
  <c r="H57" i="69"/>
  <c r="S56" i="69"/>
  <c r="R56" i="69"/>
  <c r="M56" i="69"/>
  <c r="L56" i="69"/>
  <c r="K56" i="69"/>
  <c r="J56" i="69"/>
  <c r="I56" i="69"/>
  <c r="H56" i="69"/>
  <c r="S55" i="69"/>
  <c r="R55" i="69"/>
  <c r="M55" i="69"/>
  <c r="L55" i="69"/>
  <c r="K55" i="69"/>
  <c r="J55" i="69"/>
  <c r="I55" i="69"/>
  <c r="H55" i="69"/>
  <c r="S54" i="69"/>
  <c r="R54" i="69"/>
  <c r="M54" i="69"/>
  <c r="L54" i="69"/>
  <c r="K54" i="69"/>
  <c r="J54" i="69"/>
  <c r="I54" i="69"/>
  <c r="H54" i="69"/>
  <c r="S53" i="69"/>
  <c r="R53" i="69"/>
  <c r="M53" i="69"/>
  <c r="L53" i="69"/>
  <c r="K53" i="69"/>
  <c r="J53" i="69"/>
  <c r="I53" i="69"/>
  <c r="H53" i="69"/>
  <c r="S52" i="69"/>
  <c r="R52" i="69"/>
  <c r="M52" i="69"/>
  <c r="L52" i="69"/>
  <c r="K52" i="69"/>
  <c r="J52" i="69"/>
  <c r="I52" i="69"/>
  <c r="H52" i="69"/>
  <c r="S51" i="69"/>
  <c r="R51" i="69"/>
  <c r="M51" i="69"/>
  <c r="L51" i="69"/>
  <c r="K51" i="69"/>
  <c r="J51" i="69"/>
  <c r="I51" i="69"/>
  <c r="H51" i="69"/>
  <c r="S50" i="69"/>
  <c r="R50" i="69"/>
  <c r="M50" i="69"/>
  <c r="L50" i="69"/>
  <c r="K50" i="69"/>
  <c r="J50" i="69"/>
  <c r="I50" i="69"/>
  <c r="H50" i="69"/>
  <c r="S49" i="69"/>
  <c r="R49" i="69"/>
  <c r="M49" i="69"/>
  <c r="L49" i="69"/>
  <c r="K49" i="69"/>
  <c r="J49" i="69"/>
  <c r="I49" i="69"/>
  <c r="H49" i="69"/>
  <c r="S48" i="69"/>
  <c r="R48" i="69"/>
  <c r="M48" i="69"/>
  <c r="L48" i="69"/>
  <c r="K48" i="69"/>
  <c r="J48" i="69"/>
  <c r="I48" i="69"/>
  <c r="H48" i="69"/>
  <c r="S47" i="69"/>
  <c r="R47" i="69"/>
  <c r="M47" i="69"/>
  <c r="L47" i="69"/>
  <c r="K47" i="69"/>
  <c r="J47" i="69"/>
  <c r="I47" i="69"/>
  <c r="H47" i="69"/>
  <c r="S46" i="69"/>
  <c r="R46" i="69"/>
  <c r="M46" i="69"/>
  <c r="L46" i="69"/>
  <c r="K46" i="69"/>
  <c r="J46" i="69"/>
  <c r="I46" i="69"/>
  <c r="H46" i="69"/>
  <c r="S45" i="69"/>
  <c r="R45" i="69"/>
  <c r="M45" i="69"/>
  <c r="L45" i="69"/>
  <c r="K45" i="69"/>
  <c r="J45" i="69"/>
  <c r="I45" i="69"/>
  <c r="H45" i="69"/>
  <c r="S44" i="69"/>
  <c r="R44" i="69"/>
  <c r="M44" i="69"/>
  <c r="L44" i="69"/>
  <c r="K44" i="69"/>
  <c r="J44" i="69"/>
  <c r="I44" i="69"/>
  <c r="H44" i="69"/>
  <c r="S43" i="69"/>
  <c r="R43" i="69"/>
  <c r="M43" i="69"/>
  <c r="L43" i="69"/>
  <c r="K43" i="69"/>
  <c r="J43" i="69"/>
  <c r="I43" i="69"/>
  <c r="H43" i="69"/>
  <c r="S42" i="69"/>
  <c r="R42" i="69"/>
  <c r="M42" i="69"/>
  <c r="L42" i="69"/>
  <c r="K42" i="69"/>
  <c r="J42" i="69"/>
  <c r="I42" i="69"/>
  <c r="H42" i="69"/>
  <c r="S41" i="69"/>
  <c r="R41" i="69"/>
  <c r="M41" i="69"/>
  <c r="L41" i="69"/>
  <c r="K41" i="69"/>
  <c r="J41" i="69"/>
  <c r="I41" i="69"/>
  <c r="H41" i="69"/>
  <c r="S40" i="69"/>
  <c r="R40" i="69"/>
  <c r="M40" i="69"/>
  <c r="L40" i="69"/>
  <c r="K40" i="69"/>
  <c r="J40" i="69"/>
  <c r="I40" i="69"/>
  <c r="H40" i="69"/>
  <c r="S39" i="69"/>
  <c r="R39" i="69"/>
  <c r="S38" i="69"/>
  <c r="R38" i="69"/>
  <c r="S37" i="69"/>
  <c r="R37" i="69"/>
  <c r="S36" i="69"/>
  <c r="R36" i="69"/>
  <c r="S35" i="69"/>
  <c r="R35" i="69"/>
  <c r="S34" i="69"/>
  <c r="R34" i="69"/>
  <c r="S33" i="69"/>
  <c r="R33" i="69"/>
  <c r="S32" i="69"/>
  <c r="R32" i="69"/>
  <c r="S31" i="69"/>
  <c r="R31" i="69"/>
  <c r="S30" i="69"/>
  <c r="R30" i="69"/>
  <c r="S29" i="69"/>
  <c r="R29" i="69"/>
  <c r="S28" i="69"/>
  <c r="R28" i="69"/>
  <c r="S27" i="69"/>
  <c r="R27" i="69"/>
  <c r="S26" i="69"/>
  <c r="R26" i="69"/>
  <c r="S25" i="69"/>
  <c r="R25" i="69"/>
  <c r="S24" i="69"/>
  <c r="R24" i="69"/>
  <c r="S23" i="69"/>
  <c r="R23" i="69"/>
  <c r="S22" i="69"/>
  <c r="R22" i="69"/>
  <c r="S21" i="69"/>
  <c r="R21" i="69"/>
  <c r="S20" i="69"/>
  <c r="R20" i="69"/>
  <c r="S19" i="69"/>
  <c r="R19" i="69"/>
  <c r="S18" i="69"/>
  <c r="R18" i="69"/>
  <c r="S17" i="69"/>
  <c r="R17" i="69"/>
  <c r="S16" i="69"/>
  <c r="R16" i="69"/>
  <c r="S15" i="69"/>
  <c r="R15" i="69"/>
  <c r="S14" i="69"/>
  <c r="R14" i="69"/>
  <c r="S13" i="69"/>
  <c r="R13" i="69"/>
  <c r="S12" i="69"/>
  <c r="R12" i="69"/>
  <c r="S11" i="69"/>
  <c r="R11" i="69"/>
  <c r="S10" i="69"/>
  <c r="R10" i="69"/>
  <c r="S9" i="69"/>
  <c r="R9" i="69"/>
  <c r="S8" i="69"/>
  <c r="R8" i="69"/>
  <c r="S7" i="69"/>
  <c r="R7" i="69"/>
  <c r="M8" i="70" l="1"/>
  <c r="S8" i="70" s="1"/>
  <c r="M9" i="70"/>
  <c r="S9" i="70" s="1"/>
  <c r="L10" i="70"/>
  <c r="S112" i="67"/>
  <c r="R112" i="67"/>
  <c r="M112" i="67"/>
  <c r="L112" i="67"/>
  <c r="K112" i="67"/>
  <c r="J112" i="67"/>
  <c r="I112" i="67"/>
  <c r="H112" i="67"/>
  <c r="S111" i="67"/>
  <c r="R111" i="67"/>
  <c r="M111" i="67"/>
  <c r="L111" i="67"/>
  <c r="K111" i="67"/>
  <c r="J111" i="67"/>
  <c r="I111" i="67"/>
  <c r="H111" i="67"/>
  <c r="S110" i="67"/>
  <c r="R110" i="67"/>
  <c r="M110" i="67"/>
  <c r="L110" i="67"/>
  <c r="K110" i="67"/>
  <c r="J110" i="67"/>
  <c r="I110" i="67"/>
  <c r="H110" i="67"/>
  <c r="S109" i="67"/>
  <c r="R109" i="67"/>
  <c r="M109" i="67"/>
  <c r="L109" i="67"/>
  <c r="K109" i="67"/>
  <c r="J109" i="67"/>
  <c r="I109" i="67"/>
  <c r="H109" i="67"/>
  <c r="S108" i="67"/>
  <c r="R108" i="67"/>
  <c r="M108" i="67"/>
  <c r="L108" i="67"/>
  <c r="K108" i="67"/>
  <c r="J108" i="67"/>
  <c r="I108" i="67"/>
  <c r="H108" i="67"/>
  <c r="S107" i="67"/>
  <c r="R107" i="67"/>
  <c r="M107" i="67"/>
  <c r="L107" i="67"/>
  <c r="K107" i="67"/>
  <c r="J107" i="67"/>
  <c r="I107" i="67"/>
  <c r="H107" i="67"/>
  <c r="S106" i="67"/>
  <c r="R106" i="67"/>
  <c r="M106" i="67"/>
  <c r="L106" i="67"/>
  <c r="K106" i="67"/>
  <c r="J106" i="67"/>
  <c r="I106" i="67"/>
  <c r="H106" i="67"/>
  <c r="S105" i="67"/>
  <c r="R105" i="67"/>
  <c r="M105" i="67"/>
  <c r="L105" i="67"/>
  <c r="K105" i="67"/>
  <c r="J105" i="67"/>
  <c r="I105" i="67"/>
  <c r="H105" i="67"/>
  <c r="S104" i="67"/>
  <c r="R104" i="67"/>
  <c r="M104" i="67"/>
  <c r="L104" i="67"/>
  <c r="K104" i="67"/>
  <c r="J104" i="67"/>
  <c r="I104" i="67"/>
  <c r="H104" i="67"/>
  <c r="S103" i="67"/>
  <c r="R103" i="67"/>
  <c r="M103" i="67"/>
  <c r="L103" i="67"/>
  <c r="K103" i="67"/>
  <c r="J103" i="67"/>
  <c r="I103" i="67"/>
  <c r="H103" i="67"/>
  <c r="S102" i="67"/>
  <c r="R102" i="67"/>
  <c r="M102" i="67"/>
  <c r="L102" i="67"/>
  <c r="K102" i="67"/>
  <c r="J102" i="67"/>
  <c r="I102" i="67"/>
  <c r="H102" i="67"/>
  <c r="S101" i="67"/>
  <c r="R101" i="67"/>
  <c r="M101" i="67"/>
  <c r="L101" i="67"/>
  <c r="K101" i="67"/>
  <c r="J101" i="67"/>
  <c r="I101" i="67"/>
  <c r="H101" i="67"/>
  <c r="S100" i="67"/>
  <c r="R100" i="67"/>
  <c r="M100" i="67"/>
  <c r="L100" i="67"/>
  <c r="K100" i="67"/>
  <c r="J100" i="67"/>
  <c r="I100" i="67"/>
  <c r="H100" i="67"/>
  <c r="S99" i="67"/>
  <c r="R99" i="67"/>
  <c r="M99" i="67"/>
  <c r="L99" i="67"/>
  <c r="K99" i="67"/>
  <c r="J99" i="67"/>
  <c r="I99" i="67"/>
  <c r="H99" i="67"/>
  <c r="S98" i="67"/>
  <c r="R98" i="67"/>
  <c r="M98" i="67"/>
  <c r="L98" i="67"/>
  <c r="K98" i="67"/>
  <c r="J98" i="67"/>
  <c r="I98" i="67"/>
  <c r="H98" i="67"/>
  <c r="S97" i="67"/>
  <c r="R97" i="67"/>
  <c r="M97" i="67"/>
  <c r="L97" i="67"/>
  <c r="K97" i="67"/>
  <c r="J97" i="67"/>
  <c r="I97" i="67"/>
  <c r="H97" i="67"/>
  <c r="S96" i="67"/>
  <c r="R96" i="67"/>
  <c r="M96" i="67"/>
  <c r="L96" i="67"/>
  <c r="K96" i="67"/>
  <c r="J96" i="67"/>
  <c r="I96" i="67"/>
  <c r="H96" i="67"/>
  <c r="S95" i="67"/>
  <c r="R95" i="67"/>
  <c r="M95" i="67"/>
  <c r="L95" i="67"/>
  <c r="K95" i="67"/>
  <c r="J95" i="67"/>
  <c r="I95" i="67"/>
  <c r="H95" i="67"/>
  <c r="S94" i="67"/>
  <c r="R94" i="67"/>
  <c r="M94" i="67"/>
  <c r="L94" i="67"/>
  <c r="K94" i="67"/>
  <c r="J94" i="67"/>
  <c r="I94" i="67"/>
  <c r="H94" i="67"/>
  <c r="S93" i="67"/>
  <c r="R93" i="67"/>
  <c r="M93" i="67"/>
  <c r="L93" i="67"/>
  <c r="K93" i="67"/>
  <c r="J93" i="67"/>
  <c r="I93" i="67"/>
  <c r="H93" i="67"/>
  <c r="S92" i="67"/>
  <c r="R92" i="67"/>
  <c r="M92" i="67"/>
  <c r="L92" i="67"/>
  <c r="K92" i="67"/>
  <c r="J92" i="67"/>
  <c r="I92" i="67"/>
  <c r="H92" i="67"/>
  <c r="S91" i="67"/>
  <c r="R91" i="67"/>
  <c r="M91" i="67"/>
  <c r="L91" i="67"/>
  <c r="K91" i="67"/>
  <c r="J91" i="67"/>
  <c r="I91" i="67"/>
  <c r="H91" i="67"/>
  <c r="S90" i="67"/>
  <c r="R90" i="67"/>
  <c r="M90" i="67"/>
  <c r="L90" i="67"/>
  <c r="K90" i="67"/>
  <c r="J90" i="67"/>
  <c r="I90" i="67"/>
  <c r="H90" i="67"/>
  <c r="S89" i="67"/>
  <c r="R89" i="67"/>
  <c r="M89" i="67"/>
  <c r="L89" i="67"/>
  <c r="K89" i="67"/>
  <c r="J89" i="67"/>
  <c r="I89" i="67"/>
  <c r="H89" i="67"/>
  <c r="S88" i="67"/>
  <c r="R88" i="67"/>
  <c r="M88" i="67"/>
  <c r="L88" i="67"/>
  <c r="K88" i="67"/>
  <c r="J88" i="67"/>
  <c r="I88" i="67"/>
  <c r="H88" i="67"/>
  <c r="S87" i="67"/>
  <c r="R87" i="67"/>
  <c r="M87" i="67"/>
  <c r="L87" i="67"/>
  <c r="K87" i="67"/>
  <c r="J87" i="67"/>
  <c r="I87" i="67"/>
  <c r="H87" i="67"/>
  <c r="S86" i="67"/>
  <c r="R86" i="67"/>
  <c r="M86" i="67"/>
  <c r="L86" i="67"/>
  <c r="K86" i="67"/>
  <c r="J86" i="67"/>
  <c r="I86" i="67"/>
  <c r="H86" i="67"/>
  <c r="S85" i="67"/>
  <c r="R85" i="67"/>
  <c r="M85" i="67"/>
  <c r="L85" i="67"/>
  <c r="K85" i="67"/>
  <c r="J85" i="67"/>
  <c r="I85" i="67"/>
  <c r="H85" i="67"/>
  <c r="S84" i="67"/>
  <c r="R84" i="67"/>
  <c r="M84" i="67"/>
  <c r="L84" i="67"/>
  <c r="K84" i="67"/>
  <c r="J84" i="67"/>
  <c r="I84" i="67"/>
  <c r="H84" i="67"/>
  <c r="S83" i="67"/>
  <c r="R83" i="67"/>
  <c r="M83" i="67"/>
  <c r="L83" i="67"/>
  <c r="K83" i="67"/>
  <c r="J83" i="67"/>
  <c r="I83" i="67"/>
  <c r="H83" i="67"/>
  <c r="S82" i="67"/>
  <c r="R82" i="67"/>
  <c r="M82" i="67"/>
  <c r="L82" i="67"/>
  <c r="K82" i="67"/>
  <c r="J82" i="67"/>
  <c r="I82" i="67"/>
  <c r="H82" i="67"/>
  <c r="S81" i="67"/>
  <c r="R81" i="67"/>
  <c r="M81" i="67"/>
  <c r="L81" i="67"/>
  <c r="K81" i="67"/>
  <c r="J81" i="67"/>
  <c r="I81" i="67"/>
  <c r="H81" i="67"/>
  <c r="S80" i="67"/>
  <c r="R80" i="67"/>
  <c r="M80" i="67"/>
  <c r="L80" i="67"/>
  <c r="K80" i="67"/>
  <c r="J80" i="67"/>
  <c r="I80" i="67"/>
  <c r="H80" i="67"/>
  <c r="S79" i="67"/>
  <c r="R79" i="67"/>
  <c r="M79" i="67"/>
  <c r="L79" i="67"/>
  <c r="K79" i="67"/>
  <c r="J79" i="67"/>
  <c r="I79" i="67"/>
  <c r="H79" i="67"/>
  <c r="S78" i="67"/>
  <c r="R78" i="67"/>
  <c r="M78" i="67"/>
  <c r="L78" i="67"/>
  <c r="K78" i="67"/>
  <c r="J78" i="67"/>
  <c r="I78" i="67"/>
  <c r="H78" i="67"/>
  <c r="S77" i="67"/>
  <c r="R77" i="67"/>
  <c r="M77" i="67"/>
  <c r="L77" i="67"/>
  <c r="K77" i="67"/>
  <c r="J77" i="67"/>
  <c r="I77" i="67"/>
  <c r="H77" i="67"/>
  <c r="S76" i="67"/>
  <c r="R76" i="67"/>
  <c r="M76" i="67"/>
  <c r="L76" i="67"/>
  <c r="K76" i="67"/>
  <c r="J76" i="67"/>
  <c r="I76" i="67"/>
  <c r="H76" i="67"/>
  <c r="S75" i="67"/>
  <c r="R75" i="67"/>
  <c r="M75" i="67"/>
  <c r="L75" i="67"/>
  <c r="K75" i="67"/>
  <c r="J75" i="67"/>
  <c r="I75" i="67"/>
  <c r="H75" i="67"/>
  <c r="S74" i="67"/>
  <c r="R74" i="67"/>
  <c r="M74" i="67"/>
  <c r="L74" i="67"/>
  <c r="K74" i="67"/>
  <c r="J74" i="67"/>
  <c r="I74" i="67"/>
  <c r="H74" i="67"/>
  <c r="S73" i="67"/>
  <c r="R73" i="67"/>
  <c r="M73" i="67"/>
  <c r="L73" i="67"/>
  <c r="K73" i="67"/>
  <c r="J73" i="67"/>
  <c r="I73" i="67"/>
  <c r="H73" i="67"/>
  <c r="S72" i="67"/>
  <c r="R72" i="67"/>
  <c r="M72" i="67"/>
  <c r="L72" i="67"/>
  <c r="K72" i="67"/>
  <c r="J72" i="67"/>
  <c r="I72" i="67"/>
  <c r="H72" i="67"/>
  <c r="S71" i="67"/>
  <c r="R71" i="67"/>
  <c r="M71" i="67"/>
  <c r="L71" i="67"/>
  <c r="K71" i="67"/>
  <c r="J71" i="67"/>
  <c r="I71" i="67"/>
  <c r="H71" i="67"/>
  <c r="S70" i="67"/>
  <c r="R70" i="67"/>
  <c r="M70" i="67"/>
  <c r="L70" i="67"/>
  <c r="K70" i="67"/>
  <c r="J70" i="67"/>
  <c r="I70" i="67"/>
  <c r="H70" i="67"/>
  <c r="S69" i="67"/>
  <c r="R69" i="67"/>
  <c r="M69" i="67"/>
  <c r="L69" i="67"/>
  <c r="K69" i="67"/>
  <c r="J69" i="67"/>
  <c r="I69" i="67"/>
  <c r="H69" i="67"/>
  <c r="S68" i="67"/>
  <c r="R68" i="67"/>
  <c r="M68" i="67"/>
  <c r="L68" i="67"/>
  <c r="K68" i="67"/>
  <c r="J68" i="67"/>
  <c r="I68" i="67"/>
  <c r="H68" i="67"/>
  <c r="S67" i="67"/>
  <c r="R67" i="67"/>
  <c r="M67" i="67"/>
  <c r="L67" i="67"/>
  <c r="K67" i="67"/>
  <c r="J67" i="67"/>
  <c r="I67" i="67"/>
  <c r="H67" i="67"/>
  <c r="S66" i="67"/>
  <c r="R66" i="67"/>
  <c r="M66" i="67"/>
  <c r="L66" i="67"/>
  <c r="K66" i="67"/>
  <c r="J66" i="67"/>
  <c r="I66" i="67"/>
  <c r="H66" i="67"/>
  <c r="S65" i="67"/>
  <c r="R65" i="67"/>
  <c r="M65" i="67"/>
  <c r="L65" i="67"/>
  <c r="K65" i="67"/>
  <c r="J65" i="67"/>
  <c r="I65" i="67"/>
  <c r="H65" i="67"/>
  <c r="S64" i="67"/>
  <c r="R64" i="67"/>
  <c r="M64" i="67"/>
  <c r="L64" i="67"/>
  <c r="K64" i="67"/>
  <c r="J64" i="67"/>
  <c r="I64" i="67"/>
  <c r="H64" i="67"/>
  <c r="S63" i="67"/>
  <c r="R63" i="67"/>
  <c r="M63" i="67"/>
  <c r="L63" i="67"/>
  <c r="K63" i="67"/>
  <c r="J63" i="67"/>
  <c r="I63" i="67"/>
  <c r="H63" i="67"/>
  <c r="S62" i="67"/>
  <c r="R62" i="67"/>
  <c r="M62" i="67"/>
  <c r="L62" i="67"/>
  <c r="K62" i="67"/>
  <c r="J62" i="67"/>
  <c r="I62" i="67"/>
  <c r="H62" i="67"/>
  <c r="S61" i="67"/>
  <c r="R61" i="67"/>
  <c r="M61" i="67"/>
  <c r="L61" i="67"/>
  <c r="K61" i="67"/>
  <c r="J61" i="67"/>
  <c r="I61" i="67"/>
  <c r="H61" i="67"/>
  <c r="S60" i="67"/>
  <c r="R60" i="67"/>
  <c r="M60" i="67"/>
  <c r="L60" i="67"/>
  <c r="K60" i="67"/>
  <c r="J60" i="67"/>
  <c r="I60" i="67"/>
  <c r="H60" i="67"/>
  <c r="S59" i="67"/>
  <c r="R59" i="67"/>
  <c r="M59" i="67"/>
  <c r="L59" i="67"/>
  <c r="K59" i="67"/>
  <c r="J59" i="67"/>
  <c r="I59" i="67"/>
  <c r="H59" i="67"/>
  <c r="S58" i="67"/>
  <c r="R58" i="67"/>
  <c r="M58" i="67"/>
  <c r="L58" i="67"/>
  <c r="K58" i="67"/>
  <c r="J58" i="67"/>
  <c r="I58" i="67"/>
  <c r="H58" i="67"/>
  <c r="S57" i="67"/>
  <c r="R57" i="67"/>
  <c r="M57" i="67"/>
  <c r="L57" i="67"/>
  <c r="K57" i="67"/>
  <c r="J57" i="67"/>
  <c r="I57" i="67"/>
  <c r="H57" i="67"/>
  <c r="S56" i="67"/>
  <c r="R56" i="67"/>
  <c r="M56" i="67"/>
  <c r="L56" i="67"/>
  <c r="K56" i="67"/>
  <c r="J56" i="67"/>
  <c r="I56" i="67"/>
  <c r="H56" i="67"/>
  <c r="S55" i="67"/>
  <c r="R55" i="67"/>
  <c r="M55" i="67"/>
  <c r="L55" i="67"/>
  <c r="K55" i="67"/>
  <c r="J55" i="67"/>
  <c r="I55" i="67"/>
  <c r="H55" i="67"/>
  <c r="S54" i="67"/>
  <c r="R54" i="67"/>
  <c r="M54" i="67"/>
  <c r="L54" i="67"/>
  <c r="K54" i="67"/>
  <c r="J54" i="67"/>
  <c r="I54" i="67"/>
  <c r="H54" i="67"/>
  <c r="S53" i="67"/>
  <c r="R53" i="67"/>
  <c r="M53" i="67"/>
  <c r="L53" i="67"/>
  <c r="K53" i="67"/>
  <c r="J53" i="67"/>
  <c r="I53" i="67"/>
  <c r="H53" i="67"/>
  <c r="S52" i="67"/>
  <c r="R52" i="67"/>
  <c r="M52" i="67"/>
  <c r="L52" i="67"/>
  <c r="K52" i="67"/>
  <c r="J52" i="67"/>
  <c r="I52" i="67"/>
  <c r="H52" i="67"/>
  <c r="S51" i="67"/>
  <c r="R51" i="67"/>
  <c r="M51" i="67"/>
  <c r="L51" i="67"/>
  <c r="K51" i="67"/>
  <c r="J51" i="67"/>
  <c r="I51" i="67"/>
  <c r="H51" i="67"/>
  <c r="S50" i="67"/>
  <c r="R50" i="67"/>
  <c r="M50" i="67"/>
  <c r="L50" i="67"/>
  <c r="K50" i="67"/>
  <c r="J50" i="67"/>
  <c r="I50" i="67"/>
  <c r="H50" i="67"/>
  <c r="S49" i="67"/>
  <c r="R49" i="67"/>
  <c r="M49" i="67"/>
  <c r="L49" i="67"/>
  <c r="K49" i="67"/>
  <c r="J49" i="67"/>
  <c r="I49" i="67"/>
  <c r="H49" i="67"/>
  <c r="S48" i="67"/>
  <c r="R48" i="67"/>
  <c r="M48" i="67"/>
  <c r="L48" i="67"/>
  <c r="K48" i="67"/>
  <c r="J48" i="67"/>
  <c r="I48" i="67"/>
  <c r="H48" i="67"/>
  <c r="S47" i="67"/>
  <c r="R47" i="67"/>
  <c r="M47" i="67"/>
  <c r="L47" i="67"/>
  <c r="K47" i="67"/>
  <c r="J47" i="67"/>
  <c r="I47" i="67"/>
  <c r="H47" i="67"/>
  <c r="S46" i="67"/>
  <c r="R46" i="67"/>
  <c r="M46" i="67"/>
  <c r="L46" i="67"/>
  <c r="K46" i="67"/>
  <c r="J46" i="67"/>
  <c r="I46" i="67"/>
  <c r="H46" i="67"/>
  <c r="S45" i="67"/>
  <c r="R45" i="67"/>
  <c r="M45" i="67"/>
  <c r="L45" i="67"/>
  <c r="K45" i="67"/>
  <c r="J45" i="67"/>
  <c r="I45" i="67"/>
  <c r="H45" i="67"/>
  <c r="S44" i="67"/>
  <c r="R44" i="67"/>
  <c r="M44" i="67"/>
  <c r="L44" i="67"/>
  <c r="K44" i="67"/>
  <c r="J44" i="67"/>
  <c r="I44" i="67"/>
  <c r="H44" i="67"/>
  <c r="S43" i="67"/>
  <c r="R43" i="67"/>
  <c r="M43" i="67"/>
  <c r="L43" i="67"/>
  <c r="K43" i="67"/>
  <c r="J43" i="67"/>
  <c r="I43" i="67"/>
  <c r="H43" i="67"/>
  <c r="S42" i="67"/>
  <c r="R42" i="67"/>
  <c r="M42" i="67"/>
  <c r="L42" i="67"/>
  <c r="K42" i="67"/>
  <c r="J42" i="67"/>
  <c r="I42" i="67"/>
  <c r="H42" i="67"/>
  <c r="S41" i="67"/>
  <c r="R41" i="67"/>
  <c r="M41" i="67"/>
  <c r="L41" i="67"/>
  <c r="K41" i="67"/>
  <c r="J41" i="67"/>
  <c r="I41" i="67"/>
  <c r="H41" i="67"/>
  <c r="S40" i="67"/>
  <c r="R40" i="67"/>
  <c r="M40" i="67"/>
  <c r="L40" i="67"/>
  <c r="K40" i="67"/>
  <c r="J40" i="67"/>
  <c r="I40" i="67"/>
  <c r="H40" i="67"/>
  <c r="S39" i="67"/>
  <c r="R39" i="67"/>
  <c r="M39" i="67"/>
  <c r="L39" i="67"/>
  <c r="K39" i="67"/>
  <c r="J39" i="67"/>
  <c r="I39" i="67"/>
  <c r="H39" i="67"/>
  <c r="S38" i="67"/>
  <c r="R38" i="67"/>
  <c r="M38" i="67"/>
  <c r="L38" i="67"/>
  <c r="K38" i="67"/>
  <c r="J38" i="67"/>
  <c r="I38" i="67"/>
  <c r="H38" i="67"/>
  <c r="L37" i="67"/>
  <c r="M37" i="67" s="1"/>
  <c r="S37" i="67" s="1"/>
  <c r="K37" i="67"/>
  <c r="J37" i="67"/>
  <c r="R37" i="67" s="1"/>
  <c r="I37" i="67"/>
  <c r="H37" i="67"/>
  <c r="L36" i="67"/>
  <c r="M36" i="67" s="1"/>
  <c r="S36" i="67" s="1"/>
  <c r="K36" i="67"/>
  <c r="J36" i="67"/>
  <c r="R36" i="67" s="1"/>
  <c r="I36" i="67"/>
  <c r="H36" i="67"/>
  <c r="L35" i="67"/>
  <c r="M35" i="67" s="1"/>
  <c r="S35" i="67" s="1"/>
  <c r="K35" i="67"/>
  <c r="J35" i="67"/>
  <c r="R35" i="67" s="1"/>
  <c r="I35" i="67"/>
  <c r="H35" i="67"/>
  <c r="K34" i="67"/>
  <c r="I34" i="67"/>
  <c r="L34" i="67" s="1"/>
  <c r="M34" i="67" s="1"/>
  <c r="S34" i="67" s="1"/>
  <c r="H34" i="67"/>
  <c r="R33" i="67"/>
  <c r="L33" i="67"/>
  <c r="M33" i="67" s="1"/>
  <c r="S33" i="67" s="1"/>
  <c r="K33" i="67"/>
  <c r="I33" i="67"/>
  <c r="J33" i="67" s="1"/>
  <c r="H33" i="67"/>
  <c r="L32" i="67"/>
  <c r="M32" i="67" s="1"/>
  <c r="S32" i="67" s="1"/>
  <c r="K32" i="67"/>
  <c r="J32" i="67"/>
  <c r="R32" i="67" s="1"/>
  <c r="I32" i="67"/>
  <c r="H32" i="67"/>
  <c r="L31" i="67"/>
  <c r="M31" i="67" s="1"/>
  <c r="S31" i="67" s="1"/>
  <c r="K31" i="67"/>
  <c r="J31" i="67"/>
  <c r="R31" i="67" s="1"/>
  <c r="I31" i="67"/>
  <c r="H31" i="67"/>
  <c r="L30" i="67"/>
  <c r="M30" i="67" s="1"/>
  <c r="S30" i="67" s="1"/>
  <c r="K30" i="67"/>
  <c r="J30" i="67"/>
  <c r="R30" i="67" s="1"/>
  <c r="I30" i="67"/>
  <c r="H30" i="67"/>
  <c r="L29" i="67"/>
  <c r="M29" i="67" s="1"/>
  <c r="S29" i="67" s="1"/>
  <c r="K29" i="67"/>
  <c r="J29" i="67"/>
  <c r="R29" i="67" s="1"/>
  <c r="I29" i="67"/>
  <c r="H29" i="67"/>
  <c r="L28" i="67"/>
  <c r="M28" i="67" s="1"/>
  <c r="S28" i="67" s="1"/>
  <c r="K28" i="67"/>
  <c r="J28" i="67"/>
  <c r="R28" i="67" s="1"/>
  <c r="I28" i="67"/>
  <c r="H28" i="67"/>
  <c r="I27" i="67"/>
  <c r="H27" i="67"/>
  <c r="K27" i="67" s="1"/>
  <c r="L26" i="67"/>
  <c r="I26" i="67"/>
  <c r="H26" i="67"/>
  <c r="J26" i="67" s="1"/>
  <c r="R26" i="67" s="1"/>
  <c r="I25" i="67"/>
  <c r="J25" i="67" s="1"/>
  <c r="R25" i="67" s="1"/>
  <c r="H25" i="67"/>
  <c r="I24" i="67"/>
  <c r="H24" i="67"/>
  <c r="K24" i="67" s="1"/>
  <c r="K25" i="67" s="1"/>
  <c r="L23" i="67"/>
  <c r="M23" i="67" s="1"/>
  <c r="S23" i="67" s="1"/>
  <c r="K23" i="67"/>
  <c r="J23" i="67"/>
  <c r="R23" i="67" s="1"/>
  <c r="I23" i="67"/>
  <c r="H23" i="67"/>
  <c r="R22" i="67"/>
  <c r="L22" i="67"/>
  <c r="M22" i="67" s="1"/>
  <c r="S22" i="67" s="1"/>
  <c r="K22" i="67"/>
  <c r="J22" i="67"/>
  <c r="I22" i="67"/>
  <c r="H22" i="67"/>
  <c r="R21" i="67"/>
  <c r="L21" i="67"/>
  <c r="M21" i="67" s="1"/>
  <c r="S21" i="67" s="1"/>
  <c r="K21" i="67"/>
  <c r="J21" i="67"/>
  <c r="I21" i="67"/>
  <c r="H21" i="67"/>
  <c r="L20" i="67"/>
  <c r="I20" i="67"/>
  <c r="H20" i="67"/>
  <c r="K20" i="67" s="1"/>
  <c r="L19" i="67"/>
  <c r="K19" i="67"/>
  <c r="M19" i="67" s="1"/>
  <c r="S19" i="67" s="1"/>
  <c r="I19" i="67"/>
  <c r="H19" i="67"/>
  <c r="J19" i="67" s="1"/>
  <c r="R19" i="67" s="1"/>
  <c r="I18" i="67"/>
  <c r="J18" i="67" s="1"/>
  <c r="R18" i="67" s="1"/>
  <c r="H18" i="67"/>
  <c r="I17" i="67"/>
  <c r="J17" i="67" s="1"/>
  <c r="R17" i="67" s="1"/>
  <c r="H17" i="67"/>
  <c r="I16" i="67"/>
  <c r="H16" i="67"/>
  <c r="I15" i="67"/>
  <c r="J15" i="67" s="1"/>
  <c r="R15" i="67" s="1"/>
  <c r="H15" i="67"/>
  <c r="I14" i="67"/>
  <c r="J14" i="67" s="1"/>
  <c r="R14" i="67" s="1"/>
  <c r="H14" i="67"/>
  <c r="I13" i="67"/>
  <c r="H13" i="67"/>
  <c r="I12" i="67"/>
  <c r="H12" i="67"/>
  <c r="I11" i="67"/>
  <c r="H11" i="67"/>
  <c r="I10" i="67"/>
  <c r="H10" i="67"/>
  <c r="I9" i="67"/>
  <c r="H9" i="67"/>
  <c r="I8" i="67"/>
  <c r="H8" i="67"/>
  <c r="I7" i="67"/>
  <c r="L7" i="67" s="1"/>
  <c r="H7" i="67"/>
  <c r="K7" i="67" s="1"/>
  <c r="K8" i="67" s="1"/>
  <c r="J8" i="67" l="1"/>
  <c r="R8" i="67" s="1"/>
  <c r="L11" i="70"/>
  <c r="M10" i="70"/>
  <c r="S10" i="70" s="1"/>
  <c r="J11" i="67"/>
  <c r="R11" i="67" s="1"/>
  <c r="J10" i="67"/>
  <c r="R10" i="67" s="1"/>
  <c r="J34" i="67"/>
  <c r="R34" i="67" s="1"/>
  <c r="J27" i="67"/>
  <c r="R27" i="67" s="1"/>
  <c r="L27" i="67"/>
  <c r="M27" i="67" s="1"/>
  <c r="S27" i="67" s="1"/>
  <c r="K26" i="67"/>
  <c r="M26" i="67" s="1"/>
  <c r="S26" i="67" s="1"/>
  <c r="J24" i="67"/>
  <c r="R24" i="67" s="1"/>
  <c r="L24" i="67"/>
  <c r="M20" i="67"/>
  <c r="S20" i="67" s="1"/>
  <c r="J20" i="67"/>
  <c r="R20" i="67" s="1"/>
  <c r="J16" i="67"/>
  <c r="R16" i="67" s="1"/>
  <c r="J13" i="67"/>
  <c r="R13" i="67" s="1"/>
  <c r="J12" i="67"/>
  <c r="R12" i="67" s="1"/>
  <c r="K9" i="67"/>
  <c r="K10" i="67" s="1"/>
  <c r="K11" i="67" s="1"/>
  <c r="K12" i="67" s="1"/>
  <c r="K13" i="67" s="1"/>
  <c r="K14" i="67" s="1"/>
  <c r="K15" i="67" s="1"/>
  <c r="K16" i="67" s="1"/>
  <c r="K17" i="67" s="1"/>
  <c r="K18" i="67" s="1"/>
  <c r="J9" i="67"/>
  <c r="R9" i="67" s="1"/>
  <c r="L8" i="67"/>
  <c r="M7" i="67"/>
  <c r="S7" i="67" s="1"/>
  <c r="J7" i="67"/>
  <c r="R7" i="67" s="1"/>
  <c r="M11" i="70" l="1"/>
  <c r="S11" i="70" s="1"/>
  <c r="L12" i="70"/>
  <c r="L25" i="67"/>
  <c r="M25" i="67" s="1"/>
  <c r="S25" i="67" s="1"/>
  <c r="M24" i="67"/>
  <c r="S24" i="67" s="1"/>
  <c r="L9" i="67"/>
  <c r="M8" i="67"/>
  <c r="S8" i="67" s="1"/>
  <c r="L13" i="70" l="1"/>
  <c r="M12" i="70"/>
  <c r="S12" i="70" s="1"/>
  <c r="L10" i="67"/>
  <c r="M9" i="67"/>
  <c r="S9" i="67" s="1"/>
  <c r="S112" i="66"/>
  <c r="R112" i="66"/>
  <c r="M112" i="66"/>
  <c r="L112" i="66"/>
  <c r="K112" i="66"/>
  <c r="J112" i="66"/>
  <c r="I112" i="66"/>
  <c r="H112" i="66"/>
  <c r="S111" i="66"/>
  <c r="R111" i="66"/>
  <c r="M111" i="66"/>
  <c r="L111" i="66"/>
  <c r="K111" i="66"/>
  <c r="J111" i="66"/>
  <c r="I111" i="66"/>
  <c r="H111" i="66"/>
  <c r="S110" i="66"/>
  <c r="R110" i="66"/>
  <c r="M110" i="66"/>
  <c r="L110" i="66"/>
  <c r="K110" i="66"/>
  <c r="J110" i="66"/>
  <c r="I110" i="66"/>
  <c r="H110" i="66"/>
  <c r="S109" i="66"/>
  <c r="R109" i="66"/>
  <c r="M109" i="66"/>
  <c r="L109" i="66"/>
  <c r="K109" i="66"/>
  <c r="J109" i="66"/>
  <c r="I109" i="66"/>
  <c r="H109" i="66"/>
  <c r="S108" i="66"/>
  <c r="R108" i="66"/>
  <c r="M108" i="66"/>
  <c r="L108" i="66"/>
  <c r="K108" i="66"/>
  <c r="J108" i="66"/>
  <c r="I108" i="66"/>
  <c r="H108" i="66"/>
  <c r="S107" i="66"/>
  <c r="R107" i="66"/>
  <c r="M107" i="66"/>
  <c r="L107" i="66"/>
  <c r="K107" i="66"/>
  <c r="J107" i="66"/>
  <c r="I107" i="66"/>
  <c r="H107" i="66"/>
  <c r="S106" i="66"/>
  <c r="R106" i="66"/>
  <c r="M106" i="66"/>
  <c r="L106" i="66"/>
  <c r="K106" i="66"/>
  <c r="J106" i="66"/>
  <c r="I106" i="66"/>
  <c r="H106" i="66"/>
  <c r="S105" i="66"/>
  <c r="R105" i="66"/>
  <c r="M105" i="66"/>
  <c r="L105" i="66"/>
  <c r="K105" i="66"/>
  <c r="J105" i="66"/>
  <c r="I105" i="66"/>
  <c r="H105" i="66"/>
  <c r="S104" i="66"/>
  <c r="R104" i="66"/>
  <c r="M104" i="66"/>
  <c r="L104" i="66"/>
  <c r="K104" i="66"/>
  <c r="J104" i="66"/>
  <c r="I104" i="66"/>
  <c r="H104" i="66"/>
  <c r="S103" i="66"/>
  <c r="R103" i="66"/>
  <c r="M103" i="66"/>
  <c r="L103" i="66"/>
  <c r="K103" i="66"/>
  <c r="J103" i="66"/>
  <c r="I103" i="66"/>
  <c r="H103" i="66"/>
  <c r="S102" i="66"/>
  <c r="R102" i="66"/>
  <c r="M102" i="66"/>
  <c r="L102" i="66"/>
  <c r="K102" i="66"/>
  <c r="J102" i="66"/>
  <c r="I102" i="66"/>
  <c r="H102" i="66"/>
  <c r="S101" i="66"/>
  <c r="R101" i="66"/>
  <c r="M101" i="66"/>
  <c r="L101" i="66"/>
  <c r="K101" i="66"/>
  <c r="J101" i="66"/>
  <c r="I101" i="66"/>
  <c r="H101" i="66"/>
  <c r="S100" i="66"/>
  <c r="R100" i="66"/>
  <c r="M100" i="66"/>
  <c r="L100" i="66"/>
  <c r="K100" i="66"/>
  <c r="J100" i="66"/>
  <c r="I100" i="66"/>
  <c r="H100" i="66"/>
  <c r="S99" i="66"/>
  <c r="R99" i="66"/>
  <c r="M99" i="66"/>
  <c r="L99" i="66"/>
  <c r="K99" i="66"/>
  <c r="J99" i="66"/>
  <c r="I99" i="66"/>
  <c r="H99" i="66"/>
  <c r="S98" i="66"/>
  <c r="R98" i="66"/>
  <c r="M98" i="66"/>
  <c r="L98" i="66"/>
  <c r="K98" i="66"/>
  <c r="J98" i="66"/>
  <c r="I98" i="66"/>
  <c r="H98" i="66"/>
  <c r="S97" i="66"/>
  <c r="R97" i="66"/>
  <c r="M97" i="66"/>
  <c r="L97" i="66"/>
  <c r="K97" i="66"/>
  <c r="J97" i="66"/>
  <c r="I97" i="66"/>
  <c r="H97" i="66"/>
  <c r="S96" i="66"/>
  <c r="R96" i="66"/>
  <c r="M96" i="66"/>
  <c r="L96" i="66"/>
  <c r="K96" i="66"/>
  <c r="J96" i="66"/>
  <c r="I96" i="66"/>
  <c r="H96" i="66"/>
  <c r="S95" i="66"/>
  <c r="R95" i="66"/>
  <c r="M95" i="66"/>
  <c r="L95" i="66"/>
  <c r="K95" i="66"/>
  <c r="J95" i="66"/>
  <c r="I95" i="66"/>
  <c r="H95" i="66"/>
  <c r="S94" i="66"/>
  <c r="R94" i="66"/>
  <c r="M94" i="66"/>
  <c r="L94" i="66"/>
  <c r="K94" i="66"/>
  <c r="J94" i="66"/>
  <c r="I94" i="66"/>
  <c r="H94" i="66"/>
  <c r="S93" i="66"/>
  <c r="R93" i="66"/>
  <c r="M93" i="66"/>
  <c r="L93" i="66"/>
  <c r="K93" i="66"/>
  <c r="J93" i="66"/>
  <c r="I93" i="66"/>
  <c r="H93" i="66"/>
  <c r="S92" i="66"/>
  <c r="R92" i="66"/>
  <c r="M92" i="66"/>
  <c r="L92" i="66"/>
  <c r="K92" i="66"/>
  <c r="J92" i="66"/>
  <c r="I92" i="66"/>
  <c r="H92" i="66"/>
  <c r="S91" i="66"/>
  <c r="R91" i="66"/>
  <c r="M91" i="66"/>
  <c r="L91" i="66"/>
  <c r="K91" i="66"/>
  <c r="J91" i="66"/>
  <c r="I91" i="66"/>
  <c r="H91" i="66"/>
  <c r="S90" i="66"/>
  <c r="R90" i="66"/>
  <c r="M90" i="66"/>
  <c r="L90" i="66"/>
  <c r="K90" i="66"/>
  <c r="J90" i="66"/>
  <c r="I90" i="66"/>
  <c r="H90" i="66"/>
  <c r="S89" i="66"/>
  <c r="R89" i="66"/>
  <c r="M89" i="66"/>
  <c r="L89" i="66"/>
  <c r="K89" i="66"/>
  <c r="J89" i="66"/>
  <c r="I89" i="66"/>
  <c r="H89" i="66"/>
  <c r="S88" i="66"/>
  <c r="R88" i="66"/>
  <c r="M88" i="66"/>
  <c r="L88" i="66"/>
  <c r="K88" i="66"/>
  <c r="J88" i="66"/>
  <c r="I88" i="66"/>
  <c r="H88" i="66"/>
  <c r="S87" i="66"/>
  <c r="R87" i="66"/>
  <c r="M87" i="66"/>
  <c r="L87" i="66"/>
  <c r="K87" i="66"/>
  <c r="J87" i="66"/>
  <c r="I87" i="66"/>
  <c r="H87" i="66"/>
  <c r="S86" i="66"/>
  <c r="R86" i="66"/>
  <c r="M86" i="66"/>
  <c r="L86" i="66"/>
  <c r="K86" i="66"/>
  <c r="J86" i="66"/>
  <c r="I86" i="66"/>
  <c r="H86" i="66"/>
  <c r="S85" i="66"/>
  <c r="R85" i="66"/>
  <c r="M85" i="66"/>
  <c r="L85" i="66"/>
  <c r="K85" i="66"/>
  <c r="J85" i="66"/>
  <c r="I85" i="66"/>
  <c r="H85" i="66"/>
  <c r="S84" i="66"/>
  <c r="R84" i="66"/>
  <c r="M84" i="66"/>
  <c r="L84" i="66"/>
  <c r="K84" i="66"/>
  <c r="J84" i="66"/>
  <c r="I84" i="66"/>
  <c r="H84" i="66"/>
  <c r="S83" i="66"/>
  <c r="R83" i="66"/>
  <c r="M83" i="66"/>
  <c r="L83" i="66"/>
  <c r="K83" i="66"/>
  <c r="J83" i="66"/>
  <c r="I83" i="66"/>
  <c r="H83" i="66"/>
  <c r="S82" i="66"/>
  <c r="R82" i="66"/>
  <c r="M82" i="66"/>
  <c r="L82" i="66"/>
  <c r="K82" i="66"/>
  <c r="J82" i="66"/>
  <c r="I82" i="66"/>
  <c r="H82" i="66"/>
  <c r="S81" i="66"/>
  <c r="R81" i="66"/>
  <c r="M81" i="66"/>
  <c r="L81" i="66"/>
  <c r="K81" i="66"/>
  <c r="J81" i="66"/>
  <c r="I81" i="66"/>
  <c r="H81" i="66"/>
  <c r="S80" i="66"/>
  <c r="R80" i="66"/>
  <c r="M80" i="66"/>
  <c r="L80" i="66"/>
  <c r="K80" i="66"/>
  <c r="J80" i="66"/>
  <c r="I80" i="66"/>
  <c r="H80" i="66"/>
  <c r="S79" i="66"/>
  <c r="R79" i="66"/>
  <c r="M79" i="66"/>
  <c r="L79" i="66"/>
  <c r="K79" i="66"/>
  <c r="J79" i="66"/>
  <c r="I79" i="66"/>
  <c r="H79" i="66"/>
  <c r="S78" i="66"/>
  <c r="R78" i="66"/>
  <c r="M78" i="66"/>
  <c r="L78" i="66"/>
  <c r="K78" i="66"/>
  <c r="J78" i="66"/>
  <c r="I78" i="66"/>
  <c r="H78" i="66"/>
  <c r="S77" i="66"/>
  <c r="R77" i="66"/>
  <c r="M77" i="66"/>
  <c r="L77" i="66"/>
  <c r="K77" i="66"/>
  <c r="J77" i="66"/>
  <c r="I77" i="66"/>
  <c r="H77" i="66"/>
  <c r="S76" i="66"/>
  <c r="R76" i="66"/>
  <c r="M76" i="66"/>
  <c r="L76" i="66"/>
  <c r="K76" i="66"/>
  <c r="J76" i="66"/>
  <c r="I76" i="66"/>
  <c r="H76" i="66"/>
  <c r="S75" i="66"/>
  <c r="R75" i="66"/>
  <c r="M75" i="66"/>
  <c r="L75" i="66"/>
  <c r="K75" i="66"/>
  <c r="J75" i="66"/>
  <c r="I75" i="66"/>
  <c r="H75" i="66"/>
  <c r="S74" i="66"/>
  <c r="R74" i="66"/>
  <c r="M74" i="66"/>
  <c r="L74" i="66"/>
  <c r="K74" i="66"/>
  <c r="J74" i="66"/>
  <c r="I74" i="66"/>
  <c r="H74" i="66"/>
  <c r="S73" i="66"/>
  <c r="R73" i="66"/>
  <c r="M73" i="66"/>
  <c r="L73" i="66"/>
  <c r="K73" i="66"/>
  <c r="J73" i="66"/>
  <c r="I73" i="66"/>
  <c r="H73" i="66"/>
  <c r="S72" i="66"/>
  <c r="R72" i="66"/>
  <c r="M72" i="66"/>
  <c r="L72" i="66"/>
  <c r="K72" i="66"/>
  <c r="J72" i="66"/>
  <c r="I72" i="66"/>
  <c r="H72" i="66"/>
  <c r="S71" i="66"/>
  <c r="R71" i="66"/>
  <c r="M71" i="66"/>
  <c r="L71" i="66"/>
  <c r="K71" i="66"/>
  <c r="J71" i="66"/>
  <c r="I71" i="66"/>
  <c r="H71" i="66"/>
  <c r="S70" i="66"/>
  <c r="R70" i="66"/>
  <c r="M70" i="66"/>
  <c r="L70" i="66"/>
  <c r="K70" i="66"/>
  <c r="J70" i="66"/>
  <c r="I70" i="66"/>
  <c r="H70" i="66"/>
  <c r="S69" i="66"/>
  <c r="R69" i="66"/>
  <c r="M69" i="66"/>
  <c r="L69" i="66"/>
  <c r="K69" i="66"/>
  <c r="J69" i="66"/>
  <c r="I69" i="66"/>
  <c r="H69" i="66"/>
  <c r="S68" i="66"/>
  <c r="R68" i="66"/>
  <c r="M68" i="66"/>
  <c r="L68" i="66"/>
  <c r="K68" i="66"/>
  <c r="J68" i="66"/>
  <c r="I68" i="66"/>
  <c r="H68" i="66"/>
  <c r="S67" i="66"/>
  <c r="R67" i="66"/>
  <c r="M67" i="66"/>
  <c r="L67" i="66"/>
  <c r="K67" i="66"/>
  <c r="J67" i="66"/>
  <c r="I67" i="66"/>
  <c r="H67" i="66"/>
  <c r="S66" i="66"/>
  <c r="R66" i="66"/>
  <c r="M66" i="66"/>
  <c r="L66" i="66"/>
  <c r="K66" i="66"/>
  <c r="J66" i="66"/>
  <c r="I66" i="66"/>
  <c r="H66" i="66"/>
  <c r="S65" i="66"/>
  <c r="R65" i="66"/>
  <c r="M65" i="66"/>
  <c r="L65" i="66"/>
  <c r="K65" i="66"/>
  <c r="J65" i="66"/>
  <c r="I65" i="66"/>
  <c r="H65" i="66"/>
  <c r="S64" i="66"/>
  <c r="R64" i="66"/>
  <c r="M64" i="66"/>
  <c r="L64" i="66"/>
  <c r="K64" i="66"/>
  <c r="J64" i="66"/>
  <c r="I64" i="66"/>
  <c r="H64" i="66"/>
  <c r="S63" i="66"/>
  <c r="R63" i="66"/>
  <c r="M63" i="66"/>
  <c r="L63" i="66"/>
  <c r="K63" i="66"/>
  <c r="J63" i="66"/>
  <c r="I63" i="66"/>
  <c r="H63" i="66"/>
  <c r="S62" i="66"/>
  <c r="R62" i="66"/>
  <c r="M62" i="66"/>
  <c r="L62" i="66"/>
  <c r="K62" i="66"/>
  <c r="J62" i="66"/>
  <c r="I62" i="66"/>
  <c r="H62" i="66"/>
  <c r="S61" i="66"/>
  <c r="R61" i="66"/>
  <c r="M61" i="66"/>
  <c r="L61" i="66"/>
  <c r="K61" i="66"/>
  <c r="J61" i="66"/>
  <c r="I61" i="66"/>
  <c r="H61" i="66"/>
  <c r="S60" i="66"/>
  <c r="R60" i="66"/>
  <c r="M60" i="66"/>
  <c r="L60" i="66"/>
  <c r="K60" i="66"/>
  <c r="J60" i="66"/>
  <c r="I60" i="66"/>
  <c r="H60" i="66"/>
  <c r="S59" i="66"/>
  <c r="R59" i="66"/>
  <c r="M59" i="66"/>
  <c r="L59" i="66"/>
  <c r="K59" i="66"/>
  <c r="J59" i="66"/>
  <c r="I59" i="66"/>
  <c r="H59" i="66"/>
  <c r="S58" i="66"/>
  <c r="R58" i="66"/>
  <c r="M58" i="66"/>
  <c r="L58" i="66"/>
  <c r="K58" i="66"/>
  <c r="J58" i="66"/>
  <c r="I58" i="66"/>
  <c r="H58" i="66"/>
  <c r="S57" i="66"/>
  <c r="R57" i="66"/>
  <c r="M57" i="66"/>
  <c r="L57" i="66"/>
  <c r="K57" i="66"/>
  <c r="J57" i="66"/>
  <c r="I57" i="66"/>
  <c r="H57" i="66"/>
  <c r="S56" i="66"/>
  <c r="R56" i="66"/>
  <c r="M56" i="66"/>
  <c r="L56" i="66"/>
  <c r="K56" i="66"/>
  <c r="J56" i="66"/>
  <c r="I56" i="66"/>
  <c r="H56" i="66"/>
  <c r="S55" i="66"/>
  <c r="R55" i="66"/>
  <c r="M55" i="66"/>
  <c r="L55" i="66"/>
  <c r="K55" i="66"/>
  <c r="J55" i="66"/>
  <c r="I55" i="66"/>
  <c r="H55" i="66"/>
  <c r="S54" i="66"/>
  <c r="R54" i="66"/>
  <c r="M54" i="66"/>
  <c r="L54" i="66"/>
  <c r="K54" i="66"/>
  <c r="J54" i="66"/>
  <c r="I54" i="66"/>
  <c r="H54" i="66"/>
  <c r="S53" i="66"/>
  <c r="R53" i="66"/>
  <c r="M53" i="66"/>
  <c r="L53" i="66"/>
  <c r="K53" i="66"/>
  <c r="J53" i="66"/>
  <c r="I53" i="66"/>
  <c r="H53" i="66"/>
  <c r="S52" i="66"/>
  <c r="R52" i="66"/>
  <c r="M52" i="66"/>
  <c r="L52" i="66"/>
  <c r="K52" i="66"/>
  <c r="J52" i="66"/>
  <c r="I52" i="66"/>
  <c r="H52" i="66"/>
  <c r="S51" i="66"/>
  <c r="R51" i="66"/>
  <c r="M51" i="66"/>
  <c r="L51" i="66"/>
  <c r="K51" i="66"/>
  <c r="J51" i="66"/>
  <c r="I51" i="66"/>
  <c r="H51" i="66"/>
  <c r="S50" i="66"/>
  <c r="R50" i="66"/>
  <c r="M50" i="66"/>
  <c r="L50" i="66"/>
  <c r="K50" i="66"/>
  <c r="J50" i="66"/>
  <c r="I50" i="66"/>
  <c r="H50" i="66"/>
  <c r="S49" i="66"/>
  <c r="R49" i="66"/>
  <c r="M49" i="66"/>
  <c r="L49" i="66"/>
  <c r="K49" i="66"/>
  <c r="J49" i="66"/>
  <c r="I49" i="66"/>
  <c r="H49" i="66"/>
  <c r="S48" i="66"/>
  <c r="R48" i="66"/>
  <c r="M48" i="66"/>
  <c r="L48" i="66"/>
  <c r="K48" i="66"/>
  <c r="J48" i="66"/>
  <c r="I48" i="66"/>
  <c r="H48" i="66"/>
  <c r="S47" i="66"/>
  <c r="R47" i="66"/>
  <c r="M47" i="66"/>
  <c r="L47" i="66"/>
  <c r="K47" i="66"/>
  <c r="J47" i="66"/>
  <c r="I47" i="66"/>
  <c r="H47" i="66"/>
  <c r="S46" i="66"/>
  <c r="R46" i="66"/>
  <c r="M46" i="66"/>
  <c r="L46" i="66"/>
  <c r="K46" i="66"/>
  <c r="J46" i="66"/>
  <c r="I46" i="66"/>
  <c r="H46" i="66"/>
  <c r="S45" i="66"/>
  <c r="R45" i="66"/>
  <c r="M45" i="66"/>
  <c r="L45" i="66"/>
  <c r="K45" i="66"/>
  <c r="J45" i="66"/>
  <c r="I45" i="66"/>
  <c r="H45" i="66"/>
  <c r="S44" i="66"/>
  <c r="R44" i="66"/>
  <c r="M44" i="66"/>
  <c r="L44" i="66"/>
  <c r="K44" i="66"/>
  <c r="J44" i="66"/>
  <c r="I44" i="66"/>
  <c r="H44" i="66"/>
  <c r="S43" i="66"/>
  <c r="R43" i="66"/>
  <c r="M43" i="66"/>
  <c r="L43" i="66"/>
  <c r="K43" i="66"/>
  <c r="J43" i="66"/>
  <c r="I43" i="66"/>
  <c r="H43" i="66"/>
  <c r="S42" i="66"/>
  <c r="R42" i="66"/>
  <c r="M42" i="66"/>
  <c r="L42" i="66"/>
  <c r="K42" i="66"/>
  <c r="J42" i="66"/>
  <c r="I42" i="66"/>
  <c r="H42" i="66"/>
  <c r="S41" i="66"/>
  <c r="R41" i="66"/>
  <c r="M41" i="66"/>
  <c r="L41" i="66"/>
  <c r="K41" i="66"/>
  <c r="J41" i="66"/>
  <c r="I41" i="66"/>
  <c r="H41" i="66"/>
  <c r="S40" i="66"/>
  <c r="R40" i="66"/>
  <c r="M40" i="66"/>
  <c r="L40" i="66"/>
  <c r="K40" i="66"/>
  <c r="J40" i="66"/>
  <c r="I40" i="66"/>
  <c r="H40" i="66"/>
  <c r="S39" i="66"/>
  <c r="R39" i="66"/>
  <c r="M39" i="66"/>
  <c r="L39" i="66"/>
  <c r="K39" i="66"/>
  <c r="J39" i="66"/>
  <c r="I39" i="66"/>
  <c r="H39" i="66"/>
  <c r="S38" i="66"/>
  <c r="R38" i="66"/>
  <c r="M38" i="66"/>
  <c r="L38" i="66"/>
  <c r="K38" i="66"/>
  <c r="J38" i="66"/>
  <c r="I38" i="66"/>
  <c r="H38" i="66"/>
  <c r="S37" i="66"/>
  <c r="R37" i="66"/>
  <c r="M37" i="66"/>
  <c r="L37" i="66"/>
  <c r="K37" i="66"/>
  <c r="J37" i="66"/>
  <c r="I37" i="66"/>
  <c r="H37" i="66"/>
  <c r="S36" i="66"/>
  <c r="R36" i="66"/>
  <c r="M36" i="66"/>
  <c r="L36" i="66"/>
  <c r="K36" i="66"/>
  <c r="J36" i="66"/>
  <c r="I36" i="66"/>
  <c r="H36" i="66"/>
  <c r="S35" i="66"/>
  <c r="R35" i="66"/>
  <c r="M35" i="66"/>
  <c r="L35" i="66"/>
  <c r="K35" i="66"/>
  <c r="J35" i="66"/>
  <c r="I35" i="66"/>
  <c r="H35" i="66"/>
  <c r="S34" i="66"/>
  <c r="R34" i="66"/>
  <c r="M34" i="66"/>
  <c r="L34" i="66"/>
  <c r="K34" i="66"/>
  <c r="J34" i="66"/>
  <c r="I34" i="66"/>
  <c r="H34" i="66"/>
  <c r="S33" i="66"/>
  <c r="R33" i="66"/>
  <c r="M33" i="66"/>
  <c r="L33" i="66"/>
  <c r="K33" i="66"/>
  <c r="J33" i="66"/>
  <c r="I33" i="66"/>
  <c r="H33" i="66"/>
  <c r="S32" i="66"/>
  <c r="R32" i="66"/>
  <c r="M32" i="66"/>
  <c r="L32" i="66"/>
  <c r="K32" i="66"/>
  <c r="J32" i="66"/>
  <c r="I32" i="66"/>
  <c r="H32" i="66"/>
  <c r="S31" i="66"/>
  <c r="R31" i="66"/>
  <c r="M31" i="66"/>
  <c r="L31" i="66"/>
  <c r="K31" i="66"/>
  <c r="J31" i="66"/>
  <c r="I31" i="66"/>
  <c r="H31" i="66"/>
  <c r="S30" i="66"/>
  <c r="R30" i="66"/>
  <c r="M30" i="66"/>
  <c r="L30" i="66"/>
  <c r="K30" i="66"/>
  <c r="J30" i="66"/>
  <c r="I30" i="66"/>
  <c r="H30" i="66"/>
  <c r="S29" i="66"/>
  <c r="R29" i="66"/>
  <c r="M29" i="66"/>
  <c r="L29" i="66"/>
  <c r="K29" i="66"/>
  <c r="J29" i="66"/>
  <c r="I29" i="66"/>
  <c r="H29" i="66"/>
  <c r="S28" i="66"/>
  <c r="R28" i="66"/>
  <c r="M28" i="66"/>
  <c r="L28" i="66"/>
  <c r="K28" i="66"/>
  <c r="J28" i="66"/>
  <c r="I28" i="66"/>
  <c r="H28" i="66"/>
  <c r="S27" i="66"/>
  <c r="R27" i="66"/>
  <c r="M27" i="66"/>
  <c r="L27" i="66"/>
  <c r="K27" i="66"/>
  <c r="J27" i="66"/>
  <c r="I27" i="66"/>
  <c r="H27" i="66"/>
  <c r="S26" i="66"/>
  <c r="R26" i="66"/>
  <c r="M26" i="66"/>
  <c r="L26" i="66"/>
  <c r="K26" i="66"/>
  <c r="J26" i="66"/>
  <c r="I26" i="66"/>
  <c r="H26" i="66"/>
  <c r="S25" i="66"/>
  <c r="R25" i="66"/>
  <c r="M25" i="66"/>
  <c r="L25" i="66"/>
  <c r="K25" i="66"/>
  <c r="J25" i="66"/>
  <c r="I25" i="66"/>
  <c r="H25" i="66"/>
  <c r="J24" i="66"/>
  <c r="R24" i="66" s="1"/>
  <c r="I24" i="66"/>
  <c r="H24" i="66"/>
  <c r="J23" i="66"/>
  <c r="R23" i="66" s="1"/>
  <c r="I23" i="66"/>
  <c r="H23" i="66"/>
  <c r="J22" i="66"/>
  <c r="R22" i="66" s="1"/>
  <c r="I22" i="66"/>
  <c r="H22" i="66"/>
  <c r="J21" i="66"/>
  <c r="R21" i="66" s="1"/>
  <c r="I21" i="66"/>
  <c r="H21" i="66"/>
  <c r="J20" i="66"/>
  <c r="R20" i="66" s="1"/>
  <c r="I20" i="66"/>
  <c r="H20" i="66"/>
  <c r="J19" i="66"/>
  <c r="R19" i="66" s="1"/>
  <c r="I19" i="66"/>
  <c r="H19" i="66"/>
  <c r="I18" i="66"/>
  <c r="H18" i="66"/>
  <c r="I17" i="66"/>
  <c r="J17" i="66" s="1"/>
  <c r="R17" i="66" s="1"/>
  <c r="H17" i="66"/>
  <c r="J16" i="66"/>
  <c r="R16" i="66" s="1"/>
  <c r="I16" i="66"/>
  <c r="H16" i="66"/>
  <c r="I15" i="66"/>
  <c r="H15" i="66"/>
  <c r="I14" i="66"/>
  <c r="H14" i="66"/>
  <c r="I13" i="66"/>
  <c r="H13" i="66"/>
  <c r="I12" i="66"/>
  <c r="H12" i="66"/>
  <c r="I11" i="66"/>
  <c r="H11" i="66"/>
  <c r="I10" i="66"/>
  <c r="H10" i="66"/>
  <c r="I9" i="66"/>
  <c r="J9" i="66" s="1"/>
  <c r="R9" i="66" s="1"/>
  <c r="H9" i="66"/>
  <c r="I8" i="66"/>
  <c r="H8" i="66"/>
  <c r="J8" i="66" s="1"/>
  <c r="R8" i="66" s="1"/>
  <c r="L7" i="66"/>
  <c r="I7" i="66"/>
  <c r="J7" i="66" s="1"/>
  <c r="R7" i="66" s="1"/>
  <c r="H7" i="66"/>
  <c r="K7" i="66" s="1"/>
  <c r="J11" i="66" l="1"/>
  <c r="R11" i="66" s="1"/>
  <c r="J18" i="66"/>
  <c r="R18" i="66" s="1"/>
  <c r="M13" i="70"/>
  <c r="S13" i="70" s="1"/>
  <c r="L14" i="70"/>
  <c r="L11" i="67"/>
  <c r="M10" i="67"/>
  <c r="S10" i="67" s="1"/>
  <c r="J15" i="66"/>
  <c r="R15" i="66" s="1"/>
  <c r="J14" i="66"/>
  <c r="R14" i="66" s="1"/>
  <c r="J12" i="66"/>
  <c r="R12" i="66" s="1"/>
  <c r="J13" i="66"/>
  <c r="R13" i="66" s="1"/>
  <c r="J10" i="66"/>
  <c r="R10" i="66" s="1"/>
  <c r="K8" i="66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24" i="66" s="1"/>
  <c r="M7" i="66"/>
  <c r="S7" i="66" s="1"/>
  <c r="L8" i="66"/>
  <c r="S112" i="65"/>
  <c r="R112" i="65"/>
  <c r="M112" i="65"/>
  <c r="L112" i="65"/>
  <c r="K112" i="65"/>
  <c r="J112" i="65"/>
  <c r="I112" i="65"/>
  <c r="H112" i="65"/>
  <c r="S111" i="65"/>
  <c r="R111" i="65"/>
  <c r="M111" i="65"/>
  <c r="L111" i="65"/>
  <c r="K111" i="65"/>
  <c r="J111" i="65"/>
  <c r="I111" i="65"/>
  <c r="H111" i="65"/>
  <c r="S110" i="65"/>
  <c r="R110" i="65"/>
  <c r="M110" i="65"/>
  <c r="L110" i="65"/>
  <c r="K110" i="65"/>
  <c r="J110" i="65"/>
  <c r="I110" i="65"/>
  <c r="H110" i="65"/>
  <c r="S109" i="65"/>
  <c r="R109" i="65"/>
  <c r="M109" i="65"/>
  <c r="L109" i="65"/>
  <c r="K109" i="65"/>
  <c r="J109" i="65"/>
  <c r="I109" i="65"/>
  <c r="H109" i="65"/>
  <c r="S108" i="65"/>
  <c r="R108" i="65"/>
  <c r="M108" i="65"/>
  <c r="L108" i="65"/>
  <c r="K108" i="65"/>
  <c r="J108" i="65"/>
  <c r="I108" i="65"/>
  <c r="H108" i="65"/>
  <c r="S107" i="65"/>
  <c r="R107" i="65"/>
  <c r="M107" i="65"/>
  <c r="L107" i="65"/>
  <c r="K107" i="65"/>
  <c r="J107" i="65"/>
  <c r="I107" i="65"/>
  <c r="H107" i="65"/>
  <c r="S106" i="65"/>
  <c r="R106" i="65"/>
  <c r="M106" i="65"/>
  <c r="L106" i="65"/>
  <c r="K106" i="65"/>
  <c r="J106" i="65"/>
  <c r="I106" i="65"/>
  <c r="H106" i="65"/>
  <c r="S105" i="65"/>
  <c r="R105" i="65"/>
  <c r="M105" i="65"/>
  <c r="L105" i="65"/>
  <c r="K105" i="65"/>
  <c r="J105" i="65"/>
  <c r="I105" i="65"/>
  <c r="H105" i="65"/>
  <c r="S104" i="65"/>
  <c r="R104" i="65"/>
  <c r="M104" i="65"/>
  <c r="L104" i="65"/>
  <c r="K104" i="65"/>
  <c r="J104" i="65"/>
  <c r="I104" i="65"/>
  <c r="H104" i="65"/>
  <c r="S103" i="65"/>
  <c r="R103" i="65"/>
  <c r="M103" i="65"/>
  <c r="L103" i="65"/>
  <c r="K103" i="65"/>
  <c r="J103" i="65"/>
  <c r="I103" i="65"/>
  <c r="H103" i="65"/>
  <c r="S102" i="65"/>
  <c r="R102" i="65"/>
  <c r="M102" i="65"/>
  <c r="L102" i="65"/>
  <c r="K102" i="65"/>
  <c r="J102" i="65"/>
  <c r="I102" i="65"/>
  <c r="H102" i="65"/>
  <c r="S101" i="65"/>
  <c r="R101" i="65"/>
  <c r="M101" i="65"/>
  <c r="L101" i="65"/>
  <c r="K101" i="65"/>
  <c r="J101" i="65"/>
  <c r="I101" i="65"/>
  <c r="H101" i="65"/>
  <c r="S100" i="65"/>
  <c r="R100" i="65"/>
  <c r="M100" i="65"/>
  <c r="L100" i="65"/>
  <c r="K100" i="65"/>
  <c r="J100" i="65"/>
  <c r="I100" i="65"/>
  <c r="H100" i="65"/>
  <c r="S99" i="65"/>
  <c r="R99" i="65"/>
  <c r="M99" i="65"/>
  <c r="L99" i="65"/>
  <c r="K99" i="65"/>
  <c r="J99" i="65"/>
  <c r="I99" i="65"/>
  <c r="H99" i="65"/>
  <c r="S98" i="65"/>
  <c r="R98" i="65"/>
  <c r="M98" i="65"/>
  <c r="L98" i="65"/>
  <c r="K98" i="65"/>
  <c r="J98" i="65"/>
  <c r="I98" i="65"/>
  <c r="H98" i="65"/>
  <c r="S97" i="65"/>
  <c r="R97" i="65"/>
  <c r="M97" i="65"/>
  <c r="L97" i="65"/>
  <c r="K97" i="65"/>
  <c r="J97" i="65"/>
  <c r="I97" i="65"/>
  <c r="H97" i="65"/>
  <c r="S96" i="65"/>
  <c r="R96" i="65"/>
  <c r="M96" i="65"/>
  <c r="L96" i="65"/>
  <c r="K96" i="65"/>
  <c r="J96" i="65"/>
  <c r="I96" i="65"/>
  <c r="H96" i="65"/>
  <c r="S95" i="65"/>
  <c r="R95" i="65"/>
  <c r="M95" i="65"/>
  <c r="L95" i="65"/>
  <c r="K95" i="65"/>
  <c r="J95" i="65"/>
  <c r="I95" i="65"/>
  <c r="H95" i="65"/>
  <c r="S94" i="65"/>
  <c r="R94" i="65"/>
  <c r="M94" i="65"/>
  <c r="L94" i="65"/>
  <c r="K94" i="65"/>
  <c r="J94" i="65"/>
  <c r="I94" i="65"/>
  <c r="H94" i="65"/>
  <c r="S93" i="65"/>
  <c r="R93" i="65"/>
  <c r="M93" i="65"/>
  <c r="L93" i="65"/>
  <c r="K93" i="65"/>
  <c r="J93" i="65"/>
  <c r="I93" i="65"/>
  <c r="H93" i="65"/>
  <c r="S92" i="65"/>
  <c r="R92" i="65"/>
  <c r="M92" i="65"/>
  <c r="L92" i="65"/>
  <c r="K92" i="65"/>
  <c r="J92" i="65"/>
  <c r="I92" i="65"/>
  <c r="H92" i="65"/>
  <c r="S91" i="65"/>
  <c r="R91" i="65"/>
  <c r="M91" i="65"/>
  <c r="L91" i="65"/>
  <c r="K91" i="65"/>
  <c r="J91" i="65"/>
  <c r="I91" i="65"/>
  <c r="H91" i="65"/>
  <c r="S90" i="65"/>
  <c r="R90" i="65"/>
  <c r="M90" i="65"/>
  <c r="L90" i="65"/>
  <c r="K90" i="65"/>
  <c r="J90" i="65"/>
  <c r="I90" i="65"/>
  <c r="H90" i="65"/>
  <c r="S89" i="65"/>
  <c r="R89" i="65"/>
  <c r="M89" i="65"/>
  <c r="L89" i="65"/>
  <c r="K89" i="65"/>
  <c r="J89" i="65"/>
  <c r="I89" i="65"/>
  <c r="H89" i="65"/>
  <c r="S88" i="65"/>
  <c r="R88" i="65"/>
  <c r="M88" i="65"/>
  <c r="L88" i="65"/>
  <c r="K88" i="65"/>
  <c r="J88" i="65"/>
  <c r="I88" i="65"/>
  <c r="H88" i="65"/>
  <c r="S87" i="65"/>
  <c r="R87" i="65"/>
  <c r="M87" i="65"/>
  <c r="L87" i="65"/>
  <c r="K87" i="65"/>
  <c r="J87" i="65"/>
  <c r="I87" i="65"/>
  <c r="H87" i="65"/>
  <c r="S86" i="65"/>
  <c r="R86" i="65"/>
  <c r="M86" i="65"/>
  <c r="L86" i="65"/>
  <c r="K86" i="65"/>
  <c r="J86" i="65"/>
  <c r="I86" i="65"/>
  <c r="H86" i="65"/>
  <c r="S85" i="65"/>
  <c r="R85" i="65"/>
  <c r="M85" i="65"/>
  <c r="L85" i="65"/>
  <c r="K85" i="65"/>
  <c r="J85" i="65"/>
  <c r="I85" i="65"/>
  <c r="H85" i="65"/>
  <c r="S84" i="65"/>
  <c r="R84" i="65"/>
  <c r="M84" i="65"/>
  <c r="L84" i="65"/>
  <c r="K84" i="65"/>
  <c r="J84" i="65"/>
  <c r="I84" i="65"/>
  <c r="H84" i="65"/>
  <c r="S83" i="65"/>
  <c r="R83" i="65"/>
  <c r="M83" i="65"/>
  <c r="L83" i="65"/>
  <c r="K83" i="65"/>
  <c r="J83" i="65"/>
  <c r="I83" i="65"/>
  <c r="H83" i="65"/>
  <c r="S82" i="65"/>
  <c r="R82" i="65"/>
  <c r="M82" i="65"/>
  <c r="L82" i="65"/>
  <c r="K82" i="65"/>
  <c r="J82" i="65"/>
  <c r="I82" i="65"/>
  <c r="H82" i="65"/>
  <c r="S81" i="65"/>
  <c r="R81" i="65"/>
  <c r="M81" i="65"/>
  <c r="L81" i="65"/>
  <c r="K81" i="65"/>
  <c r="J81" i="65"/>
  <c r="I81" i="65"/>
  <c r="H81" i="65"/>
  <c r="S80" i="65"/>
  <c r="R80" i="65"/>
  <c r="M80" i="65"/>
  <c r="L80" i="65"/>
  <c r="K80" i="65"/>
  <c r="J80" i="65"/>
  <c r="I80" i="65"/>
  <c r="H80" i="65"/>
  <c r="S79" i="65"/>
  <c r="R79" i="65"/>
  <c r="M79" i="65"/>
  <c r="L79" i="65"/>
  <c r="K79" i="65"/>
  <c r="J79" i="65"/>
  <c r="I79" i="65"/>
  <c r="H79" i="65"/>
  <c r="S78" i="65"/>
  <c r="R78" i="65"/>
  <c r="M78" i="65"/>
  <c r="L78" i="65"/>
  <c r="K78" i="65"/>
  <c r="J78" i="65"/>
  <c r="I78" i="65"/>
  <c r="H78" i="65"/>
  <c r="S77" i="65"/>
  <c r="R77" i="65"/>
  <c r="M77" i="65"/>
  <c r="L77" i="65"/>
  <c r="K77" i="65"/>
  <c r="J77" i="65"/>
  <c r="I77" i="65"/>
  <c r="H77" i="65"/>
  <c r="S76" i="65"/>
  <c r="R76" i="65"/>
  <c r="M76" i="65"/>
  <c r="L76" i="65"/>
  <c r="K76" i="65"/>
  <c r="J76" i="65"/>
  <c r="I76" i="65"/>
  <c r="H76" i="65"/>
  <c r="S75" i="65"/>
  <c r="R75" i="65"/>
  <c r="M75" i="65"/>
  <c r="L75" i="65"/>
  <c r="K75" i="65"/>
  <c r="J75" i="65"/>
  <c r="I75" i="65"/>
  <c r="H75" i="65"/>
  <c r="S74" i="65"/>
  <c r="R74" i="65"/>
  <c r="M74" i="65"/>
  <c r="L74" i="65"/>
  <c r="K74" i="65"/>
  <c r="J74" i="65"/>
  <c r="I74" i="65"/>
  <c r="H74" i="65"/>
  <c r="S73" i="65"/>
  <c r="R73" i="65"/>
  <c r="M73" i="65"/>
  <c r="L73" i="65"/>
  <c r="K73" i="65"/>
  <c r="J73" i="65"/>
  <c r="I73" i="65"/>
  <c r="H73" i="65"/>
  <c r="S72" i="65"/>
  <c r="R72" i="65"/>
  <c r="M72" i="65"/>
  <c r="L72" i="65"/>
  <c r="K72" i="65"/>
  <c r="J72" i="65"/>
  <c r="I72" i="65"/>
  <c r="H72" i="65"/>
  <c r="S71" i="65"/>
  <c r="R71" i="65"/>
  <c r="M71" i="65"/>
  <c r="L71" i="65"/>
  <c r="K71" i="65"/>
  <c r="J71" i="65"/>
  <c r="I71" i="65"/>
  <c r="H71" i="65"/>
  <c r="S70" i="65"/>
  <c r="R70" i="65"/>
  <c r="M70" i="65"/>
  <c r="L70" i="65"/>
  <c r="K70" i="65"/>
  <c r="J70" i="65"/>
  <c r="I70" i="65"/>
  <c r="H70" i="65"/>
  <c r="S69" i="65"/>
  <c r="R69" i="65"/>
  <c r="M69" i="65"/>
  <c r="L69" i="65"/>
  <c r="K69" i="65"/>
  <c r="J69" i="65"/>
  <c r="I69" i="65"/>
  <c r="H69" i="65"/>
  <c r="S68" i="65"/>
  <c r="R68" i="65"/>
  <c r="M68" i="65"/>
  <c r="L68" i="65"/>
  <c r="K68" i="65"/>
  <c r="J68" i="65"/>
  <c r="I68" i="65"/>
  <c r="H68" i="65"/>
  <c r="S67" i="65"/>
  <c r="R67" i="65"/>
  <c r="M67" i="65"/>
  <c r="L67" i="65"/>
  <c r="K67" i="65"/>
  <c r="J67" i="65"/>
  <c r="I67" i="65"/>
  <c r="H67" i="65"/>
  <c r="S66" i="65"/>
  <c r="R66" i="65"/>
  <c r="M66" i="65"/>
  <c r="L66" i="65"/>
  <c r="K66" i="65"/>
  <c r="J66" i="65"/>
  <c r="I66" i="65"/>
  <c r="H66" i="65"/>
  <c r="S65" i="65"/>
  <c r="R65" i="65"/>
  <c r="M65" i="65"/>
  <c r="L65" i="65"/>
  <c r="K65" i="65"/>
  <c r="J65" i="65"/>
  <c r="I65" i="65"/>
  <c r="H65" i="65"/>
  <c r="S64" i="65"/>
  <c r="R64" i="65"/>
  <c r="M64" i="65"/>
  <c r="L64" i="65"/>
  <c r="K64" i="65"/>
  <c r="J64" i="65"/>
  <c r="I64" i="65"/>
  <c r="H64" i="65"/>
  <c r="S63" i="65"/>
  <c r="R63" i="65"/>
  <c r="M63" i="65"/>
  <c r="L63" i="65"/>
  <c r="K63" i="65"/>
  <c r="J63" i="65"/>
  <c r="I63" i="65"/>
  <c r="H63" i="65"/>
  <c r="S62" i="65"/>
  <c r="R62" i="65"/>
  <c r="M62" i="65"/>
  <c r="L62" i="65"/>
  <c r="K62" i="65"/>
  <c r="J62" i="65"/>
  <c r="I62" i="65"/>
  <c r="H62" i="65"/>
  <c r="S61" i="65"/>
  <c r="R61" i="65"/>
  <c r="M61" i="65"/>
  <c r="L61" i="65"/>
  <c r="K61" i="65"/>
  <c r="J61" i="65"/>
  <c r="I61" i="65"/>
  <c r="H61" i="65"/>
  <c r="S60" i="65"/>
  <c r="R60" i="65"/>
  <c r="M60" i="65"/>
  <c r="L60" i="65"/>
  <c r="K60" i="65"/>
  <c r="J60" i="65"/>
  <c r="I60" i="65"/>
  <c r="H60" i="65"/>
  <c r="S59" i="65"/>
  <c r="R59" i="65"/>
  <c r="M59" i="65"/>
  <c r="L59" i="65"/>
  <c r="K59" i="65"/>
  <c r="J59" i="65"/>
  <c r="I59" i="65"/>
  <c r="H59" i="65"/>
  <c r="S58" i="65"/>
  <c r="R58" i="65"/>
  <c r="M58" i="65"/>
  <c r="L58" i="65"/>
  <c r="K58" i="65"/>
  <c r="J58" i="65"/>
  <c r="I58" i="65"/>
  <c r="H58" i="65"/>
  <c r="S57" i="65"/>
  <c r="R57" i="65"/>
  <c r="M57" i="65"/>
  <c r="L57" i="65"/>
  <c r="K57" i="65"/>
  <c r="J57" i="65"/>
  <c r="I57" i="65"/>
  <c r="H57" i="65"/>
  <c r="S56" i="65"/>
  <c r="R56" i="65"/>
  <c r="M56" i="65"/>
  <c r="L56" i="65"/>
  <c r="K56" i="65"/>
  <c r="J56" i="65"/>
  <c r="I56" i="65"/>
  <c r="H56" i="65"/>
  <c r="S55" i="65"/>
  <c r="R55" i="65"/>
  <c r="M55" i="65"/>
  <c r="L55" i="65"/>
  <c r="K55" i="65"/>
  <c r="J55" i="65"/>
  <c r="I55" i="65"/>
  <c r="H55" i="65"/>
  <c r="S54" i="65"/>
  <c r="R54" i="65"/>
  <c r="M54" i="65"/>
  <c r="L54" i="65"/>
  <c r="K54" i="65"/>
  <c r="J54" i="65"/>
  <c r="I54" i="65"/>
  <c r="H54" i="65"/>
  <c r="S53" i="65"/>
  <c r="R53" i="65"/>
  <c r="M53" i="65"/>
  <c r="L53" i="65"/>
  <c r="K53" i="65"/>
  <c r="J53" i="65"/>
  <c r="I53" i="65"/>
  <c r="H53" i="65"/>
  <c r="S52" i="65"/>
  <c r="R52" i="65"/>
  <c r="M52" i="65"/>
  <c r="L52" i="65"/>
  <c r="K52" i="65"/>
  <c r="J52" i="65"/>
  <c r="I52" i="65"/>
  <c r="H52" i="65"/>
  <c r="S51" i="65"/>
  <c r="R51" i="65"/>
  <c r="M51" i="65"/>
  <c r="L51" i="65"/>
  <c r="K51" i="65"/>
  <c r="J51" i="65"/>
  <c r="I51" i="65"/>
  <c r="H51" i="65"/>
  <c r="S50" i="65"/>
  <c r="R50" i="65"/>
  <c r="M50" i="65"/>
  <c r="L50" i="65"/>
  <c r="K50" i="65"/>
  <c r="J50" i="65"/>
  <c r="I50" i="65"/>
  <c r="H50" i="65"/>
  <c r="S49" i="65"/>
  <c r="R49" i="65"/>
  <c r="M49" i="65"/>
  <c r="L49" i="65"/>
  <c r="K49" i="65"/>
  <c r="J49" i="65"/>
  <c r="I49" i="65"/>
  <c r="H49" i="65"/>
  <c r="S48" i="65"/>
  <c r="R48" i="65"/>
  <c r="M48" i="65"/>
  <c r="L48" i="65"/>
  <c r="K48" i="65"/>
  <c r="J48" i="65"/>
  <c r="I48" i="65"/>
  <c r="H48" i="65"/>
  <c r="S47" i="65"/>
  <c r="R47" i="65"/>
  <c r="M47" i="65"/>
  <c r="L47" i="65"/>
  <c r="K47" i="65"/>
  <c r="J47" i="65"/>
  <c r="I47" i="65"/>
  <c r="H47" i="65"/>
  <c r="S46" i="65"/>
  <c r="R46" i="65"/>
  <c r="M46" i="65"/>
  <c r="L46" i="65"/>
  <c r="K46" i="65"/>
  <c r="J46" i="65"/>
  <c r="I46" i="65"/>
  <c r="H46" i="65"/>
  <c r="S45" i="65"/>
  <c r="R45" i="65"/>
  <c r="M45" i="65"/>
  <c r="L45" i="65"/>
  <c r="K45" i="65"/>
  <c r="J45" i="65"/>
  <c r="I45" i="65"/>
  <c r="H45" i="65"/>
  <c r="S44" i="65"/>
  <c r="R44" i="65"/>
  <c r="M44" i="65"/>
  <c r="L44" i="65"/>
  <c r="K44" i="65"/>
  <c r="J44" i="65"/>
  <c r="I44" i="65"/>
  <c r="H44" i="65"/>
  <c r="S43" i="65"/>
  <c r="R43" i="65"/>
  <c r="M43" i="65"/>
  <c r="L43" i="65"/>
  <c r="K43" i="65"/>
  <c r="J43" i="65"/>
  <c r="I43" i="65"/>
  <c r="H43" i="65"/>
  <c r="S42" i="65"/>
  <c r="R42" i="65"/>
  <c r="M42" i="65"/>
  <c r="L42" i="65"/>
  <c r="K42" i="65"/>
  <c r="J42" i="65"/>
  <c r="I42" i="65"/>
  <c r="H42" i="65"/>
  <c r="S41" i="65"/>
  <c r="R41" i="65"/>
  <c r="M41" i="65"/>
  <c r="L41" i="65"/>
  <c r="K41" i="65"/>
  <c r="J41" i="65"/>
  <c r="I41" i="65"/>
  <c r="H41" i="65"/>
  <c r="S40" i="65"/>
  <c r="R40" i="65"/>
  <c r="M40" i="65"/>
  <c r="L40" i="65"/>
  <c r="K40" i="65"/>
  <c r="J40" i="65"/>
  <c r="I40" i="65"/>
  <c r="H40" i="65"/>
  <c r="S39" i="65"/>
  <c r="R39" i="65"/>
  <c r="M39" i="65"/>
  <c r="L39" i="65"/>
  <c r="K39" i="65"/>
  <c r="J39" i="65"/>
  <c r="I39" i="65"/>
  <c r="H39" i="65"/>
  <c r="S38" i="65"/>
  <c r="R38" i="65"/>
  <c r="M38" i="65"/>
  <c r="L38" i="65"/>
  <c r="K38" i="65"/>
  <c r="J38" i="65"/>
  <c r="I38" i="65"/>
  <c r="H38" i="65"/>
  <c r="S37" i="65"/>
  <c r="R37" i="65"/>
  <c r="M37" i="65"/>
  <c r="L37" i="65"/>
  <c r="K37" i="65"/>
  <c r="J37" i="65"/>
  <c r="I37" i="65"/>
  <c r="H37" i="65"/>
  <c r="S36" i="65"/>
  <c r="R36" i="65"/>
  <c r="M36" i="65"/>
  <c r="L36" i="65"/>
  <c r="K36" i="65"/>
  <c r="J36" i="65"/>
  <c r="I36" i="65"/>
  <c r="H36" i="65"/>
  <c r="J35" i="65"/>
  <c r="R35" i="65" s="1"/>
  <c r="I35" i="65"/>
  <c r="H35" i="65"/>
  <c r="J34" i="65"/>
  <c r="R34" i="65" s="1"/>
  <c r="I34" i="65"/>
  <c r="H34" i="65"/>
  <c r="J33" i="65"/>
  <c r="R33" i="65" s="1"/>
  <c r="I33" i="65"/>
  <c r="H33" i="65"/>
  <c r="J32" i="65"/>
  <c r="R32" i="65" s="1"/>
  <c r="I32" i="65"/>
  <c r="H32" i="65"/>
  <c r="J31" i="65"/>
  <c r="R31" i="65" s="1"/>
  <c r="I31" i="65"/>
  <c r="H31" i="65"/>
  <c r="J30" i="65"/>
  <c r="R30" i="65" s="1"/>
  <c r="I30" i="65"/>
  <c r="H30" i="65"/>
  <c r="J29" i="65"/>
  <c r="R29" i="65" s="1"/>
  <c r="I29" i="65"/>
  <c r="H29" i="65"/>
  <c r="J28" i="65"/>
  <c r="R28" i="65" s="1"/>
  <c r="I28" i="65"/>
  <c r="H28" i="65"/>
  <c r="J27" i="65"/>
  <c r="R27" i="65" s="1"/>
  <c r="I27" i="65"/>
  <c r="H27" i="65"/>
  <c r="J26" i="65"/>
  <c r="R26" i="65" s="1"/>
  <c r="I26" i="65"/>
  <c r="H26" i="65"/>
  <c r="J25" i="65"/>
  <c r="R25" i="65" s="1"/>
  <c r="I25" i="65"/>
  <c r="H25" i="65"/>
  <c r="I24" i="65"/>
  <c r="J24" i="65" s="1"/>
  <c r="R24" i="65" s="1"/>
  <c r="H24" i="65"/>
  <c r="I23" i="65"/>
  <c r="H23" i="65"/>
  <c r="J23" i="65" s="1"/>
  <c r="R23" i="65" s="1"/>
  <c r="I22" i="65"/>
  <c r="H22" i="65"/>
  <c r="I21" i="65"/>
  <c r="H21" i="65"/>
  <c r="I20" i="65"/>
  <c r="J20" i="65" s="1"/>
  <c r="R20" i="65" s="1"/>
  <c r="H20" i="65"/>
  <c r="J19" i="65"/>
  <c r="R19" i="65" s="1"/>
  <c r="I19" i="65"/>
  <c r="H19" i="65"/>
  <c r="I18" i="65"/>
  <c r="H18" i="65"/>
  <c r="I17" i="65"/>
  <c r="H17" i="65"/>
  <c r="I16" i="65"/>
  <c r="H16" i="65"/>
  <c r="I15" i="65"/>
  <c r="H15" i="65"/>
  <c r="I14" i="65"/>
  <c r="H14" i="65"/>
  <c r="I13" i="65"/>
  <c r="H13" i="65"/>
  <c r="I12" i="65"/>
  <c r="J12" i="65" s="1"/>
  <c r="R12" i="65" s="1"/>
  <c r="H12" i="65"/>
  <c r="I11" i="65"/>
  <c r="H11" i="65"/>
  <c r="J11" i="65" s="1"/>
  <c r="R11" i="65" s="1"/>
  <c r="I10" i="65"/>
  <c r="H10" i="65"/>
  <c r="I9" i="65"/>
  <c r="H9" i="65"/>
  <c r="I8" i="65"/>
  <c r="H8" i="65"/>
  <c r="I7" i="65"/>
  <c r="L7" i="65" s="1"/>
  <c r="L8" i="65" s="1"/>
  <c r="H7" i="65"/>
  <c r="K7" i="65" s="1"/>
  <c r="J9" i="65" l="1"/>
  <c r="R9" i="65" s="1"/>
  <c r="J18" i="65"/>
  <c r="R18" i="65" s="1"/>
  <c r="J21" i="65"/>
  <c r="R21" i="65" s="1"/>
  <c r="K8" i="65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24" i="65" s="1"/>
  <c r="K25" i="65" s="1"/>
  <c r="K26" i="65" s="1"/>
  <c r="K27" i="65" s="1"/>
  <c r="K28" i="65" s="1"/>
  <c r="K29" i="65" s="1"/>
  <c r="K30" i="65" s="1"/>
  <c r="K31" i="65" s="1"/>
  <c r="K32" i="65" s="1"/>
  <c r="K33" i="65" s="1"/>
  <c r="K34" i="65" s="1"/>
  <c r="K35" i="65" s="1"/>
  <c r="J8" i="65"/>
  <c r="R8" i="65" s="1"/>
  <c r="J10" i="65"/>
  <c r="R10" i="65" s="1"/>
  <c r="J13" i="65"/>
  <c r="R13" i="65" s="1"/>
  <c r="J17" i="65"/>
  <c r="R17" i="65" s="1"/>
  <c r="J22" i="65"/>
  <c r="R22" i="65" s="1"/>
  <c r="L15" i="70"/>
  <c r="M14" i="70"/>
  <c r="S14" i="70" s="1"/>
  <c r="L12" i="67"/>
  <c r="M11" i="67"/>
  <c r="S11" i="67" s="1"/>
  <c r="L9" i="66"/>
  <c r="M8" i="66"/>
  <c r="S8" i="66" s="1"/>
  <c r="J16" i="65"/>
  <c r="R16" i="65" s="1"/>
  <c r="J14" i="65"/>
  <c r="R14" i="65" s="1"/>
  <c r="J15" i="65"/>
  <c r="R15" i="65" s="1"/>
  <c r="J7" i="65"/>
  <c r="R7" i="65" s="1"/>
  <c r="L9" i="65"/>
  <c r="M7" i="65"/>
  <c r="S7" i="65" s="1"/>
  <c r="M8" i="65" l="1"/>
  <c r="S8" i="65" s="1"/>
  <c r="M15" i="70"/>
  <c r="S15" i="70" s="1"/>
  <c r="L16" i="70"/>
  <c r="L13" i="67"/>
  <c r="M12" i="67"/>
  <c r="S12" i="67" s="1"/>
  <c r="M9" i="66"/>
  <c r="S9" i="66" s="1"/>
  <c r="L10" i="66"/>
  <c r="M9" i="65"/>
  <c r="S9" i="65" s="1"/>
  <c r="L10" i="65"/>
  <c r="S112" i="64"/>
  <c r="R112" i="64"/>
  <c r="M112" i="64"/>
  <c r="L112" i="64"/>
  <c r="K112" i="64"/>
  <c r="J112" i="64"/>
  <c r="I112" i="64"/>
  <c r="H112" i="64"/>
  <c r="S111" i="64"/>
  <c r="R111" i="64"/>
  <c r="M111" i="64"/>
  <c r="L111" i="64"/>
  <c r="K111" i="64"/>
  <c r="J111" i="64"/>
  <c r="I111" i="64"/>
  <c r="H111" i="64"/>
  <c r="S110" i="64"/>
  <c r="R110" i="64"/>
  <c r="M110" i="64"/>
  <c r="L110" i="64"/>
  <c r="K110" i="64"/>
  <c r="J110" i="64"/>
  <c r="I110" i="64"/>
  <c r="H110" i="64"/>
  <c r="S109" i="64"/>
  <c r="R109" i="64"/>
  <c r="M109" i="64"/>
  <c r="L109" i="64"/>
  <c r="K109" i="64"/>
  <c r="J109" i="64"/>
  <c r="I109" i="64"/>
  <c r="H109" i="64"/>
  <c r="S108" i="64"/>
  <c r="R108" i="64"/>
  <c r="M108" i="64"/>
  <c r="L108" i="64"/>
  <c r="K108" i="64"/>
  <c r="J108" i="64"/>
  <c r="I108" i="64"/>
  <c r="H108" i="64"/>
  <c r="S107" i="64"/>
  <c r="R107" i="64"/>
  <c r="M107" i="64"/>
  <c r="L107" i="64"/>
  <c r="K107" i="64"/>
  <c r="J107" i="64"/>
  <c r="I107" i="64"/>
  <c r="H107" i="64"/>
  <c r="S106" i="64"/>
  <c r="R106" i="64"/>
  <c r="M106" i="64"/>
  <c r="L106" i="64"/>
  <c r="K106" i="64"/>
  <c r="J106" i="64"/>
  <c r="I106" i="64"/>
  <c r="H106" i="64"/>
  <c r="S105" i="64"/>
  <c r="R105" i="64"/>
  <c r="M105" i="64"/>
  <c r="L105" i="64"/>
  <c r="K105" i="64"/>
  <c r="J105" i="64"/>
  <c r="I105" i="64"/>
  <c r="H105" i="64"/>
  <c r="S104" i="64"/>
  <c r="R104" i="64"/>
  <c r="M104" i="64"/>
  <c r="L104" i="64"/>
  <c r="K104" i="64"/>
  <c r="J104" i="64"/>
  <c r="I104" i="64"/>
  <c r="H104" i="64"/>
  <c r="S103" i="64"/>
  <c r="R103" i="64"/>
  <c r="M103" i="64"/>
  <c r="L103" i="64"/>
  <c r="K103" i="64"/>
  <c r="J103" i="64"/>
  <c r="I103" i="64"/>
  <c r="H103" i="64"/>
  <c r="S102" i="64"/>
  <c r="R102" i="64"/>
  <c r="M102" i="64"/>
  <c r="L102" i="64"/>
  <c r="K102" i="64"/>
  <c r="J102" i="64"/>
  <c r="I102" i="64"/>
  <c r="H102" i="64"/>
  <c r="S101" i="64"/>
  <c r="R101" i="64"/>
  <c r="M101" i="64"/>
  <c r="L101" i="64"/>
  <c r="K101" i="64"/>
  <c r="J101" i="64"/>
  <c r="I101" i="64"/>
  <c r="H101" i="64"/>
  <c r="S100" i="64"/>
  <c r="R100" i="64"/>
  <c r="M100" i="64"/>
  <c r="L100" i="64"/>
  <c r="K100" i="64"/>
  <c r="J100" i="64"/>
  <c r="I100" i="64"/>
  <c r="H100" i="64"/>
  <c r="S99" i="64"/>
  <c r="R99" i="64"/>
  <c r="M99" i="64"/>
  <c r="L99" i="64"/>
  <c r="K99" i="64"/>
  <c r="J99" i="64"/>
  <c r="I99" i="64"/>
  <c r="H99" i="64"/>
  <c r="S98" i="64"/>
  <c r="R98" i="64"/>
  <c r="M98" i="64"/>
  <c r="L98" i="64"/>
  <c r="K98" i="64"/>
  <c r="J98" i="64"/>
  <c r="I98" i="64"/>
  <c r="H98" i="64"/>
  <c r="S97" i="64"/>
  <c r="R97" i="64"/>
  <c r="M97" i="64"/>
  <c r="L97" i="64"/>
  <c r="K97" i="64"/>
  <c r="J97" i="64"/>
  <c r="I97" i="64"/>
  <c r="H97" i="64"/>
  <c r="S96" i="64"/>
  <c r="R96" i="64"/>
  <c r="M96" i="64"/>
  <c r="L96" i="64"/>
  <c r="K96" i="64"/>
  <c r="J96" i="64"/>
  <c r="I96" i="64"/>
  <c r="H96" i="64"/>
  <c r="S95" i="64"/>
  <c r="R95" i="64"/>
  <c r="M95" i="64"/>
  <c r="L95" i="64"/>
  <c r="K95" i="64"/>
  <c r="J95" i="64"/>
  <c r="I95" i="64"/>
  <c r="H95" i="64"/>
  <c r="S94" i="64"/>
  <c r="R94" i="64"/>
  <c r="M94" i="64"/>
  <c r="L94" i="64"/>
  <c r="K94" i="64"/>
  <c r="J94" i="64"/>
  <c r="I94" i="64"/>
  <c r="H94" i="64"/>
  <c r="S93" i="64"/>
  <c r="R93" i="64"/>
  <c r="M93" i="64"/>
  <c r="L93" i="64"/>
  <c r="K93" i="64"/>
  <c r="J93" i="64"/>
  <c r="I93" i="64"/>
  <c r="H93" i="64"/>
  <c r="S92" i="64"/>
  <c r="R92" i="64"/>
  <c r="M92" i="64"/>
  <c r="L92" i="64"/>
  <c r="K92" i="64"/>
  <c r="J92" i="64"/>
  <c r="I92" i="64"/>
  <c r="H92" i="64"/>
  <c r="S91" i="64"/>
  <c r="R91" i="64"/>
  <c r="M91" i="64"/>
  <c r="L91" i="64"/>
  <c r="K91" i="64"/>
  <c r="J91" i="64"/>
  <c r="I91" i="64"/>
  <c r="H91" i="64"/>
  <c r="S90" i="64"/>
  <c r="R90" i="64"/>
  <c r="M90" i="64"/>
  <c r="L90" i="64"/>
  <c r="K90" i="64"/>
  <c r="J90" i="64"/>
  <c r="I90" i="64"/>
  <c r="H90" i="64"/>
  <c r="S89" i="64"/>
  <c r="R89" i="64"/>
  <c r="M89" i="64"/>
  <c r="L89" i="64"/>
  <c r="K89" i="64"/>
  <c r="J89" i="64"/>
  <c r="I89" i="64"/>
  <c r="H89" i="64"/>
  <c r="S88" i="64"/>
  <c r="R88" i="64"/>
  <c r="M88" i="64"/>
  <c r="L88" i="64"/>
  <c r="K88" i="64"/>
  <c r="J88" i="64"/>
  <c r="I88" i="64"/>
  <c r="H88" i="64"/>
  <c r="S87" i="64"/>
  <c r="R87" i="64"/>
  <c r="M87" i="64"/>
  <c r="L87" i="64"/>
  <c r="K87" i="64"/>
  <c r="J87" i="64"/>
  <c r="I87" i="64"/>
  <c r="H87" i="64"/>
  <c r="S86" i="64"/>
  <c r="R86" i="64"/>
  <c r="M86" i="64"/>
  <c r="L86" i="64"/>
  <c r="K86" i="64"/>
  <c r="J86" i="64"/>
  <c r="I86" i="64"/>
  <c r="H86" i="64"/>
  <c r="S85" i="64"/>
  <c r="R85" i="64"/>
  <c r="M85" i="64"/>
  <c r="L85" i="64"/>
  <c r="K85" i="64"/>
  <c r="J85" i="64"/>
  <c r="I85" i="64"/>
  <c r="H85" i="64"/>
  <c r="S84" i="64"/>
  <c r="R84" i="64"/>
  <c r="M84" i="64"/>
  <c r="L84" i="64"/>
  <c r="K84" i="64"/>
  <c r="J84" i="64"/>
  <c r="I84" i="64"/>
  <c r="H84" i="64"/>
  <c r="S83" i="64"/>
  <c r="R83" i="64"/>
  <c r="M83" i="64"/>
  <c r="L83" i="64"/>
  <c r="K83" i="64"/>
  <c r="J83" i="64"/>
  <c r="I83" i="64"/>
  <c r="H83" i="64"/>
  <c r="S82" i="64"/>
  <c r="R82" i="64"/>
  <c r="M82" i="64"/>
  <c r="L82" i="64"/>
  <c r="K82" i="64"/>
  <c r="J82" i="64"/>
  <c r="I82" i="64"/>
  <c r="H82" i="64"/>
  <c r="S81" i="64"/>
  <c r="R81" i="64"/>
  <c r="M81" i="64"/>
  <c r="L81" i="64"/>
  <c r="K81" i="64"/>
  <c r="J81" i="64"/>
  <c r="I81" i="64"/>
  <c r="H81" i="64"/>
  <c r="S80" i="64"/>
  <c r="R80" i="64"/>
  <c r="M80" i="64"/>
  <c r="L80" i="64"/>
  <c r="K80" i="64"/>
  <c r="J80" i="64"/>
  <c r="I80" i="64"/>
  <c r="H80" i="64"/>
  <c r="S79" i="64"/>
  <c r="R79" i="64"/>
  <c r="M79" i="64"/>
  <c r="L79" i="64"/>
  <c r="K79" i="64"/>
  <c r="J79" i="64"/>
  <c r="I79" i="64"/>
  <c r="H79" i="64"/>
  <c r="S78" i="64"/>
  <c r="R78" i="64"/>
  <c r="M78" i="64"/>
  <c r="L78" i="64"/>
  <c r="K78" i="64"/>
  <c r="J78" i="64"/>
  <c r="I78" i="64"/>
  <c r="H78" i="64"/>
  <c r="S77" i="64"/>
  <c r="R77" i="64"/>
  <c r="M77" i="64"/>
  <c r="L77" i="64"/>
  <c r="K77" i="64"/>
  <c r="J77" i="64"/>
  <c r="I77" i="64"/>
  <c r="H77" i="64"/>
  <c r="S76" i="64"/>
  <c r="R76" i="64"/>
  <c r="M76" i="64"/>
  <c r="L76" i="64"/>
  <c r="K76" i="64"/>
  <c r="J76" i="64"/>
  <c r="I76" i="64"/>
  <c r="H76" i="64"/>
  <c r="S75" i="64"/>
  <c r="R75" i="64"/>
  <c r="M75" i="64"/>
  <c r="L75" i="64"/>
  <c r="K75" i="64"/>
  <c r="J75" i="64"/>
  <c r="I75" i="64"/>
  <c r="H75" i="64"/>
  <c r="S74" i="64"/>
  <c r="R74" i="64"/>
  <c r="M74" i="64"/>
  <c r="L74" i="64"/>
  <c r="K74" i="64"/>
  <c r="J74" i="64"/>
  <c r="I74" i="64"/>
  <c r="H74" i="64"/>
  <c r="S73" i="64"/>
  <c r="R73" i="64"/>
  <c r="M73" i="64"/>
  <c r="L73" i="64"/>
  <c r="K73" i="64"/>
  <c r="J73" i="64"/>
  <c r="I73" i="64"/>
  <c r="H73" i="64"/>
  <c r="S72" i="64"/>
  <c r="R72" i="64"/>
  <c r="M72" i="64"/>
  <c r="L72" i="64"/>
  <c r="K72" i="64"/>
  <c r="J72" i="64"/>
  <c r="I72" i="64"/>
  <c r="H72" i="64"/>
  <c r="S71" i="64"/>
  <c r="R71" i="64"/>
  <c r="M71" i="64"/>
  <c r="L71" i="64"/>
  <c r="K71" i="64"/>
  <c r="J71" i="64"/>
  <c r="I71" i="64"/>
  <c r="H71" i="64"/>
  <c r="S70" i="64"/>
  <c r="R70" i="64"/>
  <c r="M70" i="64"/>
  <c r="L70" i="64"/>
  <c r="K70" i="64"/>
  <c r="J70" i="64"/>
  <c r="I70" i="64"/>
  <c r="H70" i="64"/>
  <c r="S69" i="64"/>
  <c r="R69" i="64"/>
  <c r="M69" i="64"/>
  <c r="L69" i="64"/>
  <c r="K69" i="64"/>
  <c r="J69" i="64"/>
  <c r="I69" i="64"/>
  <c r="H69" i="64"/>
  <c r="S68" i="64"/>
  <c r="R68" i="64"/>
  <c r="M68" i="64"/>
  <c r="L68" i="64"/>
  <c r="K68" i="64"/>
  <c r="J68" i="64"/>
  <c r="I68" i="64"/>
  <c r="H68" i="64"/>
  <c r="S67" i="64"/>
  <c r="R67" i="64"/>
  <c r="M67" i="64"/>
  <c r="L67" i="64"/>
  <c r="K67" i="64"/>
  <c r="J67" i="64"/>
  <c r="I67" i="64"/>
  <c r="H67" i="64"/>
  <c r="S66" i="64"/>
  <c r="R66" i="64"/>
  <c r="M66" i="64"/>
  <c r="L66" i="64"/>
  <c r="K66" i="64"/>
  <c r="J66" i="64"/>
  <c r="I66" i="64"/>
  <c r="H66" i="64"/>
  <c r="S65" i="64"/>
  <c r="R65" i="64"/>
  <c r="M65" i="64"/>
  <c r="L65" i="64"/>
  <c r="K65" i="64"/>
  <c r="J65" i="64"/>
  <c r="I65" i="64"/>
  <c r="H65" i="64"/>
  <c r="S64" i="64"/>
  <c r="R64" i="64"/>
  <c r="M64" i="64"/>
  <c r="L64" i="64"/>
  <c r="K64" i="64"/>
  <c r="J64" i="64"/>
  <c r="I64" i="64"/>
  <c r="H64" i="64"/>
  <c r="S63" i="64"/>
  <c r="R63" i="64"/>
  <c r="M63" i="64"/>
  <c r="L63" i="64"/>
  <c r="K63" i="64"/>
  <c r="J63" i="64"/>
  <c r="I63" i="64"/>
  <c r="H63" i="64"/>
  <c r="S62" i="64"/>
  <c r="R62" i="64"/>
  <c r="M62" i="64"/>
  <c r="L62" i="64"/>
  <c r="K62" i="64"/>
  <c r="J62" i="64"/>
  <c r="I62" i="64"/>
  <c r="H62" i="64"/>
  <c r="S61" i="64"/>
  <c r="R61" i="64"/>
  <c r="M61" i="64"/>
  <c r="L61" i="64"/>
  <c r="K61" i="64"/>
  <c r="J61" i="64"/>
  <c r="I61" i="64"/>
  <c r="H61" i="64"/>
  <c r="S60" i="64"/>
  <c r="R60" i="64"/>
  <c r="M60" i="64"/>
  <c r="L60" i="64"/>
  <c r="K60" i="64"/>
  <c r="J60" i="64"/>
  <c r="I60" i="64"/>
  <c r="H60" i="64"/>
  <c r="S59" i="64"/>
  <c r="R59" i="64"/>
  <c r="M59" i="64"/>
  <c r="L59" i="64"/>
  <c r="K59" i="64"/>
  <c r="J59" i="64"/>
  <c r="I59" i="64"/>
  <c r="H59" i="64"/>
  <c r="S58" i="64"/>
  <c r="R58" i="64"/>
  <c r="M58" i="64"/>
  <c r="L58" i="64"/>
  <c r="K58" i="64"/>
  <c r="J58" i="64"/>
  <c r="I58" i="64"/>
  <c r="H58" i="64"/>
  <c r="S57" i="64"/>
  <c r="R57" i="64"/>
  <c r="M57" i="64"/>
  <c r="L57" i="64"/>
  <c r="K57" i="64"/>
  <c r="J57" i="64"/>
  <c r="I57" i="64"/>
  <c r="H57" i="64"/>
  <c r="S56" i="64"/>
  <c r="R56" i="64"/>
  <c r="M56" i="64"/>
  <c r="L56" i="64"/>
  <c r="K56" i="64"/>
  <c r="J56" i="64"/>
  <c r="I56" i="64"/>
  <c r="H56" i="64"/>
  <c r="S55" i="64"/>
  <c r="R55" i="64"/>
  <c r="M55" i="64"/>
  <c r="L55" i="64"/>
  <c r="K55" i="64"/>
  <c r="J55" i="64"/>
  <c r="I55" i="64"/>
  <c r="H55" i="64"/>
  <c r="S54" i="64"/>
  <c r="R54" i="64"/>
  <c r="M54" i="64"/>
  <c r="L54" i="64"/>
  <c r="K54" i="64"/>
  <c r="J54" i="64"/>
  <c r="I54" i="64"/>
  <c r="H54" i="64"/>
  <c r="S53" i="64"/>
  <c r="R53" i="64"/>
  <c r="M53" i="64"/>
  <c r="L53" i="64"/>
  <c r="K53" i="64"/>
  <c r="J53" i="64"/>
  <c r="I53" i="64"/>
  <c r="H53" i="64"/>
  <c r="S52" i="64"/>
  <c r="R52" i="64"/>
  <c r="M52" i="64"/>
  <c r="L52" i="64"/>
  <c r="K52" i="64"/>
  <c r="J52" i="64"/>
  <c r="I52" i="64"/>
  <c r="H52" i="64"/>
  <c r="S51" i="64"/>
  <c r="R51" i="64"/>
  <c r="M51" i="64"/>
  <c r="L51" i="64"/>
  <c r="K51" i="64"/>
  <c r="J51" i="64"/>
  <c r="I51" i="64"/>
  <c r="H51" i="64"/>
  <c r="S50" i="64"/>
  <c r="R50" i="64"/>
  <c r="M50" i="64"/>
  <c r="L50" i="64"/>
  <c r="K50" i="64"/>
  <c r="J50" i="64"/>
  <c r="I50" i="64"/>
  <c r="H50" i="64"/>
  <c r="S49" i="64"/>
  <c r="R49" i="64"/>
  <c r="M49" i="64"/>
  <c r="L49" i="64"/>
  <c r="K49" i="64"/>
  <c r="J49" i="64"/>
  <c r="I49" i="64"/>
  <c r="H49" i="64"/>
  <c r="S48" i="64"/>
  <c r="R48" i="64"/>
  <c r="M48" i="64"/>
  <c r="L48" i="64"/>
  <c r="K48" i="64"/>
  <c r="J48" i="64"/>
  <c r="I48" i="64"/>
  <c r="H48" i="64"/>
  <c r="S47" i="64"/>
  <c r="R47" i="64"/>
  <c r="M47" i="64"/>
  <c r="L47" i="64"/>
  <c r="K47" i="64"/>
  <c r="J47" i="64"/>
  <c r="I47" i="64"/>
  <c r="H47" i="64"/>
  <c r="S46" i="64"/>
  <c r="R46" i="64"/>
  <c r="M46" i="64"/>
  <c r="L46" i="64"/>
  <c r="K46" i="64"/>
  <c r="J46" i="64"/>
  <c r="I46" i="64"/>
  <c r="H46" i="64"/>
  <c r="S45" i="64"/>
  <c r="R45" i="64"/>
  <c r="M45" i="64"/>
  <c r="L45" i="64"/>
  <c r="K45" i="64"/>
  <c r="J45" i="64"/>
  <c r="I45" i="64"/>
  <c r="H45" i="64"/>
  <c r="S44" i="64"/>
  <c r="R44" i="64"/>
  <c r="M44" i="64"/>
  <c r="L44" i="64"/>
  <c r="K44" i="64"/>
  <c r="J44" i="64"/>
  <c r="I44" i="64"/>
  <c r="H44" i="64"/>
  <c r="S43" i="64"/>
  <c r="R43" i="64"/>
  <c r="M43" i="64"/>
  <c r="L43" i="64"/>
  <c r="K43" i="64"/>
  <c r="J43" i="64"/>
  <c r="I43" i="64"/>
  <c r="H43" i="64"/>
  <c r="S42" i="64"/>
  <c r="R42" i="64"/>
  <c r="M42" i="64"/>
  <c r="L42" i="64"/>
  <c r="K42" i="64"/>
  <c r="J42" i="64"/>
  <c r="I42" i="64"/>
  <c r="H42" i="64"/>
  <c r="S41" i="64"/>
  <c r="R41" i="64"/>
  <c r="M41" i="64"/>
  <c r="L41" i="64"/>
  <c r="K41" i="64"/>
  <c r="J41" i="64"/>
  <c r="I41" i="64"/>
  <c r="H41" i="64"/>
  <c r="S40" i="64"/>
  <c r="R40" i="64"/>
  <c r="M40" i="64"/>
  <c r="L40" i="64"/>
  <c r="K40" i="64"/>
  <c r="J40" i="64"/>
  <c r="I40" i="64"/>
  <c r="H40" i="64"/>
  <c r="S39" i="64"/>
  <c r="R39" i="64"/>
  <c r="M39" i="64"/>
  <c r="L39" i="64"/>
  <c r="K39" i="64"/>
  <c r="J39" i="64"/>
  <c r="I39" i="64"/>
  <c r="H39" i="64"/>
  <c r="S38" i="64"/>
  <c r="R38" i="64"/>
  <c r="M38" i="64"/>
  <c r="L38" i="64"/>
  <c r="K38" i="64"/>
  <c r="J38" i="64"/>
  <c r="I38" i="64"/>
  <c r="H38" i="64"/>
  <c r="S37" i="64"/>
  <c r="R37" i="64"/>
  <c r="M37" i="64"/>
  <c r="L37" i="64"/>
  <c r="K37" i="64"/>
  <c r="J37" i="64"/>
  <c r="I37" i="64"/>
  <c r="H37" i="64"/>
  <c r="S36" i="64"/>
  <c r="R36" i="64"/>
  <c r="M36" i="64"/>
  <c r="L36" i="64"/>
  <c r="K36" i="64"/>
  <c r="J36" i="64"/>
  <c r="I36" i="64"/>
  <c r="H36" i="64"/>
  <c r="I35" i="64"/>
  <c r="H35" i="64"/>
  <c r="J34" i="64"/>
  <c r="R34" i="64" s="1"/>
  <c r="I34" i="64"/>
  <c r="H34" i="64"/>
  <c r="I33" i="64"/>
  <c r="H33" i="64"/>
  <c r="I32" i="64"/>
  <c r="H32" i="64"/>
  <c r="I31" i="64"/>
  <c r="H31" i="64"/>
  <c r="I30" i="64"/>
  <c r="H30" i="64"/>
  <c r="I29" i="64"/>
  <c r="H29" i="64"/>
  <c r="I28" i="64"/>
  <c r="H28" i="64"/>
  <c r="I27" i="64"/>
  <c r="H27" i="64"/>
  <c r="I26" i="64"/>
  <c r="H26" i="64"/>
  <c r="I25" i="64"/>
  <c r="H25" i="64"/>
  <c r="I24" i="64"/>
  <c r="J24" i="64" s="1"/>
  <c r="R24" i="64" s="1"/>
  <c r="H24" i="64"/>
  <c r="I23" i="64"/>
  <c r="H23" i="64"/>
  <c r="I22" i="64"/>
  <c r="J22" i="64" s="1"/>
  <c r="R22" i="64" s="1"/>
  <c r="H22" i="64"/>
  <c r="I21" i="64"/>
  <c r="H21" i="64"/>
  <c r="I20" i="64"/>
  <c r="H20" i="64"/>
  <c r="I19" i="64"/>
  <c r="H19" i="64"/>
  <c r="I18" i="64"/>
  <c r="H18" i="64"/>
  <c r="I17" i="64"/>
  <c r="J17" i="64" s="1"/>
  <c r="R17" i="64" s="1"/>
  <c r="H17" i="64"/>
  <c r="I16" i="64"/>
  <c r="H16" i="64"/>
  <c r="I15" i="64"/>
  <c r="J15" i="64" s="1"/>
  <c r="R15" i="64" s="1"/>
  <c r="H15" i="64"/>
  <c r="I14" i="64"/>
  <c r="H14" i="64"/>
  <c r="I13" i="64"/>
  <c r="J13" i="64" s="1"/>
  <c r="R13" i="64" s="1"/>
  <c r="H13" i="64"/>
  <c r="I12" i="64"/>
  <c r="H12" i="64"/>
  <c r="I11" i="64"/>
  <c r="J11" i="64" s="1"/>
  <c r="R11" i="64" s="1"/>
  <c r="H11" i="64"/>
  <c r="I10" i="64"/>
  <c r="H10" i="64"/>
  <c r="I9" i="64"/>
  <c r="J9" i="64" s="1"/>
  <c r="R9" i="64" s="1"/>
  <c r="H9" i="64"/>
  <c r="I8" i="64"/>
  <c r="J8" i="64" s="1"/>
  <c r="R8" i="64" s="1"/>
  <c r="H8" i="64"/>
  <c r="K7" i="64"/>
  <c r="K8" i="64" s="1"/>
  <c r="K9" i="64" s="1"/>
  <c r="K10" i="64" s="1"/>
  <c r="K11" i="64" s="1"/>
  <c r="K12" i="64" s="1"/>
  <c r="K13" i="64" s="1"/>
  <c r="K14" i="64" s="1"/>
  <c r="K15" i="64" s="1"/>
  <c r="I7" i="64"/>
  <c r="L7" i="64" s="1"/>
  <c r="H7" i="64"/>
  <c r="J12" i="64" l="1"/>
  <c r="R12" i="64" s="1"/>
  <c r="J14" i="64"/>
  <c r="R14" i="64" s="1"/>
  <c r="J23" i="64"/>
  <c r="R23" i="64" s="1"/>
  <c r="J25" i="64"/>
  <c r="R25" i="64" s="1"/>
  <c r="J27" i="64"/>
  <c r="R27" i="64" s="1"/>
  <c r="J31" i="64"/>
  <c r="R31" i="64" s="1"/>
  <c r="J35" i="64"/>
  <c r="R35" i="64" s="1"/>
  <c r="M16" i="70"/>
  <c r="S16" i="70" s="1"/>
  <c r="L17" i="70"/>
  <c r="L14" i="67"/>
  <c r="M13" i="67"/>
  <c r="S13" i="67" s="1"/>
  <c r="M10" i="66"/>
  <c r="S10" i="66" s="1"/>
  <c r="L11" i="66"/>
  <c r="M10" i="65"/>
  <c r="S10" i="65" s="1"/>
  <c r="L11" i="65"/>
  <c r="J33" i="64"/>
  <c r="R33" i="64" s="1"/>
  <c r="J32" i="64"/>
  <c r="R32" i="64" s="1"/>
  <c r="J30" i="64"/>
  <c r="R30" i="64" s="1"/>
  <c r="J29" i="64"/>
  <c r="R29" i="64" s="1"/>
  <c r="J28" i="64"/>
  <c r="R28" i="64" s="1"/>
  <c r="J26" i="64"/>
  <c r="R26" i="64" s="1"/>
  <c r="J21" i="64"/>
  <c r="R21" i="64" s="1"/>
  <c r="J20" i="64"/>
  <c r="R20" i="64" s="1"/>
  <c r="J19" i="64"/>
  <c r="R19" i="64" s="1"/>
  <c r="J18" i="64"/>
  <c r="R18" i="64" s="1"/>
  <c r="J16" i="64"/>
  <c r="R16" i="64" s="1"/>
  <c r="K16" i="64"/>
  <c r="K17" i="64" s="1"/>
  <c r="K18" i="64" s="1"/>
  <c r="J10" i="64"/>
  <c r="R10" i="64" s="1"/>
  <c r="L8" i="64"/>
  <c r="M7" i="64"/>
  <c r="S7" i="64" s="1"/>
  <c r="J7" i="64"/>
  <c r="R7" i="64" s="1"/>
  <c r="K19" i="64" l="1"/>
  <c r="K20" i="64" s="1"/>
  <c r="K21" i="64" s="1"/>
  <c r="K22" i="64" s="1"/>
  <c r="K23" i="64" s="1"/>
  <c r="K24" i="64" s="1"/>
  <c r="K25" i="64" s="1"/>
  <c r="K26" i="64" s="1"/>
  <c r="K27" i="64" s="1"/>
  <c r="K28" i="64" s="1"/>
  <c r="K29" i="64" s="1"/>
  <c r="K30" i="64" s="1"/>
  <c r="K31" i="64" s="1"/>
  <c r="K32" i="64" s="1"/>
  <c r="K33" i="64" s="1"/>
  <c r="K34" i="64" s="1"/>
  <c r="K35" i="64" s="1"/>
  <c r="M17" i="70"/>
  <c r="S17" i="70" s="1"/>
  <c r="L18" i="70"/>
  <c r="M18" i="70" s="1"/>
  <c r="S18" i="70" s="1"/>
  <c r="L15" i="67"/>
  <c r="M14" i="67"/>
  <c r="S14" i="67" s="1"/>
  <c r="L12" i="66"/>
  <c r="M11" i="66"/>
  <c r="S11" i="66" s="1"/>
  <c r="M11" i="65"/>
  <c r="S11" i="65" s="1"/>
  <c r="L12" i="65"/>
  <c r="M8" i="64"/>
  <c r="S8" i="64" s="1"/>
  <c r="L9" i="64"/>
  <c r="S112" i="63"/>
  <c r="R112" i="63"/>
  <c r="M112" i="63"/>
  <c r="L112" i="63"/>
  <c r="K112" i="63"/>
  <c r="J112" i="63"/>
  <c r="I112" i="63"/>
  <c r="H112" i="63"/>
  <c r="S111" i="63"/>
  <c r="R111" i="63"/>
  <c r="M111" i="63"/>
  <c r="L111" i="63"/>
  <c r="K111" i="63"/>
  <c r="J111" i="63"/>
  <c r="I111" i="63"/>
  <c r="H111" i="63"/>
  <c r="S110" i="63"/>
  <c r="R110" i="63"/>
  <c r="M110" i="63"/>
  <c r="L110" i="63"/>
  <c r="K110" i="63"/>
  <c r="J110" i="63"/>
  <c r="I110" i="63"/>
  <c r="H110" i="63"/>
  <c r="S109" i="63"/>
  <c r="R109" i="63"/>
  <c r="M109" i="63"/>
  <c r="L109" i="63"/>
  <c r="K109" i="63"/>
  <c r="J109" i="63"/>
  <c r="I109" i="63"/>
  <c r="H109" i="63"/>
  <c r="S108" i="63"/>
  <c r="R108" i="63"/>
  <c r="M108" i="63"/>
  <c r="L108" i="63"/>
  <c r="K108" i="63"/>
  <c r="J108" i="63"/>
  <c r="I108" i="63"/>
  <c r="H108" i="63"/>
  <c r="S107" i="63"/>
  <c r="R107" i="63"/>
  <c r="M107" i="63"/>
  <c r="L107" i="63"/>
  <c r="K107" i="63"/>
  <c r="J107" i="63"/>
  <c r="I107" i="63"/>
  <c r="H107" i="63"/>
  <c r="S106" i="63"/>
  <c r="R106" i="63"/>
  <c r="M106" i="63"/>
  <c r="L106" i="63"/>
  <c r="K106" i="63"/>
  <c r="J106" i="63"/>
  <c r="I106" i="63"/>
  <c r="H106" i="63"/>
  <c r="S105" i="63"/>
  <c r="R105" i="63"/>
  <c r="M105" i="63"/>
  <c r="L105" i="63"/>
  <c r="K105" i="63"/>
  <c r="J105" i="63"/>
  <c r="I105" i="63"/>
  <c r="H105" i="63"/>
  <c r="S104" i="63"/>
  <c r="R104" i="63"/>
  <c r="M104" i="63"/>
  <c r="L104" i="63"/>
  <c r="K104" i="63"/>
  <c r="J104" i="63"/>
  <c r="I104" i="63"/>
  <c r="H104" i="63"/>
  <c r="S103" i="63"/>
  <c r="R103" i="63"/>
  <c r="M103" i="63"/>
  <c r="L103" i="63"/>
  <c r="K103" i="63"/>
  <c r="J103" i="63"/>
  <c r="I103" i="63"/>
  <c r="H103" i="63"/>
  <c r="S102" i="63"/>
  <c r="R102" i="63"/>
  <c r="M102" i="63"/>
  <c r="L102" i="63"/>
  <c r="K102" i="63"/>
  <c r="J102" i="63"/>
  <c r="I102" i="63"/>
  <c r="H102" i="63"/>
  <c r="S101" i="63"/>
  <c r="R101" i="63"/>
  <c r="M101" i="63"/>
  <c r="L101" i="63"/>
  <c r="K101" i="63"/>
  <c r="J101" i="63"/>
  <c r="I101" i="63"/>
  <c r="H101" i="63"/>
  <c r="S100" i="63"/>
  <c r="R100" i="63"/>
  <c r="M100" i="63"/>
  <c r="L100" i="63"/>
  <c r="K100" i="63"/>
  <c r="J100" i="63"/>
  <c r="I100" i="63"/>
  <c r="H100" i="63"/>
  <c r="S99" i="63"/>
  <c r="R99" i="63"/>
  <c r="M99" i="63"/>
  <c r="L99" i="63"/>
  <c r="K99" i="63"/>
  <c r="J99" i="63"/>
  <c r="I99" i="63"/>
  <c r="H99" i="63"/>
  <c r="S98" i="63"/>
  <c r="R98" i="63"/>
  <c r="M98" i="63"/>
  <c r="L98" i="63"/>
  <c r="K98" i="63"/>
  <c r="J98" i="63"/>
  <c r="I98" i="63"/>
  <c r="H98" i="63"/>
  <c r="S97" i="63"/>
  <c r="R97" i="63"/>
  <c r="M97" i="63"/>
  <c r="L97" i="63"/>
  <c r="K97" i="63"/>
  <c r="J97" i="63"/>
  <c r="I97" i="63"/>
  <c r="H97" i="63"/>
  <c r="S96" i="63"/>
  <c r="R96" i="63"/>
  <c r="M96" i="63"/>
  <c r="L96" i="63"/>
  <c r="K96" i="63"/>
  <c r="J96" i="63"/>
  <c r="I96" i="63"/>
  <c r="H96" i="63"/>
  <c r="S95" i="63"/>
  <c r="R95" i="63"/>
  <c r="M95" i="63"/>
  <c r="L95" i="63"/>
  <c r="K95" i="63"/>
  <c r="J95" i="63"/>
  <c r="I95" i="63"/>
  <c r="H95" i="63"/>
  <c r="S94" i="63"/>
  <c r="R94" i="63"/>
  <c r="M94" i="63"/>
  <c r="L94" i="63"/>
  <c r="K94" i="63"/>
  <c r="J94" i="63"/>
  <c r="I94" i="63"/>
  <c r="H94" i="63"/>
  <c r="S93" i="63"/>
  <c r="R93" i="63"/>
  <c r="M93" i="63"/>
  <c r="L93" i="63"/>
  <c r="K93" i="63"/>
  <c r="J93" i="63"/>
  <c r="I93" i="63"/>
  <c r="H93" i="63"/>
  <c r="S92" i="63"/>
  <c r="R92" i="63"/>
  <c r="M92" i="63"/>
  <c r="L92" i="63"/>
  <c r="K92" i="63"/>
  <c r="J92" i="63"/>
  <c r="I92" i="63"/>
  <c r="H92" i="63"/>
  <c r="S91" i="63"/>
  <c r="R91" i="63"/>
  <c r="M91" i="63"/>
  <c r="L91" i="63"/>
  <c r="K91" i="63"/>
  <c r="J91" i="63"/>
  <c r="I91" i="63"/>
  <c r="H91" i="63"/>
  <c r="S90" i="63"/>
  <c r="R90" i="63"/>
  <c r="M90" i="63"/>
  <c r="L90" i="63"/>
  <c r="K90" i="63"/>
  <c r="J90" i="63"/>
  <c r="I90" i="63"/>
  <c r="H90" i="63"/>
  <c r="S89" i="63"/>
  <c r="R89" i="63"/>
  <c r="M89" i="63"/>
  <c r="L89" i="63"/>
  <c r="K89" i="63"/>
  <c r="J89" i="63"/>
  <c r="I89" i="63"/>
  <c r="H89" i="63"/>
  <c r="S88" i="63"/>
  <c r="R88" i="63"/>
  <c r="M88" i="63"/>
  <c r="L88" i="63"/>
  <c r="K88" i="63"/>
  <c r="J88" i="63"/>
  <c r="I88" i="63"/>
  <c r="H88" i="63"/>
  <c r="S87" i="63"/>
  <c r="R87" i="63"/>
  <c r="M87" i="63"/>
  <c r="L87" i="63"/>
  <c r="K87" i="63"/>
  <c r="J87" i="63"/>
  <c r="I87" i="63"/>
  <c r="H87" i="63"/>
  <c r="S86" i="63"/>
  <c r="R86" i="63"/>
  <c r="M86" i="63"/>
  <c r="L86" i="63"/>
  <c r="K86" i="63"/>
  <c r="J86" i="63"/>
  <c r="I86" i="63"/>
  <c r="H86" i="63"/>
  <c r="S85" i="63"/>
  <c r="R85" i="63"/>
  <c r="M85" i="63"/>
  <c r="L85" i="63"/>
  <c r="K85" i="63"/>
  <c r="J85" i="63"/>
  <c r="I85" i="63"/>
  <c r="H85" i="63"/>
  <c r="S84" i="63"/>
  <c r="R84" i="63"/>
  <c r="M84" i="63"/>
  <c r="L84" i="63"/>
  <c r="K84" i="63"/>
  <c r="J84" i="63"/>
  <c r="I84" i="63"/>
  <c r="H84" i="63"/>
  <c r="S83" i="63"/>
  <c r="R83" i="63"/>
  <c r="M83" i="63"/>
  <c r="L83" i="63"/>
  <c r="K83" i="63"/>
  <c r="J83" i="63"/>
  <c r="I83" i="63"/>
  <c r="H83" i="63"/>
  <c r="S82" i="63"/>
  <c r="R82" i="63"/>
  <c r="M82" i="63"/>
  <c r="L82" i="63"/>
  <c r="K82" i="63"/>
  <c r="J82" i="63"/>
  <c r="I82" i="63"/>
  <c r="H82" i="63"/>
  <c r="S81" i="63"/>
  <c r="R81" i="63"/>
  <c r="M81" i="63"/>
  <c r="L81" i="63"/>
  <c r="K81" i="63"/>
  <c r="J81" i="63"/>
  <c r="I81" i="63"/>
  <c r="H81" i="63"/>
  <c r="S80" i="63"/>
  <c r="R80" i="63"/>
  <c r="M80" i="63"/>
  <c r="L80" i="63"/>
  <c r="K80" i="63"/>
  <c r="J80" i="63"/>
  <c r="I80" i="63"/>
  <c r="H80" i="63"/>
  <c r="S79" i="63"/>
  <c r="R79" i="63"/>
  <c r="M79" i="63"/>
  <c r="L79" i="63"/>
  <c r="K79" i="63"/>
  <c r="J79" i="63"/>
  <c r="I79" i="63"/>
  <c r="H79" i="63"/>
  <c r="S78" i="63"/>
  <c r="R78" i="63"/>
  <c r="M78" i="63"/>
  <c r="L78" i="63"/>
  <c r="K78" i="63"/>
  <c r="J78" i="63"/>
  <c r="I78" i="63"/>
  <c r="H78" i="63"/>
  <c r="S77" i="63"/>
  <c r="R77" i="63"/>
  <c r="M77" i="63"/>
  <c r="L77" i="63"/>
  <c r="K77" i="63"/>
  <c r="J77" i="63"/>
  <c r="I77" i="63"/>
  <c r="H77" i="63"/>
  <c r="S76" i="63"/>
  <c r="R76" i="63"/>
  <c r="M76" i="63"/>
  <c r="L76" i="63"/>
  <c r="K76" i="63"/>
  <c r="J76" i="63"/>
  <c r="I76" i="63"/>
  <c r="H76" i="63"/>
  <c r="S75" i="63"/>
  <c r="R75" i="63"/>
  <c r="M75" i="63"/>
  <c r="L75" i="63"/>
  <c r="K75" i="63"/>
  <c r="J75" i="63"/>
  <c r="I75" i="63"/>
  <c r="H75" i="63"/>
  <c r="S74" i="63"/>
  <c r="R74" i="63"/>
  <c r="M74" i="63"/>
  <c r="L74" i="63"/>
  <c r="K74" i="63"/>
  <c r="J74" i="63"/>
  <c r="I74" i="63"/>
  <c r="H74" i="63"/>
  <c r="S73" i="63"/>
  <c r="R73" i="63"/>
  <c r="M73" i="63"/>
  <c r="L73" i="63"/>
  <c r="K73" i="63"/>
  <c r="J73" i="63"/>
  <c r="I73" i="63"/>
  <c r="H73" i="63"/>
  <c r="S72" i="63"/>
  <c r="R72" i="63"/>
  <c r="M72" i="63"/>
  <c r="L72" i="63"/>
  <c r="K72" i="63"/>
  <c r="J72" i="63"/>
  <c r="I72" i="63"/>
  <c r="H72" i="63"/>
  <c r="S71" i="63"/>
  <c r="R71" i="63"/>
  <c r="M71" i="63"/>
  <c r="L71" i="63"/>
  <c r="K71" i="63"/>
  <c r="J71" i="63"/>
  <c r="I71" i="63"/>
  <c r="H71" i="63"/>
  <c r="S70" i="63"/>
  <c r="R70" i="63"/>
  <c r="M70" i="63"/>
  <c r="L70" i="63"/>
  <c r="K70" i="63"/>
  <c r="J70" i="63"/>
  <c r="I70" i="63"/>
  <c r="H70" i="63"/>
  <c r="S69" i="63"/>
  <c r="R69" i="63"/>
  <c r="M69" i="63"/>
  <c r="L69" i="63"/>
  <c r="K69" i="63"/>
  <c r="J69" i="63"/>
  <c r="I69" i="63"/>
  <c r="H69" i="63"/>
  <c r="S68" i="63"/>
  <c r="R68" i="63"/>
  <c r="M68" i="63"/>
  <c r="L68" i="63"/>
  <c r="K68" i="63"/>
  <c r="J68" i="63"/>
  <c r="I68" i="63"/>
  <c r="H68" i="63"/>
  <c r="S67" i="63"/>
  <c r="R67" i="63"/>
  <c r="M67" i="63"/>
  <c r="L67" i="63"/>
  <c r="K67" i="63"/>
  <c r="J67" i="63"/>
  <c r="I67" i="63"/>
  <c r="H67" i="63"/>
  <c r="S66" i="63"/>
  <c r="R66" i="63"/>
  <c r="M66" i="63"/>
  <c r="L66" i="63"/>
  <c r="K66" i="63"/>
  <c r="J66" i="63"/>
  <c r="I66" i="63"/>
  <c r="H66" i="63"/>
  <c r="S65" i="63"/>
  <c r="R65" i="63"/>
  <c r="M65" i="63"/>
  <c r="L65" i="63"/>
  <c r="K65" i="63"/>
  <c r="J65" i="63"/>
  <c r="I65" i="63"/>
  <c r="H65" i="63"/>
  <c r="S64" i="63"/>
  <c r="R64" i="63"/>
  <c r="M64" i="63"/>
  <c r="L64" i="63"/>
  <c r="K64" i="63"/>
  <c r="J64" i="63"/>
  <c r="I64" i="63"/>
  <c r="H64" i="63"/>
  <c r="S63" i="63"/>
  <c r="R63" i="63"/>
  <c r="M63" i="63"/>
  <c r="L63" i="63"/>
  <c r="K63" i="63"/>
  <c r="J63" i="63"/>
  <c r="I63" i="63"/>
  <c r="H63" i="63"/>
  <c r="S62" i="63"/>
  <c r="R62" i="63"/>
  <c r="M62" i="63"/>
  <c r="L62" i="63"/>
  <c r="K62" i="63"/>
  <c r="J62" i="63"/>
  <c r="I62" i="63"/>
  <c r="H62" i="63"/>
  <c r="S61" i="63"/>
  <c r="R61" i="63"/>
  <c r="M61" i="63"/>
  <c r="L61" i="63"/>
  <c r="K61" i="63"/>
  <c r="J61" i="63"/>
  <c r="I61" i="63"/>
  <c r="H61" i="63"/>
  <c r="S60" i="63"/>
  <c r="R60" i="63"/>
  <c r="M60" i="63"/>
  <c r="L60" i="63"/>
  <c r="K60" i="63"/>
  <c r="J60" i="63"/>
  <c r="I60" i="63"/>
  <c r="H60" i="63"/>
  <c r="S59" i="63"/>
  <c r="R59" i="63"/>
  <c r="M59" i="63"/>
  <c r="L59" i="63"/>
  <c r="K59" i="63"/>
  <c r="J59" i="63"/>
  <c r="I59" i="63"/>
  <c r="H59" i="63"/>
  <c r="S58" i="63"/>
  <c r="R58" i="63"/>
  <c r="M58" i="63"/>
  <c r="L58" i="63"/>
  <c r="K58" i="63"/>
  <c r="J58" i="63"/>
  <c r="I58" i="63"/>
  <c r="H58" i="63"/>
  <c r="S57" i="63"/>
  <c r="R57" i="63"/>
  <c r="M57" i="63"/>
  <c r="L57" i="63"/>
  <c r="K57" i="63"/>
  <c r="J57" i="63"/>
  <c r="I57" i="63"/>
  <c r="H57" i="63"/>
  <c r="S56" i="63"/>
  <c r="R56" i="63"/>
  <c r="M56" i="63"/>
  <c r="L56" i="63"/>
  <c r="K56" i="63"/>
  <c r="J56" i="63"/>
  <c r="I56" i="63"/>
  <c r="H56" i="63"/>
  <c r="S55" i="63"/>
  <c r="R55" i="63"/>
  <c r="M55" i="63"/>
  <c r="L55" i="63"/>
  <c r="K55" i="63"/>
  <c r="J55" i="63"/>
  <c r="I55" i="63"/>
  <c r="H55" i="63"/>
  <c r="S54" i="63"/>
  <c r="R54" i="63"/>
  <c r="M54" i="63"/>
  <c r="L54" i="63"/>
  <c r="K54" i="63"/>
  <c r="J54" i="63"/>
  <c r="I54" i="63"/>
  <c r="H54" i="63"/>
  <c r="S53" i="63"/>
  <c r="R53" i="63"/>
  <c r="M53" i="63"/>
  <c r="L53" i="63"/>
  <c r="K53" i="63"/>
  <c r="J53" i="63"/>
  <c r="I53" i="63"/>
  <c r="H53" i="63"/>
  <c r="S52" i="63"/>
  <c r="R52" i="63"/>
  <c r="M52" i="63"/>
  <c r="L52" i="63"/>
  <c r="K52" i="63"/>
  <c r="J52" i="63"/>
  <c r="I52" i="63"/>
  <c r="H52" i="63"/>
  <c r="S51" i="63"/>
  <c r="R51" i="63"/>
  <c r="M51" i="63"/>
  <c r="L51" i="63"/>
  <c r="K51" i="63"/>
  <c r="J51" i="63"/>
  <c r="I51" i="63"/>
  <c r="H51" i="63"/>
  <c r="S50" i="63"/>
  <c r="R50" i="63"/>
  <c r="M50" i="63"/>
  <c r="L50" i="63"/>
  <c r="K50" i="63"/>
  <c r="J50" i="63"/>
  <c r="I50" i="63"/>
  <c r="H50" i="63"/>
  <c r="S49" i="63"/>
  <c r="R49" i="63"/>
  <c r="M49" i="63"/>
  <c r="L49" i="63"/>
  <c r="K49" i="63"/>
  <c r="J49" i="63"/>
  <c r="I49" i="63"/>
  <c r="H49" i="63"/>
  <c r="S48" i="63"/>
  <c r="R48" i="63"/>
  <c r="M48" i="63"/>
  <c r="L48" i="63"/>
  <c r="K48" i="63"/>
  <c r="J48" i="63"/>
  <c r="I48" i="63"/>
  <c r="H48" i="63"/>
  <c r="S47" i="63"/>
  <c r="R47" i="63"/>
  <c r="M47" i="63"/>
  <c r="L47" i="63"/>
  <c r="K47" i="63"/>
  <c r="J47" i="63"/>
  <c r="I47" i="63"/>
  <c r="H47" i="63"/>
  <c r="S46" i="63"/>
  <c r="R46" i="63"/>
  <c r="M46" i="63"/>
  <c r="L46" i="63"/>
  <c r="K46" i="63"/>
  <c r="J46" i="63"/>
  <c r="I46" i="63"/>
  <c r="H46" i="63"/>
  <c r="S45" i="63"/>
  <c r="R45" i="63"/>
  <c r="M45" i="63"/>
  <c r="L45" i="63"/>
  <c r="K45" i="63"/>
  <c r="J45" i="63"/>
  <c r="I45" i="63"/>
  <c r="H45" i="63"/>
  <c r="S44" i="63"/>
  <c r="R44" i="63"/>
  <c r="M44" i="63"/>
  <c r="L44" i="63"/>
  <c r="K44" i="63"/>
  <c r="J44" i="63"/>
  <c r="I44" i="63"/>
  <c r="H44" i="63"/>
  <c r="S43" i="63"/>
  <c r="R43" i="63"/>
  <c r="M43" i="63"/>
  <c r="L43" i="63"/>
  <c r="K43" i="63"/>
  <c r="J43" i="63"/>
  <c r="I43" i="63"/>
  <c r="H43" i="63"/>
  <c r="S42" i="63"/>
  <c r="R42" i="63"/>
  <c r="M42" i="63"/>
  <c r="L42" i="63"/>
  <c r="K42" i="63"/>
  <c r="J42" i="63"/>
  <c r="I42" i="63"/>
  <c r="H42" i="63"/>
  <c r="S41" i="63"/>
  <c r="R41" i="63"/>
  <c r="M41" i="63"/>
  <c r="L41" i="63"/>
  <c r="K41" i="63"/>
  <c r="J41" i="63"/>
  <c r="I41" i="63"/>
  <c r="H41" i="63"/>
  <c r="S40" i="63"/>
  <c r="R40" i="63"/>
  <c r="M40" i="63"/>
  <c r="L40" i="63"/>
  <c r="K40" i="63"/>
  <c r="J40" i="63"/>
  <c r="I40" i="63"/>
  <c r="H40" i="63"/>
  <c r="S39" i="63"/>
  <c r="R39" i="63"/>
  <c r="M39" i="63"/>
  <c r="L39" i="63"/>
  <c r="K39" i="63"/>
  <c r="J39" i="63"/>
  <c r="I39" i="63"/>
  <c r="H39" i="63"/>
  <c r="S38" i="63"/>
  <c r="R38" i="63"/>
  <c r="M38" i="63"/>
  <c r="L38" i="63"/>
  <c r="K38" i="63"/>
  <c r="J38" i="63"/>
  <c r="I38" i="63"/>
  <c r="H38" i="63"/>
  <c r="S37" i="63"/>
  <c r="R37" i="63"/>
  <c r="M37" i="63"/>
  <c r="L37" i="63"/>
  <c r="K37" i="63"/>
  <c r="J37" i="63"/>
  <c r="I37" i="63"/>
  <c r="H37" i="63"/>
  <c r="S36" i="63"/>
  <c r="R36" i="63"/>
  <c r="M36" i="63"/>
  <c r="L36" i="63"/>
  <c r="K36" i="63"/>
  <c r="J36" i="63"/>
  <c r="I36" i="63"/>
  <c r="H36" i="63"/>
  <c r="S35" i="63"/>
  <c r="R35" i="63"/>
  <c r="M35" i="63"/>
  <c r="L35" i="63"/>
  <c r="K35" i="63"/>
  <c r="J35" i="63"/>
  <c r="I35" i="63"/>
  <c r="H35" i="63"/>
  <c r="S34" i="63"/>
  <c r="R34" i="63"/>
  <c r="M34" i="63"/>
  <c r="L34" i="63"/>
  <c r="K34" i="63"/>
  <c r="J34" i="63"/>
  <c r="I34" i="63"/>
  <c r="H34" i="63"/>
  <c r="S33" i="63"/>
  <c r="R33" i="63"/>
  <c r="M33" i="63"/>
  <c r="L33" i="63"/>
  <c r="K33" i="63"/>
  <c r="J33" i="63"/>
  <c r="I33" i="63"/>
  <c r="H33" i="63"/>
  <c r="S32" i="63"/>
  <c r="R32" i="63"/>
  <c r="M32" i="63"/>
  <c r="L32" i="63"/>
  <c r="K32" i="63"/>
  <c r="J32" i="63"/>
  <c r="I32" i="63"/>
  <c r="H32" i="63"/>
  <c r="S31" i="63"/>
  <c r="R31" i="63"/>
  <c r="M31" i="63"/>
  <c r="L31" i="63"/>
  <c r="K31" i="63"/>
  <c r="J31" i="63"/>
  <c r="I31" i="63"/>
  <c r="H31" i="63"/>
  <c r="S30" i="63"/>
  <c r="R30" i="63"/>
  <c r="M30" i="63"/>
  <c r="L30" i="63"/>
  <c r="K30" i="63"/>
  <c r="J30" i="63"/>
  <c r="I30" i="63"/>
  <c r="H30" i="63"/>
  <c r="S29" i="63"/>
  <c r="R29" i="63"/>
  <c r="M29" i="63"/>
  <c r="L29" i="63"/>
  <c r="K29" i="63"/>
  <c r="J29" i="63"/>
  <c r="I29" i="63"/>
  <c r="H29" i="63"/>
  <c r="S28" i="63"/>
  <c r="R28" i="63"/>
  <c r="M28" i="63"/>
  <c r="L28" i="63"/>
  <c r="K28" i="63"/>
  <c r="J28" i="63"/>
  <c r="I28" i="63"/>
  <c r="H28" i="63"/>
  <c r="S27" i="63"/>
  <c r="R27" i="63"/>
  <c r="M27" i="63"/>
  <c r="L27" i="63"/>
  <c r="K27" i="63"/>
  <c r="J27" i="63"/>
  <c r="I27" i="63"/>
  <c r="H27" i="63"/>
  <c r="S26" i="63"/>
  <c r="R26" i="63"/>
  <c r="M26" i="63"/>
  <c r="L26" i="63"/>
  <c r="K26" i="63"/>
  <c r="J26" i="63"/>
  <c r="I26" i="63"/>
  <c r="H26" i="63"/>
  <c r="S25" i="63"/>
  <c r="R25" i="63"/>
  <c r="M25" i="63"/>
  <c r="L25" i="63"/>
  <c r="K25" i="63"/>
  <c r="J25" i="63"/>
  <c r="I25" i="63"/>
  <c r="H25" i="63"/>
  <c r="I24" i="63"/>
  <c r="H24" i="63"/>
  <c r="I23" i="63"/>
  <c r="J23" i="63" s="1"/>
  <c r="R23" i="63" s="1"/>
  <c r="H23" i="63"/>
  <c r="I22" i="63"/>
  <c r="H22" i="63"/>
  <c r="J22" i="63" s="1"/>
  <c r="R22" i="63" s="1"/>
  <c r="I21" i="63"/>
  <c r="J21" i="63" s="1"/>
  <c r="R21" i="63" s="1"/>
  <c r="H21" i="63"/>
  <c r="S20" i="63"/>
  <c r="R20" i="63"/>
  <c r="M20" i="63"/>
  <c r="L20" i="63"/>
  <c r="L21" i="63" s="1"/>
  <c r="K20" i="63"/>
  <c r="K21" i="63" s="1"/>
  <c r="K22" i="63" s="1"/>
  <c r="K23" i="63" s="1"/>
  <c r="K24" i="63" s="1"/>
  <c r="J20" i="63"/>
  <c r="I20" i="63"/>
  <c r="H20" i="63"/>
  <c r="S19" i="63"/>
  <c r="R19" i="63"/>
  <c r="M19" i="63"/>
  <c r="L19" i="63"/>
  <c r="K19" i="63"/>
  <c r="J19" i="63"/>
  <c r="I19" i="63"/>
  <c r="H19" i="63"/>
  <c r="I18" i="63"/>
  <c r="J18" i="63" s="1"/>
  <c r="R18" i="63" s="1"/>
  <c r="H18" i="63"/>
  <c r="I17" i="63"/>
  <c r="J17" i="63" s="1"/>
  <c r="R17" i="63" s="1"/>
  <c r="H17" i="63"/>
  <c r="I16" i="63"/>
  <c r="J16" i="63" s="1"/>
  <c r="R16" i="63" s="1"/>
  <c r="H16" i="63"/>
  <c r="I15" i="63"/>
  <c r="J15" i="63" s="1"/>
  <c r="R15" i="63" s="1"/>
  <c r="H15" i="63"/>
  <c r="I14" i="63"/>
  <c r="H14" i="63"/>
  <c r="I13" i="63"/>
  <c r="J13" i="63" s="1"/>
  <c r="R13" i="63" s="1"/>
  <c r="H13" i="63"/>
  <c r="I12" i="63"/>
  <c r="H12" i="63"/>
  <c r="I11" i="63"/>
  <c r="J11" i="63" s="1"/>
  <c r="R11" i="63" s="1"/>
  <c r="H11" i="63"/>
  <c r="I10" i="63"/>
  <c r="H10" i="63"/>
  <c r="I9" i="63"/>
  <c r="J9" i="63" s="1"/>
  <c r="R9" i="63" s="1"/>
  <c r="H9" i="63"/>
  <c r="I8" i="63"/>
  <c r="J8" i="63" s="1"/>
  <c r="R8" i="63" s="1"/>
  <c r="H8" i="63"/>
  <c r="I7" i="63"/>
  <c r="L7" i="63" s="1"/>
  <c r="H7" i="63"/>
  <c r="K7" i="63" s="1"/>
  <c r="K8" i="63" s="1"/>
  <c r="K9" i="63" s="1"/>
  <c r="M21" i="63" l="1"/>
  <c r="S21" i="63" s="1"/>
  <c r="L22" i="63"/>
  <c r="J24" i="63"/>
  <c r="R24" i="63" s="1"/>
  <c r="L16" i="67"/>
  <c r="M15" i="67"/>
  <c r="S15" i="67" s="1"/>
  <c r="M12" i="66"/>
  <c r="S12" i="66" s="1"/>
  <c r="L13" i="66"/>
  <c r="L13" i="65"/>
  <c r="M12" i="65"/>
  <c r="S12" i="65" s="1"/>
  <c r="M9" i="64"/>
  <c r="S9" i="64" s="1"/>
  <c r="L10" i="64"/>
  <c r="J14" i="63"/>
  <c r="R14" i="63" s="1"/>
  <c r="J12" i="63"/>
  <c r="R12" i="63" s="1"/>
  <c r="J10" i="63"/>
  <c r="R10" i="63" s="1"/>
  <c r="K10" i="63"/>
  <c r="K11" i="63" s="1"/>
  <c r="K12" i="63" s="1"/>
  <c r="K13" i="63" s="1"/>
  <c r="K14" i="63" s="1"/>
  <c r="K15" i="63" s="1"/>
  <c r="K16" i="63" s="1"/>
  <c r="K17" i="63" s="1"/>
  <c r="K18" i="63" s="1"/>
  <c r="M7" i="63"/>
  <c r="S7" i="63" s="1"/>
  <c r="L8" i="63"/>
  <c r="L18" i="63"/>
  <c r="M18" i="63" s="1"/>
  <c r="S18" i="63" s="1"/>
  <c r="J7" i="63"/>
  <c r="R7" i="63" s="1"/>
  <c r="M22" i="63" l="1"/>
  <c r="S22" i="63" s="1"/>
  <c r="L23" i="63"/>
  <c r="L17" i="67"/>
  <c r="M16" i="67"/>
  <c r="S16" i="67" s="1"/>
  <c r="M13" i="66"/>
  <c r="S13" i="66" s="1"/>
  <c r="L14" i="66"/>
  <c r="M13" i="65"/>
  <c r="S13" i="65" s="1"/>
  <c r="L14" i="65"/>
  <c r="M10" i="64"/>
  <c r="S10" i="64" s="1"/>
  <c r="L11" i="64"/>
  <c r="L9" i="63"/>
  <c r="M8" i="63"/>
  <c r="S8" i="63" s="1"/>
  <c r="L24" i="63" l="1"/>
  <c r="M24" i="63" s="1"/>
  <c r="S24" i="63" s="1"/>
  <c r="M23" i="63"/>
  <c r="S23" i="63" s="1"/>
  <c r="L18" i="67"/>
  <c r="M18" i="67" s="1"/>
  <c r="S18" i="67" s="1"/>
  <c r="M17" i="67"/>
  <c r="S17" i="67" s="1"/>
  <c r="L15" i="66"/>
  <c r="M14" i="66"/>
  <c r="S14" i="66" s="1"/>
  <c r="M14" i="65"/>
  <c r="S14" i="65" s="1"/>
  <c r="L15" i="65"/>
  <c r="L12" i="64"/>
  <c r="M11" i="64"/>
  <c r="S11" i="64" s="1"/>
  <c r="L10" i="63"/>
  <c r="M9" i="63"/>
  <c r="S9" i="63" s="1"/>
  <c r="L16" i="66" l="1"/>
  <c r="M15" i="66"/>
  <c r="S15" i="66" s="1"/>
  <c r="M15" i="65"/>
  <c r="S15" i="65" s="1"/>
  <c r="L16" i="65"/>
  <c r="M12" i="64"/>
  <c r="S12" i="64" s="1"/>
  <c r="L13" i="64"/>
  <c r="M10" i="63"/>
  <c r="S10" i="63" s="1"/>
  <c r="L11" i="63"/>
  <c r="M16" i="66" l="1"/>
  <c r="S16" i="66" s="1"/>
  <c r="L17" i="66"/>
  <c r="M16" i="65"/>
  <c r="S16" i="65" s="1"/>
  <c r="L17" i="65"/>
  <c r="L14" i="64"/>
  <c r="M13" i="64"/>
  <c r="S13" i="64" s="1"/>
  <c r="L12" i="63"/>
  <c r="M11" i="63"/>
  <c r="S11" i="63" s="1"/>
  <c r="L18" i="66" l="1"/>
  <c r="M17" i="66"/>
  <c r="S17" i="66" s="1"/>
  <c r="L18" i="65"/>
  <c r="M17" i="65"/>
  <c r="S17" i="65" s="1"/>
  <c r="M14" i="64"/>
  <c r="S14" i="64" s="1"/>
  <c r="L15" i="64"/>
  <c r="L13" i="63"/>
  <c r="M12" i="63"/>
  <c r="S12" i="63" s="1"/>
  <c r="M18" i="66" l="1"/>
  <c r="S18" i="66" s="1"/>
  <c r="L19" i="66"/>
  <c r="M18" i="65"/>
  <c r="S18" i="65" s="1"/>
  <c r="L19" i="65"/>
  <c r="M15" i="64"/>
  <c r="S15" i="64" s="1"/>
  <c r="L16" i="64"/>
  <c r="L14" i="63"/>
  <c r="M13" i="63"/>
  <c r="S13" i="63" s="1"/>
  <c r="M19" i="66" l="1"/>
  <c r="S19" i="66" s="1"/>
  <c r="L20" i="66"/>
  <c r="M19" i="65"/>
  <c r="S19" i="65" s="1"/>
  <c r="L20" i="65"/>
  <c r="L17" i="64"/>
  <c r="M16" i="64"/>
  <c r="S16" i="64" s="1"/>
  <c r="L15" i="63"/>
  <c r="M14" i="63"/>
  <c r="S14" i="63" s="1"/>
  <c r="M15" i="63" l="1"/>
  <c r="S15" i="63" s="1"/>
  <c r="L16" i="63"/>
  <c r="M17" i="64"/>
  <c r="S17" i="64" s="1"/>
  <c r="L18" i="64"/>
  <c r="M20" i="66"/>
  <c r="S20" i="66" s="1"/>
  <c r="L21" i="66"/>
  <c r="L21" i="65"/>
  <c r="M20" i="65"/>
  <c r="S20" i="65" s="1"/>
  <c r="G14" i="62"/>
  <c r="L19" i="64" l="1"/>
  <c r="M18" i="64"/>
  <c r="S18" i="64" s="1"/>
  <c r="M16" i="63"/>
  <c r="S16" i="63" s="1"/>
  <c r="L17" i="63"/>
  <c r="M17" i="63" s="1"/>
  <c r="S17" i="63" s="1"/>
  <c r="M21" i="66"/>
  <c r="S21" i="66" s="1"/>
  <c r="L22" i="66"/>
  <c r="M21" i="65"/>
  <c r="S21" i="65" s="1"/>
  <c r="L22" i="65"/>
  <c r="G11" i="62"/>
  <c r="L20" i="64" l="1"/>
  <c r="M19" i="64"/>
  <c r="S19" i="64" s="1"/>
  <c r="M22" i="66"/>
  <c r="S22" i="66" s="1"/>
  <c r="L23" i="66"/>
  <c r="M22" i="65"/>
  <c r="S22" i="65" s="1"/>
  <c r="L23" i="65"/>
  <c r="S112" i="62"/>
  <c r="R112" i="62"/>
  <c r="M112" i="62"/>
  <c r="L112" i="62"/>
  <c r="K112" i="62"/>
  <c r="J112" i="62"/>
  <c r="I112" i="62"/>
  <c r="H112" i="62"/>
  <c r="S111" i="62"/>
  <c r="R111" i="62"/>
  <c r="M111" i="62"/>
  <c r="L111" i="62"/>
  <c r="K111" i="62"/>
  <c r="J111" i="62"/>
  <c r="I111" i="62"/>
  <c r="H111" i="62"/>
  <c r="S110" i="62"/>
  <c r="R110" i="62"/>
  <c r="M110" i="62"/>
  <c r="L110" i="62"/>
  <c r="K110" i="62"/>
  <c r="J110" i="62"/>
  <c r="I110" i="62"/>
  <c r="H110" i="62"/>
  <c r="S109" i="62"/>
  <c r="R109" i="62"/>
  <c r="M109" i="62"/>
  <c r="L109" i="62"/>
  <c r="K109" i="62"/>
  <c r="J109" i="62"/>
  <c r="I109" i="62"/>
  <c r="H109" i="62"/>
  <c r="S108" i="62"/>
  <c r="R108" i="62"/>
  <c r="M108" i="62"/>
  <c r="L108" i="62"/>
  <c r="K108" i="62"/>
  <c r="J108" i="62"/>
  <c r="I108" i="62"/>
  <c r="H108" i="62"/>
  <c r="S107" i="62"/>
  <c r="R107" i="62"/>
  <c r="M107" i="62"/>
  <c r="L107" i="62"/>
  <c r="K107" i="62"/>
  <c r="J107" i="62"/>
  <c r="I107" i="62"/>
  <c r="H107" i="62"/>
  <c r="S106" i="62"/>
  <c r="R106" i="62"/>
  <c r="M106" i="62"/>
  <c r="L106" i="62"/>
  <c r="K106" i="62"/>
  <c r="J106" i="62"/>
  <c r="I106" i="62"/>
  <c r="H106" i="62"/>
  <c r="S105" i="62"/>
  <c r="R105" i="62"/>
  <c r="M105" i="62"/>
  <c r="L105" i="62"/>
  <c r="K105" i="62"/>
  <c r="J105" i="62"/>
  <c r="I105" i="62"/>
  <c r="H105" i="62"/>
  <c r="S104" i="62"/>
  <c r="R104" i="62"/>
  <c r="M104" i="62"/>
  <c r="L104" i="62"/>
  <c r="K104" i="62"/>
  <c r="J104" i="62"/>
  <c r="I104" i="62"/>
  <c r="H104" i="62"/>
  <c r="S103" i="62"/>
  <c r="R103" i="62"/>
  <c r="M103" i="62"/>
  <c r="L103" i="62"/>
  <c r="K103" i="62"/>
  <c r="J103" i="62"/>
  <c r="I103" i="62"/>
  <c r="H103" i="62"/>
  <c r="S102" i="62"/>
  <c r="R102" i="62"/>
  <c r="M102" i="62"/>
  <c r="L102" i="62"/>
  <c r="K102" i="62"/>
  <c r="J102" i="62"/>
  <c r="I102" i="62"/>
  <c r="H102" i="62"/>
  <c r="S101" i="62"/>
  <c r="R101" i="62"/>
  <c r="M101" i="62"/>
  <c r="L101" i="62"/>
  <c r="K101" i="62"/>
  <c r="J101" i="62"/>
  <c r="I101" i="62"/>
  <c r="H101" i="62"/>
  <c r="S100" i="62"/>
  <c r="R100" i="62"/>
  <c r="M100" i="62"/>
  <c r="L100" i="62"/>
  <c r="K100" i="62"/>
  <c r="J100" i="62"/>
  <c r="I100" i="62"/>
  <c r="H100" i="62"/>
  <c r="S99" i="62"/>
  <c r="R99" i="62"/>
  <c r="M99" i="62"/>
  <c r="L99" i="62"/>
  <c r="K99" i="62"/>
  <c r="J99" i="62"/>
  <c r="I99" i="62"/>
  <c r="H99" i="62"/>
  <c r="S98" i="62"/>
  <c r="R98" i="62"/>
  <c r="M98" i="62"/>
  <c r="L98" i="62"/>
  <c r="K98" i="62"/>
  <c r="J98" i="62"/>
  <c r="I98" i="62"/>
  <c r="H98" i="62"/>
  <c r="S97" i="62"/>
  <c r="R97" i="62"/>
  <c r="M97" i="62"/>
  <c r="L97" i="62"/>
  <c r="K97" i="62"/>
  <c r="J97" i="62"/>
  <c r="I97" i="62"/>
  <c r="H97" i="62"/>
  <c r="S96" i="62"/>
  <c r="R96" i="62"/>
  <c r="M96" i="62"/>
  <c r="L96" i="62"/>
  <c r="K96" i="62"/>
  <c r="J96" i="62"/>
  <c r="I96" i="62"/>
  <c r="H96" i="62"/>
  <c r="S95" i="62"/>
  <c r="R95" i="62"/>
  <c r="M95" i="62"/>
  <c r="L95" i="62"/>
  <c r="K95" i="62"/>
  <c r="J95" i="62"/>
  <c r="I95" i="62"/>
  <c r="H95" i="62"/>
  <c r="S94" i="62"/>
  <c r="R94" i="62"/>
  <c r="M94" i="62"/>
  <c r="L94" i="62"/>
  <c r="K94" i="62"/>
  <c r="J94" i="62"/>
  <c r="I94" i="62"/>
  <c r="H94" i="62"/>
  <c r="S93" i="62"/>
  <c r="R93" i="62"/>
  <c r="M93" i="62"/>
  <c r="L93" i="62"/>
  <c r="K93" i="62"/>
  <c r="J93" i="62"/>
  <c r="I93" i="62"/>
  <c r="H93" i="62"/>
  <c r="S92" i="62"/>
  <c r="R92" i="62"/>
  <c r="M92" i="62"/>
  <c r="L92" i="62"/>
  <c r="K92" i="62"/>
  <c r="J92" i="62"/>
  <c r="I92" i="62"/>
  <c r="H92" i="62"/>
  <c r="S91" i="62"/>
  <c r="R91" i="62"/>
  <c r="M91" i="62"/>
  <c r="L91" i="62"/>
  <c r="K91" i="62"/>
  <c r="J91" i="62"/>
  <c r="I91" i="62"/>
  <c r="H91" i="62"/>
  <c r="S90" i="62"/>
  <c r="R90" i="62"/>
  <c r="M90" i="62"/>
  <c r="L90" i="62"/>
  <c r="K90" i="62"/>
  <c r="J90" i="62"/>
  <c r="I90" i="62"/>
  <c r="H90" i="62"/>
  <c r="S89" i="62"/>
  <c r="R89" i="62"/>
  <c r="M89" i="62"/>
  <c r="L89" i="62"/>
  <c r="K89" i="62"/>
  <c r="J89" i="62"/>
  <c r="I89" i="62"/>
  <c r="H89" i="62"/>
  <c r="S88" i="62"/>
  <c r="R88" i="62"/>
  <c r="M88" i="62"/>
  <c r="L88" i="62"/>
  <c r="K88" i="62"/>
  <c r="J88" i="62"/>
  <c r="I88" i="62"/>
  <c r="H88" i="62"/>
  <c r="S87" i="62"/>
  <c r="R87" i="62"/>
  <c r="M87" i="62"/>
  <c r="L87" i="62"/>
  <c r="K87" i="62"/>
  <c r="J87" i="62"/>
  <c r="I87" i="62"/>
  <c r="H87" i="62"/>
  <c r="S86" i="62"/>
  <c r="R86" i="62"/>
  <c r="M86" i="62"/>
  <c r="L86" i="62"/>
  <c r="K86" i="62"/>
  <c r="J86" i="62"/>
  <c r="I86" i="62"/>
  <c r="H86" i="62"/>
  <c r="S85" i="62"/>
  <c r="R85" i="62"/>
  <c r="M85" i="62"/>
  <c r="L85" i="62"/>
  <c r="K85" i="62"/>
  <c r="J85" i="62"/>
  <c r="I85" i="62"/>
  <c r="H85" i="62"/>
  <c r="S84" i="62"/>
  <c r="R84" i="62"/>
  <c r="M84" i="62"/>
  <c r="L84" i="62"/>
  <c r="K84" i="62"/>
  <c r="J84" i="62"/>
  <c r="I84" i="62"/>
  <c r="H84" i="62"/>
  <c r="S83" i="62"/>
  <c r="R83" i="62"/>
  <c r="M83" i="62"/>
  <c r="L83" i="62"/>
  <c r="K83" i="62"/>
  <c r="J83" i="62"/>
  <c r="I83" i="62"/>
  <c r="H83" i="62"/>
  <c r="S82" i="62"/>
  <c r="R82" i="62"/>
  <c r="M82" i="62"/>
  <c r="L82" i="62"/>
  <c r="K82" i="62"/>
  <c r="J82" i="62"/>
  <c r="I82" i="62"/>
  <c r="H82" i="62"/>
  <c r="S81" i="62"/>
  <c r="R81" i="62"/>
  <c r="M81" i="62"/>
  <c r="L81" i="62"/>
  <c r="K81" i="62"/>
  <c r="J81" i="62"/>
  <c r="I81" i="62"/>
  <c r="H81" i="62"/>
  <c r="S80" i="62"/>
  <c r="R80" i="62"/>
  <c r="M80" i="62"/>
  <c r="L80" i="62"/>
  <c r="K80" i="62"/>
  <c r="J80" i="62"/>
  <c r="I80" i="62"/>
  <c r="H80" i="62"/>
  <c r="S79" i="62"/>
  <c r="R79" i="62"/>
  <c r="M79" i="62"/>
  <c r="L79" i="62"/>
  <c r="K79" i="62"/>
  <c r="J79" i="62"/>
  <c r="I79" i="62"/>
  <c r="H79" i="62"/>
  <c r="S78" i="62"/>
  <c r="R78" i="62"/>
  <c r="M78" i="62"/>
  <c r="L78" i="62"/>
  <c r="K78" i="62"/>
  <c r="J78" i="62"/>
  <c r="I78" i="62"/>
  <c r="H78" i="62"/>
  <c r="S77" i="62"/>
  <c r="R77" i="62"/>
  <c r="M77" i="62"/>
  <c r="L77" i="62"/>
  <c r="K77" i="62"/>
  <c r="J77" i="62"/>
  <c r="I77" i="62"/>
  <c r="H77" i="62"/>
  <c r="S76" i="62"/>
  <c r="R76" i="62"/>
  <c r="M76" i="62"/>
  <c r="L76" i="62"/>
  <c r="K76" i="62"/>
  <c r="J76" i="62"/>
  <c r="I76" i="62"/>
  <c r="H76" i="62"/>
  <c r="S75" i="62"/>
  <c r="R75" i="62"/>
  <c r="M75" i="62"/>
  <c r="L75" i="62"/>
  <c r="K75" i="62"/>
  <c r="J75" i="62"/>
  <c r="I75" i="62"/>
  <c r="H75" i="62"/>
  <c r="S74" i="62"/>
  <c r="R74" i="62"/>
  <c r="M74" i="62"/>
  <c r="L74" i="62"/>
  <c r="K74" i="62"/>
  <c r="J74" i="62"/>
  <c r="I74" i="62"/>
  <c r="H74" i="62"/>
  <c r="S73" i="62"/>
  <c r="R73" i="62"/>
  <c r="M73" i="62"/>
  <c r="L73" i="62"/>
  <c r="K73" i="62"/>
  <c r="J73" i="62"/>
  <c r="I73" i="62"/>
  <c r="H73" i="62"/>
  <c r="S72" i="62"/>
  <c r="R72" i="62"/>
  <c r="M72" i="62"/>
  <c r="L72" i="62"/>
  <c r="K72" i="62"/>
  <c r="J72" i="62"/>
  <c r="I72" i="62"/>
  <c r="H72" i="62"/>
  <c r="S71" i="62"/>
  <c r="R71" i="62"/>
  <c r="M71" i="62"/>
  <c r="L71" i="62"/>
  <c r="K71" i="62"/>
  <c r="J71" i="62"/>
  <c r="I71" i="62"/>
  <c r="H71" i="62"/>
  <c r="S70" i="62"/>
  <c r="R70" i="62"/>
  <c r="M70" i="62"/>
  <c r="L70" i="62"/>
  <c r="K70" i="62"/>
  <c r="J70" i="62"/>
  <c r="I70" i="62"/>
  <c r="H70" i="62"/>
  <c r="S69" i="62"/>
  <c r="R69" i="62"/>
  <c r="M69" i="62"/>
  <c r="L69" i="62"/>
  <c r="K69" i="62"/>
  <c r="J69" i="62"/>
  <c r="I69" i="62"/>
  <c r="H69" i="62"/>
  <c r="S68" i="62"/>
  <c r="R68" i="62"/>
  <c r="M68" i="62"/>
  <c r="L68" i="62"/>
  <c r="K68" i="62"/>
  <c r="J68" i="62"/>
  <c r="I68" i="62"/>
  <c r="H68" i="62"/>
  <c r="S67" i="62"/>
  <c r="R67" i="62"/>
  <c r="M67" i="62"/>
  <c r="L67" i="62"/>
  <c r="K67" i="62"/>
  <c r="J67" i="62"/>
  <c r="I67" i="62"/>
  <c r="H67" i="62"/>
  <c r="S66" i="62"/>
  <c r="R66" i="62"/>
  <c r="M66" i="62"/>
  <c r="L66" i="62"/>
  <c r="K66" i="62"/>
  <c r="J66" i="62"/>
  <c r="I66" i="62"/>
  <c r="H66" i="62"/>
  <c r="S65" i="62"/>
  <c r="R65" i="62"/>
  <c r="M65" i="62"/>
  <c r="L65" i="62"/>
  <c r="K65" i="62"/>
  <c r="J65" i="62"/>
  <c r="I65" i="62"/>
  <c r="H65" i="62"/>
  <c r="S64" i="62"/>
  <c r="R64" i="62"/>
  <c r="M64" i="62"/>
  <c r="L64" i="62"/>
  <c r="K64" i="62"/>
  <c r="J64" i="62"/>
  <c r="I64" i="62"/>
  <c r="H64" i="62"/>
  <c r="S63" i="62"/>
  <c r="R63" i="62"/>
  <c r="M63" i="62"/>
  <c r="L63" i="62"/>
  <c r="K63" i="62"/>
  <c r="J63" i="62"/>
  <c r="I63" i="62"/>
  <c r="H63" i="62"/>
  <c r="S62" i="62"/>
  <c r="R62" i="62"/>
  <c r="M62" i="62"/>
  <c r="L62" i="62"/>
  <c r="K62" i="62"/>
  <c r="J62" i="62"/>
  <c r="I62" i="62"/>
  <c r="H62" i="62"/>
  <c r="S61" i="62"/>
  <c r="R61" i="62"/>
  <c r="M61" i="62"/>
  <c r="L61" i="62"/>
  <c r="K61" i="62"/>
  <c r="J61" i="62"/>
  <c r="I61" i="62"/>
  <c r="H61" i="62"/>
  <c r="S60" i="62"/>
  <c r="R60" i="62"/>
  <c r="M60" i="62"/>
  <c r="L60" i="62"/>
  <c r="K60" i="62"/>
  <c r="J60" i="62"/>
  <c r="I60" i="62"/>
  <c r="H60" i="62"/>
  <c r="S59" i="62"/>
  <c r="R59" i="62"/>
  <c r="M59" i="62"/>
  <c r="L59" i="62"/>
  <c r="K59" i="62"/>
  <c r="J59" i="62"/>
  <c r="I59" i="62"/>
  <c r="H59" i="62"/>
  <c r="S58" i="62"/>
  <c r="R58" i="62"/>
  <c r="M58" i="62"/>
  <c r="L58" i="62"/>
  <c r="K58" i="62"/>
  <c r="J58" i="62"/>
  <c r="I58" i="62"/>
  <c r="H58" i="62"/>
  <c r="S57" i="62"/>
  <c r="R57" i="62"/>
  <c r="M57" i="62"/>
  <c r="L57" i="62"/>
  <c r="K57" i="62"/>
  <c r="J57" i="62"/>
  <c r="I57" i="62"/>
  <c r="H57" i="62"/>
  <c r="S56" i="62"/>
  <c r="R56" i="62"/>
  <c r="M56" i="62"/>
  <c r="L56" i="62"/>
  <c r="K56" i="62"/>
  <c r="J56" i="62"/>
  <c r="I56" i="62"/>
  <c r="H56" i="62"/>
  <c r="S55" i="62"/>
  <c r="R55" i="62"/>
  <c r="M55" i="62"/>
  <c r="L55" i="62"/>
  <c r="K55" i="62"/>
  <c r="J55" i="62"/>
  <c r="I55" i="62"/>
  <c r="H55" i="62"/>
  <c r="S54" i="62"/>
  <c r="R54" i="62"/>
  <c r="M54" i="62"/>
  <c r="L54" i="62"/>
  <c r="K54" i="62"/>
  <c r="J54" i="62"/>
  <c r="I54" i="62"/>
  <c r="H54" i="62"/>
  <c r="S53" i="62"/>
  <c r="R53" i="62"/>
  <c r="M53" i="62"/>
  <c r="L53" i="62"/>
  <c r="K53" i="62"/>
  <c r="J53" i="62"/>
  <c r="I53" i="62"/>
  <c r="H53" i="62"/>
  <c r="S52" i="62"/>
  <c r="R52" i="62"/>
  <c r="M52" i="62"/>
  <c r="L52" i="62"/>
  <c r="K52" i="62"/>
  <c r="J52" i="62"/>
  <c r="I52" i="62"/>
  <c r="H52" i="62"/>
  <c r="S51" i="62"/>
  <c r="R51" i="62"/>
  <c r="M51" i="62"/>
  <c r="L51" i="62"/>
  <c r="K51" i="62"/>
  <c r="J51" i="62"/>
  <c r="I51" i="62"/>
  <c r="H51" i="62"/>
  <c r="S50" i="62"/>
  <c r="R50" i="62"/>
  <c r="M50" i="62"/>
  <c r="L50" i="62"/>
  <c r="K50" i="62"/>
  <c r="J50" i="62"/>
  <c r="I50" i="62"/>
  <c r="H50" i="62"/>
  <c r="S49" i="62"/>
  <c r="R49" i="62"/>
  <c r="M49" i="62"/>
  <c r="L49" i="62"/>
  <c r="K49" i="62"/>
  <c r="J49" i="62"/>
  <c r="I49" i="62"/>
  <c r="H49" i="62"/>
  <c r="S48" i="62"/>
  <c r="R48" i="62"/>
  <c r="M48" i="62"/>
  <c r="L48" i="62"/>
  <c r="K48" i="62"/>
  <c r="J48" i="62"/>
  <c r="I48" i="62"/>
  <c r="H48" i="62"/>
  <c r="S47" i="62"/>
  <c r="R47" i="62"/>
  <c r="M47" i="62"/>
  <c r="L47" i="62"/>
  <c r="K47" i="62"/>
  <c r="J47" i="62"/>
  <c r="I47" i="62"/>
  <c r="H47" i="62"/>
  <c r="S46" i="62"/>
  <c r="R46" i="62"/>
  <c r="M46" i="62"/>
  <c r="L46" i="62"/>
  <c r="K46" i="62"/>
  <c r="J46" i="62"/>
  <c r="I46" i="62"/>
  <c r="H46" i="62"/>
  <c r="S45" i="62"/>
  <c r="R45" i="62"/>
  <c r="M45" i="62"/>
  <c r="L45" i="62"/>
  <c r="K45" i="62"/>
  <c r="J45" i="62"/>
  <c r="I45" i="62"/>
  <c r="H45" i="62"/>
  <c r="S44" i="62"/>
  <c r="R44" i="62"/>
  <c r="M44" i="62"/>
  <c r="L44" i="62"/>
  <c r="K44" i="62"/>
  <c r="J44" i="62"/>
  <c r="I44" i="62"/>
  <c r="H44" i="62"/>
  <c r="S43" i="62"/>
  <c r="R43" i="62"/>
  <c r="M43" i="62"/>
  <c r="L43" i="62"/>
  <c r="K43" i="62"/>
  <c r="J43" i="62"/>
  <c r="I43" i="62"/>
  <c r="H43" i="62"/>
  <c r="S42" i="62"/>
  <c r="R42" i="62"/>
  <c r="M42" i="62"/>
  <c r="L42" i="62"/>
  <c r="K42" i="62"/>
  <c r="J42" i="62"/>
  <c r="I42" i="62"/>
  <c r="H42" i="62"/>
  <c r="S41" i="62"/>
  <c r="R41" i="62"/>
  <c r="M41" i="62"/>
  <c r="L41" i="62"/>
  <c r="K41" i="62"/>
  <c r="J41" i="62"/>
  <c r="I41" i="62"/>
  <c r="H41" i="62"/>
  <c r="S40" i="62"/>
  <c r="R40" i="62"/>
  <c r="M40" i="62"/>
  <c r="L40" i="62"/>
  <c r="K40" i="62"/>
  <c r="J40" i="62"/>
  <c r="I40" i="62"/>
  <c r="H40" i="62"/>
  <c r="S39" i="62"/>
  <c r="R39" i="62"/>
  <c r="M39" i="62"/>
  <c r="L39" i="62"/>
  <c r="K39" i="62"/>
  <c r="J39" i="62"/>
  <c r="I39" i="62"/>
  <c r="H39" i="62"/>
  <c r="S38" i="62"/>
  <c r="R38" i="62"/>
  <c r="M38" i="62"/>
  <c r="L38" i="62"/>
  <c r="K38" i="62"/>
  <c r="J38" i="62"/>
  <c r="I38" i="62"/>
  <c r="H38" i="62"/>
  <c r="S37" i="62"/>
  <c r="R37" i="62"/>
  <c r="M37" i="62"/>
  <c r="L37" i="62"/>
  <c r="K37" i="62"/>
  <c r="J37" i="62"/>
  <c r="I37" i="62"/>
  <c r="H37" i="62"/>
  <c r="S36" i="62"/>
  <c r="R36" i="62"/>
  <c r="M36" i="62"/>
  <c r="L36" i="62"/>
  <c r="K36" i="62"/>
  <c r="J36" i="62"/>
  <c r="I36" i="62"/>
  <c r="H36" i="62"/>
  <c r="S35" i="62"/>
  <c r="R35" i="62"/>
  <c r="M35" i="62"/>
  <c r="L35" i="62"/>
  <c r="K35" i="62"/>
  <c r="J35" i="62"/>
  <c r="I35" i="62"/>
  <c r="H35" i="62"/>
  <c r="S34" i="62"/>
  <c r="R34" i="62"/>
  <c r="M34" i="62"/>
  <c r="L34" i="62"/>
  <c r="K34" i="62"/>
  <c r="J34" i="62"/>
  <c r="I34" i="62"/>
  <c r="H34" i="62"/>
  <c r="S33" i="62"/>
  <c r="R33" i="62"/>
  <c r="M33" i="62"/>
  <c r="L33" i="62"/>
  <c r="K33" i="62"/>
  <c r="J33" i="62"/>
  <c r="I33" i="62"/>
  <c r="H33" i="62"/>
  <c r="S32" i="62"/>
  <c r="R32" i="62"/>
  <c r="M32" i="62"/>
  <c r="L32" i="62"/>
  <c r="K32" i="62"/>
  <c r="J32" i="62"/>
  <c r="I32" i="62"/>
  <c r="H32" i="62"/>
  <c r="S31" i="62"/>
  <c r="R31" i="62"/>
  <c r="M31" i="62"/>
  <c r="L31" i="62"/>
  <c r="K31" i="62"/>
  <c r="J31" i="62"/>
  <c r="I31" i="62"/>
  <c r="H31" i="62"/>
  <c r="S30" i="62"/>
  <c r="R30" i="62"/>
  <c r="M30" i="62"/>
  <c r="L30" i="62"/>
  <c r="K30" i="62"/>
  <c r="J30" i="62"/>
  <c r="I30" i="62"/>
  <c r="H30" i="62"/>
  <c r="S29" i="62"/>
  <c r="R29" i="62"/>
  <c r="M29" i="62"/>
  <c r="L29" i="62"/>
  <c r="K29" i="62"/>
  <c r="J29" i="62"/>
  <c r="I29" i="62"/>
  <c r="H29" i="62"/>
  <c r="S28" i="62"/>
  <c r="R28" i="62"/>
  <c r="M28" i="62"/>
  <c r="L28" i="62"/>
  <c r="K28" i="62"/>
  <c r="J28" i="62"/>
  <c r="I28" i="62"/>
  <c r="H28" i="62"/>
  <c r="S27" i="62"/>
  <c r="R27" i="62"/>
  <c r="M27" i="62"/>
  <c r="L27" i="62"/>
  <c r="K27" i="62"/>
  <c r="J27" i="62"/>
  <c r="I27" i="62"/>
  <c r="H27" i="62"/>
  <c r="S26" i="62"/>
  <c r="R26" i="62"/>
  <c r="M26" i="62"/>
  <c r="L26" i="62"/>
  <c r="K26" i="62"/>
  <c r="J26" i="62"/>
  <c r="I26" i="62"/>
  <c r="H26" i="62"/>
  <c r="S25" i="62"/>
  <c r="R25" i="62"/>
  <c r="M25" i="62"/>
  <c r="L25" i="62"/>
  <c r="K25" i="62"/>
  <c r="J25" i="62"/>
  <c r="I25" i="62"/>
  <c r="H25" i="62"/>
  <c r="S24" i="62"/>
  <c r="R24" i="62"/>
  <c r="M24" i="62"/>
  <c r="L24" i="62"/>
  <c r="K24" i="62"/>
  <c r="J24" i="62"/>
  <c r="I24" i="62"/>
  <c r="H24" i="62"/>
  <c r="S23" i="62"/>
  <c r="R23" i="62"/>
  <c r="M23" i="62"/>
  <c r="L23" i="62"/>
  <c r="K23" i="62"/>
  <c r="J23" i="62"/>
  <c r="I23" i="62"/>
  <c r="H23" i="62"/>
  <c r="S22" i="62"/>
  <c r="R22" i="62"/>
  <c r="M22" i="62"/>
  <c r="L22" i="62"/>
  <c r="K22" i="62"/>
  <c r="J22" i="62"/>
  <c r="I22" i="62"/>
  <c r="H22" i="62"/>
  <c r="S21" i="62"/>
  <c r="R21" i="62"/>
  <c r="M21" i="62"/>
  <c r="L21" i="62"/>
  <c r="K21" i="62"/>
  <c r="J21" i="62"/>
  <c r="I21" i="62"/>
  <c r="H21" i="62"/>
  <c r="S20" i="62"/>
  <c r="R20" i="62"/>
  <c r="M20" i="62"/>
  <c r="L20" i="62"/>
  <c r="K20" i="62"/>
  <c r="J20" i="62"/>
  <c r="I20" i="62"/>
  <c r="H20" i="62"/>
  <c r="S19" i="62"/>
  <c r="R19" i="62"/>
  <c r="M19" i="62"/>
  <c r="L19" i="62"/>
  <c r="K19" i="62"/>
  <c r="J19" i="62"/>
  <c r="I19" i="62"/>
  <c r="H19" i="62"/>
  <c r="J18" i="62"/>
  <c r="R18" i="62" s="1"/>
  <c r="I18" i="62"/>
  <c r="H18" i="62"/>
  <c r="I17" i="62"/>
  <c r="J17" i="62" s="1"/>
  <c r="R17" i="62" s="1"/>
  <c r="H17" i="62"/>
  <c r="I16" i="62"/>
  <c r="H16" i="62"/>
  <c r="I15" i="62"/>
  <c r="J15" i="62" s="1"/>
  <c r="R15" i="62" s="1"/>
  <c r="H15" i="62"/>
  <c r="I14" i="62"/>
  <c r="H14" i="62"/>
  <c r="I13" i="62"/>
  <c r="J13" i="62" s="1"/>
  <c r="R13" i="62" s="1"/>
  <c r="H13" i="62"/>
  <c r="I12" i="62"/>
  <c r="H12" i="62"/>
  <c r="I11" i="62"/>
  <c r="J11" i="62" s="1"/>
  <c r="R11" i="62" s="1"/>
  <c r="H11" i="62"/>
  <c r="I10" i="62"/>
  <c r="J10" i="62" s="1"/>
  <c r="R10" i="62" s="1"/>
  <c r="H10" i="62"/>
  <c r="I9" i="62"/>
  <c r="H9" i="62"/>
  <c r="I8" i="62"/>
  <c r="J8" i="62" s="1"/>
  <c r="R8" i="62" s="1"/>
  <c r="H8" i="62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I7" i="62"/>
  <c r="J7" i="62" s="1"/>
  <c r="R7" i="62" s="1"/>
  <c r="H7" i="62"/>
  <c r="L7" i="62" l="1"/>
  <c r="J12" i="62"/>
  <c r="R12" i="62" s="1"/>
  <c r="L21" i="64"/>
  <c r="M20" i="64"/>
  <c r="S20" i="64" s="1"/>
  <c r="M23" i="66"/>
  <c r="S23" i="66" s="1"/>
  <c r="L24" i="66"/>
  <c r="M24" i="66" s="1"/>
  <c r="S24" i="66" s="1"/>
  <c r="L24" i="65"/>
  <c r="M23" i="65"/>
  <c r="S23" i="65" s="1"/>
  <c r="J16" i="62"/>
  <c r="R16" i="62" s="1"/>
  <c r="J14" i="62"/>
  <c r="R14" i="62" s="1"/>
  <c r="J9" i="62"/>
  <c r="R9" i="62" s="1"/>
  <c r="M7" i="62"/>
  <c r="S7" i="62" s="1"/>
  <c r="L17" i="62"/>
  <c r="L18" i="62" s="1"/>
  <c r="M18" i="62" s="1"/>
  <c r="S18" i="62" s="1"/>
  <c r="L8" i="62"/>
  <c r="S112" i="61"/>
  <c r="R112" i="61"/>
  <c r="M112" i="61"/>
  <c r="L112" i="61"/>
  <c r="K112" i="61"/>
  <c r="J112" i="61"/>
  <c r="I112" i="61"/>
  <c r="H112" i="61"/>
  <c r="S111" i="61"/>
  <c r="R111" i="61"/>
  <c r="M111" i="61"/>
  <c r="L111" i="61"/>
  <c r="K111" i="61"/>
  <c r="J111" i="61"/>
  <c r="I111" i="61"/>
  <c r="H111" i="61"/>
  <c r="S110" i="61"/>
  <c r="R110" i="61"/>
  <c r="M110" i="61"/>
  <c r="L110" i="61"/>
  <c r="K110" i="61"/>
  <c r="J110" i="61"/>
  <c r="I110" i="61"/>
  <c r="H110" i="61"/>
  <c r="S109" i="61"/>
  <c r="R109" i="61"/>
  <c r="M109" i="61"/>
  <c r="L109" i="61"/>
  <c r="K109" i="61"/>
  <c r="J109" i="61"/>
  <c r="I109" i="61"/>
  <c r="H109" i="61"/>
  <c r="S108" i="61"/>
  <c r="R108" i="61"/>
  <c r="M108" i="61"/>
  <c r="L108" i="61"/>
  <c r="K108" i="61"/>
  <c r="J108" i="61"/>
  <c r="I108" i="61"/>
  <c r="H108" i="61"/>
  <c r="S107" i="61"/>
  <c r="R107" i="61"/>
  <c r="M107" i="61"/>
  <c r="L107" i="61"/>
  <c r="K107" i="61"/>
  <c r="J107" i="61"/>
  <c r="I107" i="61"/>
  <c r="H107" i="61"/>
  <c r="S106" i="61"/>
  <c r="R106" i="61"/>
  <c r="M106" i="61"/>
  <c r="L106" i="61"/>
  <c r="K106" i="61"/>
  <c r="J106" i="61"/>
  <c r="I106" i="61"/>
  <c r="H106" i="61"/>
  <c r="S105" i="61"/>
  <c r="R105" i="61"/>
  <c r="M105" i="61"/>
  <c r="L105" i="61"/>
  <c r="K105" i="61"/>
  <c r="J105" i="61"/>
  <c r="I105" i="61"/>
  <c r="H105" i="61"/>
  <c r="S104" i="61"/>
  <c r="R104" i="61"/>
  <c r="M104" i="61"/>
  <c r="L104" i="61"/>
  <c r="K104" i="61"/>
  <c r="J104" i="61"/>
  <c r="I104" i="61"/>
  <c r="H104" i="61"/>
  <c r="S103" i="61"/>
  <c r="R103" i="61"/>
  <c r="M103" i="61"/>
  <c r="L103" i="61"/>
  <c r="K103" i="61"/>
  <c r="J103" i="61"/>
  <c r="I103" i="61"/>
  <c r="H103" i="61"/>
  <c r="S102" i="61"/>
  <c r="R102" i="61"/>
  <c r="M102" i="61"/>
  <c r="L102" i="61"/>
  <c r="K102" i="61"/>
  <c r="J102" i="61"/>
  <c r="I102" i="61"/>
  <c r="H102" i="61"/>
  <c r="S101" i="61"/>
  <c r="R101" i="61"/>
  <c r="M101" i="61"/>
  <c r="L101" i="61"/>
  <c r="K101" i="61"/>
  <c r="J101" i="61"/>
  <c r="I101" i="61"/>
  <c r="H101" i="61"/>
  <c r="S100" i="61"/>
  <c r="R100" i="61"/>
  <c r="M100" i="61"/>
  <c r="L100" i="61"/>
  <c r="K100" i="61"/>
  <c r="J100" i="61"/>
  <c r="I100" i="61"/>
  <c r="H100" i="61"/>
  <c r="S99" i="61"/>
  <c r="R99" i="61"/>
  <c r="M99" i="61"/>
  <c r="L99" i="61"/>
  <c r="K99" i="61"/>
  <c r="J99" i="61"/>
  <c r="I99" i="61"/>
  <c r="H99" i="61"/>
  <c r="S98" i="61"/>
  <c r="R98" i="61"/>
  <c r="M98" i="61"/>
  <c r="L98" i="61"/>
  <c r="K98" i="61"/>
  <c r="J98" i="61"/>
  <c r="I98" i="61"/>
  <c r="H98" i="61"/>
  <c r="S97" i="61"/>
  <c r="R97" i="61"/>
  <c r="M97" i="61"/>
  <c r="L97" i="61"/>
  <c r="K97" i="61"/>
  <c r="J97" i="61"/>
  <c r="I97" i="61"/>
  <c r="H97" i="61"/>
  <c r="S96" i="61"/>
  <c r="R96" i="61"/>
  <c r="M96" i="61"/>
  <c r="L96" i="61"/>
  <c r="K96" i="61"/>
  <c r="J96" i="61"/>
  <c r="I96" i="61"/>
  <c r="H96" i="61"/>
  <c r="S95" i="61"/>
  <c r="R95" i="61"/>
  <c r="M95" i="61"/>
  <c r="L95" i="61"/>
  <c r="K95" i="61"/>
  <c r="J95" i="61"/>
  <c r="I95" i="61"/>
  <c r="H95" i="61"/>
  <c r="S94" i="61"/>
  <c r="R94" i="61"/>
  <c r="M94" i="61"/>
  <c r="L94" i="61"/>
  <c r="K94" i="61"/>
  <c r="J94" i="61"/>
  <c r="I94" i="61"/>
  <c r="H94" i="61"/>
  <c r="S93" i="61"/>
  <c r="R93" i="61"/>
  <c r="M93" i="61"/>
  <c r="L93" i="61"/>
  <c r="K93" i="61"/>
  <c r="J93" i="61"/>
  <c r="I93" i="61"/>
  <c r="H93" i="61"/>
  <c r="S92" i="61"/>
  <c r="R92" i="61"/>
  <c r="M92" i="61"/>
  <c r="L92" i="61"/>
  <c r="K92" i="61"/>
  <c r="J92" i="61"/>
  <c r="I92" i="61"/>
  <c r="H92" i="61"/>
  <c r="S91" i="61"/>
  <c r="R91" i="61"/>
  <c r="M91" i="61"/>
  <c r="L91" i="61"/>
  <c r="K91" i="61"/>
  <c r="J91" i="61"/>
  <c r="I91" i="61"/>
  <c r="H91" i="61"/>
  <c r="S90" i="61"/>
  <c r="R90" i="61"/>
  <c r="M90" i="61"/>
  <c r="L90" i="61"/>
  <c r="K90" i="61"/>
  <c r="J90" i="61"/>
  <c r="I90" i="61"/>
  <c r="H90" i="61"/>
  <c r="S89" i="61"/>
  <c r="R89" i="61"/>
  <c r="M89" i="61"/>
  <c r="L89" i="61"/>
  <c r="K89" i="61"/>
  <c r="J89" i="61"/>
  <c r="I89" i="61"/>
  <c r="H89" i="61"/>
  <c r="S88" i="61"/>
  <c r="R88" i="61"/>
  <c r="M88" i="61"/>
  <c r="L88" i="61"/>
  <c r="K88" i="61"/>
  <c r="J88" i="61"/>
  <c r="I88" i="61"/>
  <c r="H88" i="61"/>
  <c r="S87" i="61"/>
  <c r="R87" i="61"/>
  <c r="M87" i="61"/>
  <c r="L87" i="61"/>
  <c r="K87" i="61"/>
  <c r="J87" i="61"/>
  <c r="I87" i="61"/>
  <c r="H87" i="61"/>
  <c r="S86" i="61"/>
  <c r="R86" i="61"/>
  <c r="M86" i="61"/>
  <c r="L86" i="61"/>
  <c r="K86" i="61"/>
  <c r="J86" i="61"/>
  <c r="I86" i="61"/>
  <c r="H86" i="61"/>
  <c r="S85" i="61"/>
  <c r="R85" i="61"/>
  <c r="M85" i="61"/>
  <c r="L85" i="61"/>
  <c r="K85" i="61"/>
  <c r="J85" i="61"/>
  <c r="I85" i="61"/>
  <c r="H85" i="61"/>
  <c r="S84" i="61"/>
  <c r="R84" i="61"/>
  <c r="M84" i="61"/>
  <c r="L84" i="61"/>
  <c r="K84" i="61"/>
  <c r="J84" i="61"/>
  <c r="I84" i="61"/>
  <c r="H84" i="61"/>
  <c r="S83" i="61"/>
  <c r="R83" i="61"/>
  <c r="M83" i="61"/>
  <c r="L83" i="61"/>
  <c r="K83" i="61"/>
  <c r="J83" i="61"/>
  <c r="I83" i="61"/>
  <c r="H83" i="61"/>
  <c r="S82" i="61"/>
  <c r="R82" i="61"/>
  <c r="M82" i="61"/>
  <c r="L82" i="61"/>
  <c r="K82" i="61"/>
  <c r="J82" i="61"/>
  <c r="I82" i="61"/>
  <c r="H82" i="61"/>
  <c r="S81" i="61"/>
  <c r="R81" i="61"/>
  <c r="M81" i="61"/>
  <c r="L81" i="61"/>
  <c r="K81" i="61"/>
  <c r="J81" i="61"/>
  <c r="I81" i="61"/>
  <c r="H81" i="61"/>
  <c r="S80" i="61"/>
  <c r="R80" i="61"/>
  <c r="M80" i="61"/>
  <c r="L80" i="61"/>
  <c r="K80" i="61"/>
  <c r="J80" i="61"/>
  <c r="I80" i="61"/>
  <c r="H80" i="61"/>
  <c r="S79" i="61"/>
  <c r="R79" i="61"/>
  <c r="M79" i="61"/>
  <c r="L79" i="61"/>
  <c r="K79" i="61"/>
  <c r="J79" i="61"/>
  <c r="I79" i="61"/>
  <c r="H79" i="61"/>
  <c r="S78" i="61"/>
  <c r="R78" i="61"/>
  <c r="M78" i="61"/>
  <c r="L78" i="61"/>
  <c r="K78" i="61"/>
  <c r="J78" i="61"/>
  <c r="I78" i="61"/>
  <c r="H78" i="61"/>
  <c r="S77" i="61"/>
  <c r="R77" i="61"/>
  <c r="M77" i="61"/>
  <c r="L77" i="61"/>
  <c r="K77" i="61"/>
  <c r="J77" i="61"/>
  <c r="I77" i="61"/>
  <c r="H77" i="61"/>
  <c r="S76" i="61"/>
  <c r="R76" i="61"/>
  <c r="M76" i="61"/>
  <c r="L76" i="61"/>
  <c r="K76" i="61"/>
  <c r="J76" i="61"/>
  <c r="I76" i="61"/>
  <c r="H76" i="61"/>
  <c r="S75" i="61"/>
  <c r="R75" i="61"/>
  <c r="M75" i="61"/>
  <c r="L75" i="61"/>
  <c r="K75" i="61"/>
  <c r="J75" i="61"/>
  <c r="I75" i="61"/>
  <c r="H75" i="61"/>
  <c r="S74" i="61"/>
  <c r="R74" i="61"/>
  <c r="M74" i="61"/>
  <c r="L74" i="61"/>
  <c r="K74" i="61"/>
  <c r="J74" i="61"/>
  <c r="I74" i="61"/>
  <c r="H74" i="61"/>
  <c r="S73" i="61"/>
  <c r="R73" i="61"/>
  <c r="M73" i="61"/>
  <c r="L73" i="61"/>
  <c r="K73" i="61"/>
  <c r="J73" i="61"/>
  <c r="I73" i="61"/>
  <c r="H73" i="61"/>
  <c r="S72" i="61"/>
  <c r="R72" i="61"/>
  <c r="M72" i="61"/>
  <c r="L72" i="61"/>
  <c r="K72" i="61"/>
  <c r="J72" i="61"/>
  <c r="I72" i="61"/>
  <c r="H72" i="61"/>
  <c r="S71" i="61"/>
  <c r="R71" i="61"/>
  <c r="M71" i="61"/>
  <c r="L71" i="61"/>
  <c r="K71" i="61"/>
  <c r="J71" i="61"/>
  <c r="I71" i="61"/>
  <c r="H71" i="61"/>
  <c r="S70" i="61"/>
  <c r="R70" i="61"/>
  <c r="M70" i="61"/>
  <c r="L70" i="61"/>
  <c r="K70" i="61"/>
  <c r="J70" i="61"/>
  <c r="I70" i="61"/>
  <c r="H70" i="61"/>
  <c r="S69" i="61"/>
  <c r="R69" i="61"/>
  <c r="M69" i="61"/>
  <c r="L69" i="61"/>
  <c r="K69" i="61"/>
  <c r="J69" i="61"/>
  <c r="I69" i="61"/>
  <c r="H69" i="61"/>
  <c r="S68" i="61"/>
  <c r="R68" i="61"/>
  <c r="M68" i="61"/>
  <c r="L68" i="61"/>
  <c r="K68" i="61"/>
  <c r="J68" i="61"/>
  <c r="I68" i="61"/>
  <c r="H68" i="61"/>
  <c r="S67" i="61"/>
  <c r="R67" i="61"/>
  <c r="M67" i="61"/>
  <c r="L67" i="61"/>
  <c r="K67" i="61"/>
  <c r="J67" i="61"/>
  <c r="I67" i="61"/>
  <c r="H67" i="61"/>
  <c r="S66" i="61"/>
  <c r="R66" i="61"/>
  <c r="M66" i="61"/>
  <c r="L66" i="61"/>
  <c r="K66" i="61"/>
  <c r="J66" i="61"/>
  <c r="I66" i="61"/>
  <c r="H66" i="61"/>
  <c r="S65" i="61"/>
  <c r="R65" i="61"/>
  <c r="M65" i="61"/>
  <c r="L65" i="61"/>
  <c r="K65" i="61"/>
  <c r="J65" i="61"/>
  <c r="I65" i="61"/>
  <c r="H65" i="61"/>
  <c r="S64" i="61"/>
  <c r="R64" i="61"/>
  <c r="M64" i="61"/>
  <c r="L64" i="61"/>
  <c r="K64" i="61"/>
  <c r="J64" i="61"/>
  <c r="I64" i="61"/>
  <c r="H64" i="61"/>
  <c r="S63" i="61"/>
  <c r="R63" i="61"/>
  <c r="M63" i="61"/>
  <c r="L63" i="61"/>
  <c r="K63" i="61"/>
  <c r="J63" i="61"/>
  <c r="I63" i="61"/>
  <c r="H63" i="61"/>
  <c r="S62" i="61"/>
  <c r="R62" i="61"/>
  <c r="M62" i="61"/>
  <c r="L62" i="61"/>
  <c r="K62" i="61"/>
  <c r="J62" i="61"/>
  <c r="I62" i="61"/>
  <c r="H62" i="61"/>
  <c r="S61" i="61"/>
  <c r="R61" i="61"/>
  <c r="M61" i="61"/>
  <c r="L61" i="61"/>
  <c r="K61" i="61"/>
  <c r="J61" i="61"/>
  <c r="I61" i="61"/>
  <c r="H61" i="61"/>
  <c r="S60" i="61"/>
  <c r="R60" i="61"/>
  <c r="M60" i="61"/>
  <c r="L60" i="61"/>
  <c r="K60" i="61"/>
  <c r="J60" i="61"/>
  <c r="I60" i="61"/>
  <c r="H60" i="61"/>
  <c r="S59" i="61"/>
  <c r="R59" i="61"/>
  <c r="M59" i="61"/>
  <c r="L59" i="61"/>
  <c r="K59" i="61"/>
  <c r="J59" i="61"/>
  <c r="I59" i="61"/>
  <c r="H59" i="61"/>
  <c r="S58" i="61"/>
  <c r="R58" i="61"/>
  <c r="M58" i="61"/>
  <c r="L58" i="61"/>
  <c r="K58" i="61"/>
  <c r="J58" i="61"/>
  <c r="I58" i="61"/>
  <c r="H58" i="61"/>
  <c r="S57" i="61"/>
  <c r="R57" i="61"/>
  <c r="M57" i="61"/>
  <c r="L57" i="61"/>
  <c r="K57" i="61"/>
  <c r="J57" i="61"/>
  <c r="I57" i="61"/>
  <c r="H57" i="61"/>
  <c r="S56" i="61"/>
  <c r="R56" i="61"/>
  <c r="M56" i="61"/>
  <c r="L56" i="61"/>
  <c r="K56" i="61"/>
  <c r="J56" i="61"/>
  <c r="I56" i="61"/>
  <c r="H56" i="61"/>
  <c r="S55" i="61"/>
  <c r="R55" i="61"/>
  <c r="M55" i="61"/>
  <c r="L55" i="61"/>
  <c r="K55" i="61"/>
  <c r="J55" i="61"/>
  <c r="I55" i="61"/>
  <c r="H55" i="61"/>
  <c r="S54" i="61"/>
  <c r="R54" i="61"/>
  <c r="M54" i="61"/>
  <c r="L54" i="61"/>
  <c r="K54" i="61"/>
  <c r="J54" i="61"/>
  <c r="I54" i="61"/>
  <c r="H54" i="61"/>
  <c r="S53" i="61"/>
  <c r="R53" i="61"/>
  <c r="M53" i="61"/>
  <c r="L53" i="61"/>
  <c r="K53" i="61"/>
  <c r="J53" i="61"/>
  <c r="I53" i="61"/>
  <c r="H53" i="61"/>
  <c r="S52" i="61"/>
  <c r="R52" i="61"/>
  <c r="M52" i="61"/>
  <c r="L52" i="61"/>
  <c r="K52" i="61"/>
  <c r="J52" i="61"/>
  <c r="I52" i="61"/>
  <c r="H52" i="61"/>
  <c r="S51" i="61"/>
  <c r="R51" i="61"/>
  <c r="M51" i="61"/>
  <c r="L51" i="61"/>
  <c r="K51" i="61"/>
  <c r="J51" i="61"/>
  <c r="I51" i="61"/>
  <c r="H51" i="61"/>
  <c r="S50" i="61"/>
  <c r="R50" i="61"/>
  <c r="M50" i="61"/>
  <c r="L50" i="61"/>
  <c r="K50" i="61"/>
  <c r="J50" i="61"/>
  <c r="I50" i="61"/>
  <c r="H50" i="61"/>
  <c r="S49" i="61"/>
  <c r="R49" i="61"/>
  <c r="M49" i="61"/>
  <c r="L49" i="61"/>
  <c r="K49" i="61"/>
  <c r="J49" i="61"/>
  <c r="I49" i="61"/>
  <c r="H49" i="61"/>
  <c r="S48" i="61"/>
  <c r="R48" i="61"/>
  <c r="M48" i="61"/>
  <c r="L48" i="61"/>
  <c r="K48" i="61"/>
  <c r="J48" i="61"/>
  <c r="I48" i="61"/>
  <c r="H48" i="61"/>
  <c r="S47" i="61"/>
  <c r="R47" i="61"/>
  <c r="M47" i="61"/>
  <c r="L47" i="61"/>
  <c r="K47" i="61"/>
  <c r="J47" i="61"/>
  <c r="I47" i="61"/>
  <c r="H47" i="61"/>
  <c r="S46" i="61"/>
  <c r="R46" i="61"/>
  <c r="M46" i="61"/>
  <c r="L46" i="61"/>
  <c r="K46" i="61"/>
  <c r="J46" i="61"/>
  <c r="I46" i="61"/>
  <c r="H46" i="61"/>
  <c r="S45" i="61"/>
  <c r="R45" i="61"/>
  <c r="M45" i="61"/>
  <c r="L45" i="61"/>
  <c r="K45" i="61"/>
  <c r="J45" i="61"/>
  <c r="I45" i="61"/>
  <c r="H45" i="61"/>
  <c r="S44" i="61"/>
  <c r="R44" i="61"/>
  <c r="M44" i="61"/>
  <c r="L44" i="61"/>
  <c r="K44" i="61"/>
  <c r="J44" i="61"/>
  <c r="I44" i="61"/>
  <c r="H44" i="61"/>
  <c r="S43" i="61"/>
  <c r="R43" i="61"/>
  <c r="M43" i="61"/>
  <c r="L43" i="61"/>
  <c r="K43" i="61"/>
  <c r="J43" i="61"/>
  <c r="I43" i="61"/>
  <c r="H43" i="61"/>
  <c r="S42" i="61"/>
  <c r="R42" i="61"/>
  <c r="M42" i="61"/>
  <c r="L42" i="61"/>
  <c r="K42" i="61"/>
  <c r="J42" i="61"/>
  <c r="I42" i="61"/>
  <c r="H42" i="61"/>
  <c r="S41" i="61"/>
  <c r="R41" i="61"/>
  <c r="M41" i="61"/>
  <c r="L41" i="61"/>
  <c r="K41" i="61"/>
  <c r="J41" i="61"/>
  <c r="I41" i="61"/>
  <c r="H41" i="61"/>
  <c r="S40" i="61"/>
  <c r="R40" i="61"/>
  <c r="M40" i="61"/>
  <c r="L40" i="61"/>
  <c r="K40" i="61"/>
  <c r="J40" i="61"/>
  <c r="I40" i="61"/>
  <c r="H40" i="61"/>
  <c r="S39" i="61"/>
  <c r="R39" i="61"/>
  <c r="M39" i="61"/>
  <c r="L39" i="61"/>
  <c r="K39" i="61"/>
  <c r="J39" i="61"/>
  <c r="I39" i="61"/>
  <c r="H39" i="61"/>
  <c r="S38" i="61"/>
  <c r="R38" i="61"/>
  <c r="M38" i="61"/>
  <c r="L38" i="61"/>
  <c r="K38" i="61"/>
  <c r="J38" i="61"/>
  <c r="I38" i="61"/>
  <c r="H38" i="61"/>
  <c r="S37" i="61"/>
  <c r="R37" i="61"/>
  <c r="M37" i="61"/>
  <c r="L37" i="61"/>
  <c r="K37" i="61"/>
  <c r="J37" i="61"/>
  <c r="I37" i="61"/>
  <c r="H37" i="61"/>
  <c r="S36" i="61"/>
  <c r="R36" i="61"/>
  <c r="M36" i="61"/>
  <c r="L36" i="61"/>
  <c r="K36" i="61"/>
  <c r="J36" i="61"/>
  <c r="I36" i="61"/>
  <c r="H36" i="61"/>
  <c r="S35" i="61"/>
  <c r="R35" i="61"/>
  <c r="M35" i="61"/>
  <c r="L35" i="61"/>
  <c r="K35" i="61"/>
  <c r="J35" i="61"/>
  <c r="I35" i="61"/>
  <c r="H35" i="61"/>
  <c r="S34" i="61"/>
  <c r="R34" i="61"/>
  <c r="M34" i="61"/>
  <c r="L34" i="61"/>
  <c r="K34" i="61"/>
  <c r="J34" i="61"/>
  <c r="I34" i="61"/>
  <c r="H34" i="61"/>
  <c r="S33" i="61"/>
  <c r="R33" i="61"/>
  <c r="M33" i="61"/>
  <c r="L33" i="61"/>
  <c r="K33" i="61"/>
  <c r="J33" i="61"/>
  <c r="I33" i="61"/>
  <c r="H33" i="61"/>
  <c r="S32" i="61"/>
  <c r="R32" i="61"/>
  <c r="M32" i="61"/>
  <c r="L32" i="61"/>
  <c r="K32" i="61"/>
  <c r="J32" i="61"/>
  <c r="I32" i="61"/>
  <c r="H32" i="61"/>
  <c r="S31" i="61"/>
  <c r="R31" i="61"/>
  <c r="M31" i="61"/>
  <c r="L31" i="61"/>
  <c r="K31" i="61"/>
  <c r="J31" i="61"/>
  <c r="I31" i="61"/>
  <c r="H31" i="61"/>
  <c r="S30" i="61"/>
  <c r="R30" i="61"/>
  <c r="M30" i="61"/>
  <c r="L30" i="61"/>
  <c r="K30" i="61"/>
  <c r="J30" i="61"/>
  <c r="I30" i="61"/>
  <c r="H30" i="61"/>
  <c r="S29" i="61"/>
  <c r="R29" i="61"/>
  <c r="M29" i="61"/>
  <c r="L29" i="61"/>
  <c r="K29" i="61"/>
  <c r="J29" i="61"/>
  <c r="I29" i="61"/>
  <c r="H29" i="61"/>
  <c r="S28" i="61"/>
  <c r="R28" i="61"/>
  <c r="M28" i="61"/>
  <c r="L28" i="61"/>
  <c r="K28" i="61"/>
  <c r="J28" i="61"/>
  <c r="I28" i="61"/>
  <c r="H28" i="61"/>
  <c r="S27" i="61"/>
  <c r="R27" i="61"/>
  <c r="M27" i="61"/>
  <c r="L27" i="61"/>
  <c r="K27" i="61"/>
  <c r="J27" i="61"/>
  <c r="I27" i="61"/>
  <c r="H27" i="61"/>
  <c r="S26" i="61"/>
  <c r="R26" i="61"/>
  <c r="M26" i="61"/>
  <c r="L26" i="61"/>
  <c r="K26" i="61"/>
  <c r="J26" i="61"/>
  <c r="I26" i="61"/>
  <c r="H26" i="61"/>
  <c r="S25" i="61"/>
  <c r="R25" i="61"/>
  <c r="M25" i="61"/>
  <c r="L25" i="61"/>
  <c r="K25" i="61"/>
  <c r="J25" i="61"/>
  <c r="I25" i="61"/>
  <c r="H25" i="61"/>
  <c r="S24" i="61"/>
  <c r="R24" i="61"/>
  <c r="M24" i="61"/>
  <c r="L24" i="61"/>
  <c r="K24" i="61"/>
  <c r="J24" i="61"/>
  <c r="I24" i="61"/>
  <c r="H24" i="61"/>
  <c r="S23" i="61"/>
  <c r="R23" i="61"/>
  <c r="M23" i="61"/>
  <c r="L23" i="61"/>
  <c r="K23" i="61"/>
  <c r="J23" i="61"/>
  <c r="I23" i="61"/>
  <c r="H23" i="61"/>
  <c r="S22" i="61"/>
  <c r="R22" i="61"/>
  <c r="M22" i="61"/>
  <c r="L22" i="61"/>
  <c r="K22" i="61"/>
  <c r="J22" i="61"/>
  <c r="I22" i="61"/>
  <c r="H22" i="61"/>
  <c r="S21" i="61"/>
  <c r="R21" i="61"/>
  <c r="M21" i="61"/>
  <c r="L21" i="61"/>
  <c r="K21" i="61"/>
  <c r="J21" i="61"/>
  <c r="I21" i="61"/>
  <c r="H21" i="61"/>
  <c r="S20" i="61"/>
  <c r="R20" i="61"/>
  <c r="M20" i="61"/>
  <c r="L20" i="61"/>
  <c r="K20" i="61"/>
  <c r="J20" i="61"/>
  <c r="I20" i="61"/>
  <c r="H20" i="61"/>
  <c r="S19" i="61"/>
  <c r="R19" i="61"/>
  <c r="M19" i="61"/>
  <c r="L19" i="61"/>
  <c r="K19" i="61"/>
  <c r="J19" i="61"/>
  <c r="I19" i="61"/>
  <c r="H19" i="61"/>
  <c r="H18" i="61"/>
  <c r="I18" i="61"/>
  <c r="I17" i="61"/>
  <c r="H17" i="61"/>
  <c r="J16" i="61"/>
  <c r="R16" i="61" s="1"/>
  <c r="I16" i="61"/>
  <c r="H16" i="61"/>
  <c r="I15" i="61"/>
  <c r="H15" i="61"/>
  <c r="I14" i="61"/>
  <c r="H14" i="61"/>
  <c r="I13" i="61"/>
  <c r="H13" i="61"/>
  <c r="I12" i="61"/>
  <c r="J12" i="61" s="1"/>
  <c r="R12" i="61" s="1"/>
  <c r="H12" i="61"/>
  <c r="I11" i="61"/>
  <c r="J11" i="61" s="1"/>
  <c r="R11" i="61" s="1"/>
  <c r="H11" i="61"/>
  <c r="I10" i="61"/>
  <c r="H10" i="61"/>
  <c r="J10" i="61" s="1"/>
  <c r="R10" i="61" s="1"/>
  <c r="I9" i="61"/>
  <c r="J9" i="61" s="1"/>
  <c r="R9" i="61" s="1"/>
  <c r="H9" i="61"/>
  <c r="I8" i="61"/>
  <c r="H8" i="61"/>
  <c r="I7" i="61"/>
  <c r="J7" i="61" s="1"/>
  <c r="R7" i="61" s="1"/>
  <c r="H7" i="61"/>
  <c r="K7" i="61" s="1"/>
  <c r="G18" i="60"/>
  <c r="G17" i="60"/>
  <c r="M21" i="64" l="1"/>
  <c r="S21" i="64" s="1"/>
  <c r="L22" i="64"/>
  <c r="J13" i="61"/>
  <c r="R13" i="61" s="1"/>
  <c r="J8" i="61"/>
  <c r="R8" i="61" s="1"/>
  <c r="J14" i="61"/>
  <c r="R14" i="61" s="1"/>
  <c r="M24" i="65"/>
  <c r="S24" i="65" s="1"/>
  <c r="L25" i="65"/>
  <c r="M17" i="62"/>
  <c r="S17" i="62" s="1"/>
  <c r="M8" i="62"/>
  <c r="S8" i="62" s="1"/>
  <c r="L9" i="62"/>
  <c r="J18" i="61"/>
  <c r="R18" i="61" s="1"/>
  <c r="J17" i="61"/>
  <c r="R17" i="61" s="1"/>
  <c r="J15" i="61"/>
  <c r="R15" i="61" s="1"/>
  <c r="K8" i="6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L7" i="61"/>
  <c r="L8" i="61" s="1"/>
  <c r="M7" i="61" l="1"/>
  <c r="S7" i="61" s="1"/>
  <c r="L23" i="64"/>
  <c r="M22" i="64"/>
  <c r="S22" i="64" s="1"/>
  <c r="M25" i="65"/>
  <c r="S25" i="65" s="1"/>
  <c r="L26" i="65"/>
  <c r="L10" i="62"/>
  <c r="M9" i="62"/>
  <c r="S9" i="62" s="1"/>
  <c r="M8" i="61"/>
  <c r="S8" i="61" s="1"/>
  <c r="L9" i="61"/>
  <c r="L24" i="64" l="1"/>
  <c r="M23" i="64"/>
  <c r="S23" i="64" s="1"/>
  <c r="M26" i="65"/>
  <c r="S26" i="65" s="1"/>
  <c r="L27" i="65"/>
  <c r="M10" i="62"/>
  <c r="S10" i="62" s="1"/>
  <c r="L11" i="62"/>
  <c r="L10" i="61"/>
  <c r="M9" i="61"/>
  <c r="S9" i="61" s="1"/>
  <c r="M24" i="64" l="1"/>
  <c r="S24" i="64" s="1"/>
  <c r="L25" i="64"/>
  <c r="M27" i="65"/>
  <c r="S27" i="65" s="1"/>
  <c r="L28" i="65"/>
  <c r="M11" i="62"/>
  <c r="S11" i="62" s="1"/>
  <c r="L12" i="62"/>
  <c r="M10" i="61"/>
  <c r="S10" i="61" s="1"/>
  <c r="L11" i="61"/>
  <c r="M25" i="64" l="1"/>
  <c r="S25" i="64" s="1"/>
  <c r="L26" i="64"/>
  <c r="L29" i="65"/>
  <c r="M28" i="65"/>
  <c r="S28" i="65" s="1"/>
  <c r="M12" i="62"/>
  <c r="S12" i="62" s="1"/>
  <c r="L13" i="62"/>
  <c r="M11" i="61"/>
  <c r="S11" i="61" s="1"/>
  <c r="L12" i="61"/>
  <c r="M26" i="64" l="1"/>
  <c r="S26" i="64" s="1"/>
  <c r="L27" i="64"/>
  <c r="M29" i="65"/>
  <c r="S29" i="65" s="1"/>
  <c r="L30" i="65"/>
  <c r="M13" i="62"/>
  <c r="S13" i="62" s="1"/>
  <c r="L14" i="62"/>
  <c r="M12" i="61"/>
  <c r="S12" i="61" s="1"/>
  <c r="L13" i="61"/>
  <c r="M27" i="64" l="1"/>
  <c r="S27" i="64" s="1"/>
  <c r="L28" i="64"/>
  <c r="M30" i="65"/>
  <c r="S30" i="65" s="1"/>
  <c r="L31" i="65"/>
  <c r="L15" i="62"/>
  <c r="M14" i="62"/>
  <c r="S14" i="62" s="1"/>
  <c r="M13" i="61"/>
  <c r="S13" i="61" s="1"/>
  <c r="L14" i="61"/>
  <c r="L29" i="64" l="1"/>
  <c r="M28" i="64"/>
  <c r="S28" i="64" s="1"/>
  <c r="M15" i="62"/>
  <c r="S15" i="62" s="1"/>
  <c r="L16" i="62"/>
  <c r="M16" i="62" s="1"/>
  <c r="S16" i="62" s="1"/>
  <c r="M31" i="65"/>
  <c r="S31" i="65" s="1"/>
  <c r="L32" i="65"/>
  <c r="M14" i="61"/>
  <c r="S14" i="61" s="1"/>
  <c r="L15" i="61"/>
  <c r="M29" i="64" l="1"/>
  <c r="S29" i="64" s="1"/>
  <c r="L30" i="64"/>
  <c r="M32" i="65"/>
  <c r="S32" i="65" s="1"/>
  <c r="L33" i="65"/>
  <c r="L16" i="61"/>
  <c r="M15" i="61"/>
  <c r="S15" i="61" s="1"/>
  <c r="M30" i="64" l="1"/>
  <c r="S30" i="64" s="1"/>
  <c r="L31" i="64"/>
  <c r="M33" i="65"/>
  <c r="S33" i="65" s="1"/>
  <c r="L34" i="65"/>
  <c r="L17" i="61"/>
  <c r="M16" i="61"/>
  <c r="S16" i="61" s="1"/>
  <c r="M31" i="64" l="1"/>
  <c r="S31" i="64" s="1"/>
  <c r="L32" i="64"/>
  <c r="M34" i="65"/>
  <c r="S34" i="65" s="1"/>
  <c r="L35" i="65"/>
  <c r="M35" i="65" s="1"/>
  <c r="S35" i="65" s="1"/>
  <c r="L18" i="61"/>
  <c r="M18" i="61" s="1"/>
  <c r="S18" i="61" s="1"/>
  <c r="M17" i="61"/>
  <c r="S17" i="61" s="1"/>
  <c r="M32" i="64" l="1"/>
  <c r="S32" i="64" s="1"/>
  <c r="L33" i="64"/>
  <c r="S112" i="60"/>
  <c r="R112" i="60"/>
  <c r="M112" i="60"/>
  <c r="L112" i="60"/>
  <c r="K112" i="60"/>
  <c r="J112" i="60"/>
  <c r="I112" i="60"/>
  <c r="H112" i="60"/>
  <c r="S111" i="60"/>
  <c r="R111" i="60"/>
  <c r="M111" i="60"/>
  <c r="L111" i="60"/>
  <c r="K111" i="60"/>
  <c r="J111" i="60"/>
  <c r="I111" i="60"/>
  <c r="H111" i="60"/>
  <c r="S110" i="60"/>
  <c r="R110" i="60"/>
  <c r="M110" i="60"/>
  <c r="L110" i="60"/>
  <c r="K110" i="60"/>
  <c r="J110" i="60"/>
  <c r="I110" i="60"/>
  <c r="H110" i="60"/>
  <c r="S109" i="60"/>
  <c r="R109" i="60"/>
  <c r="M109" i="60"/>
  <c r="L109" i="60"/>
  <c r="K109" i="60"/>
  <c r="J109" i="60"/>
  <c r="I109" i="60"/>
  <c r="H109" i="60"/>
  <c r="S108" i="60"/>
  <c r="R108" i="60"/>
  <c r="M108" i="60"/>
  <c r="L108" i="60"/>
  <c r="K108" i="60"/>
  <c r="J108" i="60"/>
  <c r="I108" i="60"/>
  <c r="H108" i="60"/>
  <c r="S107" i="60"/>
  <c r="R107" i="60"/>
  <c r="M107" i="60"/>
  <c r="L107" i="60"/>
  <c r="K107" i="60"/>
  <c r="J107" i="60"/>
  <c r="I107" i="60"/>
  <c r="H107" i="60"/>
  <c r="S106" i="60"/>
  <c r="R106" i="60"/>
  <c r="M106" i="60"/>
  <c r="L106" i="60"/>
  <c r="K106" i="60"/>
  <c r="J106" i="60"/>
  <c r="I106" i="60"/>
  <c r="H106" i="60"/>
  <c r="S105" i="60"/>
  <c r="R105" i="60"/>
  <c r="M105" i="60"/>
  <c r="L105" i="60"/>
  <c r="K105" i="60"/>
  <c r="J105" i="60"/>
  <c r="I105" i="60"/>
  <c r="H105" i="60"/>
  <c r="S104" i="60"/>
  <c r="R104" i="60"/>
  <c r="M104" i="60"/>
  <c r="L104" i="60"/>
  <c r="K104" i="60"/>
  <c r="J104" i="60"/>
  <c r="I104" i="60"/>
  <c r="H104" i="60"/>
  <c r="S103" i="60"/>
  <c r="R103" i="60"/>
  <c r="M103" i="60"/>
  <c r="L103" i="60"/>
  <c r="K103" i="60"/>
  <c r="J103" i="60"/>
  <c r="I103" i="60"/>
  <c r="H103" i="60"/>
  <c r="S102" i="60"/>
  <c r="R102" i="60"/>
  <c r="M102" i="60"/>
  <c r="L102" i="60"/>
  <c r="K102" i="60"/>
  <c r="J102" i="60"/>
  <c r="I102" i="60"/>
  <c r="H102" i="60"/>
  <c r="S101" i="60"/>
  <c r="R101" i="60"/>
  <c r="M101" i="60"/>
  <c r="L101" i="60"/>
  <c r="K101" i="60"/>
  <c r="J101" i="60"/>
  <c r="I101" i="60"/>
  <c r="H101" i="60"/>
  <c r="S100" i="60"/>
  <c r="R100" i="60"/>
  <c r="M100" i="60"/>
  <c r="L100" i="60"/>
  <c r="K100" i="60"/>
  <c r="J100" i="60"/>
  <c r="I100" i="60"/>
  <c r="H100" i="60"/>
  <c r="S99" i="60"/>
  <c r="R99" i="60"/>
  <c r="M99" i="60"/>
  <c r="L99" i="60"/>
  <c r="K99" i="60"/>
  <c r="J99" i="60"/>
  <c r="I99" i="60"/>
  <c r="H99" i="60"/>
  <c r="S98" i="60"/>
  <c r="R98" i="60"/>
  <c r="M98" i="60"/>
  <c r="L98" i="60"/>
  <c r="K98" i="60"/>
  <c r="J98" i="60"/>
  <c r="I98" i="60"/>
  <c r="H98" i="60"/>
  <c r="S97" i="60"/>
  <c r="R97" i="60"/>
  <c r="M97" i="60"/>
  <c r="L97" i="60"/>
  <c r="K97" i="60"/>
  <c r="J97" i="60"/>
  <c r="I97" i="60"/>
  <c r="H97" i="60"/>
  <c r="S96" i="60"/>
  <c r="R96" i="60"/>
  <c r="M96" i="60"/>
  <c r="L96" i="60"/>
  <c r="K96" i="60"/>
  <c r="J96" i="60"/>
  <c r="I96" i="60"/>
  <c r="H96" i="60"/>
  <c r="S95" i="60"/>
  <c r="R95" i="60"/>
  <c r="M95" i="60"/>
  <c r="L95" i="60"/>
  <c r="K95" i="60"/>
  <c r="J95" i="60"/>
  <c r="I95" i="60"/>
  <c r="H95" i="60"/>
  <c r="S94" i="60"/>
  <c r="R94" i="60"/>
  <c r="M94" i="60"/>
  <c r="L94" i="60"/>
  <c r="K94" i="60"/>
  <c r="J94" i="60"/>
  <c r="I94" i="60"/>
  <c r="H94" i="60"/>
  <c r="S93" i="60"/>
  <c r="R93" i="60"/>
  <c r="M93" i="60"/>
  <c r="L93" i="60"/>
  <c r="K93" i="60"/>
  <c r="J93" i="60"/>
  <c r="I93" i="60"/>
  <c r="H93" i="60"/>
  <c r="S92" i="60"/>
  <c r="R92" i="60"/>
  <c r="M92" i="60"/>
  <c r="L92" i="60"/>
  <c r="K92" i="60"/>
  <c r="J92" i="60"/>
  <c r="I92" i="60"/>
  <c r="H92" i="60"/>
  <c r="S91" i="60"/>
  <c r="R91" i="60"/>
  <c r="M91" i="60"/>
  <c r="L91" i="60"/>
  <c r="K91" i="60"/>
  <c r="J91" i="60"/>
  <c r="I91" i="60"/>
  <c r="H91" i="60"/>
  <c r="S90" i="60"/>
  <c r="R90" i="60"/>
  <c r="M90" i="60"/>
  <c r="L90" i="60"/>
  <c r="K90" i="60"/>
  <c r="J90" i="60"/>
  <c r="I90" i="60"/>
  <c r="H90" i="60"/>
  <c r="S89" i="60"/>
  <c r="R89" i="60"/>
  <c r="M89" i="60"/>
  <c r="L89" i="60"/>
  <c r="K89" i="60"/>
  <c r="J89" i="60"/>
  <c r="I89" i="60"/>
  <c r="H89" i="60"/>
  <c r="S88" i="60"/>
  <c r="R88" i="60"/>
  <c r="M88" i="60"/>
  <c r="L88" i="60"/>
  <c r="K88" i="60"/>
  <c r="J88" i="60"/>
  <c r="I88" i="60"/>
  <c r="H88" i="60"/>
  <c r="S87" i="60"/>
  <c r="R87" i="60"/>
  <c r="M87" i="60"/>
  <c r="L87" i="60"/>
  <c r="K87" i="60"/>
  <c r="J87" i="60"/>
  <c r="I87" i="60"/>
  <c r="H87" i="60"/>
  <c r="S86" i="60"/>
  <c r="R86" i="60"/>
  <c r="M86" i="60"/>
  <c r="L86" i="60"/>
  <c r="K86" i="60"/>
  <c r="J86" i="60"/>
  <c r="I86" i="60"/>
  <c r="H86" i="60"/>
  <c r="S85" i="60"/>
  <c r="R85" i="60"/>
  <c r="M85" i="60"/>
  <c r="L85" i="60"/>
  <c r="K85" i="60"/>
  <c r="J85" i="60"/>
  <c r="I85" i="60"/>
  <c r="H85" i="60"/>
  <c r="S84" i="60"/>
  <c r="R84" i="60"/>
  <c r="M84" i="60"/>
  <c r="L84" i="60"/>
  <c r="K84" i="60"/>
  <c r="J84" i="60"/>
  <c r="I84" i="60"/>
  <c r="H84" i="60"/>
  <c r="S83" i="60"/>
  <c r="R83" i="60"/>
  <c r="M83" i="60"/>
  <c r="L83" i="60"/>
  <c r="K83" i="60"/>
  <c r="J83" i="60"/>
  <c r="I83" i="60"/>
  <c r="H83" i="60"/>
  <c r="S82" i="60"/>
  <c r="R82" i="60"/>
  <c r="M82" i="60"/>
  <c r="L82" i="60"/>
  <c r="K82" i="60"/>
  <c r="J82" i="60"/>
  <c r="I82" i="60"/>
  <c r="H82" i="60"/>
  <c r="S81" i="60"/>
  <c r="R81" i="60"/>
  <c r="M81" i="60"/>
  <c r="L81" i="60"/>
  <c r="K81" i="60"/>
  <c r="J81" i="60"/>
  <c r="I81" i="60"/>
  <c r="H81" i="60"/>
  <c r="S80" i="60"/>
  <c r="R80" i="60"/>
  <c r="M80" i="60"/>
  <c r="L80" i="60"/>
  <c r="K80" i="60"/>
  <c r="J80" i="60"/>
  <c r="I80" i="60"/>
  <c r="H80" i="60"/>
  <c r="S79" i="60"/>
  <c r="R79" i="60"/>
  <c r="M79" i="60"/>
  <c r="L79" i="60"/>
  <c r="K79" i="60"/>
  <c r="J79" i="60"/>
  <c r="I79" i="60"/>
  <c r="H79" i="60"/>
  <c r="S78" i="60"/>
  <c r="R78" i="60"/>
  <c r="M78" i="60"/>
  <c r="L78" i="60"/>
  <c r="K78" i="60"/>
  <c r="J78" i="60"/>
  <c r="I78" i="60"/>
  <c r="H78" i="60"/>
  <c r="S77" i="60"/>
  <c r="R77" i="60"/>
  <c r="M77" i="60"/>
  <c r="L77" i="60"/>
  <c r="K77" i="60"/>
  <c r="J77" i="60"/>
  <c r="I77" i="60"/>
  <c r="H77" i="60"/>
  <c r="S76" i="60"/>
  <c r="R76" i="60"/>
  <c r="M76" i="60"/>
  <c r="L76" i="60"/>
  <c r="K76" i="60"/>
  <c r="J76" i="60"/>
  <c r="I76" i="60"/>
  <c r="H76" i="60"/>
  <c r="S75" i="60"/>
  <c r="R75" i="60"/>
  <c r="M75" i="60"/>
  <c r="L75" i="60"/>
  <c r="K75" i="60"/>
  <c r="J75" i="60"/>
  <c r="I75" i="60"/>
  <c r="H75" i="60"/>
  <c r="S74" i="60"/>
  <c r="R74" i="60"/>
  <c r="M74" i="60"/>
  <c r="L74" i="60"/>
  <c r="K74" i="60"/>
  <c r="J74" i="60"/>
  <c r="I74" i="60"/>
  <c r="H74" i="60"/>
  <c r="S73" i="60"/>
  <c r="R73" i="60"/>
  <c r="M73" i="60"/>
  <c r="L73" i="60"/>
  <c r="K73" i="60"/>
  <c r="J73" i="60"/>
  <c r="I73" i="60"/>
  <c r="H73" i="60"/>
  <c r="S72" i="60"/>
  <c r="R72" i="60"/>
  <c r="M72" i="60"/>
  <c r="L72" i="60"/>
  <c r="K72" i="60"/>
  <c r="J72" i="60"/>
  <c r="I72" i="60"/>
  <c r="H72" i="60"/>
  <c r="S71" i="60"/>
  <c r="R71" i="60"/>
  <c r="M71" i="60"/>
  <c r="L71" i="60"/>
  <c r="K71" i="60"/>
  <c r="J71" i="60"/>
  <c r="I71" i="60"/>
  <c r="H71" i="60"/>
  <c r="S70" i="60"/>
  <c r="R70" i="60"/>
  <c r="M70" i="60"/>
  <c r="L70" i="60"/>
  <c r="K70" i="60"/>
  <c r="J70" i="60"/>
  <c r="I70" i="60"/>
  <c r="H70" i="60"/>
  <c r="S69" i="60"/>
  <c r="R69" i="60"/>
  <c r="M69" i="60"/>
  <c r="L69" i="60"/>
  <c r="K69" i="60"/>
  <c r="J69" i="60"/>
  <c r="I69" i="60"/>
  <c r="H69" i="60"/>
  <c r="S68" i="60"/>
  <c r="R68" i="60"/>
  <c r="M68" i="60"/>
  <c r="L68" i="60"/>
  <c r="K68" i="60"/>
  <c r="J68" i="60"/>
  <c r="I68" i="60"/>
  <c r="H68" i="60"/>
  <c r="S67" i="60"/>
  <c r="R67" i="60"/>
  <c r="M67" i="60"/>
  <c r="L67" i="60"/>
  <c r="K67" i="60"/>
  <c r="J67" i="60"/>
  <c r="I67" i="60"/>
  <c r="H67" i="60"/>
  <c r="S66" i="60"/>
  <c r="R66" i="60"/>
  <c r="M66" i="60"/>
  <c r="L66" i="60"/>
  <c r="K66" i="60"/>
  <c r="J66" i="60"/>
  <c r="I66" i="60"/>
  <c r="H66" i="60"/>
  <c r="S65" i="60"/>
  <c r="R65" i="60"/>
  <c r="M65" i="60"/>
  <c r="L65" i="60"/>
  <c r="K65" i="60"/>
  <c r="J65" i="60"/>
  <c r="I65" i="60"/>
  <c r="H65" i="60"/>
  <c r="S64" i="60"/>
  <c r="R64" i="60"/>
  <c r="M64" i="60"/>
  <c r="L64" i="60"/>
  <c r="K64" i="60"/>
  <c r="J64" i="60"/>
  <c r="I64" i="60"/>
  <c r="H64" i="60"/>
  <c r="S63" i="60"/>
  <c r="R63" i="60"/>
  <c r="M63" i="60"/>
  <c r="L63" i="60"/>
  <c r="K63" i="60"/>
  <c r="J63" i="60"/>
  <c r="I63" i="60"/>
  <c r="H63" i="60"/>
  <c r="S62" i="60"/>
  <c r="R62" i="60"/>
  <c r="M62" i="60"/>
  <c r="L62" i="60"/>
  <c r="K62" i="60"/>
  <c r="J62" i="60"/>
  <c r="I62" i="60"/>
  <c r="H62" i="60"/>
  <c r="S61" i="60"/>
  <c r="R61" i="60"/>
  <c r="M61" i="60"/>
  <c r="L61" i="60"/>
  <c r="K61" i="60"/>
  <c r="J61" i="60"/>
  <c r="I61" i="60"/>
  <c r="H61" i="60"/>
  <c r="S60" i="60"/>
  <c r="R60" i="60"/>
  <c r="M60" i="60"/>
  <c r="L60" i="60"/>
  <c r="K60" i="60"/>
  <c r="J60" i="60"/>
  <c r="I60" i="60"/>
  <c r="H60" i="60"/>
  <c r="S59" i="60"/>
  <c r="R59" i="60"/>
  <c r="M59" i="60"/>
  <c r="L59" i="60"/>
  <c r="K59" i="60"/>
  <c r="J59" i="60"/>
  <c r="I59" i="60"/>
  <c r="H59" i="60"/>
  <c r="S58" i="60"/>
  <c r="R58" i="60"/>
  <c r="M58" i="60"/>
  <c r="L58" i="60"/>
  <c r="K58" i="60"/>
  <c r="J58" i="60"/>
  <c r="I58" i="60"/>
  <c r="H58" i="60"/>
  <c r="S57" i="60"/>
  <c r="R57" i="60"/>
  <c r="M57" i="60"/>
  <c r="L57" i="60"/>
  <c r="K57" i="60"/>
  <c r="J57" i="60"/>
  <c r="I57" i="60"/>
  <c r="H57" i="60"/>
  <c r="S56" i="60"/>
  <c r="R56" i="60"/>
  <c r="M56" i="60"/>
  <c r="L56" i="60"/>
  <c r="K56" i="60"/>
  <c r="J56" i="60"/>
  <c r="I56" i="60"/>
  <c r="H56" i="60"/>
  <c r="S55" i="60"/>
  <c r="R55" i="60"/>
  <c r="M55" i="60"/>
  <c r="L55" i="60"/>
  <c r="K55" i="60"/>
  <c r="J55" i="60"/>
  <c r="I55" i="60"/>
  <c r="H55" i="60"/>
  <c r="S54" i="60"/>
  <c r="R54" i="60"/>
  <c r="M54" i="60"/>
  <c r="L54" i="60"/>
  <c r="K54" i="60"/>
  <c r="J54" i="60"/>
  <c r="I54" i="60"/>
  <c r="H54" i="60"/>
  <c r="S53" i="60"/>
  <c r="R53" i="60"/>
  <c r="M53" i="60"/>
  <c r="L53" i="60"/>
  <c r="K53" i="60"/>
  <c r="J53" i="60"/>
  <c r="I53" i="60"/>
  <c r="H53" i="60"/>
  <c r="S52" i="60"/>
  <c r="R52" i="60"/>
  <c r="M52" i="60"/>
  <c r="L52" i="60"/>
  <c r="K52" i="60"/>
  <c r="J52" i="60"/>
  <c r="I52" i="60"/>
  <c r="H52" i="60"/>
  <c r="S51" i="60"/>
  <c r="R51" i="60"/>
  <c r="M51" i="60"/>
  <c r="L51" i="60"/>
  <c r="K51" i="60"/>
  <c r="J51" i="60"/>
  <c r="I51" i="60"/>
  <c r="H51" i="60"/>
  <c r="S50" i="60"/>
  <c r="R50" i="60"/>
  <c r="M50" i="60"/>
  <c r="L50" i="60"/>
  <c r="K50" i="60"/>
  <c r="J50" i="60"/>
  <c r="I50" i="60"/>
  <c r="H50" i="60"/>
  <c r="S49" i="60"/>
  <c r="R49" i="60"/>
  <c r="M49" i="60"/>
  <c r="L49" i="60"/>
  <c r="K49" i="60"/>
  <c r="J49" i="60"/>
  <c r="I49" i="60"/>
  <c r="H49" i="60"/>
  <c r="S48" i="60"/>
  <c r="R48" i="60"/>
  <c r="M48" i="60"/>
  <c r="L48" i="60"/>
  <c r="K48" i="60"/>
  <c r="J48" i="60"/>
  <c r="I48" i="60"/>
  <c r="H48" i="60"/>
  <c r="S47" i="60"/>
  <c r="R47" i="60"/>
  <c r="M47" i="60"/>
  <c r="L47" i="60"/>
  <c r="K47" i="60"/>
  <c r="J47" i="60"/>
  <c r="I47" i="60"/>
  <c r="H47" i="60"/>
  <c r="S46" i="60"/>
  <c r="R46" i="60"/>
  <c r="M46" i="60"/>
  <c r="L46" i="60"/>
  <c r="K46" i="60"/>
  <c r="J46" i="60"/>
  <c r="I46" i="60"/>
  <c r="H46" i="60"/>
  <c r="S45" i="60"/>
  <c r="R45" i="60"/>
  <c r="M45" i="60"/>
  <c r="L45" i="60"/>
  <c r="K45" i="60"/>
  <c r="J45" i="60"/>
  <c r="I45" i="60"/>
  <c r="H45" i="60"/>
  <c r="S44" i="60"/>
  <c r="R44" i="60"/>
  <c r="M44" i="60"/>
  <c r="L44" i="60"/>
  <c r="K44" i="60"/>
  <c r="J44" i="60"/>
  <c r="I44" i="60"/>
  <c r="H44" i="60"/>
  <c r="S43" i="60"/>
  <c r="R43" i="60"/>
  <c r="M43" i="60"/>
  <c r="L43" i="60"/>
  <c r="K43" i="60"/>
  <c r="J43" i="60"/>
  <c r="I43" i="60"/>
  <c r="H43" i="60"/>
  <c r="S42" i="60"/>
  <c r="R42" i="60"/>
  <c r="M42" i="60"/>
  <c r="L42" i="60"/>
  <c r="K42" i="60"/>
  <c r="J42" i="60"/>
  <c r="I42" i="60"/>
  <c r="H42" i="60"/>
  <c r="S41" i="60"/>
  <c r="R41" i="60"/>
  <c r="M41" i="60"/>
  <c r="L41" i="60"/>
  <c r="K41" i="60"/>
  <c r="J41" i="60"/>
  <c r="I41" i="60"/>
  <c r="H41" i="60"/>
  <c r="S40" i="60"/>
  <c r="R40" i="60"/>
  <c r="M40" i="60"/>
  <c r="L40" i="60"/>
  <c r="K40" i="60"/>
  <c r="J40" i="60"/>
  <c r="I40" i="60"/>
  <c r="H40" i="60"/>
  <c r="S39" i="60"/>
  <c r="R39" i="60"/>
  <c r="M39" i="60"/>
  <c r="L39" i="60"/>
  <c r="K39" i="60"/>
  <c r="J39" i="60"/>
  <c r="I39" i="60"/>
  <c r="H39" i="60"/>
  <c r="S38" i="60"/>
  <c r="R38" i="60"/>
  <c r="M38" i="60"/>
  <c r="L38" i="60"/>
  <c r="K38" i="60"/>
  <c r="J38" i="60"/>
  <c r="I38" i="60"/>
  <c r="H38" i="60"/>
  <c r="S37" i="60"/>
  <c r="R37" i="60"/>
  <c r="M37" i="60"/>
  <c r="L37" i="60"/>
  <c r="K37" i="60"/>
  <c r="J37" i="60"/>
  <c r="I37" i="60"/>
  <c r="H37" i="60"/>
  <c r="S36" i="60"/>
  <c r="R36" i="60"/>
  <c r="M36" i="60"/>
  <c r="L36" i="60"/>
  <c r="K36" i="60"/>
  <c r="J36" i="60"/>
  <c r="I36" i="60"/>
  <c r="H36" i="60"/>
  <c r="S35" i="60"/>
  <c r="R35" i="60"/>
  <c r="M35" i="60"/>
  <c r="L35" i="60"/>
  <c r="K35" i="60"/>
  <c r="J35" i="60"/>
  <c r="I35" i="60"/>
  <c r="H35" i="60"/>
  <c r="S34" i="60"/>
  <c r="R34" i="60"/>
  <c r="M34" i="60"/>
  <c r="L34" i="60"/>
  <c r="K34" i="60"/>
  <c r="J34" i="60"/>
  <c r="I34" i="60"/>
  <c r="H34" i="60"/>
  <c r="S33" i="60"/>
  <c r="R33" i="60"/>
  <c r="M33" i="60"/>
  <c r="L33" i="60"/>
  <c r="K33" i="60"/>
  <c r="J33" i="60"/>
  <c r="I33" i="60"/>
  <c r="H33" i="60"/>
  <c r="S32" i="60"/>
  <c r="R32" i="60"/>
  <c r="M32" i="60"/>
  <c r="L32" i="60"/>
  <c r="K32" i="60"/>
  <c r="J32" i="60"/>
  <c r="I32" i="60"/>
  <c r="H32" i="60"/>
  <c r="S31" i="60"/>
  <c r="R31" i="60"/>
  <c r="M31" i="60"/>
  <c r="L31" i="60"/>
  <c r="K31" i="60"/>
  <c r="J31" i="60"/>
  <c r="I31" i="60"/>
  <c r="H31" i="60"/>
  <c r="S30" i="60"/>
  <c r="R30" i="60"/>
  <c r="M30" i="60"/>
  <c r="L30" i="60"/>
  <c r="K30" i="60"/>
  <c r="J30" i="60"/>
  <c r="I30" i="60"/>
  <c r="H30" i="60"/>
  <c r="S29" i="60"/>
  <c r="R29" i="60"/>
  <c r="M29" i="60"/>
  <c r="L29" i="60"/>
  <c r="K29" i="60"/>
  <c r="J29" i="60"/>
  <c r="I29" i="60"/>
  <c r="H29" i="60"/>
  <c r="S28" i="60"/>
  <c r="R28" i="60"/>
  <c r="M28" i="60"/>
  <c r="L28" i="60"/>
  <c r="K28" i="60"/>
  <c r="J28" i="60"/>
  <c r="I28" i="60"/>
  <c r="H28" i="60"/>
  <c r="S27" i="60"/>
  <c r="R27" i="60"/>
  <c r="M27" i="60"/>
  <c r="L27" i="60"/>
  <c r="K27" i="60"/>
  <c r="J27" i="60"/>
  <c r="I27" i="60"/>
  <c r="H27" i="60"/>
  <c r="S26" i="60"/>
  <c r="R26" i="60"/>
  <c r="M26" i="60"/>
  <c r="L26" i="60"/>
  <c r="K26" i="60"/>
  <c r="J26" i="60"/>
  <c r="I26" i="60"/>
  <c r="H26" i="60"/>
  <c r="S25" i="60"/>
  <c r="R25" i="60"/>
  <c r="M25" i="60"/>
  <c r="L25" i="60"/>
  <c r="K25" i="60"/>
  <c r="J25" i="60"/>
  <c r="I25" i="60"/>
  <c r="H25" i="60"/>
  <c r="S24" i="60"/>
  <c r="R24" i="60"/>
  <c r="M24" i="60"/>
  <c r="L24" i="60"/>
  <c r="K24" i="60"/>
  <c r="J24" i="60"/>
  <c r="I24" i="60"/>
  <c r="H24" i="60"/>
  <c r="S23" i="60"/>
  <c r="R23" i="60"/>
  <c r="M23" i="60"/>
  <c r="L23" i="60"/>
  <c r="K23" i="60"/>
  <c r="J23" i="60"/>
  <c r="I23" i="60"/>
  <c r="H23" i="60"/>
  <c r="S22" i="60"/>
  <c r="R22" i="60"/>
  <c r="M22" i="60"/>
  <c r="L22" i="60"/>
  <c r="K22" i="60"/>
  <c r="J22" i="60"/>
  <c r="I22" i="60"/>
  <c r="H22" i="60"/>
  <c r="S21" i="60"/>
  <c r="R21" i="60"/>
  <c r="M21" i="60"/>
  <c r="L21" i="60"/>
  <c r="K21" i="60"/>
  <c r="J21" i="60"/>
  <c r="I21" i="60"/>
  <c r="H21" i="60"/>
  <c r="S20" i="60"/>
  <c r="R20" i="60"/>
  <c r="M20" i="60"/>
  <c r="L20" i="60"/>
  <c r="K20" i="60"/>
  <c r="J20" i="60"/>
  <c r="I20" i="60"/>
  <c r="H20" i="60"/>
  <c r="S19" i="60"/>
  <c r="R19" i="60"/>
  <c r="M19" i="60"/>
  <c r="L19" i="60"/>
  <c r="K19" i="60"/>
  <c r="J19" i="60"/>
  <c r="I19" i="60"/>
  <c r="H19" i="60"/>
  <c r="I18" i="60"/>
  <c r="H18" i="60"/>
  <c r="I17" i="60"/>
  <c r="H17" i="60"/>
  <c r="I16" i="60"/>
  <c r="H16" i="60"/>
  <c r="I15" i="60"/>
  <c r="J15" i="60" s="1"/>
  <c r="R15" i="60" s="1"/>
  <c r="H15" i="60"/>
  <c r="I14" i="60"/>
  <c r="J14" i="60" s="1"/>
  <c r="R14" i="60" s="1"/>
  <c r="H14" i="60"/>
  <c r="I13" i="60"/>
  <c r="J13" i="60" s="1"/>
  <c r="R13" i="60" s="1"/>
  <c r="H13" i="60"/>
  <c r="I12" i="60"/>
  <c r="J12" i="60" s="1"/>
  <c r="R12" i="60" s="1"/>
  <c r="H12" i="60"/>
  <c r="I11" i="60"/>
  <c r="J11" i="60" s="1"/>
  <c r="R11" i="60" s="1"/>
  <c r="H11" i="60"/>
  <c r="J10" i="60"/>
  <c r="R10" i="60" s="1"/>
  <c r="I10" i="60"/>
  <c r="H10" i="60"/>
  <c r="I9" i="60"/>
  <c r="H9" i="60"/>
  <c r="I8" i="60"/>
  <c r="J8" i="60" s="1"/>
  <c r="R8" i="60" s="1"/>
  <c r="H8" i="60"/>
  <c r="I7" i="60"/>
  <c r="L7" i="60" s="1"/>
  <c r="L8" i="60" s="1"/>
  <c r="H7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J18" i="60" l="1"/>
  <c r="R18" i="60" s="1"/>
  <c r="J9" i="60"/>
  <c r="R9" i="60" s="1"/>
  <c r="M33" i="64"/>
  <c r="S33" i="64" s="1"/>
  <c r="L34" i="64"/>
  <c r="J17" i="60"/>
  <c r="R17" i="60" s="1"/>
  <c r="K18" i="60"/>
  <c r="J16" i="60"/>
  <c r="R16" i="60" s="1"/>
  <c r="J7" i="60"/>
  <c r="R7" i="60" s="1"/>
  <c r="M8" i="60"/>
  <c r="S8" i="60" s="1"/>
  <c r="L9" i="60"/>
  <c r="M7" i="60"/>
  <c r="S7" i="60" s="1"/>
  <c r="S112" i="59"/>
  <c r="R112" i="59"/>
  <c r="M112" i="59"/>
  <c r="L112" i="59"/>
  <c r="K112" i="59"/>
  <c r="J112" i="59"/>
  <c r="I112" i="59"/>
  <c r="H112" i="59"/>
  <c r="S111" i="59"/>
  <c r="R111" i="59"/>
  <c r="M111" i="59"/>
  <c r="L111" i="59"/>
  <c r="K111" i="59"/>
  <c r="J111" i="59"/>
  <c r="I111" i="59"/>
  <c r="H111" i="59"/>
  <c r="S110" i="59"/>
  <c r="R110" i="59"/>
  <c r="M110" i="59"/>
  <c r="L110" i="59"/>
  <c r="K110" i="59"/>
  <c r="J110" i="59"/>
  <c r="I110" i="59"/>
  <c r="H110" i="59"/>
  <c r="S109" i="59"/>
  <c r="R109" i="59"/>
  <c r="M109" i="59"/>
  <c r="L109" i="59"/>
  <c r="K109" i="59"/>
  <c r="J109" i="59"/>
  <c r="I109" i="59"/>
  <c r="H109" i="59"/>
  <c r="S108" i="59"/>
  <c r="R108" i="59"/>
  <c r="M108" i="59"/>
  <c r="L108" i="59"/>
  <c r="K108" i="59"/>
  <c r="J108" i="59"/>
  <c r="I108" i="59"/>
  <c r="H108" i="59"/>
  <c r="S107" i="59"/>
  <c r="R107" i="59"/>
  <c r="M107" i="59"/>
  <c r="L107" i="59"/>
  <c r="K107" i="59"/>
  <c r="J107" i="59"/>
  <c r="I107" i="59"/>
  <c r="H107" i="59"/>
  <c r="S106" i="59"/>
  <c r="R106" i="59"/>
  <c r="M106" i="59"/>
  <c r="L106" i="59"/>
  <c r="K106" i="59"/>
  <c r="J106" i="59"/>
  <c r="I106" i="59"/>
  <c r="H106" i="59"/>
  <c r="S105" i="59"/>
  <c r="R105" i="59"/>
  <c r="M105" i="59"/>
  <c r="L105" i="59"/>
  <c r="K105" i="59"/>
  <c r="J105" i="59"/>
  <c r="I105" i="59"/>
  <c r="H105" i="59"/>
  <c r="S104" i="59"/>
  <c r="R104" i="59"/>
  <c r="M104" i="59"/>
  <c r="L104" i="59"/>
  <c r="K104" i="59"/>
  <c r="J104" i="59"/>
  <c r="I104" i="59"/>
  <c r="H104" i="59"/>
  <c r="S103" i="59"/>
  <c r="R103" i="59"/>
  <c r="M103" i="59"/>
  <c r="L103" i="59"/>
  <c r="K103" i="59"/>
  <c r="J103" i="59"/>
  <c r="I103" i="59"/>
  <c r="H103" i="59"/>
  <c r="S102" i="59"/>
  <c r="R102" i="59"/>
  <c r="M102" i="59"/>
  <c r="L102" i="59"/>
  <c r="K102" i="59"/>
  <c r="J102" i="59"/>
  <c r="I102" i="59"/>
  <c r="H102" i="59"/>
  <c r="S101" i="59"/>
  <c r="R101" i="59"/>
  <c r="M101" i="59"/>
  <c r="L101" i="59"/>
  <c r="K101" i="59"/>
  <c r="J101" i="59"/>
  <c r="I101" i="59"/>
  <c r="H101" i="59"/>
  <c r="S100" i="59"/>
  <c r="R100" i="59"/>
  <c r="M100" i="59"/>
  <c r="L100" i="59"/>
  <c r="K100" i="59"/>
  <c r="J100" i="59"/>
  <c r="I100" i="59"/>
  <c r="H100" i="59"/>
  <c r="S99" i="59"/>
  <c r="R99" i="59"/>
  <c r="M99" i="59"/>
  <c r="L99" i="59"/>
  <c r="K99" i="59"/>
  <c r="J99" i="59"/>
  <c r="I99" i="59"/>
  <c r="H99" i="59"/>
  <c r="S98" i="59"/>
  <c r="R98" i="59"/>
  <c r="M98" i="59"/>
  <c r="L98" i="59"/>
  <c r="K98" i="59"/>
  <c r="J98" i="59"/>
  <c r="I98" i="59"/>
  <c r="H98" i="59"/>
  <c r="S97" i="59"/>
  <c r="R97" i="59"/>
  <c r="M97" i="59"/>
  <c r="L97" i="59"/>
  <c r="K97" i="59"/>
  <c r="J97" i="59"/>
  <c r="I97" i="59"/>
  <c r="H97" i="59"/>
  <c r="S96" i="59"/>
  <c r="R96" i="59"/>
  <c r="M96" i="59"/>
  <c r="L96" i="59"/>
  <c r="K96" i="59"/>
  <c r="J96" i="59"/>
  <c r="I96" i="59"/>
  <c r="H96" i="59"/>
  <c r="S95" i="59"/>
  <c r="R95" i="59"/>
  <c r="M95" i="59"/>
  <c r="L95" i="59"/>
  <c r="K95" i="59"/>
  <c r="J95" i="59"/>
  <c r="I95" i="59"/>
  <c r="H95" i="59"/>
  <c r="S94" i="59"/>
  <c r="R94" i="59"/>
  <c r="M94" i="59"/>
  <c r="L94" i="59"/>
  <c r="K94" i="59"/>
  <c r="J94" i="59"/>
  <c r="I94" i="59"/>
  <c r="H94" i="59"/>
  <c r="S93" i="59"/>
  <c r="R93" i="59"/>
  <c r="M93" i="59"/>
  <c r="L93" i="59"/>
  <c r="K93" i="59"/>
  <c r="J93" i="59"/>
  <c r="I93" i="59"/>
  <c r="H93" i="59"/>
  <c r="S92" i="59"/>
  <c r="R92" i="59"/>
  <c r="M92" i="59"/>
  <c r="L92" i="59"/>
  <c r="K92" i="59"/>
  <c r="J92" i="59"/>
  <c r="I92" i="59"/>
  <c r="H92" i="59"/>
  <c r="S91" i="59"/>
  <c r="R91" i="59"/>
  <c r="M91" i="59"/>
  <c r="L91" i="59"/>
  <c r="K91" i="59"/>
  <c r="J91" i="59"/>
  <c r="I91" i="59"/>
  <c r="H91" i="59"/>
  <c r="S90" i="59"/>
  <c r="R90" i="59"/>
  <c r="M90" i="59"/>
  <c r="L90" i="59"/>
  <c r="K90" i="59"/>
  <c r="J90" i="59"/>
  <c r="I90" i="59"/>
  <c r="H90" i="59"/>
  <c r="S89" i="59"/>
  <c r="R89" i="59"/>
  <c r="M89" i="59"/>
  <c r="L89" i="59"/>
  <c r="K89" i="59"/>
  <c r="J89" i="59"/>
  <c r="I89" i="59"/>
  <c r="H89" i="59"/>
  <c r="S88" i="59"/>
  <c r="R88" i="59"/>
  <c r="M88" i="59"/>
  <c r="L88" i="59"/>
  <c r="K88" i="59"/>
  <c r="J88" i="59"/>
  <c r="I88" i="59"/>
  <c r="H88" i="59"/>
  <c r="S87" i="59"/>
  <c r="R87" i="59"/>
  <c r="M87" i="59"/>
  <c r="L87" i="59"/>
  <c r="K87" i="59"/>
  <c r="J87" i="59"/>
  <c r="I87" i="59"/>
  <c r="H87" i="59"/>
  <c r="S86" i="59"/>
  <c r="R86" i="59"/>
  <c r="M86" i="59"/>
  <c r="L86" i="59"/>
  <c r="K86" i="59"/>
  <c r="J86" i="59"/>
  <c r="I86" i="59"/>
  <c r="H86" i="59"/>
  <c r="S85" i="59"/>
  <c r="R85" i="59"/>
  <c r="M85" i="59"/>
  <c r="L85" i="59"/>
  <c r="K85" i="59"/>
  <c r="J85" i="59"/>
  <c r="I85" i="59"/>
  <c r="H85" i="59"/>
  <c r="S84" i="59"/>
  <c r="R84" i="59"/>
  <c r="M84" i="59"/>
  <c r="L84" i="59"/>
  <c r="K84" i="59"/>
  <c r="J84" i="59"/>
  <c r="I84" i="59"/>
  <c r="H84" i="59"/>
  <c r="S83" i="59"/>
  <c r="R83" i="59"/>
  <c r="M83" i="59"/>
  <c r="L83" i="59"/>
  <c r="K83" i="59"/>
  <c r="J83" i="59"/>
  <c r="I83" i="59"/>
  <c r="H83" i="59"/>
  <c r="S82" i="59"/>
  <c r="R82" i="59"/>
  <c r="M82" i="59"/>
  <c r="L82" i="59"/>
  <c r="K82" i="59"/>
  <c r="J82" i="59"/>
  <c r="I82" i="59"/>
  <c r="H82" i="59"/>
  <c r="S81" i="59"/>
  <c r="R81" i="59"/>
  <c r="M81" i="59"/>
  <c r="L81" i="59"/>
  <c r="K81" i="59"/>
  <c r="J81" i="59"/>
  <c r="I81" i="59"/>
  <c r="H81" i="59"/>
  <c r="S80" i="59"/>
  <c r="R80" i="59"/>
  <c r="M80" i="59"/>
  <c r="L80" i="59"/>
  <c r="K80" i="59"/>
  <c r="J80" i="59"/>
  <c r="I80" i="59"/>
  <c r="H80" i="59"/>
  <c r="S79" i="59"/>
  <c r="R79" i="59"/>
  <c r="M79" i="59"/>
  <c r="L79" i="59"/>
  <c r="K79" i="59"/>
  <c r="J79" i="59"/>
  <c r="I79" i="59"/>
  <c r="H79" i="59"/>
  <c r="S78" i="59"/>
  <c r="R78" i="59"/>
  <c r="M78" i="59"/>
  <c r="L78" i="59"/>
  <c r="K78" i="59"/>
  <c r="J78" i="59"/>
  <c r="I78" i="59"/>
  <c r="H78" i="59"/>
  <c r="S77" i="59"/>
  <c r="R77" i="59"/>
  <c r="M77" i="59"/>
  <c r="L77" i="59"/>
  <c r="K77" i="59"/>
  <c r="J77" i="59"/>
  <c r="I77" i="59"/>
  <c r="H77" i="59"/>
  <c r="S76" i="59"/>
  <c r="R76" i="59"/>
  <c r="M76" i="59"/>
  <c r="L76" i="59"/>
  <c r="K76" i="59"/>
  <c r="J76" i="59"/>
  <c r="I76" i="59"/>
  <c r="H76" i="59"/>
  <c r="S75" i="59"/>
  <c r="R75" i="59"/>
  <c r="M75" i="59"/>
  <c r="L75" i="59"/>
  <c r="K75" i="59"/>
  <c r="J75" i="59"/>
  <c r="I75" i="59"/>
  <c r="H75" i="59"/>
  <c r="S74" i="59"/>
  <c r="R74" i="59"/>
  <c r="M74" i="59"/>
  <c r="L74" i="59"/>
  <c r="K74" i="59"/>
  <c r="J74" i="59"/>
  <c r="I74" i="59"/>
  <c r="H74" i="59"/>
  <c r="S73" i="59"/>
  <c r="R73" i="59"/>
  <c r="M73" i="59"/>
  <c r="L73" i="59"/>
  <c r="K73" i="59"/>
  <c r="J73" i="59"/>
  <c r="I73" i="59"/>
  <c r="H73" i="59"/>
  <c r="S72" i="59"/>
  <c r="R72" i="59"/>
  <c r="M72" i="59"/>
  <c r="L72" i="59"/>
  <c r="K72" i="59"/>
  <c r="J72" i="59"/>
  <c r="I72" i="59"/>
  <c r="H72" i="59"/>
  <c r="S71" i="59"/>
  <c r="R71" i="59"/>
  <c r="M71" i="59"/>
  <c r="L71" i="59"/>
  <c r="K71" i="59"/>
  <c r="J71" i="59"/>
  <c r="I71" i="59"/>
  <c r="H71" i="59"/>
  <c r="S70" i="59"/>
  <c r="R70" i="59"/>
  <c r="M70" i="59"/>
  <c r="L70" i="59"/>
  <c r="K70" i="59"/>
  <c r="J70" i="59"/>
  <c r="I70" i="59"/>
  <c r="H70" i="59"/>
  <c r="S69" i="59"/>
  <c r="R69" i="59"/>
  <c r="M69" i="59"/>
  <c r="L69" i="59"/>
  <c r="K69" i="59"/>
  <c r="J69" i="59"/>
  <c r="I69" i="59"/>
  <c r="H69" i="59"/>
  <c r="S68" i="59"/>
  <c r="R68" i="59"/>
  <c r="M68" i="59"/>
  <c r="L68" i="59"/>
  <c r="K68" i="59"/>
  <c r="J68" i="59"/>
  <c r="I68" i="59"/>
  <c r="H68" i="59"/>
  <c r="S67" i="59"/>
  <c r="R67" i="59"/>
  <c r="M67" i="59"/>
  <c r="L67" i="59"/>
  <c r="K67" i="59"/>
  <c r="J67" i="59"/>
  <c r="I67" i="59"/>
  <c r="H67" i="59"/>
  <c r="S66" i="59"/>
  <c r="R66" i="59"/>
  <c r="M66" i="59"/>
  <c r="L66" i="59"/>
  <c r="K66" i="59"/>
  <c r="J66" i="59"/>
  <c r="I66" i="59"/>
  <c r="H66" i="59"/>
  <c r="S65" i="59"/>
  <c r="R65" i="59"/>
  <c r="M65" i="59"/>
  <c r="L65" i="59"/>
  <c r="K65" i="59"/>
  <c r="J65" i="59"/>
  <c r="I65" i="59"/>
  <c r="H65" i="59"/>
  <c r="S64" i="59"/>
  <c r="R64" i="59"/>
  <c r="M64" i="59"/>
  <c r="L64" i="59"/>
  <c r="K64" i="59"/>
  <c r="J64" i="59"/>
  <c r="I64" i="59"/>
  <c r="H64" i="59"/>
  <c r="S63" i="59"/>
  <c r="R63" i="59"/>
  <c r="M63" i="59"/>
  <c r="L63" i="59"/>
  <c r="K63" i="59"/>
  <c r="J63" i="59"/>
  <c r="I63" i="59"/>
  <c r="H63" i="59"/>
  <c r="S62" i="59"/>
  <c r="R62" i="59"/>
  <c r="M62" i="59"/>
  <c r="L62" i="59"/>
  <c r="K62" i="59"/>
  <c r="J62" i="59"/>
  <c r="I62" i="59"/>
  <c r="H62" i="59"/>
  <c r="S61" i="59"/>
  <c r="R61" i="59"/>
  <c r="M61" i="59"/>
  <c r="L61" i="59"/>
  <c r="K61" i="59"/>
  <c r="J61" i="59"/>
  <c r="I61" i="59"/>
  <c r="H61" i="59"/>
  <c r="S60" i="59"/>
  <c r="R60" i="59"/>
  <c r="M60" i="59"/>
  <c r="L60" i="59"/>
  <c r="K60" i="59"/>
  <c r="J60" i="59"/>
  <c r="I60" i="59"/>
  <c r="H60" i="59"/>
  <c r="S59" i="59"/>
  <c r="R59" i="59"/>
  <c r="M59" i="59"/>
  <c r="L59" i="59"/>
  <c r="K59" i="59"/>
  <c r="J59" i="59"/>
  <c r="I59" i="59"/>
  <c r="H59" i="59"/>
  <c r="S58" i="59"/>
  <c r="R58" i="59"/>
  <c r="M58" i="59"/>
  <c r="L58" i="59"/>
  <c r="K58" i="59"/>
  <c r="J58" i="59"/>
  <c r="I58" i="59"/>
  <c r="H58" i="59"/>
  <c r="S57" i="59"/>
  <c r="R57" i="59"/>
  <c r="M57" i="59"/>
  <c r="L57" i="59"/>
  <c r="K57" i="59"/>
  <c r="J57" i="59"/>
  <c r="I57" i="59"/>
  <c r="H57" i="59"/>
  <c r="S56" i="59"/>
  <c r="R56" i="59"/>
  <c r="M56" i="59"/>
  <c r="L56" i="59"/>
  <c r="K56" i="59"/>
  <c r="J56" i="59"/>
  <c r="I56" i="59"/>
  <c r="H56" i="59"/>
  <c r="S55" i="59"/>
  <c r="R55" i="59"/>
  <c r="M55" i="59"/>
  <c r="L55" i="59"/>
  <c r="K55" i="59"/>
  <c r="J55" i="59"/>
  <c r="I55" i="59"/>
  <c r="H55" i="59"/>
  <c r="S54" i="59"/>
  <c r="R54" i="59"/>
  <c r="M54" i="59"/>
  <c r="L54" i="59"/>
  <c r="K54" i="59"/>
  <c r="J54" i="59"/>
  <c r="I54" i="59"/>
  <c r="H54" i="59"/>
  <c r="S53" i="59"/>
  <c r="R53" i="59"/>
  <c r="M53" i="59"/>
  <c r="L53" i="59"/>
  <c r="K53" i="59"/>
  <c r="J53" i="59"/>
  <c r="I53" i="59"/>
  <c r="H53" i="59"/>
  <c r="S52" i="59"/>
  <c r="R52" i="59"/>
  <c r="M52" i="59"/>
  <c r="L52" i="59"/>
  <c r="K52" i="59"/>
  <c r="J52" i="59"/>
  <c r="I52" i="59"/>
  <c r="H52" i="59"/>
  <c r="S51" i="59"/>
  <c r="R51" i="59"/>
  <c r="M51" i="59"/>
  <c r="L51" i="59"/>
  <c r="K51" i="59"/>
  <c r="J51" i="59"/>
  <c r="I51" i="59"/>
  <c r="H51" i="59"/>
  <c r="S50" i="59"/>
  <c r="R50" i="59"/>
  <c r="M50" i="59"/>
  <c r="L50" i="59"/>
  <c r="K50" i="59"/>
  <c r="J50" i="59"/>
  <c r="I50" i="59"/>
  <c r="H50" i="59"/>
  <c r="S49" i="59"/>
  <c r="R49" i="59"/>
  <c r="M49" i="59"/>
  <c r="L49" i="59"/>
  <c r="K49" i="59"/>
  <c r="J49" i="59"/>
  <c r="I49" i="59"/>
  <c r="H49" i="59"/>
  <c r="S48" i="59"/>
  <c r="R48" i="59"/>
  <c r="M48" i="59"/>
  <c r="L48" i="59"/>
  <c r="K48" i="59"/>
  <c r="J48" i="59"/>
  <c r="I48" i="59"/>
  <c r="H48" i="59"/>
  <c r="S47" i="59"/>
  <c r="R47" i="59"/>
  <c r="M47" i="59"/>
  <c r="L47" i="59"/>
  <c r="K47" i="59"/>
  <c r="J47" i="59"/>
  <c r="I47" i="59"/>
  <c r="H47" i="59"/>
  <c r="S46" i="59"/>
  <c r="R46" i="59"/>
  <c r="M46" i="59"/>
  <c r="L46" i="59"/>
  <c r="K46" i="59"/>
  <c r="J46" i="59"/>
  <c r="I46" i="59"/>
  <c r="H46" i="59"/>
  <c r="S45" i="59"/>
  <c r="R45" i="59"/>
  <c r="M45" i="59"/>
  <c r="L45" i="59"/>
  <c r="K45" i="59"/>
  <c r="J45" i="59"/>
  <c r="I45" i="59"/>
  <c r="H45" i="59"/>
  <c r="S44" i="59"/>
  <c r="R44" i="59"/>
  <c r="M44" i="59"/>
  <c r="L44" i="59"/>
  <c r="K44" i="59"/>
  <c r="J44" i="59"/>
  <c r="I44" i="59"/>
  <c r="H44" i="59"/>
  <c r="S43" i="59"/>
  <c r="R43" i="59"/>
  <c r="M43" i="59"/>
  <c r="L43" i="59"/>
  <c r="K43" i="59"/>
  <c r="J43" i="59"/>
  <c r="I43" i="59"/>
  <c r="H43" i="59"/>
  <c r="S42" i="59"/>
  <c r="R42" i="59"/>
  <c r="M42" i="59"/>
  <c r="L42" i="59"/>
  <c r="K42" i="59"/>
  <c r="J42" i="59"/>
  <c r="I42" i="59"/>
  <c r="H42" i="59"/>
  <c r="S41" i="59"/>
  <c r="R41" i="59"/>
  <c r="M41" i="59"/>
  <c r="L41" i="59"/>
  <c r="K41" i="59"/>
  <c r="J41" i="59"/>
  <c r="I41" i="59"/>
  <c r="H41" i="59"/>
  <c r="S40" i="59"/>
  <c r="R40" i="59"/>
  <c r="M40" i="59"/>
  <c r="L40" i="59"/>
  <c r="K40" i="59"/>
  <c r="J40" i="59"/>
  <c r="I40" i="59"/>
  <c r="H40" i="59"/>
  <c r="S39" i="59"/>
  <c r="R39" i="59"/>
  <c r="M39" i="59"/>
  <c r="L39" i="59"/>
  <c r="K39" i="59"/>
  <c r="J39" i="59"/>
  <c r="I39" i="59"/>
  <c r="H39" i="59"/>
  <c r="S38" i="59"/>
  <c r="R38" i="59"/>
  <c r="M38" i="59"/>
  <c r="L38" i="59"/>
  <c r="K38" i="59"/>
  <c r="J38" i="59"/>
  <c r="I38" i="59"/>
  <c r="H38" i="59"/>
  <c r="S37" i="59"/>
  <c r="R37" i="59"/>
  <c r="M37" i="59"/>
  <c r="L37" i="59"/>
  <c r="K37" i="59"/>
  <c r="J37" i="59"/>
  <c r="I37" i="59"/>
  <c r="H37" i="59"/>
  <c r="S36" i="59"/>
  <c r="R36" i="59"/>
  <c r="M36" i="59"/>
  <c r="L36" i="59"/>
  <c r="K36" i="59"/>
  <c r="J36" i="59"/>
  <c r="I36" i="59"/>
  <c r="H36" i="59"/>
  <c r="S35" i="59"/>
  <c r="R35" i="59"/>
  <c r="M35" i="59"/>
  <c r="L35" i="59"/>
  <c r="K35" i="59"/>
  <c r="J35" i="59"/>
  <c r="I35" i="59"/>
  <c r="H35" i="59"/>
  <c r="S34" i="59"/>
  <c r="R34" i="59"/>
  <c r="M34" i="59"/>
  <c r="L34" i="59"/>
  <c r="K34" i="59"/>
  <c r="J34" i="59"/>
  <c r="I34" i="59"/>
  <c r="H34" i="59"/>
  <c r="S33" i="59"/>
  <c r="R33" i="59"/>
  <c r="M33" i="59"/>
  <c r="L33" i="59"/>
  <c r="K33" i="59"/>
  <c r="J33" i="59"/>
  <c r="I33" i="59"/>
  <c r="H33" i="59"/>
  <c r="S32" i="59"/>
  <c r="R32" i="59"/>
  <c r="M32" i="59"/>
  <c r="L32" i="59"/>
  <c r="K32" i="59"/>
  <c r="J32" i="59"/>
  <c r="I32" i="59"/>
  <c r="H32" i="59"/>
  <c r="S31" i="59"/>
  <c r="R31" i="59"/>
  <c r="M31" i="59"/>
  <c r="L31" i="59"/>
  <c r="K31" i="59"/>
  <c r="J31" i="59"/>
  <c r="I31" i="59"/>
  <c r="H31" i="59"/>
  <c r="S30" i="59"/>
  <c r="R30" i="59"/>
  <c r="M30" i="59"/>
  <c r="L30" i="59"/>
  <c r="K30" i="59"/>
  <c r="J30" i="59"/>
  <c r="I30" i="59"/>
  <c r="H30" i="59"/>
  <c r="S29" i="59"/>
  <c r="R29" i="59"/>
  <c r="M29" i="59"/>
  <c r="L29" i="59"/>
  <c r="K29" i="59"/>
  <c r="J29" i="59"/>
  <c r="I29" i="59"/>
  <c r="H29" i="59"/>
  <c r="S28" i="59"/>
  <c r="R28" i="59"/>
  <c r="M28" i="59"/>
  <c r="L28" i="59"/>
  <c r="K28" i="59"/>
  <c r="J28" i="59"/>
  <c r="I28" i="59"/>
  <c r="H28" i="59"/>
  <c r="S27" i="59"/>
  <c r="R27" i="59"/>
  <c r="M27" i="59"/>
  <c r="L27" i="59"/>
  <c r="K27" i="59"/>
  <c r="J27" i="59"/>
  <c r="I27" i="59"/>
  <c r="H27" i="59"/>
  <c r="S26" i="59"/>
  <c r="R26" i="59"/>
  <c r="M26" i="59"/>
  <c r="L26" i="59"/>
  <c r="K26" i="59"/>
  <c r="J26" i="59"/>
  <c r="I26" i="59"/>
  <c r="H26" i="59"/>
  <c r="S25" i="59"/>
  <c r="R25" i="59"/>
  <c r="M25" i="59"/>
  <c r="L25" i="59"/>
  <c r="K25" i="59"/>
  <c r="J25" i="59"/>
  <c r="I25" i="59"/>
  <c r="H25" i="59"/>
  <c r="S24" i="59"/>
  <c r="R24" i="59"/>
  <c r="M24" i="59"/>
  <c r="L24" i="59"/>
  <c r="K24" i="59"/>
  <c r="J24" i="59"/>
  <c r="I24" i="59"/>
  <c r="H24" i="59"/>
  <c r="S23" i="59"/>
  <c r="R23" i="59"/>
  <c r="M23" i="59"/>
  <c r="L23" i="59"/>
  <c r="K23" i="59"/>
  <c r="J23" i="59"/>
  <c r="I23" i="59"/>
  <c r="H23" i="59"/>
  <c r="S22" i="59"/>
  <c r="R22" i="59"/>
  <c r="M22" i="59"/>
  <c r="L22" i="59"/>
  <c r="K22" i="59"/>
  <c r="J22" i="59"/>
  <c r="I22" i="59"/>
  <c r="H22" i="59"/>
  <c r="S21" i="59"/>
  <c r="R21" i="59"/>
  <c r="M21" i="59"/>
  <c r="L21" i="59"/>
  <c r="K21" i="59"/>
  <c r="J21" i="59"/>
  <c r="I21" i="59"/>
  <c r="H21" i="59"/>
  <c r="S20" i="59"/>
  <c r="R20" i="59"/>
  <c r="M20" i="59"/>
  <c r="L20" i="59"/>
  <c r="K20" i="59"/>
  <c r="J20" i="59"/>
  <c r="I20" i="59"/>
  <c r="H20" i="59"/>
  <c r="I19" i="59"/>
  <c r="J19" i="59" s="1"/>
  <c r="R19" i="59" s="1"/>
  <c r="H19" i="59"/>
  <c r="I18" i="59"/>
  <c r="J18" i="59" s="1"/>
  <c r="R18" i="59" s="1"/>
  <c r="H18" i="59"/>
  <c r="I17" i="59"/>
  <c r="J17" i="59" s="1"/>
  <c r="R17" i="59" s="1"/>
  <c r="H17" i="59"/>
  <c r="I16" i="59"/>
  <c r="J16" i="59" s="1"/>
  <c r="R16" i="59" s="1"/>
  <c r="H16" i="59"/>
  <c r="H15" i="59"/>
  <c r="I15" i="59"/>
  <c r="J15" i="59" s="1"/>
  <c r="R15" i="59" s="1"/>
  <c r="I14" i="59"/>
  <c r="J14" i="59" s="1"/>
  <c r="R14" i="59" s="1"/>
  <c r="H14" i="59"/>
  <c r="I13" i="59"/>
  <c r="J13" i="59" s="1"/>
  <c r="R13" i="59" s="1"/>
  <c r="H13" i="59"/>
  <c r="I12" i="59"/>
  <c r="J12" i="59" s="1"/>
  <c r="R12" i="59" s="1"/>
  <c r="H12" i="59"/>
  <c r="R11" i="59"/>
  <c r="I11" i="59"/>
  <c r="J11" i="59" s="1"/>
  <c r="H11" i="59"/>
  <c r="R10" i="59"/>
  <c r="J10" i="59"/>
  <c r="I10" i="59"/>
  <c r="H10" i="59"/>
  <c r="I9" i="59"/>
  <c r="J9" i="59" s="1"/>
  <c r="R9" i="59" s="1"/>
  <c r="H9" i="59"/>
  <c r="R8" i="59"/>
  <c r="I8" i="59"/>
  <c r="J8" i="59" s="1"/>
  <c r="H8" i="59"/>
  <c r="I7" i="59"/>
  <c r="L7" i="59" s="1"/>
  <c r="H7" i="59"/>
  <c r="K7" i="59" s="1"/>
  <c r="K8" i="59" s="1"/>
  <c r="K9" i="59" s="1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G20" i="58"/>
  <c r="G16" i="58"/>
  <c r="G15" i="58"/>
  <c r="G12" i="58"/>
  <c r="S112" i="58"/>
  <c r="R112" i="58"/>
  <c r="M112" i="58"/>
  <c r="L112" i="58"/>
  <c r="K112" i="58"/>
  <c r="J112" i="58"/>
  <c r="I112" i="58"/>
  <c r="H112" i="58"/>
  <c r="S111" i="58"/>
  <c r="R111" i="58"/>
  <c r="M111" i="58"/>
  <c r="L111" i="58"/>
  <c r="K111" i="58"/>
  <c r="J111" i="58"/>
  <c r="I111" i="58"/>
  <c r="H111" i="58"/>
  <c r="S110" i="58"/>
  <c r="R110" i="58"/>
  <c r="M110" i="58"/>
  <c r="L110" i="58"/>
  <c r="K110" i="58"/>
  <c r="J110" i="58"/>
  <c r="I110" i="58"/>
  <c r="H110" i="58"/>
  <c r="S109" i="58"/>
  <c r="R109" i="58"/>
  <c r="M109" i="58"/>
  <c r="L109" i="58"/>
  <c r="K109" i="58"/>
  <c r="J109" i="58"/>
  <c r="I109" i="58"/>
  <c r="H109" i="58"/>
  <c r="S108" i="58"/>
  <c r="R108" i="58"/>
  <c r="M108" i="58"/>
  <c r="L108" i="58"/>
  <c r="K108" i="58"/>
  <c r="J108" i="58"/>
  <c r="I108" i="58"/>
  <c r="H108" i="58"/>
  <c r="S107" i="58"/>
  <c r="R107" i="58"/>
  <c r="M107" i="58"/>
  <c r="L107" i="58"/>
  <c r="K107" i="58"/>
  <c r="J107" i="58"/>
  <c r="I107" i="58"/>
  <c r="H107" i="58"/>
  <c r="S106" i="58"/>
  <c r="R106" i="58"/>
  <c r="M106" i="58"/>
  <c r="L106" i="58"/>
  <c r="K106" i="58"/>
  <c r="J106" i="58"/>
  <c r="I106" i="58"/>
  <c r="H106" i="58"/>
  <c r="S105" i="58"/>
  <c r="R105" i="58"/>
  <c r="M105" i="58"/>
  <c r="L105" i="58"/>
  <c r="K105" i="58"/>
  <c r="J105" i="58"/>
  <c r="I105" i="58"/>
  <c r="H105" i="58"/>
  <c r="S104" i="58"/>
  <c r="R104" i="58"/>
  <c r="M104" i="58"/>
  <c r="L104" i="58"/>
  <c r="K104" i="58"/>
  <c r="J104" i="58"/>
  <c r="I104" i="58"/>
  <c r="H104" i="58"/>
  <c r="S103" i="58"/>
  <c r="R103" i="58"/>
  <c r="M103" i="58"/>
  <c r="L103" i="58"/>
  <c r="K103" i="58"/>
  <c r="J103" i="58"/>
  <c r="I103" i="58"/>
  <c r="H103" i="58"/>
  <c r="S102" i="58"/>
  <c r="R102" i="58"/>
  <c r="M102" i="58"/>
  <c r="L102" i="58"/>
  <c r="K102" i="58"/>
  <c r="J102" i="58"/>
  <c r="I102" i="58"/>
  <c r="H102" i="58"/>
  <c r="S101" i="58"/>
  <c r="R101" i="58"/>
  <c r="M101" i="58"/>
  <c r="L101" i="58"/>
  <c r="K101" i="58"/>
  <c r="J101" i="58"/>
  <c r="I101" i="58"/>
  <c r="H101" i="58"/>
  <c r="S100" i="58"/>
  <c r="R100" i="58"/>
  <c r="M100" i="58"/>
  <c r="L100" i="58"/>
  <c r="K100" i="58"/>
  <c r="J100" i="58"/>
  <c r="I100" i="58"/>
  <c r="H100" i="58"/>
  <c r="S99" i="58"/>
  <c r="R99" i="58"/>
  <c r="M99" i="58"/>
  <c r="L99" i="58"/>
  <c r="K99" i="58"/>
  <c r="J99" i="58"/>
  <c r="I99" i="58"/>
  <c r="H99" i="58"/>
  <c r="S98" i="58"/>
  <c r="R98" i="58"/>
  <c r="M98" i="58"/>
  <c r="L98" i="58"/>
  <c r="K98" i="58"/>
  <c r="J98" i="58"/>
  <c r="I98" i="58"/>
  <c r="H98" i="58"/>
  <c r="S97" i="58"/>
  <c r="R97" i="58"/>
  <c r="M97" i="58"/>
  <c r="L97" i="58"/>
  <c r="K97" i="58"/>
  <c r="J97" i="58"/>
  <c r="I97" i="58"/>
  <c r="H97" i="58"/>
  <c r="S96" i="58"/>
  <c r="R96" i="58"/>
  <c r="M96" i="58"/>
  <c r="L96" i="58"/>
  <c r="K96" i="58"/>
  <c r="J96" i="58"/>
  <c r="I96" i="58"/>
  <c r="H96" i="58"/>
  <c r="S95" i="58"/>
  <c r="R95" i="58"/>
  <c r="M95" i="58"/>
  <c r="L95" i="58"/>
  <c r="K95" i="58"/>
  <c r="J95" i="58"/>
  <c r="I95" i="58"/>
  <c r="H95" i="58"/>
  <c r="S94" i="58"/>
  <c r="R94" i="58"/>
  <c r="M94" i="58"/>
  <c r="L94" i="58"/>
  <c r="K94" i="58"/>
  <c r="J94" i="58"/>
  <c r="I94" i="58"/>
  <c r="H94" i="58"/>
  <c r="S93" i="58"/>
  <c r="R93" i="58"/>
  <c r="M93" i="58"/>
  <c r="L93" i="58"/>
  <c r="K93" i="58"/>
  <c r="J93" i="58"/>
  <c r="I93" i="58"/>
  <c r="H93" i="58"/>
  <c r="S92" i="58"/>
  <c r="R92" i="58"/>
  <c r="M92" i="58"/>
  <c r="L92" i="58"/>
  <c r="K92" i="58"/>
  <c r="J92" i="58"/>
  <c r="I92" i="58"/>
  <c r="H92" i="58"/>
  <c r="S91" i="58"/>
  <c r="R91" i="58"/>
  <c r="M91" i="58"/>
  <c r="L91" i="58"/>
  <c r="K91" i="58"/>
  <c r="J91" i="58"/>
  <c r="I91" i="58"/>
  <c r="H91" i="58"/>
  <c r="S90" i="58"/>
  <c r="R90" i="58"/>
  <c r="M90" i="58"/>
  <c r="L90" i="58"/>
  <c r="K90" i="58"/>
  <c r="J90" i="58"/>
  <c r="I90" i="58"/>
  <c r="H90" i="58"/>
  <c r="S89" i="58"/>
  <c r="R89" i="58"/>
  <c r="M89" i="58"/>
  <c r="L89" i="58"/>
  <c r="K89" i="58"/>
  <c r="J89" i="58"/>
  <c r="I89" i="58"/>
  <c r="H89" i="58"/>
  <c r="S88" i="58"/>
  <c r="R88" i="58"/>
  <c r="M88" i="58"/>
  <c r="L88" i="58"/>
  <c r="K88" i="58"/>
  <c r="J88" i="58"/>
  <c r="I88" i="58"/>
  <c r="H88" i="58"/>
  <c r="S87" i="58"/>
  <c r="R87" i="58"/>
  <c r="M87" i="58"/>
  <c r="L87" i="58"/>
  <c r="K87" i="58"/>
  <c r="J87" i="58"/>
  <c r="I87" i="58"/>
  <c r="H87" i="58"/>
  <c r="S86" i="58"/>
  <c r="R86" i="58"/>
  <c r="M86" i="58"/>
  <c r="L86" i="58"/>
  <c r="K86" i="58"/>
  <c r="J86" i="58"/>
  <c r="I86" i="58"/>
  <c r="H86" i="58"/>
  <c r="S85" i="58"/>
  <c r="R85" i="58"/>
  <c r="M85" i="58"/>
  <c r="L85" i="58"/>
  <c r="K85" i="58"/>
  <c r="J85" i="58"/>
  <c r="I85" i="58"/>
  <c r="H85" i="58"/>
  <c r="S84" i="58"/>
  <c r="R84" i="58"/>
  <c r="M84" i="58"/>
  <c r="L84" i="58"/>
  <c r="K84" i="58"/>
  <c r="J84" i="58"/>
  <c r="I84" i="58"/>
  <c r="H84" i="58"/>
  <c r="S83" i="58"/>
  <c r="R83" i="58"/>
  <c r="M83" i="58"/>
  <c r="L83" i="58"/>
  <c r="K83" i="58"/>
  <c r="J83" i="58"/>
  <c r="I83" i="58"/>
  <c r="H83" i="58"/>
  <c r="S82" i="58"/>
  <c r="R82" i="58"/>
  <c r="M82" i="58"/>
  <c r="L82" i="58"/>
  <c r="K82" i="58"/>
  <c r="J82" i="58"/>
  <c r="I82" i="58"/>
  <c r="H82" i="58"/>
  <c r="S81" i="58"/>
  <c r="R81" i="58"/>
  <c r="M81" i="58"/>
  <c r="L81" i="58"/>
  <c r="K81" i="58"/>
  <c r="J81" i="58"/>
  <c r="I81" i="58"/>
  <c r="H81" i="58"/>
  <c r="S80" i="58"/>
  <c r="R80" i="58"/>
  <c r="M80" i="58"/>
  <c r="L80" i="58"/>
  <c r="K80" i="58"/>
  <c r="J80" i="58"/>
  <c r="I80" i="58"/>
  <c r="H80" i="58"/>
  <c r="S79" i="58"/>
  <c r="R79" i="58"/>
  <c r="M79" i="58"/>
  <c r="L79" i="58"/>
  <c r="K79" i="58"/>
  <c r="J79" i="58"/>
  <c r="I79" i="58"/>
  <c r="H79" i="58"/>
  <c r="S78" i="58"/>
  <c r="R78" i="58"/>
  <c r="M78" i="58"/>
  <c r="L78" i="58"/>
  <c r="K78" i="58"/>
  <c r="J78" i="58"/>
  <c r="I78" i="58"/>
  <c r="H78" i="58"/>
  <c r="S77" i="58"/>
  <c r="R77" i="58"/>
  <c r="M77" i="58"/>
  <c r="L77" i="58"/>
  <c r="K77" i="58"/>
  <c r="J77" i="58"/>
  <c r="I77" i="58"/>
  <c r="H77" i="58"/>
  <c r="S76" i="58"/>
  <c r="R76" i="58"/>
  <c r="M76" i="58"/>
  <c r="L76" i="58"/>
  <c r="K76" i="58"/>
  <c r="J76" i="58"/>
  <c r="I76" i="58"/>
  <c r="H76" i="58"/>
  <c r="S75" i="58"/>
  <c r="R75" i="58"/>
  <c r="M75" i="58"/>
  <c r="L75" i="58"/>
  <c r="K75" i="58"/>
  <c r="J75" i="58"/>
  <c r="I75" i="58"/>
  <c r="H75" i="58"/>
  <c r="S74" i="58"/>
  <c r="R74" i="58"/>
  <c r="M74" i="58"/>
  <c r="L74" i="58"/>
  <c r="K74" i="58"/>
  <c r="J74" i="58"/>
  <c r="I74" i="58"/>
  <c r="H74" i="58"/>
  <c r="S73" i="58"/>
  <c r="R73" i="58"/>
  <c r="M73" i="58"/>
  <c r="L73" i="58"/>
  <c r="K73" i="58"/>
  <c r="J73" i="58"/>
  <c r="I73" i="58"/>
  <c r="H73" i="58"/>
  <c r="S72" i="58"/>
  <c r="R72" i="58"/>
  <c r="M72" i="58"/>
  <c r="L72" i="58"/>
  <c r="K72" i="58"/>
  <c r="J72" i="58"/>
  <c r="I72" i="58"/>
  <c r="H72" i="58"/>
  <c r="S71" i="58"/>
  <c r="R71" i="58"/>
  <c r="M71" i="58"/>
  <c r="L71" i="58"/>
  <c r="K71" i="58"/>
  <c r="J71" i="58"/>
  <c r="I71" i="58"/>
  <c r="H71" i="58"/>
  <c r="S70" i="58"/>
  <c r="R70" i="58"/>
  <c r="M70" i="58"/>
  <c r="L70" i="58"/>
  <c r="K70" i="58"/>
  <c r="J70" i="58"/>
  <c r="I70" i="58"/>
  <c r="H70" i="58"/>
  <c r="S69" i="58"/>
  <c r="R69" i="58"/>
  <c r="M69" i="58"/>
  <c r="L69" i="58"/>
  <c r="K69" i="58"/>
  <c r="J69" i="58"/>
  <c r="I69" i="58"/>
  <c r="H69" i="58"/>
  <c r="S68" i="58"/>
  <c r="R68" i="58"/>
  <c r="M68" i="58"/>
  <c r="L68" i="58"/>
  <c r="K68" i="58"/>
  <c r="J68" i="58"/>
  <c r="I68" i="58"/>
  <c r="H68" i="58"/>
  <c r="S67" i="58"/>
  <c r="R67" i="58"/>
  <c r="M67" i="58"/>
  <c r="L67" i="58"/>
  <c r="K67" i="58"/>
  <c r="J67" i="58"/>
  <c r="I67" i="58"/>
  <c r="H67" i="58"/>
  <c r="S66" i="58"/>
  <c r="R66" i="58"/>
  <c r="M66" i="58"/>
  <c r="L66" i="58"/>
  <c r="K66" i="58"/>
  <c r="J66" i="58"/>
  <c r="I66" i="58"/>
  <c r="H66" i="58"/>
  <c r="S65" i="58"/>
  <c r="R65" i="58"/>
  <c r="M65" i="58"/>
  <c r="L65" i="58"/>
  <c r="K65" i="58"/>
  <c r="J65" i="58"/>
  <c r="I65" i="58"/>
  <c r="H65" i="58"/>
  <c r="S64" i="58"/>
  <c r="R64" i="58"/>
  <c r="M64" i="58"/>
  <c r="L64" i="58"/>
  <c r="K64" i="58"/>
  <c r="J64" i="58"/>
  <c r="I64" i="58"/>
  <c r="H64" i="58"/>
  <c r="S63" i="58"/>
  <c r="R63" i="58"/>
  <c r="M63" i="58"/>
  <c r="L63" i="58"/>
  <c r="K63" i="58"/>
  <c r="J63" i="58"/>
  <c r="I63" i="58"/>
  <c r="H63" i="58"/>
  <c r="S62" i="58"/>
  <c r="R62" i="58"/>
  <c r="M62" i="58"/>
  <c r="L62" i="58"/>
  <c r="K62" i="58"/>
  <c r="J62" i="58"/>
  <c r="I62" i="58"/>
  <c r="H62" i="58"/>
  <c r="S61" i="58"/>
  <c r="R61" i="58"/>
  <c r="M61" i="58"/>
  <c r="L61" i="58"/>
  <c r="K61" i="58"/>
  <c r="J61" i="58"/>
  <c r="I61" i="58"/>
  <c r="H61" i="58"/>
  <c r="S60" i="58"/>
  <c r="R60" i="58"/>
  <c r="M60" i="58"/>
  <c r="L60" i="58"/>
  <c r="K60" i="58"/>
  <c r="J60" i="58"/>
  <c r="I60" i="58"/>
  <c r="H60" i="58"/>
  <c r="S59" i="58"/>
  <c r="R59" i="58"/>
  <c r="M59" i="58"/>
  <c r="L59" i="58"/>
  <c r="K59" i="58"/>
  <c r="J59" i="58"/>
  <c r="I59" i="58"/>
  <c r="H59" i="58"/>
  <c r="S58" i="58"/>
  <c r="R58" i="58"/>
  <c r="M58" i="58"/>
  <c r="L58" i="58"/>
  <c r="K58" i="58"/>
  <c r="J58" i="58"/>
  <c r="I58" i="58"/>
  <c r="H58" i="58"/>
  <c r="S57" i="58"/>
  <c r="R57" i="58"/>
  <c r="M57" i="58"/>
  <c r="L57" i="58"/>
  <c r="K57" i="58"/>
  <c r="J57" i="58"/>
  <c r="I57" i="58"/>
  <c r="H57" i="58"/>
  <c r="S56" i="58"/>
  <c r="R56" i="58"/>
  <c r="M56" i="58"/>
  <c r="L56" i="58"/>
  <c r="K56" i="58"/>
  <c r="J56" i="58"/>
  <c r="I56" i="58"/>
  <c r="H56" i="58"/>
  <c r="S55" i="58"/>
  <c r="R55" i="58"/>
  <c r="M55" i="58"/>
  <c r="L55" i="58"/>
  <c r="K55" i="58"/>
  <c r="J55" i="58"/>
  <c r="I55" i="58"/>
  <c r="H55" i="58"/>
  <c r="S54" i="58"/>
  <c r="R54" i="58"/>
  <c r="M54" i="58"/>
  <c r="L54" i="58"/>
  <c r="K54" i="58"/>
  <c r="J54" i="58"/>
  <c r="I54" i="58"/>
  <c r="H54" i="58"/>
  <c r="S53" i="58"/>
  <c r="R53" i="58"/>
  <c r="M53" i="58"/>
  <c r="L53" i="58"/>
  <c r="K53" i="58"/>
  <c r="J53" i="58"/>
  <c r="I53" i="58"/>
  <c r="H53" i="58"/>
  <c r="S52" i="58"/>
  <c r="R52" i="58"/>
  <c r="M52" i="58"/>
  <c r="L52" i="58"/>
  <c r="K52" i="58"/>
  <c r="J52" i="58"/>
  <c r="I52" i="58"/>
  <c r="H52" i="58"/>
  <c r="S51" i="58"/>
  <c r="R51" i="58"/>
  <c r="M51" i="58"/>
  <c r="L51" i="58"/>
  <c r="K51" i="58"/>
  <c r="J51" i="58"/>
  <c r="I51" i="58"/>
  <c r="H51" i="58"/>
  <c r="S50" i="58"/>
  <c r="R50" i="58"/>
  <c r="M50" i="58"/>
  <c r="L50" i="58"/>
  <c r="K50" i="58"/>
  <c r="J50" i="58"/>
  <c r="I50" i="58"/>
  <c r="H50" i="58"/>
  <c r="S49" i="58"/>
  <c r="R49" i="58"/>
  <c r="M49" i="58"/>
  <c r="L49" i="58"/>
  <c r="K49" i="58"/>
  <c r="J49" i="58"/>
  <c r="I49" i="58"/>
  <c r="H49" i="58"/>
  <c r="S48" i="58"/>
  <c r="R48" i="58"/>
  <c r="M48" i="58"/>
  <c r="L48" i="58"/>
  <c r="K48" i="58"/>
  <c r="J48" i="58"/>
  <c r="I48" i="58"/>
  <c r="H48" i="58"/>
  <c r="S47" i="58"/>
  <c r="R47" i="58"/>
  <c r="M47" i="58"/>
  <c r="L47" i="58"/>
  <c r="K47" i="58"/>
  <c r="J47" i="58"/>
  <c r="I47" i="58"/>
  <c r="H47" i="58"/>
  <c r="S46" i="58"/>
  <c r="R46" i="58"/>
  <c r="M46" i="58"/>
  <c r="L46" i="58"/>
  <c r="K46" i="58"/>
  <c r="J46" i="58"/>
  <c r="I46" i="58"/>
  <c r="H46" i="58"/>
  <c r="S45" i="58"/>
  <c r="R45" i="58"/>
  <c r="M45" i="58"/>
  <c r="L45" i="58"/>
  <c r="K45" i="58"/>
  <c r="J45" i="58"/>
  <c r="I45" i="58"/>
  <c r="H45" i="58"/>
  <c r="S44" i="58"/>
  <c r="R44" i="58"/>
  <c r="M44" i="58"/>
  <c r="L44" i="58"/>
  <c r="K44" i="58"/>
  <c r="J44" i="58"/>
  <c r="I44" i="58"/>
  <c r="H44" i="58"/>
  <c r="S43" i="58"/>
  <c r="R43" i="58"/>
  <c r="M43" i="58"/>
  <c r="L43" i="58"/>
  <c r="K43" i="58"/>
  <c r="J43" i="58"/>
  <c r="I43" i="58"/>
  <c r="H43" i="58"/>
  <c r="S42" i="58"/>
  <c r="R42" i="58"/>
  <c r="M42" i="58"/>
  <c r="L42" i="58"/>
  <c r="K42" i="58"/>
  <c r="J42" i="58"/>
  <c r="I42" i="58"/>
  <c r="H42" i="58"/>
  <c r="S41" i="58"/>
  <c r="R41" i="58"/>
  <c r="M41" i="58"/>
  <c r="L41" i="58"/>
  <c r="K41" i="58"/>
  <c r="J41" i="58"/>
  <c r="I41" i="58"/>
  <c r="H41" i="58"/>
  <c r="S40" i="58"/>
  <c r="R40" i="58"/>
  <c r="M40" i="58"/>
  <c r="L40" i="58"/>
  <c r="K40" i="58"/>
  <c r="J40" i="58"/>
  <c r="I40" i="58"/>
  <c r="H40" i="58"/>
  <c r="S39" i="58"/>
  <c r="R39" i="58"/>
  <c r="M39" i="58"/>
  <c r="L39" i="58"/>
  <c r="K39" i="58"/>
  <c r="J39" i="58"/>
  <c r="I39" i="58"/>
  <c r="H39" i="58"/>
  <c r="S38" i="58"/>
  <c r="R38" i="58"/>
  <c r="M38" i="58"/>
  <c r="L38" i="58"/>
  <c r="K38" i="58"/>
  <c r="J38" i="58"/>
  <c r="I38" i="58"/>
  <c r="H38" i="58"/>
  <c r="S37" i="58"/>
  <c r="R37" i="58"/>
  <c r="M37" i="58"/>
  <c r="L37" i="58"/>
  <c r="K37" i="58"/>
  <c r="J37" i="58"/>
  <c r="I37" i="58"/>
  <c r="H37" i="58"/>
  <c r="S36" i="58"/>
  <c r="R36" i="58"/>
  <c r="M36" i="58"/>
  <c r="L36" i="58"/>
  <c r="K36" i="58"/>
  <c r="J36" i="58"/>
  <c r="I36" i="58"/>
  <c r="H36" i="58"/>
  <c r="S35" i="58"/>
  <c r="R35" i="58"/>
  <c r="M35" i="58"/>
  <c r="L35" i="58"/>
  <c r="K35" i="58"/>
  <c r="J35" i="58"/>
  <c r="I35" i="58"/>
  <c r="H35" i="58"/>
  <c r="S34" i="58"/>
  <c r="R34" i="58"/>
  <c r="M34" i="58"/>
  <c r="L34" i="58"/>
  <c r="K34" i="58"/>
  <c r="J34" i="58"/>
  <c r="I34" i="58"/>
  <c r="H34" i="58"/>
  <c r="S33" i="58"/>
  <c r="R33" i="58"/>
  <c r="M33" i="58"/>
  <c r="L33" i="58"/>
  <c r="K33" i="58"/>
  <c r="J33" i="58"/>
  <c r="I33" i="58"/>
  <c r="H33" i="58"/>
  <c r="S32" i="58"/>
  <c r="R32" i="58"/>
  <c r="M32" i="58"/>
  <c r="L32" i="58"/>
  <c r="K32" i="58"/>
  <c r="J32" i="58"/>
  <c r="I32" i="58"/>
  <c r="H32" i="58"/>
  <c r="S31" i="58"/>
  <c r="R31" i="58"/>
  <c r="M31" i="58"/>
  <c r="L31" i="58"/>
  <c r="K31" i="58"/>
  <c r="J31" i="58"/>
  <c r="I31" i="58"/>
  <c r="H31" i="58"/>
  <c r="S30" i="58"/>
  <c r="R30" i="58"/>
  <c r="M30" i="58"/>
  <c r="L30" i="58"/>
  <c r="K30" i="58"/>
  <c r="J30" i="58"/>
  <c r="I30" i="58"/>
  <c r="H30" i="58"/>
  <c r="S29" i="58"/>
  <c r="R29" i="58"/>
  <c r="M29" i="58"/>
  <c r="L29" i="58"/>
  <c r="K29" i="58"/>
  <c r="J29" i="58"/>
  <c r="I29" i="58"/>
  <c r="H29" i="58"/>
  <c r="S28" i="58"/>
  <c r="R28" i="58"/>
  <c r="M28" i="58"/>
  <c r="L28" i="58"/>
  <c r="K28" i="58"/>
  <c r="J28" i="58"/>
  <c r="I28" i="58"/>
  <c r="H28" i="58"/>
  <c r="S27" i="58"/>
  <c r="R27" i="58"/>
  <c r="M27" i="58"/>
  <c r="L27" i="58"/>
  <c r="K27" i="58"/>
  <c r="J27" i="58"/>
  <c r="I27" i="58"/>
  <c r="H27" i="58"/>
  <c r="S26" i="58"/>
  <c r="R26" i="58"/>
  <c r="M26" i="58"/>
  <c r="L26" i="58"/>
  <c r="K26" i="58"/>
  <c r="J26" i="58"/>
  <c r="I26" i="58"/>
  <c r="H26" i="58"/>
  <c r="S25" i="58"/>
  <c r="R25" i="58"/>
  <c r="M25" i="58"/>
  <c r="L25" i="58"/>
  <c r="K25" i="58"/>
  <c r="J25" i="58"/>
  <c r="I25" i="58"/>
  <c r="H25" i="58"/>
  <c r="S24" i="58"/>
  <c r="R24" i="58"/>
  <c r="M24" i="58"/>
  <c r="L24" i="58"/>
  <c r="K24" i="58"/>
  <c r="J24" i="58"/>
  <c r="I24" i="58"/>
  <c r="H24" i="58"/>
  <c r="S23" i="58"/>
  <c r="R23" i="58"/>
  <c r="M23" i="58"/>
  <c r="L23" i="58"/>
  <c r="K23" i="58"/>
  <c r="J23" i="58"/>
  <c r="I23" i="58"/>
  <c r="H23" i="58"/>
  <c r="S22" i="58"/>
  <c r="R22" i="58"/>
  <c r="M22" i="58"/>
  <c r="L22" i="58"/>
  <c r="K22" i="58"/>
  <c r="J22" i="58"/>
  <c r="I22" i="58"/>
  <c r="H22" i="58"/>
  <c r="S21" i="58"/>
  <c r="R21" i="58"/>
  <c r="M21" i="58"/>
  <c r="L21" i="58"/>
  <c r="K21" i="58"/>
  <c r="J21" i="58"/>
  <c r="I21" i="58"/>
  <c r="H21" i="58"/>
  <c r="S20" i="58"/>
  <c r="R20" i="58"/>
  <c r="M20" i="58"/>
  <c r="L20" i="58"/>
  <c r="K20" i="58"/>
  <c r="J20" i="58"/>
  <c r="I20" i="58"/>
  <c r="H20" i="58"/>
  <c r="I19" i="58"/>
  <c r="H19" i="58"/>
  <c r="I18" i="58"/>
  <c r="J18" i="58" s="1"/>
  <c r="R18" i="58" s="1"/>
  <c r="H18" i="58"/>
  <c r="I17" i="58"/>
  <c r="J17" i="58" s="1"/>
  <c r="R17" i="58" s="1"/>
  <c r="H17" i="58"/>
  <c r="I16" i="58"/>
  <c r="J16" i="58" s="1"/>
  <c r="R16" i="58" s="1"/>
  <c r="H16" i="58"/>
  <c r="I15" i="58"/>
  <c r="H15" i="58"/>
  <c r="R14" i="58"/>
  <c r="I14" i="58"/>
  <c r="J14" i="58" s="1"/>
  <c r="H14" i="58"/>
  <c r="I13" i="58"/>
  <c r="H13" i="58"/>
  <c r="I12" i="58"/>
  <c r="H12" i="58"/>
  <c r="I11" i="58"/>
  <c r="J11" i="58" s="1"/>
  <c r="R11" i="58" s="1"/>
  <c r="H11" i="58"/>
  <c r="I10" i="58"/>
  <c r="J10" i="58" s="1"/>
  <c r="R10" i="58" s="1"/>
  <c r="H10" i="58"/>
  <c r="I9" i="58"/>
  <c r="H9" i="58"/>
  <c r="I8" i="58"/>
  <c r="J8" i="58" s="1"/>
  <c r="R8" i="58" s="1"/>
  <c r="H8" i="58"/>
  <c r="I7" i="58"/>
  <c r="L7" i="58" s="1"/>
  <c r="H7" i="58"/>
  <c r="K7" i="58" s="1"/>
  <c r="K8" i="58" s="1"/>
  <c r="K9" i="58" s="1"/>
  <c r="K10" i="58" s="1"/>
  <c r="K11" i="58" s="1"/>
  <c r="M7" i="59" l="1"/>
  <c r="S7" i="59" s="1"/>
  <c r="J9" i="58"/>
  <c r="R9" i="58" s="1"/>
  <c r="J13" i="58"/>
  <c r="R13" i="58" s="1"/>
  <c r="J19" i="58"/>
  <c r="R19" i="58" s="1"/>
  <c r="L8" i="59"/>
  <c r="J15" i="58"/>
  <c r="R15" i="58" s="1"/>
  <c r="M9" i="60"/>
  <c r="S9" i="60" s="1"/>
  <c r="L10" i="60"/>
  <c r="M34" i="64"/>
  <c r="S34" i="64" s="1"/>
  <c r="L35" i="64"/>
  <c r="M35" i="64" s="1"/>
  <c r="S35" i="64" s="1"/>
  <c r="J7" i="59"/>
  <c r="R7" i="59" s="1"/>
  <c r="M8" i="59"/>
  <c r="S8" i="59" s="1"/>
  <c r="L9" i="59"/>
  <c r="J12" i="58"/>
  <c r="R12" i="58" s="1"/>
  <c r="K12" i="58"/>
  <c r="K13" i="58" s="1"/>
  <c r="K14" i="58" s="1"/>
  <c r="K15" i="58" s="1"/>
  <c r="K16" i="58" s="1"/>
  <c r="K17" i="58" s="1"/>
  <c r="K18" i="58" s="1"/>
  <c r="K19" i="58" s="1"/>
  <c r="L8" i="58"/>
  <c r="M7" i="58"/>
  <c r="S7" i="58" s="1"/>
  <c r="J7" i="58"/>
  <c r="R7" i="58" s="1"/>
  <c r="L9" i="58"/>
  <c r="M8" i="58"/>
  <c r="S8" i="58" s="1"/>
  <c r="S112" i="57"/>
  <c r="R112" i="57"/>
  <c r="M112" i="57"/>
  <c r="L112" i="57"/>
  <c r="K112" i="57"/>
  <c r="J112" i="57"/>
  <c r="I112" i="57"/>
  <c r="H112" i="57"/>
  <c r="S111" i="57"/>
  <c r="R111" i="57"/>
  <c r="M111" i="57"/>
  <c r="L111" i="57"/>
  <c r="K111" i="57"/>
  <c r="J111" i="57"/>
  <c r="I111" i="57"/>
  <c r="H111" i="57"/>
  <c r="S110" i="57"/>
  <c r="R110" i="57"/>
  <c r="M110" i="57"/>
  <c r="L110" i="57"/>
  <c r="K110" i="57"/>
  <c r="J110" i="57"/>
  <c r="I110" i="57"/>
  <c r="H110" i="57"/>
  <c r="S109" i="57"/>
  <c r="R109" i="57"/>
  <c r="M109" i="57"/>
  <c r="L109" i="57"/>
  <c r="K109" i="57"/>
  <c r="J109" i="57"/>
  <c r="I109" i="57"/>
  <c r="H109" i="57"/>
  <c r="S108" i="57"/>
  <c r="R108" i="57"/>
  <c r="M108" i="57"/>
  <c r="L108" i="57"/>
  <c r="K108" i="57"/>
  <c r="J108" i="57"/>
  <c r="I108" i="57"/>
  <c r="H108" i="57"/>
  <c r="S107" i="57"/>
  <c r="R107" i="57"/>
  <c r="M107" i="57"/>
  <c r="L107" i="57"/>
  <c r="K107" i="57"/>
  <c r="J107" i="57"/>
  <c r="I107" i="57"/>
  <c r="H107" i="57"/>
  <c r="S106" i="57"/>
  <c r="R106" i="57"/>
  <c r="M106" i="57"/>
  <c r="L106" i="57"/>
  <c r="K106" i="57"/>
  <c r="J106" i="57"/>
  <c r="I106" i="57"/>
  <c r="H106" i="57"/>
  <c r="S105" i="57"/>
  <c r="R105" i="57"/>
  <c r="M105" i="57"/>
  <c r="L105" i="57"/>
  <c r="K105" i="57"/>
  <c r="J105" i="57"/>
  <c r="I105" i="57"/>
  <c r="H105" i="57"/>
  <c r="S104" i="57"/>
  <c r="R104" i="57"/>
  <c r="M104" i="57"/>
  <c r="L104" i="57"/>
  <c r="K104" i="57"/>
  <c r="J104" i="57"/>
  <c r="I104" i="57"/>
  <c r="H104" i="57"/>
  <c r="S103" i="57"/>
  <c r="R103" i="57"/>
  <c r="M103" i="57"/>
  <c r="L103" i="57"/>
  <c r="K103" i="57"/>
  <c r="J103" i="57"/>
  <c r="I103" i="57"/>
  <c r="H103" i="57"/>
  <c r="S102" i="57"/>
  <c r="R102" i="57"/>
  <c r="M102" i="57"/>
  <c r="L102" i="57"/>
  <c r="K102" i="57"/>
  <c r="J102" i="57"/>
  <c r="I102" i="57"/>
  <c r="H102" i="57"/>
  <c r="S101" i="57"/>
  <c r="R101" i="57"/>
  <c r="M101" i="57"/>
  <c r="L101" i="57"/>
  <c r="K101" i="57"/>
  <c r="J101" i="57"/>
  <c r="I101" i="57"/>
  <c r="H101" i="57"/>
  <c r="S100" i="57"/>
  <c r="R100" i="57"/>
  <c r="M100" i="57"/>
  <c r="L100" i="57"/>
  <c r="K100" i="57"/>
  <c r="J100" i="57"/>
  <c r="I100" i="57"/>
  <c r="H100" i="57"/>
  <c r="S99" i="57"/>
  <c r="R99" i="57"/>
  <c r="M99" i="57"/>
  <c r="L99" i="57"/>
  <c r="K99" i="57"/>
  <c r="J99" i="57"/>
  <c r="I99" i="57"/>
  <c r="H99" i="57"/>
  <c r="S98" i="57"/>
  <c r="R98" i="57"/>
  <c r="M98" i="57"/>
  <c r="L98" i="57"/>
  <c r="K98" i="57"/>
  <c r="J98" i="57"/>
  <c r="I98" i="57"/>
  <c r="H98" i="57"/>
  <c r="S97" i="57"/>
  <c r="R97" i="57"/>
  <c r="M97" i="57"/>
  <c r="L97" i="57"/>
  <c r="K97" i="57"/>
  <c r="J97" i="57"/>
  <c r="I97" i="57"/>
  <c r="H97" i="57"/>
  <c r="S96" i="57"/>
  <c r="R96" i="57"/>
  <c r="M96" i="57"/>
  <c r="L96" i="57"/>
  <c r="K96" i="57"/>
  <c r="J96" i="57"/>
  <c r="I96" i="57"/>
  <c r="H96" i="57"/>
  <c r="S95" i="57"/>
  <c r="R95" i="57"/>
  <c r="M95" i="57"/>
  <c r="L95" i="57"/>
  <c r="K95" i="57"/>
  <c r="J95" i="57"/>
  <c r="I95" i="57"/>
  <c r="H95" i="57"/>
  <c r="S94" i="57"/>
  <c r="R94" i="57"/>
  <c r="M94" i="57"/>
  <c r="L94" i="57"/>
  <c r="K94" i="57"/>
  <c r="J94" i="57"/>
  <c r="I94" i="57"/>
  <c r="H94" i="57"/>
  <c r="S93" i="57"/>
  <c r="R93" i="57"/>
  <c r="M93" i="57"/>
  <c r="L93" i="57"/>
  <c r="K93" i="57"/>
  <c r="J93" i="57"/>
  <c r="I93" i="57"/>
  <c r="H93" i="57"/>
  <c r="S92" i="57"/>
  <c r="R92" i="57"/>
  <c r="M92" i="57"/>
  <c r="L92" i="57"/>
  <c r="K92" i="57"/>
  <c r="J92" i="57"/>
  <c r="I92" i="57"/>
  <c r="H92" i="57"/>
  <c r="S91" i="57"/>
  <c r="R91" i="57"/>
  <c r="M91" i="57"/>
  <c r="L91" i="57"/>
  <c r="K91" i="57"/>
  <c r="J91" i="57"/>
  <c r="I91" i="57"/>
  <c r="H91" i="57"/>
  <c r="S90" i="57"/>
  <c r="R90" i="57"/>
  <c r="M90" i="57"/>
  <c r="L90" i="57"/>
  <c r="K90" i="57"/>
  <c r="J90" i="57"/>
  <c r="I90" i="57"/>
  <c r="H90" i="57"/>
  <c r="S89" i="57"/>
  <c r="R89" i="57"/>
  <c r="M89" i="57"/>
  <c r="L89" i="57"/>
  <c r="K89" i="57"/>
  <c r="J89" i="57"/>
  <c r="I89" i="57"/>
  <c r="H89" i="57"/>
  <c r="S88" i="57"/>
  <c r="R88" i="57"/>
  <c r="M88" i="57"/>
  <c r="L88" i="57"/>
  <c r="K88" i="57"/>
  <c r="J88" i="57"/>
  <c r="I88" i="57"/>
  <c r="H88" i="57"/>
  <c r="S87" i="57"/>
  <c r="R87" i="57"/>
  <c r="M87" i="57"/>
  <c r="L87" i="57"/>
  <c r="K87" i="57"/>
  <c r="J87" i="57"/>
  <c r="I87" i="57"/>
  <c r="H87" i="57"/>
  <c r="S86" i="57"/>
  <c r="R86" i="57"/>
  <c r="M86" i="57"/>
  <c r="L86" i="57"/>
  <c r="K86" i="57"/>
  <c r="J86" i="57"/>
  <c r="I86" i="57"/>
  <c r="H86" i="57"/>
  <c r="S85" i="57"/>
  <c r="R85" i="57"/>
  <c r="M85" i="57"/>
  <c r="L85" i="57"/>
  <c r="K85" i="57"/>
  <c r="J85" i="57"/>
  <c r="I85" i="57"/>
  <c r="H85" i="57"/>
  <c r="S84" i="57"/>
  <c r="R84" i="57"/>
  <c r="M84" i="57"/>
  <c r="L84" i="57"/>
  <c r="K84" i="57"/>
  <c r="J84" i="57"/>
  <c r="I84" i="57"/>
  <c r="H84" i="57"/>
  <c r="S83" i="57"/>
  <c r="R83" i="57"/>
  <c r="M83" i="57"/>
  <c r="L83" i="57"/>
  <c r="K83" i="57"/>
  <c r="J83" i="57"/>
  <c r="I83" i="57"/>
  <c r="H83" i="57"/>
  <c r="S82" i="57"/>
  <c r="R82" i="57"/>
  <c r="M82" i="57"/>
  <c r="L82" i="57"/>
  <c r="K82" i="57"/>
  <c r="J82" i="57"/>
  <c r="I82" i="57"/>
  <c r="H82" i="57"/>
  <c r="S81" i="57"/>
  <c r="R81" i="57"/>
  <c r="M81" i="57"/>
  <c r="L81" i="57"/>
  <c r="K81" i="57"/>
  <c r="J81" i="57"/>
  <c r="I81" i="57"/>
  <c r="H81" i="57"/>
  <c r="S80" i="57"/>
  <c r="R80" i="57"/>
  <c r="M80" i="57"/>
  <c r="L80" i="57"/>
  <c r="K80" i="57"/>
  <c r="J80" i="57"/>
  <c r="I80" i="57"/>
  <c r="H80" i="57"/>
  <c r="S79" i="57"/>
  <c r="R79" i="57"/>
  <c r="M79" i="57"/>
  <c r="L79" i="57"/>
  <c r="K79" i="57"/>
  <c r="J79" i="57"/>
  <c r="I79" i="57"/>
  <c r="H79" i="57"/>
  <c r="S78" i="57"/>
  <c r="R78" i="57"/>
  <c r="M78" i="57"/>
  <c r="L78" i="57"/>
  <c r="K78" i="57"/>
  <c r="J78" i="57"/>
  <c r="I78" i="57"/>
  <c r="H78" i="57"/>
  <c r="S77" i="57"/>
  <c r="R77" i="57"/>
  <c r="M77" i="57"/>
  <c r="L77" i="57"/>
  <c r="K77" i="57"/>
  <c r="J77" i="57"/>
  <c r="I77" i="57"/>
  <c r="H77" i="57"/>
  <c r="S76" i="57"/>
  <c r="R76" i="57"/>
  <c r="M76" i="57"/>
  <c r="L76" i="57"/>
  <c r="K76" i="57"/>
  <c r="J76" i="57"/>
  <c r="I76" i="57"/>
  <c r="H76" i="57"/>
  <c r="S75" i="57"/>
  <c r="R75" i="57"/>
  <c r="M75" i="57"/>
  <c r="L75" i="57"/>
  <c r="K75" i="57"/>
  <c r="J75" i="57"/>
  <c r="I75" i="57"/>
  <c r="H75" i="57"/>
  <c r="S74" i="57"/>
  <c r="R74" i="57"/>
  <c r="M74" i="57"/>
  <c r="L74" i="57"/>
  <c r="K74" i="57"/>
  <c r="J74" i="57"/>
  <c r="I74" i="57"/>
  <c r="H74" i="57"/>
  <c r="S73" i="57"/>
  <c r="R73" i="57"/>
  <c r="M73" i="57"/>
  <c r="L73" i="57"/>
  <c r="K73" i="57"/>
  <c r="J73" i="57"/>
  <c r="I73" i="57"/>
  <c r="H73" i="57"/>
  <c r="S72" i="57"/>
  <c r="R72" i="57"/>
  <c r="M72" i="57"/>
  <c r="L72" i="57"/>
  <c r="K72" i="57"/>
  <c r="J72" i="57"/>
  <c r="I72" i="57"/>
  <c r="H72" i="57"/>
  <c r="S71" i="57"/>
  <c r="R71" i="57"/>
  <c r="M71" i="57"/>
  <c r="L71" i="57"/>
  <c r="K71" i="57"/>
  <c r="J71" i="57"/>
  <c r="I71" i="57"/>
  <c r="H71" i="57"/>
  <c r="S70" i="57"/>
  <c r="R70" i="57"/>
  <c r="M70" i="57"/>
  <c r="L70" i="57"/>
  <c r="K70" i="57"/>
  <c r="J70" i="57"/>
  <c r="I70" i="57"/>
  <c r="H70" i="57"/>
  <c r="S69" i="57"/>
  <c r="R69" i="57"/>
  <c r="M69" i="57"/>
  <c r="L69" i="57"/>
  <c r="K69" i="57"/>
  <c r="J69" i="57"/>
  <c r="I69" i="57"/>
  <c r="H69" i="57"/>
  <c r="S68" i="57"/>
  <c r="R68" i="57"/>
  <c r="M68" i="57"/>
  <c r="L68" i="57"/>
  <c r="K68" i="57"/>
  <c r="J68" i="57"/>
  <c r="I68" i="57"/>
  <c r="H68" i="57"/>
  <c r="S67" i="57"/>
  <c r="R67" i="57"/>
  <c r="M67" i="57"/>
  <c r="L67" i="57"/>
  <c r="K67" i="57"/>
  <c r="J67" i="57"/>
  <c r="I67" i="57"/>
  <c r="H67" i="57"/>
  <c r="S66" i="57"/>
  <c r="R66" i="57"/>
  <c r="M66" i="57"/>
  <c r="L66" i="57"/>
  <c r="K66" i="57"/>
  <c r="J66" i="57"/>
  <c r="I66" i="57"/>
  <c r="H66" i="57"/>
  <c r="S65" i="57"/>
  <c r="R65" i="57"/>
  <c r="M65" i="57"/>
  <c r="L65" i="57"/>
  <c r="K65" i="57"/>
  <c r="J65" i="57"/>
  <c r="I65" i="57"/>
  <c r="H65" i="57"/>
  <c r="S64" i="57"/>
  <c r="R64" i="57"/>
  <c r="M64" i="57"/>
  <c r="L64" i="57"/>
  <c r="K64" i="57"/>
  <c r="J64" i="57"/>
  <c r="I64" i="57"/>
  <c r="H64" i="57"/>
  <c r="S63" i="57"/>
  <c r="R63" i="57"/>
  <c r="M63" i="57"/>
  <c r="L63" i="57"/>
  <c r="K63" i="57"/>
  <c r="J63" i="57"/>
  <c r="I63" i="57"/>
  <c r="H63" i="57"/>
  <c r="S62" i="57"/>
  <c r="R62" i="57"/>
  <c r="M62" i="57"/>
  <c r="L62" i="57"/>
  <c r="K62" i="57"/>
  <c r="J62" i="57"/>
  <c r="I62" i="57"/>
  <c r="H62" i="57"/>
  <c r="S61" i="57"/>
  <c r="R61" i="57"/>
  <c r="M61" i="57"/>
  <c r="L61" i="57"/>
  <c r="K61" i="57"/>
  <c r="J61" i="57"/>
  <c r="I61" i="57"/>
  <c r="H61" i="57"/>
  <c r="S60" i="57"/>
  <c r="R60" i="57"/>
  <c r="M60" i="57"/>
  <c r="L60" i="57"/>
  <c r="K60" i="57"/>
  <c r="J60" i="57"/>
  <c r="I60" i="57"/>
  <c r="H60" i="57"/>
  <c r="S59" i="57"/>
  <c r="R59" i="57"/>
  <c r="M59" i="57"/>
  <c r="L59" i="57"/>
  <c r="K59" i="57"/>
  <c r="J59" i="57"/>
  <c r="I59" i="57"/>
  <c r="H59" i="57"/>
  <c r="S58" i="57"/>
  <c r="R58" i="57"/>
  <c r="M58" i="57"/>
  <c r="L58" i="57"/>
  <c r="K58" i="57"/>
  <c r="J58" i="57"/>
  <c r="I58" i="57"/>
  <c r="H58" i="57"/>
  <c r="S57" i="57"/>
  <c r="R57" i="57"/>
  <c r="M57" i="57"/>
  <c r="L57" i="57"/>
  <c r="K57" i="57"/>
  <c r="J57" i="57"/>
  <c r="I57" i="57"/>
  <c r="H57" i="57"/>
  <c r="S56" i="57"/>
  <c r="R56" i="57"/>
  <c r="M56" i="57"/>
  <c r="L56" i="57"/>
  <c r="K56" i="57"/>
  <c r="J56" i="57"/>
  <c r="I56" i="57"/>
  <c r="H56" i="57"/>
  <c r="S55" i="57"/>
  <c r="R55" i="57"/>
  <c r="M55" i="57"/>
  <c r="L55" i="57"/>
  <c r="K55" i="57"/>
  <c r="J55" i="57"/>
  <c r="I55" i="57"/>
  <c r="H55" i="57"/>
  <c r="S54" i="57"/>
  <c r="R54" i="57"/>
  <c r="M54" i="57"/>
  <c r="L54" i="57"/>
  <c r="K54" i="57"/>
  <c r="J54" i="57"/>
  <c r="I54" i="57"/>
  <c r="H54" i="57"/>
  <c r="S53" i="57"/>
  <c r="R53" i="57"/>
  <c r="M53" i="57"/>
  <c r="L53" i="57"/>
  <c r="K53" i="57"/>
  <c r="J53" i="57"/>
  <c r="I53" i="57"/>
  <c r="H53" i="57"/>
  <c r="S52" i="57"/>
  <c r="R52" i="57"/>
  <c r="M52" i="57"/>
  <c r="L52" i="57"/>
  <c r="K52" i="57"/>
  <c r="J52" i="57"/>
  <c r="I52" i="57"/>
  <c r="H52" i="57"/>
  <c r="S51" i="57"/>
  <c r="R51" i="57"/>
  <c r="M51" i="57"/>
  <c r="L51" i="57"/>
  <c r="K51" i="57"/>
  <c r="J51" i="57"/>
  <c r="I51" i="57"/>
  <c r="H51" i="57"/>
  <c r="S50" i="57"/>
  <c r="R50" i="57"/>
  <c r="M50" i="57"/>
  <c r="L50" i="57"/>
  <c r="K50" i="57"/>
  <c r="J50" i="57"/>
  <c r="I50" i="57"/>
  <c r="H50" i="57"/>
  <c r="S49" i="57"/>
  <c r="R49" i="57"/>
  <c r="M49" i="57"/>
  <c r="L49" i="57"/>
  <c r="K49" i="57"/>
  <c r="J49" i="57"/>
  <c r="I49" i="57"/>
  <c r="H49" i="57"/>
  <c r="S48" i="57"/>
  <c r="R48" i="57"/>
  <c r="M48" i="57"/>
  <c r="L48" i="57"/>
  <c r="K48" i="57"/>
  <c r="J48" i="57"/>
  <c r="I48" i="57"/>
  <c r="H48" i="57"/>
  <c r="I47" i="57"/>
  <c r="J47" i="57" s="1"/>
  <c r="R47" i="57" s="1"/>
  <c r="H47" i="57"/>
  <c r="I46" i="57"/>
  <c r="J46" i="57" s="1"/>
  <c r="R46" i="57" s="1"/>
  <c r="H46" i="57"/>
  <c r="I45" i="57"/>
  <c r="J45" i="57" s="1"/>
  <c r="R45" i="57" s="1"/>
  <c r="H45" i="57"/>
  <c r="I44" i="57"/>
  <c r="J44" i="57" s="1"/>
  <c r="R44" i="57" s="1"/>
  <c r="H44" i="57"/>
  <c r="I43" i="57"/>
  <c r="J43" i="57" s="1"/>
  <c r="R43" i="57" s="1"/>
  <c r="H43" i="57"/>
  <c r="J42" i="57"/>
  <c r="R42" i="57" s="1"/>
  <c r="I42" i="57"/>
  <c r="H42" i="57"/>
  <c r="J41" i="57"/>
  <c r="R41" i="57" s="1"/>
  <c r="I41" i="57"/>
  <c r="H41" i="57"/>
  <c r="H40" i="57"/>
  <c r="I40" i="57"/>
  <c r="J40" i="57" s="1"/>
  <c r="R40" i="57" s="1"/>
  <c r="I39" i="57"/>
  <c r="H39" i="57"/>
  <c r="J39" i="57" s="1"/>
  <c r="R39" i="57" s="1"/>
  <c r="H38" i="57"/>
  <c r="I38" i="57"/>
  <c r="J38" i="57" s="1"/>
  <c r="R38" i="57" s="1"/>
  <c r="I37" i="57"/>
  <c r="J37" i="57" s="1"/>
  <c r="R37" i="57" s="1"/>
  <c r="H37" i="57"/>
  <c r="H36" i="57"/>
  <c r="I36" i="57"/>
  <c r="J36" i="57" s="1"/>
  <c r="R36" i="57" s="1"/>
  <c r="I35" i="57"/>
  <c r="H35" i="57"/>
  <c r="J35" i="57" s="1"/>
  <c r="R35" i="57" s="1"/>
  <c r="H34" i="57"/>
  <c r="I34" i="57"/>
  <c r="J34" i="57" s="1"/>
  <c r="R34" i="57" s="1"/>
  <c r="H33" i="57"/>
  <c r="I33" i="57"/>
  <c r="J33" i="57" s="1"/>
  <c r="R33" i="57" s="1"/>
  <c r="I32" i="57"/>
  <c r="J32" i="57" s="1"/>
  <c r="R32" i="57" s="1"/>
  <c r="H32" i="57"/>
  <c r="I31" i="57"/>
  <c r="J31" i="57" s="1"/>
  <c r="R31" i="57" s="1"/>
  <c r="H31" i="57"/>
  <c r="I30" i="57"/>
  <c r="J30" i="57" s="1"/>
  <c r="R30" i="57" s="1"/>
  <c r="H30" i="57"/>
  <c r="I29" i="57"/>
  <c r="J29" i="57" s="1"/>
  <c r="R29" i="57" s="1"/>
  <c r="H29" i="57"/>
  <c r="I28" i="57"/>
  <c r="J28" i="57" s="1"/>
  <c r="R28" i="57" s="1"/>
  <c r="H28" i="57"/>
  <c r="I27" i="57"/>
  <c r="J27" i="57" s="1"/>
  <c r="R27" i="57" s="1"/>
  <c r="H27" i="57"/>
  <c r="S26" i="57"/>
  <c r="R26" i="57"/>
  <c r="M26" i="57"/>
  <c r="L26" i="57"/>
  <c r="L27" i="57" s="1"/>
  <c r="K26" i="57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J26" i="57"/>
  <c r="I26" i="57"/>
  <c r="H26" i="57"/>
  <c r="S25" i="57"/>
  <c r="R25" i="57"/>
  <c r="M25" i="57"/>
  <c r="L25" i="57"/>
  <c r="K25" i="57"/>
  <c r="J25" i="57"/>
  <c r="I25" i="57"/>
  <c r="H25" i="57"/>
  <c r="S24" i="57"/>
  <c r="R24" i="57"/>
  <c r="M24" i="57"/>
  <c r="L24" i="57"/>
  <c r="K24" i="57"/>
  <c r="J24" i="57"/>
  <c r="I24" i="57"/>
  <c r="H24" i="57"/>
  <c r="I23" i="57"/>
  <c r="J23" i="57" s="1"/>
  <c r="R23" i="57" s="1"/>
  <c r="H23" i="57"/>
  <c r="I22" i="57"/>
  <c r="J22" i="57" s="1"/>
  <c r="R22" i="57" s="1"/>
  <c r="H22" i="57"/>
  <c r="I21" i="57"/>
  <c r="J21" i="57" s="1"/>
  <c r="R21" i="57" s="1"/>
  <c r="H21" i="57"/>
  <c r="I20" i="57"/>
  <c r="J20" i="57" s="1"/>
  <c r="R20" i="57" s="1"/>
  <c r="H20" i="57"/>
  <c r="I19" i="57"/>
  <c r="H19" i="57"/>
  <c r="I18" i="57"/>
  <c r="H18" i="57"/>
  <c r="I17" i="57"/>
  <c r="H17" i="57"/>
  <c r="I16" i="57"/>
  <c r="H16" i="57"/>
  <c r="I15" i="57"/>
  <c r="H15" i="57"/>
  <c r="I14" i="57"/>
  <c r="H14" i="57"/>
  <c r="I13" i="57"/>
  <c r="H13" i="57"/>
  <c r="I12" i="57"/>
  <c r="J12" i="57" s="1"/>
  <c r="R12" i="57" s="1"/>
  <c r="H12" i="57"/>
  <c r="I11" i="57"/>
  <c r="H11" i="57"/>
  <c r="I10" i="57"/>
  <c r="H10" i="57"/>
  <c r="I9" i="57"/>
  <c r="H9" i="57"/>
  <c r="I8" i="57"/>
  <c r="H8" i="57"/>
  <c r="I7" i="57"/>
  <c r="L7" i="57" s="1"/>
  <c r="H7" i="57"/>
  <c r="K7" i="57" s="1"/>
  <c r="G44" i="56"/>
  <c r="G43" i="56"/>
  <c r="G41" i="56"/>
  <c r="G40" i="56"/>
  <c r="G38" i="56"/>
  <c r="J11" i="57" l="1"/>
  <c r="R11" i="57" s="1"/>
  <c r="M10" i="60"/>
  <c r="S10" i="60" s="1"/>
  <c r="L11" i="60"/>
  <c r="J13" i="57"/>
  <c r="R13" i="57" s="1"/>
  <c r="M9" i="59"/>
  <c r="S9" i="59" s="1"/>
  <c r="L10" i="59"/>
  <c r="L10" i="58"/>
  <c r="M9" i="58"/>
  <c r="S9" i="58" s="1"/>
  <c r="J19" i="57"/>
  <c r="R19" i="57" s="1"/>
  <c r="J18" i="57"/>
  <c r="R18" i="57" s="1"/>
  <c r="J17" i="57"/>
  <c r="R17" i="57" s="1"/>
  <c r="J16" i="57"/>
  <c r="R16" i="57" s="1"/>
  <c r="J14" i="57"/>
  <c r="R14" i="57" s="1"/>
  <c r="J15" i="57"/>
  <c r="R15" i="57" s="1"/>
  <c r="J10" i="57"/>
  <c r="R10" i="57" s="1"/>
  <c r="J9" i="57"/>
  <c r="R9" i="57" s="1"/>
  <c r="K8" i="57"/>
  <c r="K9" i="57" s="1"/>
  <c r="K10" i="57" s="1"/>
  <c r="K11" i="57" s="1"/>
  <c r="K12" i="57" s="1"/>
  <c r="K13" i="57" s="1"/>
  <c r="K14" i="57" s="1"/>
  <c r="K15" i="57" s="1"/>
  <c r="K16" i="57" s="1"/>
  <c r="K17" i="57" s="1"/>
  <c r="K18" i="57" s="1"/>
  <c r="K19" i="57" s="1"/>
  <c r="K20" i="57" s="1"/>
  <c r="K21" i="57" s="1"/>
  <c r="K22" i="57" s="1"/>
  <c r="K23" i="57" s="1"/>
  <c r="J8" i="57"/>
  <c r="R8" i="57" s="1"/>
  <c r="M7" i="57"/>
  <c r="S7" i="57" s="1"/>
  <c r="L8" i="57"/>
  <c r="M27" i="57"/>
  <c r="S27" i="57" s="1"/>
  <c r="L28" i="57"/>
  <c r="J7" i="57"/>
  <c r="R7" i="57" s="1"/>
  <c r="G36" i="56"/>
  <c r="G34" i="56"/>
  <c r="G33" i="56"/>
  <c r="S112" i="56"/>
  <c r="R112" i="56"/>
  <c r="M112" i="56"/>
  <c r="L112" i="56"/>
  <c r="K112" i="56"/>
  <c r="J112" i="56"/>
  <c r="I112" i="56"/>
  <c r="H112" i="56"/>
  <c r="S111" i="56"/>
  <c r="R111" i="56"/>
  <c r="M111" i="56"/>
  <c r="L111" i="56"/>
  <c r="K111" i="56"/>
  <c r="J111" i="56"/>
  <c r="I111" i="56"/>
  <c r="H111" i="56"/>
  <c r="S110" i="56"/>
  <c r="R110" i="56"/>
  <c r="M110" i="56"/>
  <c r="L110" i="56"/>
  <c r="K110" i="56"/>
  <c r="J110" i="56"/>
  <c r="I110" i="56"/>
  <c r="H110" i="56"/>
  <c r="S109" i="56"/>
  <c r="R109" i="56"/>
  <c r="M109" i="56"/>
  <c r="L109" i="56"/>
  <c r="K109" i="56"/>
  <c r="J109" i="56"/>
  <c r="I109" i="56"/>
  <c r="H109" i="56"/>
  <c r="S108" i="56"/>
  <c r="R108" i="56"/>
  <c r="M108" i="56"/>
  <c r="L108" i="56"/>
  <c r="K108" i="56"/>
  <c r="J108" i="56"/>
  <c r="I108" i="56"/>
  <c r="H108" i="56"/>
  <c r="S107" i="56"/>
  <c r="R107" i="56"/>
  <c r="M107" i="56"/>
  <c r="L107" i="56"/>
  <c r="K107" i="56"/>
  <c r="J107" i="56"/>
  <c r="I107" i="56"/>
  <c r="H107" i="56"/>
  <c r="S106" i="56"/>
  <c r="R106" i="56"/>
  <c r="M106" i="56"/>
  <c r="L106" i="56"/>
  <c r="K106" i="56"/>
  <c r="J106" i="56"/>
  <c r="I106" i="56"/>
  <c r="H106" i="56"/>
  <c r="S105" i="56"/>
  <c r="R105" i="56"/>
  <c r="M105" i="56"/>
  <c r="L105" i="56"/>
  <c r="K105" i="56"/>
  <c r="J105" i="56"/>
  <c r="I105" i="56"/>
  <c r="H105" i="56"/>
  <c r="S104" i="56"/>
  <c r="R104" i="56"/>
  <c r="M104" i="56"/>
  <c r="L104" i="56"/>
  <c r="K104" i="56"/>
  <c r="J104" i="56"/>
  <c r="I104" i="56"/>
  <c r="H104" i="56"/>
  <c r="S103" i="56"/>
  <c r="R103" i="56"/>
  <c r="M103" i="56"/>
  <c r="L103" i="56"/>
  <c r="K103" i="56"/>
  <c r="J103" i="56"/>
  <c r="I103" i="56"/>
  <c r="H103" i="56"/>
  <c r="S102" i="56"/>
  <c r="R102" i="56"/>
  <c r="M102" i="56"/>
  <c r="L102" i="56"/>
  <c r="K102" i="56"/>
  <c r="J102" i="56"/>
  <c r="I102" i="56"/>
  <c r="H102" i="56"/>
  <c r="S101" i="56"/>
  <c r="R101" i="56"/>
  <c r="M101" i="56"/>
  <c r="L101" i="56"/>
  <c r="K101" i="56"/>
  <c r="J101" i="56"/>
  <c r="I101" i="56"/>
  <c r="H101" i="56"/>
  <c r="S100" i="56"/>
  <c r="R100" i="56"/>
  <c r="M100" i="56"/>
  <c r="L100" i="56"/>
  <c r="K100" i="56"/>
  <c r="J100" i="56"/>
  <c r="I100" i="56"/>
  <c r="H100" i="56"/>
  <c r="S99" i="56"/>
  <c r="R99" i="56"/>
  <c r="M99" i="56"/>
  <c r="L99" i="56"/>
  <c r="K99" i="56"/>
  <c r="J99" i="56"/>
  <c r="I99" i="56"/>
  <c r="H99" i="56"/>
  <c r="S98" i="56"/>
  <c r="R98" i="56"/>
  <c r="M98" i="56"/>
  <c r="L98" i="56"/>
  <c r="K98" i="56"/>
  <c r="J98" i="56"/>
  <c r="I98" i="56"/>
  <c r="H98" i="56"/>
  <c r="S97" i="56"/>
  <c r="R97" i="56"/>
  <c r="M97" i="56"/>
  <c r="L97" i="56"/>
  <c r="K97" i="56"/>
  <c r="J97" i="56"/>
  <c r="I97" i="56"/>
  <c r="H97" i="56"/>
  <c r="S96" i="56"/>
  <c r="R96" i="56"/>
  <c r="M96" i="56"/>
  <c r="L96" i="56"/>
  <c r="K96" i="56"/>
  <c r="J96" i="56"/>
  <c r="I96" i="56"/>
  <c r="H96" i="56"/>
  <c r="S95" i="56"/>
  <c r="R95" i="56"/>
  <c r="M95" i="56"/>
  <c r="L95" i="56"/>
  <c r="K95" i="56"/>
  <c r="J95" i="56"/>
  <c r="I95" i="56"/>
  <c r="H95" i="56"/>
  <c r="S94" i="56"/>
  <c r="R94" i="56"/>
  <c r="M94" i="56"/>
  <c r="L94" i="56"/>
  <c r="K94" i="56"/>
  <c r="J94" i="56"/>
  <c r="I94" i="56"/>
  <c r="H94" i="56"/>
  <c r="S93" i="56"/>
  <c r="R93" i="56"/>
  <c r="M93" i="56"/>
  <c r="L93" i="56"/>
  <c r="K93" i="56"/>
  <c r="J93" i="56"/>
  <c r="I93" i="56"/>
  <c r="H93" i="56"/>
  <c r="S92" i="56"/>
  <c r="R92" i="56"/>
  <c r="M92" i="56"/>
  <c r="L92" i="56"/>
  <c r="K92" i="56"/>
  <c r="J92" i="56"/>
  <c r="I92" i="56"/>
  <c r="H92" i="56"/>
  <c r="S91" i="56"/>
  <c r="R91" i="56"/>
  <c r="M91" i="56"/>
  <c r="L91" i="56"/>
  <c r="K91" i="56"/>
  <c r="J91" i="56"/>
  <c r="I91" i="56"/>
  <c r="H91" i="56"/>
  <c r="S90" i="56"/>
  <c r="R90" i="56"/>
  <c r="M90" i="56"/>
  <c r="L90" i="56"/>
  <c r="K90" i="56"/>
  <c r="J90" i="56"/>
  <c r="I90" i="56"/>
  <c r="H90" i="56"/>
  <c r="S89" i="56"/>
  <c r="R89" i="56"/>
  <c r="M89" i="56"/>
  <c r="L89" i="56"/>
  <c r="K89" i="56"/>
  <c r="J89" i="56"/>
  <c r="I89" i="56"/>
  <c r="H89" i="56"/>
  <c r="S88" i="56"/>
  <c r="R88" i="56"/>
  <c r="M88" i="56"/>
  <c r="L88" i="56"/>
  <c r="K88" i="56"/>
  <c r="J88" i="56"/>
  <c r="I88" i="56"/>
  <c r="H88" i="56"/>
  <c r="S87" i="56"/>
  <c r="R87" i="56"/>
  <c r="M87" i="56"/>
  <c r="L87" i="56"/>
  <c r="K87" i="56"/>
  <c r="J87" i="56"/>
  <c r="I87" i="56"/>
  <c r="H87" i="56"/>
  <c r="S86" i="56"/>
  <c r="R86" i="56"/>
  <c r="M86" i="56"/>
  <c r="L86" i="56"/>
  <c r="K86" i="56"/>
  <c r="J86" i="56"/>
  <c r="I86" i="56"/>
  <c r="H86" i="56"/>
  <c r="S85" i="56"/>
  <c r="R85" i="56"/>
  <c r="M85" i="56"/>
  <c r="L85" i="56"/>
  <c r="K85" i="56"/>
  <c r="J85" i="56"/>
  <c r="I85" i="56"/>
  <c r="H85" i="56"/>
  <c r="S84" i="56"/>
  <c r="R84" i="56"/>
  <c r="M84" i="56"/>
  <c r="L84" i="56"/>
  <c r="K84" i="56"/>
  <c r="J84" i="56"/>
  <c r="I84" i="56"/>
  <c r="H84" i="56"/>
  <c r="S83" i="56"/>
  <c r="R83" i="56"/>
  <c r="M83" i="56"/>
  <c r="L83" i="56"/>
  <c r="K83" i="56"/>
  <c r="J83" i="56"/>
  <c r="I83" i="56"/>
  <c r="H83" i="56"/>
  <c r="S82" i="56"/>
  <c r="R82" i="56"/>
  <c r="M82" i="56"/>
  <c r="L82" i="56"/>
  <c r="K82" i="56"/>
  <c r="J82" i="56"/>
  <c r="I82" i="56"/>
  <c r="H82" i="56"/>
  <c r="S81" i="56"/>
  <c r="R81" i="56"/>
  <c r="M81" i="56"/>
  <c r="L81" i="56"/>
  <c r="K81" i="56"/>
  <c r="J81" i="56"/>
  <c r="I81" i="56"/>
  <c r="H81" i="56"/>
  <c r="S80" i="56"/>
  <c r="R80" i="56"/>
  <c r="M80" i="56"/>
  <c r="L80" i="56"/>
  <c r="K80" i="56"/>
  <c r="J80" i="56"/>
  <c r="I80" i="56"/>
  <c r="H80" i="56"/>
  <c r="S79" i="56"/>
  <c r="R79" i="56"/>
  <c r="M79" i="56"/>
  <c r="L79" i="56"/>
  <c r="K79" i="56"/>
  <c r="J79" i="56"/>
  <c r="I79" i="56"/>
  <c r="H79" i="56"/>
  <c r="S78" i="56"/>
  <c r="R78" i="56"/>
  <c r="M78" i="56"/>
  <c r="L78" i="56"/>
  <c r="K78" i="56"/>
  <c r="J78" i="56"/>
  <c r="I78" i="56"/>
  <c r="H78" i="56"/>
  <c r="S77" i="56"/>
  <c r="R77" i="56"/>
  <c r="M77" i="56"/>
  <c r="L77" i="56"/>
  <c r="K77" i="56"/>
  <c r="J77" i="56"/>
  <c r="I77" i="56"/>
  <c r="H77" i="56"/>
  <c r="S76" i="56"/>
  <c r="R76" i="56"/>
  <c r="M76" i="56"/>
  <c r="L76" i="56"/>
  <c r="K76" i="56"/>
  <c r="J76" i="56"/>
  <c r="I76" i="56"/>
  <c r="H76" i="56"/>
  <c r="S75" i="56"/>
  <c r="R75" i="56"/>
  <c r="M75" i="56"/>
  <c r="L75" i="56"/>
  <c r="K75" i="56"/>
  <c r="J75" i="56"/>
  <c r="I75" i="56"/>
  <c r="H75" i="56"/>
  <c r="S74" i="56"/>
  <c r="R74" i="56"/>
  <c r="M74" i="56"/>
  <c r="L74" i="56"/>
  <c r="K74" i="56"/>
  <c r="J74" i="56"/>
  <c r="I74" i="56"/>
  <c r="H74" i="56"/>
  <c r="S73" i="56"/>
  <c r="R73" i="56"/>
  <c r="M73" i="56"/>
  <c r="L73" i="56"/>
  <c r="K73" i="56"/>
  <c r="J73" i="56"/>
  <c r="I73" i="56"/>
  <c r="H73" i="56"/>
  <c r="S72" i="56"/>
  <c r="R72" i="56"/>
  <c r="M72" i="56"/>
  <c r="L72" i="56"/>
  <c r="K72" i="56"/>
  <c r="J72" i="56"/>
  <c r="I72" i="56"/>
  <c r="H72" i="56"/>
  <c r="S71" i="56"/>
  <c r="R71" i="56"/>
  <c r="M71" i="56"/>
  <c r="L71" i="56"/>
  <c r="K71" i="56"/>
  <c r="J71" i="56"/>
  <c r="I71" i="56"/>
  <c r="H71" i="56"/>
  <c r="S70" i="56"/>
  <c r="R70" i="56"/>
  <c r="M70" i="56"/>
  <c r="L70" i="56"/>
  <c r="K70" i="56"/>
  <c r="J70" i="56"/>
  <c r="I70" i="56"/>
  <c r="H70" i="56"/>
  <c r="S69" i="56"/>
  <c r="R69" i="56"/>
  <c r="M69" i="56"/>
  <c r="L69" i="56"/>
  <c r="K69" i="56"/>
  <c r="J69" i="56"/>
  <c r="I69" i="56"/>
  <c r="H69" i="56"/>
  <c r="S68" i="56"/>
  <c r="R68" i="56"/>
  <c r="M68" i="56"/>
  <c r="L68" i="56"/>
  <c r="K68" i="56"/>
  <c r="J68" i="56"/>
  <c r="I68" i="56"/>
  <c r="H68" i="56"/>
  <c r="S67" i="56"/>
  <c r="R67" i="56"/>
  <c r="M67" i="56"/>
  <c r="L67" i="56"/>
  <c r="K67" i="56"/>
  <c r="J67" i="56"/>
  <c r="I67" i="56"/>
  <c r="H67" i="56"/>
  <c r="S66" i="56"/>
  <c r="R66" i="56"/>
  <c r="M66" i="56"/>
  <c r="L66" i="56"/>
  <c r="K66" i="56"/>
  <c r="J66" i="56"/>
  <c r="I66" i="56"/>
  <c r="H66" i="56"/>
  <c r="S65" i="56"/>
  <c r="R65" i="56"/>
  <c r="M65" i="56"/>
  <c r="L65" i="56"/>
  <c r="K65" i="56"/>
  <c r="J65" i="56"/>
  <c r="I65" i="56"/>
  <c r="H65" i="56"/>
  <c r="S64" i="56"/>
  <c r="R64" i="56"/>
  <c r="M64" i="56"/>
  <c r="L64" i="56"/>
  <c r="K64" i="56"/>
  <c r="J64" i="56"/>
  <c r="I64" i="56"/>
  <c r="H64" i="56"/>
  <c r="S63" i="56"/>
  <c r="R63" i="56"/>
  <c r="M63" i="56"/>
  <c r="L63" i="56"/>
  <c r="K63" i="56"/>
  <c r="J63" i="56"/>
  <c r="I63" i="56"/>
  <c r="H63" i="56"/>
  <c r="S62" i="56"/>
  <c r="R62" i="56"/>
  <c r="M62" i="56"/>
  <c r="L62" i="56"/>
  <c r="K62" i="56"/>
  <c r="J62" i="56"/>
  <c r="I62" i="56"/>
  <c r="H62" i="56"/>
  <c r="S61" i="56"/>
  <c r="R61" i="56"/>
  <c r="M61" i="56"/>
  <c r="L61" i="56"/>
  <c r="K61" i="56"/>
  <c r="J61" i="56"/>
  <c r="I61" i="56"/>
  <c r="H61" i="56"/>
  <c r="S60" i="56"/>
  <c r="R60" i="56"/>
  <c r="M60" i="56"/>
  <c r="L60" i="56"/>
  <c r="K60" i="56"/>
  <c r="J60" i="56"/>
  <c r="I60" i="56"/>
  <c r="H60" i="56"/>
  <c r="S59" i="56"/>
  <c r="R59" i="56"/>
  <c r="M59" i="56"/>
  <c r="L59" i="56"/>
  <c r="K59" i="56"/>
  <c r="J59" i="56"/>
  <c r="I59" i="56"/>
  <c r="H59" i="56"/>
  <c r="S58" i="56"/>
  <c r="R58" i="56"/>
  <c r="M58" i="56"/>
  <c r="L58" i="56"/>
  <c r="K58" i="56"/>
  <c r="J58" i="56"/>
  <c r="I58" i="56"/>
  <c r="H58" i="56"/>
  <c r="S57" i="56"/>
  <c r="R57" i="56"/>
  <c r="M57" i="56"/>
  <c r="L57" i="56"/>
  <c r="K57" i="56"/>
  <c r="J57" i="56"/>
  <c r="I57" i="56"/>
  <c r="H57" i="56"/>
  <c r="S56" i="56"/>
  <c r="R56" i="56"/>
  <c r="M56" i="56"/>
  <c r="L56" i="56"/>
  <c r="K56" i="56"/>
  <c r="J56" i="56"/>
  <c r="I56" i="56"/>
  <c r="H56" i="56"/>
  <c r="S55" i="56"/>
  <c r="R55" i="56"/>
  <c r="M55" i="56"/>
  <c r="L55" i="56"/>
  <c r="K55" i="56"/>
  <c r="J55" i="56"/>
  <c r="I55" i="56"/>
  <c r="H55" i="56"/>
  <c r="S54" i="56"/>
  <c r="R54" i="56"/>
  <c r="M54" i="56"/>
  <c r="L54" i="56"/>
  <c r="K54" i="56"/>
  <c r="J54" i="56"/>
  <c r="I54" i="56"/>
  <c r="H54" i="56"/>
  <c r="S53" i="56"/>
  <c r="R53" i="56"/>
  <c r="M53" i="56"/>
  <c r="L53" i="56"/>
  <c r="K53" i="56"/>
  <c r="J53" i="56"/>
  <c r="I53" i="56"/>
  <c r="H53" i="56"/>
  <c r="S52" i="56"/>
  <c r="R52" i="56"/>
  <c r="M52" i="56"/>
  <c r="L52" i="56"/>
  <c r="K52" i="56"/>
  <c r="J52" i="56"/>
  <c r="I52" i="56"/>
  <c r="H52" i="56"/>
  <c r="S51" i="56"/>
  <c r="R51" i="56"/>
  <c r="M51" i="56"/>
  <c r="L51" i="56"/>
  <c r="K51" i="56"/>
  <c r="J51" i="56"/>
  <c r="I51" i="56"/>
  <c r="H51" i="56"/>
  <c r="S50" i="56"/>
  <c r="R50" i="56"/>
  <c r="M50" i="56"/>
  <c r="L50" i="56"/>
  <c r="K50" i="56"/>
  <c r="J50" i="56"/>
  <c r="I50" i="56"/>
  <c r="H50" i="56"/>
  <c r="S49" i="56"/>
  <c r="R49" i="56"/>
  <c r="M49" i="56"/>
  <c r="L49" i="56"/>
  <c r="K49" i="56"/>
  <c r="J49" i="56"/>
  <c r="I49" i="56"/>
  <c r="H49" i="56"/>
  <c r="S48" i="56"/>
  <c r="R48" i="56"/>
  <c r="M48" i="56"/>
  <c r="L48" i="56"/>
  <c r="K48" i="56"/>
  <c r="J48" i="56"/>
  <c r="I48" i="56"/>
  <c r="H48" i="56"/>
  <c r="I47" i="56"/>
  <c r="H47" i="56"/>
  <c r="I46" i="56"/>
  <c r="J46" i="56" s="1"/>
  <c r="R46" i="56" s="1"/>
  <c r="H46" i="56"/>
  <c r="I45" i="56"/>
  <c r="J45" i="56" s="1"/>
  <c r="R45" i="56" s="1"/>
  <c r="H45" i="56"/>
  <c r="I44" i="56"/>
  <c r="J44" i="56" s="1"/>
  <c r="R44" i="56" s="1"/>
  <c r="H44" i="56"/>
  <c r="I43" i="56"/>
  <c r="H43" i="56"/>
  <c r="I42" i="56"/>
  <c r="J42" i="56" s="1"/>
  <c r="R42" i="56" s="1"/>
  <c r="H42" i="56"/>
  <c r="I41" i="56"/>
  <c r="J41" i="56" s="1"/>
  <c r="R41" i="56" s="1"/>
  <c r="H41" i="56"/>
  <c r="I40" i="56"/>
  <c r="H40" i="56"/>
  <c r="I39" i="56"/>
  <c r="H39" i="56"/>
  <c r="I38" i="56"/>
  <c r="J38" i="56" s="1"/>
  <c r="R38" i="56" s="1"/>
  <c r="H38" i="56"/>
  <c r="I37" i="56"/>
  <c r="J37" i="56" s="1"/>
  <c r="R37" i="56" s="1"/>
  <c r="H37" i="56"/>
  <c r="I36" i="56"/>
  <c r="J36" i="56" s="1"/>
  <c r="R36" i="56" s="1"/>
  <c r="H36" i="56"/>
  <c r="I35" i="56"/>
  <c r="J35" i="56" s="1"/>
  <c r="R35" i="56" s="1"/>
  <c r="H35" i="56"/>
  <c r="I34" i="56"/>
  <c r="H34" i="56"/>
  <c r="I33" i="56"/>
  <c r="H33" i="56"/>
  <c r="J33" i="56" s="1"/>
  <c r="R33" i="56" s="1"/>
  <c r="I32" i="56"/>
  <c r="H32" i="56"/>
  <c r="J31" i="56"/>
  <c r="R31" i="56" s="1"/>
  <c r="I31" i="56"/>
  <c r="H31" i="56"/>
  <c r="I30" i="56"/>
  <c r="H30" i="56"/>
  <c r="J30" i="56" s="1"/>
  <c r="R30" i="56" s="1"/>
  <c r="R29" i="56"/>
  <c r="I29" i="56"/>
  <c r="J29" i="56" s="1"/>
  <c r="H29" i="56"/>
  <c r="I28" i="56"/>
  <c r="H28" i="56"/>
  <c r="I27" i="56"/>
  <c r="H27" i="56"/>
  <c r="S26" i="56"/>
  <c r="R26" i="56"/>
  <c r="M26" i="56"/>
  <c r="L26" i="56"/>
  <c r="K26" i="56"/>
  <c r="K27" i="56" s="1"/>
  <c r="K28" i="56" s="1"/>
  <c r="K29" i="56" s="1"/>
  <c r="K30" i="56" s="1"/>
  <c r="K31" i="56" s="1"/>
  <c r="K32" i="56" s="1"/>
  <c r="K33" i="56" s="1"/>
  <c r="K34" i="56" s="1"/>
  <c r="K35" i="56" s="1"/>
  <c r="K36" i="56" s="1"/>
  <c r="K37" i="56" s="1"/>
  <c r="J26" i="56"/>
  <c r="I26" i="56"/>
  <c r="H26" i="56"/>
  <c r="S25" i="56"/>
  <c r="R25" i="56"/>
  <c r="M25" i="56"/>
  <c r="L25" i="56"/>
  <c r="K25" i="56"/>
  <c r="J25" i="56"/>
  <c r="I25" i="56"/>
  <c r="H25" i="56"/>
  <c r="S24" i="56"/>
  <c r="R24" i="56"/>
  <c r="M24" i="56"/>
  <c r="L24" i="56"/>
  <c r="K24" i="56"/>
  <c r="J24" i="56"/>
  <c r="I24" i="56"/>
  <c r="H24" i="56"/>
  <c r="I23" i="56"/>
  <c r="H23" i="56"/>
  <c r="I22" i="56"/>
  <c r="H22" i="56"/>
  <c r="I21" i="56"/>
  <c r="H21" i="56"/>
  <c r="I20" i="56"/>
  <c r="H20" i="56"/>
  <c r="I19" i="56"/>
  <c r="J19" i="56" s="1"/>
  <c r="R19" i="56" s="1"/>
  <c r="H19" i="56"/>
  <c r="I18" i="56"/>
  <c r="J18" i="56" s="1"/>
  <c r="R18" i="56" s="1"/>
  <c r="H18" i="56"/>
  <c r="I17" i="56"/>
  <c r="H17" i="56"/>
  <c r="I16" i="56"/>
  <c r="J16" i="56" s="1"/>
  <c r="R16" i="56" s="1"/>
  <c r="H16" i="56"/>
  <c r="I15" i="56"/>
  <c r="J15" i="56" s="1"/>
  <c r="R15" i="56" s="1"/>
  <c r="H15" i="56"/>
  <c r="I14" i="56"/>
  <c r="H14" i="56"/>
  <c r="I13" i="56"/>
  <c r="H13" i="56"/>
  <c r="I12" i="56"/>
  <c r="J12" i="56" s="1"/>
  <c r="R12" i="56" s="1"/>
  <c r="H12" i="56"/>
  <c r="I11" i="56"/>
  <c r="J11" i="56" s="1"/>
  <c r="R11" i="56" s="1"/>
  <c r="H11" i="56"/>
  <c r="H10" i="56"/>
  <c r="I10" i="56"/>
  <c r="H9" i="56"/>
  <c r="I9" i="56"/>
  <c r="J9" i="56" s="1"/>
  <c r="R9" i="56" s="1"/>
  <c r="I8" i="56"/>
  <c r="H8" i="56"/>
  <c r="I7" i="56"/>
  <c r="L7" i="56" s="1"/>
  <c r="H7" i="56"/>
  <c r="K7" i="56" s="1"/>
  <c r="G20" i="55"/>
  <c r="J23" i="56" l="1"/>
  <c r="R23" i="56" s="1"/>
  <c r="J28" i="56"/>
  <c r="R28" i="56" s="1"/>
  <c r="J47" i="56"/>
  <c r="R47" i="56" s="1"/>
  <c r="M11" i="60"/>
  <c r="S11" i="60" s="1"/>
  <c r="L12" i="60"/>
  <c r="J10" i="56"/>
  <c r="R10" i="56" s="1"/>
  <c r="L27" i="56"/>
  <c r="K38" i="56"/>
  <c r="J39" i="56"/>
  <c r="R39" i="56" s="1"/>
  <c r="J40" i="56"/>
  <c r="R40" i="56" s="1"/>
  <c r="J43" i="56"/>
  <c r="R43" i="56" s="1"/>
  <c r="J22" i="56"/>
  <c r="R22" i="56" s="1"/>
  <c r="L11" i="59"/>
  <c r="M10" i="59"/>
  <c r="S10" i="59" s="1"/>
  <c r="L11" i="58"/>
  <c r="M10" i="58"/>
  <c r="S10" i="58" s="1"/>
  <c r="L9" i="57"/>
  <c r="M8" i="57"/>
  <c r="S8" i="57" s="1"/>
  <c r="L29" i="57"/>
  <c r="M28" i="57"/>
  <c r="S28" i="57" s="1"/>
  <c r="J34" i="56"/>
  <c r="R34" i="56" s="1"/>
  <c r="J32" i="56"/>
  <c r="R32" i="56" s="1"/>
  <c r="L28" i="56"/>
  <c r="M28" i="56" s="1"/>
  <c r="S28" i="56" s="1"/>
  <c r="M27" i="56"/>
  <c r="S27" i="56" s="1"/>
  <c r="J27" i="56"/>
  <c r="R27" i="56" s="1"/>
  <c r="J20" i="56"/>
  <c r="R20" i="56" s="1"/>
  <c r="J17" i="56"/>
  <c r="R17" i="56" s="1"/>
  <c r="J14" i="56"/>
  <c r="R14" i="56" s="1"/>
  <c r="J13" i="56"/>
  <c r="R13" i="56" s="1"/>
  <c r="K8" i="56"/>
  <c r="K9" i="56" s="1"/>
  <c r="K10" i="56" s="1"/>
  <c r="K11" i="56" s="1"/>
  <c r="K12" i="56" s="1"/>
  <c r="K13" i="56" s="1"/>
  <c r="K14" i="56" s="1"/>
  <c r="K15" i="56" s="1"/>
  <c r="K16" i="56" s="1"/>
  <c r="K17" i="56" s="1"/>
  <c r="K18" i="56" s="1"/>
  <c r="K19" i="56" s="1"/>
  <c r="K20" i="56" s="1"/>
  <c r="K21" i="56" s="1"/>
  <c r="K22" i="56" s="1"/>
  <c r="K23" i="56" s="1"/>
  <c r="J8" i="56"/>
  <c r="R8" i="56" s="1"/>
  <c r="J21" i="56"/>
  <c r="R21" i="56" s="1"/>
  <c r="M7" i="56"/>
  <c r="S7" i="56" s="1"/>
  <c r="L8" i="56"/>
  <c r="J7" i="56"/>
  <c r="R7" i="56" s="1"/>
  <c r="G18" i="55"/>
  <c r="G17" i="55"/>
  <c r="L29" i="56" l="1"/>
  <c r="M12" i="60"/>
  <c r="S12" i="60" s="1"/>
  <c r="L13" i="60"/>
  <c r="K39" i="56"/>
  <c r="K40" i="56" s="1"/>
  <c r="L12" i="59"/>
  <c r="M11" i="59"/>
  <c r="S11" i="59" s="1"/>
  <c r="L12" i="58"/>
  <c r="M11" i="58"/>
  <c r="S11" i="58" s="1"/>
  <c r="L30" i="57"/>
  <c r="M29" i="57"/>
  <c r="S29" i="57" s="1"/>
  <c r="L10" i="57"/>
  <c r="M9" i="57"/>
  <c r="S9" i="57" s="1"/>
  <c r="L9" i="56"/>
  <c r="M8" i="56"/>
  <c r="S8" i="56" s="1"/>
  <c r="G15" i="55"/>
  <c r="G10" i="55"/>
  <c r="M13" i="60" l="1"/>
  <c r="S13" i="60" s="1"/>
  <c r="L14" i="60"/>
  <c r="K41" i="56"/>
  <c r="K42" i="56" s="1"/>
  <c r="K43" i="56" s="1"/>
  <c r="K44" i="56" s="1"/>
  <c r="K45" i="56" s="1"/>
  <c r="M29" i="56"/>
  <c r="S29" i="56" s="1"/>
  <c r="L30" i="56"/>
  <c r="M12" i="59"/>
  <c r="S12" i="59" s="1"/>
  <c r="L13" i="59"/>
  <c r="L13" i="58"/>
  <c r="M12" i="58"/>
  <c r="S12" i="58" s="1"/>
  <c r="M10" i="57"/>
  <c r="S10" i="57" s="1"/>
  <c r="L11" i="57"/>
  <c r="M30" i="57"/>
  <c r="S30" i="57" s="1"/>
  <c r="L31" i="57"/>
  <c r="L10" i="56"/>
  <c r="M9" i="56"/>
  <c r="S9" i="56" s="1"/>
  <c r="G9" i="55"/>
  <c r="S112" i="55"/>
  <c r="R112" i="55"/>
  <c r="M112" i="55"/>
  <c r="L112" i="55"/>
  <c r="K112" i="55"/>
  <c r="J112" i="55"/>
  <c r="I112" i="55"/>
  <c r="H112" i="55"/>
  <c r="S111" i="55"/>
  <c r="R111" i="55"/>
  <c r="M111" i="55"/>
  <c r="L111" i="55"/>
  <c r="K111" i="55"/>
  <c r="J111" i="55"/>
  <c r="I111" i="55"/>
  <c r="H111" i="55"/>
  <c r="S110" i="55"/>
  <c r="R110" i="55"/>
  <c r="M110" i="55"/>
  <c r="L110" i="55"/>
  <c r="K110" i="55"/>
  <c r="J110" i="55"/>
  <c r="I110" i="55"/>
  <c r="H110" i="55"/>
  <c r="S109" i="55"/>
  <c r="R109" i="55"/>
  <c r="M109" i="55"/>
  <c r="L109" i="55"/>
  <c r="K109" i="55"/>
  <c r="J109" i="55"/>
  <c r="I109" i="55"/>
  <c r="H109" i="55"/>
  <c r="S108" i="55"/>
  <c r="R108" i="55"/>
  <c r="M108" i="55"/>
  <c r="L108" i="55"/>
  <c r="K108" i="55"/>
  <c r="J108" i="55"/>
  <c r="I108" i="55"/>
  <c r="H108" i="55"/>
  <c r="S107" i="55"/>
  <c r="R107" i="55"/>
  <c r="M107" i="55"/>
  <c r="L107" i="55"/>
  <c r="K107" i="55"/>
  <c r="J107" i="55"/>
  <c r="I107" i="55"/>
  <c r="H107" i="55"/>
  <c r="S106" i="55"/>
  <c r="R106" i="55"/>
  <c r="M106" i="55"/>
  <c r="L106" i="55"/>
  <c r="K106" i="55"/>
  <c r="J106" i="55"/>
  <c r="I106" i="55"/>
  <c r="H106" i="55"/>
  <c r="S105" i="55"/>
  <c r="R105" i="55"/>
  <c r="M105" i="55"/>
  <c r="L105" i="55"/>
  <c r="K105" i="55"/>
  <c r="J105" i="55"/>
  <c r="I105" i="55"/>
  <c r="H105" i="55"/>
  <c r="S104" i="55"/>
  <c r="R104" i="55"/>
  <c r="M104" i="55"/>
  <c r="L104" i="55"/>
  <c r="K104" i="55"/>
  <c r="J104" i="55"/>
  <c r="I104" i="55"/>
  <c r="H104" i="55"/>
  <c r="S103" i="55"/>
  <c r="R103" i="55"/>
  <c r="M103" i="55"/>
  <c r="L103" i="55"/>
  <c r="K103" i="55"/>
  <c r="J103" i="55"/>
  <c r="I103" i="55"/>
  <c r="H103" i="55"/>
  <c r="S102" i="55"/>
  <c r="R102" i="55"/>
  <c r="M102" i="55"/>
  <c r="L102" i="55"/>
  <c r="K102" i="55"/>
  <c r="J102" i="55"/>
  <c r="I102" i="55"/>
  <c r="H102" i="55"/>
  <c r="S101" i="55"/>
  <c r="R101" i="55"/>
  <c r="M101" i="55"/>
  <c r="L101" i="55"/>
  <c r="K101" i="55"/>
  <c r="J101" i="55"/>
  <c r="I101" i="55"/>
  <c r="H101" i="55"/>
  <c r="S100" i="55"/>
  <c r="R100" i="55"/>
  <c r="M100" i="55"/>
  <c r="L100" i="55"/>
  <c r="K100" i="55"/>
  <c r="J100" i="55"/>
  <c r="I100" i="55"/>
  <c r="H100" i="55"/>
  <c r="S99" i="55"/>
  <c r="R99" i="55"/>
  <c r="M99" i="55"/>
  <c r="L99" i="55"/>
  <c r="K99" i="55"/>
  <c r="J99" i="55"/>
  <c r="I99" i="55"/>
  <c r="H99" i="55"/>
  <c r="S98" i="55"/>
  <c r="R98" i="55"/>
  <c r="M98" i="55"/>
  <c r="L98" i="55"/>
  <c r="K98" i="55"/>
  <c r="J98" i="55"/>
  <c r="I98" i="55"/>
  <c r="H98" i="55"/>
  <c r="S97" i="55"/>
  <c r="R97" i="55"/>
  <c r="M97" i="55"/>
  <c r="L97" i="55"/>
  <c r="K97" i="55"/>
  <c r="J97" i="55"/>
  <c r="I97" i="55"/>
  <c r="H97" i="55"/>
  <c r="S96" i="55"/>
  <c r="R96" i="55"/>
  <c r="M96" i="55"/>
  <c r="L96" i="55"/>
  <c r="K96" i="55"/>
  <c r="J96" i="55"/>
  <c r="I96" i="55"/>
  <c r="H96" i="55"/>
  <c r="S95" i="55"/>
  <c r="R95" i="55"/>
  <c r="M95" i="55"/>
  <c r="L95" i="55"/>
  <c r="K95" i="55"/>
  <c r="J95" i="55"/>
  <c r="I95" i="55"/>
  <c r="H95" i="55"/>
  <c r="S94" i="55"/>
  <c r="R94" i="55"/>
  <c r="M94" i="55"/>
  <c r="L94" i="55"/>
  <c r="K94" i="55"/>
  <c r="J94" i="55"/>
  <c r="I94" i="55"/>
  <c r="H94" i="55"/>
  <c r="S93" i="55"/>
  <c r="R93" i="55"/>
  <c r="M93" i="55"/>
  <c r="L93" i="55"/>
  <c r="K93" i="55"/>
  <c r="J93" i="55"/>
  <c r="I93" i="55"/>
  <c r="H93" i="55"/>
  <c r="S92" i="55"/>
  <c r="R92" i="55"/>
  <c r="M92" i="55"/>
  <c r="L92" i="55"/>
  <c r="K92" i="55"/>
  <c r="J92" i="55"/>
  <c r="I92" i="55"/>
  <c r="H92" i="55"/>
  <c r="S91" i="55"/>
  <c r="R91" i="55"/>
  <c r="M91" i="55"/>
  <c r="L91" i="55"/>
  <c r="K91" i="55"/>
  <c r="J91" i="55"/>
  <c r="I91" i="55"/>
  <c r="H91" i="55"/>
  <c r="S90" i="55"/>
  <c r="R90" i="55"/>
  <c r="M90" i="55"/>
  <c r="L90" i="55"/>
  <c r="K90" i="55"/>
  <c r="J90" i="55"/>
  <c r="I90" i="55"/>
  <c r="H90" i="55"/>
  <c r="S89" i="55"/>
  <c r="R89" i="55"/>
  <c r="M89" i="55"/>
  <c r="L89" i="55"/>
  <c r="K89" i="55"/>
  <c r="J89" i="55"/>
  <c r="I89" i="55"/>
  <c r="H89" i="55"/>
  <c r="S88" i="55"/>
  <c r="R88" i="55"/>
  <c r="M88" i="55"/>
  <c r="L88" i="55"/>
  <c r="K88" i="55"/>
  <c r="J88" i="55"/>
  <c r="I88" i="55"/>
  <c r="H88" i="55"/>
  <c r="S87" i="55"/>
  <c r="R87" i="55"/>
  <c r="M87" i="55"/>
  <c r="L87" i="55"/>
  <c r="K87" i="55"/>
  <c r="J87" i="55"/>
  <c r="I87" i="55"/>
  <c r="H87" i="55"/>
  <c r="S86" i="55"/>
  <c r="R86" i="55"/>
  <c r="M86" i="55"/>
  <c r="L86" i="55"/>
  <c r="K86" i="55"/>
  <c r="J86" i="55"/>
  <c r="I86" i="55"/>
  <c r="H86" i="55"/>
  <c r="S85" i="55"/>
  <c r="R85" i="55"/>
  <c r="M85" i="55"/>
  <c r="L85" i="55"/>
  <c r="K85" i="55"/>
  <c r="J85" i="55"/>
  <c r="I85" i="55"/>
  <c r="H85" i="55"/>
  <c r="S84" i="55"/>
  <c r="R84" i="55"/>
  <c r="M84" i="55"/>
  <c r="L84" i="55"/>
  <c r="K84" i="55"/>
  <c r="J84" i="55"/>
  <c r="I84" i="55"/>
  <c r="H84" i="55"/>
  <c r="S83" i="55"/>
  <c r="R83" i="55"/>
  <c r="M83" i="55"/>
  <c r="L83" i="55"/>
  <c r="K83" i="55"/>
  <c r="J83" i="55"/>
  <c r="I83" i="55"/>
  <c r="H83" i="55"/>
  <c r="S82" i="55"/>
  <c r="R82" i="55"/>
  <c r="M82" i="55"/>
  <c r="L82" i="55"/>
  <c r="K82" i="55"/>
  <c r="J82" i="55"/>
  <c r="I82" i="55"/>
  <c r="H82" i="55"/>
  <c r="S81" i="55"/>
  <c r="R81" i="55"/>
  <c r="M81" i="55"/>
  <c r="L81" i="55"/>
  <c r="K81" i="55"/>
  <c r="J81" i="55"/>
  <c r="I81" i="55"/>
  <c r="H81" i="55"/>
  <c r="S80" i="55"/>
  <c r="R80" i="55"/>
  <c r="M80" i="55"/>
  <c r="L80" i="55"/>
  <c r="K80" i="55"/>
  <c r="J80" i="55"/>
  <c r="I80" i="55"/>
  <c r="H80" i="55"/>
  <c r="S79" i="55"/>
  <c r="R79" i="55"/>
  <c r="M79" i="55"/>
  <c r="L79" i="55"/>
  <c r="K79" i="55"/>
  <c r="J79" i="55"/>
  <c r="I79" i="55"/>
  <c r="H79" i="55"/>
  <c r="S78" i="55"/>
  <c r="R78" i="55"/>
  <c r="M78" i="55"/>
  <c r="L78" i="55"/>
  <c r="K78" i="55"/>
  <c r="J78" i="55"/>
  <c r="I78" i="55"/>
  <c r="H78" i="55"/>
  <c r="S77" i="55"/>
  <c r="R77" i="55"/>
  <c r="M77" i="55"/>
  <c r="L77" i="55"/>
  <c r="K77" i="55"/>
  <c r="J77" i="55"/>
  <c r="I77" i="55"/>
  <c r="H77" i="55"/>
  <c r="S76" i="55"/>
  <c r="R76" i="55"/>
  <c r="M76" i="55"/>
  <c r="L76" i="55"/>
  <c r="K76" i="55"/>
  <c r="J76" i="55"/>
  <c r="I76" i="55"/>
  <c r="H76" i="55"/>
  <c r="S75" i="55"/>
  <c r="R75" i="55"/>
  <c r="M75" i="55"/>
  <c r="L75" i="55"/>
  <c r="K75" i="55"/>
  <c r="J75" i="55"/>
  <c r="I75" i="55"/>
  <c r="H75" i="55"/>
  <c r="S74" i="55"/>
  <c r="R74" i="55"/>
  <c r="M74" i="55"/>
  <c r="L74" i="55"/>
  <c r="K74" i="55"/>
  <c r="J74" i="55"/>
  <c r="I74" i="55"/>
  <c r="H74" i="55"/>
  <c r="S73" i="55"/>
  <c r="R73" i="55"/>
  <c r="M73" i="55"/>
  <c r="L73" i="55"/>
  <c r="K73" i="55"/>
  <c r="J73" i="55"/>
  <c r="I73" i="55"/>
  <c r="H73" i="55"/>
  <c r="S72" i="55"/>
  <c r="R72" i="55"/>
  <c r="M72" i="55"/>
  <c r="L72" i="55"/>
  <c r="K72" i="55"/>
  <c r="J72" i="55"/>
  <c r="I72" i="55"/>
  <c r="H72" i="55"/>
  <c r="S71" i="55"/>
  <c r="R71" i="55"/>
  <c r="M71" i="55"/>
  <c r="L71" i="55"/>
  <c r="K71" i="55"/>
  <c r="J71" i="55"/>
  <c r="I71" i="55"/>
  <c r="H71" i="55"/>
  <c r="S70" i="55"/>
  <c r="R70" i="55"/>
  <c r="M70" i="55"/>
  <c r="L70" i="55"/>
  <c r="K70" i="55"/>
  <c r="J70" i="55"/>
  <c r="I70" i="55"/>
  <c r="H70" i="55"/>
  <c r="S69" i="55"/>
  <c r="R69" i="55"/>
  <c r="M69" i="55"/>
  <c r="L69" i="55"/>
  <c r="K69" i="55"/>
  <c r="J69" i="55"/>
  <c r="I69" i="55"/>
  <c r="H69" i="55"/>
  <c r="S68" i="55"/>
  <c r="R68" i="55"/>
  <c r="M68" i="55"/>
  <c r="L68" i="55"/>
  <c r="K68" i="55"/>
  <c r="J68" i="55"/>
  <c r="I68" i="55"/>
  <c r="H68" i="55"/>
  <c r="S67" i="55"/>
  <c r="R67" i="55"/>
  <c r="M67" i="55"/>
  <c r="L67" i="55"/>
  <c r="K67" i="55"/>
  <c r="J67" i="55"/>
  <c r="I67" i="55"/>
  <c r="H67" i="55"/>
  <c r="S66" i="55"/>
  <c r="R66" i="55"/>
  <c r="M66" i="55"/>
  <c r="L66" i="55"/>
  <c r="K66" i="55"/>
  <c r="J66" i="55"/>
  <c r="I66" i="55"/>
  <c r="H66" i="55"/>
  <c r="S65" i="55"/>
  <c r="R65" i="55"/>
  <c r="M65" i="55"/>
  <c r="L65" i="55"/>
  <c r="K65" i="55"/>
  <c r="J65" i="55"/>
  <c r="I65" i="55"/>
  <c r="H65" i="55"/>
  <c r="S64" i="55"/>
  <c r="R64" i="55"/>
  <c r="M64" i="55"/>
  <c r="L64" i="55"/>
  <c r="K64" i="55"/>
  <c r="J64" i="55"/>
  <c r="I64" i="55"/>
  <c r="H64" i="55"/>
  <c r="S63" i="55"/>
  <c r="R63" i="55"/>
  <c r="M63" i="55"/>
  <c r="L63" i="55"/>
  <c r="K63" i="55"/>
  <c r="J63" i="55"/>
  <c r="I63" i="55"/>
  <c r="H63" i="55"/>
  <c r="S62" i="55"/>
  <c r="R62" i="55"/>
  <c r="M62" i="55"/>
  <c r="L62" i="55"/>
  <c r="K62" i="55"/>
  <c r="J62" i="55"/>
  <c r="I62" i="55"/>
  <c r="H62" i="55"/>
  <c r="S61" i="55"/>
  <c r="R61" i="55"/>
  <c r="M61" i="55"/>
  <c r="L61" i="55"/>
  <c r="K61" i="55"/>
  <c r="J61" i="55"/>
  <c r="I61" i="55"/>
  <c r="H61" i="55"/>
  <c r="S60" i="55"/>
  <c r="R60" i="55"/>
  <c r="M60" i="55"/>
  <c r="L60" i="55"/>
  <c r="K60" i="55"/>
  <c r="J60" i="55"/>
  <c r="I60" i="55"/>
  <c r="H60" i="55"/>
  <c r="S59" i="55"/>
  <c r="R59" i="55"/>
  <c r="M59" i="55"/>
  <c r="L59" i="55"/>
  <c r="K59" i="55"/>
  <c r="J59" i="55"/>
  <c r="I59" i="55"/>
  <c r="H59" i="55"/>
  <c r="S58" i="55"/>
  <c r="R58" i="55"/>
  <c r="M58" i="55"/>
  <c r="L58" i="55"/>
  <c r="K58" i="55"/>
  <c r="J58" i="55"/>
  <c r="I58" i="55"/>
  <c r="H58" i="55"/>
  <c r="S57" i="55"/>
  <c r="R57" i="55"/>
  <c r="M57" i="55"/>
  <c r="L57" i="55"/>
  <c r="K57" i="55"/>
  <c r="J57" i="55"/>
  <c r="I57" i="55"/>
  <c r="H57" i="55"/>
  <c r="S56" i="55"/>
  <c r="R56" i="55"/>
  <c r="M56" i="55"/>
  <c r="L56" i="55"/>
  <c r="K56" i="55"/>
  <c r="J56" i="55"/>
  <c r="I56" i="55"/>
  <c r="H56" i="55"/>
  <c r="S55" i="55"/>
  <c r="R55" i="55"/>
  <c r="M55" i="55"/>
  <c r="L55" i="55"/>
  <c r="K55" i="55"/>
  <c r="J55" i="55"/>
  <c r="I55" i="55"/>
  <c r="H55" i="55"/>
  <c r="S54" i="55"/>
  <c r="R54" i="55"/>
  <c r="M54" i="55"/>
  <c r="L54" i="55"/>
  <c r="K54" i="55"/>
  <c r="J54" i="55"/>
  <c r="I54" i="55"/>
  <c r="H54" i="55"/>
  <c r="S53" i="55"/>
  <c r="R53" i="55"/>
  <c r="M53" i="55"/>
  <c r="L53" i="55"/>
  <c r="K53" i="55"/>
  <c r="J53" i="55"/>
  <c r="I53" i="55"/>
  <c r="H53" i="55"/>
  <c r="S52" i="55"/>
  <c r="R52" i="55"/>
  <c r="M52" i="55"/>
  <c r="L52" i="55"/>
  <c r="K52" i="55"/>
  <c r="J52" i="55"/>
  <c r="I52" i="55"/>
  <c r="H52" i="55"/>
  <c r="S51" i="55"/>
  <c r="R51" i="55"/>
  <c r="M51" i="55"/>
  <c r="L51" i="55"/>
  <c r="K51" i="55"/>
  <c r="J51" i="55"/>
  <c r="I51" i="55"/>
  <c r="H51" i="55"/>
  <c r="S50" i="55"/>
  <c r="R50" i="55"/>
  <c r="M50" i="55"/>
  <c r="L50" i="55"/>
  <c r="K50" i="55"/>
  <c r="J50" i="55"/>
  <c r="I50" i="55"/>
  <c r="H50" i="55"/>
  <c r="S49" i="55"/>
  <c r="R49" i="55"/>
  <c r="M49" i="55"/>
  <c r="L49" i="55"/>
  <c r="K49" i="55"/>
  <c r="J49" i="55"/>
  <c r="I49" i="55"/>
  <c r="H49" i="55"/>
  <c r="S48" i="55"/>
  <c r="R48" i="55"/>
  <c r="M48" i="55"/>
  <c r="L48" i="55"/>
  <c r="K48" i="55"/>
  <c r="J48" i="55"/>
  <c r="I48" i="55"/>
  <c r="H48" i="55"/>
  <c r="S47" i="55"/>
  <c r="R47" i="55"/>
  <c r="M47" i="55"/>
  <c r="L47" i="55"/>
  <c r="K47" i="55"/>
  <c r="J47" i="55"/>
  <c r="I47" i="55"/>
  <c r="H47" i="55"/>
  <c r="S46" i="55"/>
  <c r="R46" i="55"/>
  <c r="M46" i="55"/>
  <c r="L46" i="55"/>
  <c r="K46" i="55"/>
  <c r="J46" i="55"/>
  <c r="I46" i="55"/>
  <c r="H46" i="55"/>
  <c r="S45" i="55"/>
  <c r="R45" i="55"/>
  <c r="M45" i="55"/>
  <c r="L45" i="55"/>
  <c r="K45" i="55"/>
  <c r="J45" i="55"/>
  <c r="I45" i="55"/>
  <c r="H45" i="55"/>
  <c r="S44" i="55"/>
  <c r="R44" i="55"/>
  <c r="M44" i="55"/>
  <c r="L44" i="55"/>
  <c r="K44" i="55"/>
  <c r="J44" i="55"/>
  <c r="I44" i="55"/>
  <c r="H44" i="55"/>
  <c r="S43" i="55"/>
  <c r="R43" i="55"/>
  <c r="M43" i="55"/>
  <c r="L43" i="55"/>
  <c r="K43" i="55"/>
  <c r="J43" i="55"/>
  <c r="I43" i="55"/>
  <c r="H43" i="55"/>
  <c r="S42" i="55"/>
  <c r="R42" i="55"/>
  <c r="M42" i="55"/>
  <c r="L42" i="55"/>
  <c r="K42" i="55"/>
  <c r="J42" i="55"/>
  <c r="I42" i="55"/>
  <c r="H42" i="55"/>
  <c r="S41" i="55"/>
  <c r="R41" i="55"/>
  <c r="M41" i="55"/>
  <c r="L41" i="55"/>
  <c r="K41" i="55"/>
  <c r="J41" i="55"/>
  <c r="I41" i="55"/>
  <c r="H41" i="55"/>
  <c r="S40" i="55"/>
  <c r="R40" i="55"/>
  <c r="M40" i="55"/>
  <c r="L40" i="55"/>
  <c r="K40" i="55"/>
  <c r="J40" i="55"/>
  <c r="I40" i="55"/>
  <c r="H40" i="55"/>
  <c r="S39" i="55"/>
  <c r="R39" i="55"/>
  <c r="M39" i="55"/>
  <c r="L39" i="55"/>
  <c r="K39" i="55"/>
  <c r="J39" i="55"/>
  <c r="I39" i="55"/>
  <c r="H39" i="55"/>
  <c r="S38" i="55"/>
  <c r="R38" i="55"/>
  <c r="M38" i="55"/>
  <c r="L38" i="55"/>
  <c r="K38" i="55"/>
  <c r="J38" i="55"/>
  <c r="I38" i="55"/>
  <c r="H38" i="55"/>
  <c r="S37" i="55"/>
  <c r="R37" i="55"/>
  <c r="M37" i="55"/>
  <c r="L37" i="55"/>
  <c r="K37" i="55"/>
  <c r="J37" i="55"/>
  <c r="I37" i="55"/>
  <c r="H37" i="55"/>
  <c r="S36" i="55"/>
  <c r="R36" i="55"/>
  <c r="M36" i="55"/>
  <c r="L36" i="55"/>
  <c r="K36" i="55"/>
  <c r="J36" i="55"/>
  <c r="I36" i="55"/>
  <c r="H36" i="55"/>
  <c r="S35" i="55"/>
  <c r="R35" i="55"/>
  <c r="M35" i="55"/>
  <c r="L35" i="55"/>
  <c r="K35" i="55"/>
  <c r="J35" i="55"/>
  <c r="I35" i="55"/>
  <c r="H35" i="55"/>
  <c r="S34" i="55"/>
  <c r="R34" i="55"/>
  <c r="M34" i="55"/>
  <c r="L34" i="55"/>
  <c r="K34" i="55"/>
  <c r="J34" i="55"/>
  <c r="I34" i="55"/>
  <c r="H34" i="55"/>
  <c r="S33" i="55"/>
  <c r="R33" i="55"/>
  <c r="M33" i="55"/>
  <c r="L33" i="55"/>
  <c r="K33" i="55"/>
  <c r="J33" i="55"/>
  <c r="I33" i="55"/>
  <c r="H33" i="55"/>
  <c r="S32" i="55"/>
  <c r="R32" i="55"/>
  <c r="M32" i="55"/>
  <c r="L32" i="55"/>
  <c r="K32" i="55"/>
  <c r="J32" i="55"/>
  <c r="I32" i="55"/>
  <c r="H32" i="55"/>
  <c r="S31" i="55"/>
  <c r="R31" i="55"/>
  <c r="M31" i="55"/>
  <c r="L31" i="55"/>
  <c r="K31" i="55"/>
  <c r="J31" i="55"/>
  <c r="I31" i="55"/>
  <c r="H31" i="55"/>
  <c r="S30" i="55"/>
  <c r="R30" i="55"/>
  <c r="M30" i="55"/>
  <c r="L30" i="55"/>
  <c r="K30" i="55"/>
  <c r="J30" i="55"/>
  <c r="I30" i="55"/>
  <c r="H30" i="55"/>
  <c r="S29" i="55"/>
  <c r="R29" i="55"/>
  <c r="M29" i="55"/>
  <c r="L29" i="55"/>
  <c r="K29" i="55"/>
  <c r="J29" i="55"/>
  <c r="I29" i="55"/>
  <c r="H29" i="55"/>
  <c r="S28" i="55"/>
  <c r="R28" i="55"/>
  <c r="M28" i="55"/>
  <c r="L28" i="55"/>
  <c r="K28" i="55"/>
  <c r="J28" i="55"/>
  <c r="I28" i="55"/>
  <c r="H28" i="55"/>
  <c r="S27" i="55"/>
  <c r="R27" i="55"/>
  <c r="M27" i="55"/>
  <c r="L27" i="55"/>
  <c r="K27" i="55"/>
  <c r="J27" i="55"/>
  <c r="I27" i="55"/>
  <c r="H27" i="55"/>
  <c r="S26" i="55"/>
  <c r="R26" i="55"/>
  <c r="M26" i="55"/>
  <c r="L26" i="55"/>
  <c r="K26" i="55"/>
  <c r="J26" i="55"/>
  <c r="I26" i="55"/>
  <c r="H26" i="55"/>
  <c r="S25" i="55"/>
  <c r="R25" i="55"/>
  <c r="M25" i="55"/>
  <c r="L25" i="55"/>
  <c r="K25" i="55"/>
  <c r="J25" i="55"/>
  <c r="I25" i="55"/>
  <c r="H25" i="55"/>
  <c r="S24" i="55"/>
  <c r="R24" i="55"/>
  <c r="M24" i="55"/>
  <c r="L24" i="55"/>
  <c r="K24" i="55"/>
  <c r="J24" i="55"/>
  <c r="I24" i="55"/>
  <c r="H24" i="55"/>
  <c r="S23" i="55"/>
  <c r="R23" i="55"/>
  <c r="M23" i="55"/>
  <c r="L23" i="55"/>
  <c r="K23" i="55"/>
  <c r="J23" i="55"/>
  <c r="I23" i="55"/>
  <c r="H23" i="55"/>
  <c r="I22" i="55"/>
  <c r="H22" i="55"/>
  <c r="I21" i="55"/>
  <c r="H21" i="55"/>
  <c r="I20" i="55"/>
  <c r="H20" i="55"/>
  <c r="I19" i="55"/>
  <c r="H19" i="55"/>
  <c r="I18" i="55"/>
  <c r="H18" i="55"/>
  <c r="I17" i="55"/>
  <c r="J17" i="55" s="1"/>
  <c r="R17" i="55" s="1"/>
  <c r="H17" i="55"/>
  <c r="R16" i="55"/>
  <c r="I16" i="55"/>
  <c r="H16" i="55"/>
  <c r="J16" i="55" s="1"/>
  <c r="I15" i="55"/>
  <c r="H15" i="55"/>
  <c r="I14" i="55"/>
  <c r="H14" i="55"/>
  <c r="I13" i="55"/>
  <c r="H13" i="55"/>
  <c r="I12" i="55"/>
  <c r="H12" i="55"/>
  <c r="I11" i="55"/>
  <c r="H11" i="55"/>
  <c r="I10" i="55"/>
  <c r="H10" i="55"/>
  <c r="J10" i="55" s="1"/>
  <c r="R10" i="55" s="1"/>
  <c r="I9" i="55"/>
  <c r="J9" i="55" s="1"/>
  <c r="R9" i="55" s="1"/>
  <c r="H9" i="55"/>
  <c r="I8" i="55"/>
  <c r="H8" i="55"/>
  <c r="J8" i="55" s="1"/>
  <c r="R8" i="55" s="1"/>
  <c r="L7" i="55"/>
  <c r="J7" i="55"/>
  <c r="R7" i="55" s="1"/>
  <c r="I7" i="55"/>
  <c r="H7" i="55"/>
  <c r="K7" i="55" s="1"/>
  <c r="K8" i="55" s="1"/>
  <c r="K9" i="55" s="1"/>
  <c r="S112" i="54"/>
  <c r="R112" i="54"/>
  <c r="M112" i="54"/>
  <c r="L112" i="54"/>
  <c r="K112" i="54"/>
  <c r="J112" i="54"/>
  <c r="I112" i="54"/>
  <c r="H112" i="54"/>
  <c r="S111" i="54"/>
  <c r="R111" i="54"/>
  <c r="M111" i="54"/>
  <c r="L111" i="54"/>
  <c r="K111" i="54"/>
  <c r="J111" i="54"/>
  <c r="I111" i="54"/>
  <c r="H111" i="54"/>
  <c r="S110" i="54"/>
  <c r="R110" i="54"/>
  <c r="M110" i="54"/>
  <c r="L110" i="54"/>
  <c r="K110" i="54"/>
  <c r="J110" i="54"/>
  <c r="I110" i="54"/>
  <c r="H110" i="54"/>
  <c r="S109" i="54"/>
  <c r="R109" i="54"/>
  <c r="M109" i="54"/>
  <c r="L109" i="54"/>
  <c r="K109" i="54"/>
  <c r="J109" i="54"/>
  <c r="I109" i="54"/>
  <c r="H109" i="54"/>
  <c r="S108" i="54"/>
  <c r="R108" i="54"/>
  <c r="M108" i="54"/>
  <c r="L108" i="54"/>
  <c r="K108" i="54"/>
  <c r="J108" i="54"/>
  <c r="I108" i="54"/>
  <c r="H108" i="54"/>
  <c r="S107" i="54"/>
  <c r="R107" i="54"/>
  <c r="M107" i="54"/>
  <c r="L107" i="54"/>
  <c r="K107" i="54"/>
  <c r="J107" i="54"/>
  <c r="I107" i="54"/>
  <c r="H107" i="54"/>
  <c r="S106" i="54"/>
  <c r="R106" i="54"/>
  <c r="M106" i="54"/>
  <c r="L106" i="54"/>
  <c r="K106" i="54"/>
  <c r="J106" i="54"/>
  <c r="I106" i="54"/>
  <c r="H106" i="54"/>
  <c r="S105" i="54"/>
  <c r="R105" i="54"/>
  <c r="M105" i="54"/>
  <c r="L105" i="54"/>
  <c r="K105" i="54"/>
  <c r="J105" i="54"/>
  <c r="I105" i="54"/>
  <c r="H105" i="54"/>
  <c r="S104" i="54"/>
  <c r="R104" i="54"/>
  <c r="M104" i="54"/>
  <c r="L104" i="54"/>
  <c r="K104" i="54"/>
  <c r="J104" i="54"/>
  <c r="I104" i="54"/>
  <c r="H104" i="54"/>
  <c r="S103" i="54"/>
  <c r="R103" i="54"/>
  <c r="M103" i="54"/>
  <c r="L103" i="54"/>
  <c r="K103" i="54"/>
  <c r="J103" i="54"/>
  <c r="I103" i="54"/>
  <c r="H103" i="54"/>
  <c r="S102" i="54"/>
  <c r="R102" i="54"/>
  <c r="M102" i="54"/>
  <c r="L102" i="54"/>
  <c r="K102" i="54"/>
  <c r="J102" i="54"/>
  <c r="I102" i="54"/>
  <c r="H102" i="54"/>
  <c r="S101" i="54"/>
  <c r="R101" i="54"/>
  <c r="M101" i="54"/>
  <c r="L101" i="54"/>
  <c r="K101" i="54"/>
  <c r="J101" i="54"/>
  <c r="I101" i="54"/>
  <c r="H101" i="54"/>
  <c r="S100" i="54"/>
  <c r="R100" i="54"/>
  <c r="M100" i="54"/>
  <c r="L100" i="54"/>
  <c r="K100" i="54"/>
  <c r="J100" i="54"/>
  <c r="I100" i="54"/>
  <c r="H100" i="54"/>
  <c r="S99" i="54"/>
  <c r="R99" i="54"/>
  <c r="M99" i="54"/>
  <c r="L99" i="54"/>
  <c r="K99" i="54"/>
  <c r="J99" i="54"/>
  <c r="I99" i="54"/>
  <c r="H99" i="54"/>
  <c r="S98" i="54"/>
  <c r="R98" i="54"/>
  <c r="M98" i="54"/>
  <c r="L98" i="54"/>
  <c r="K98" i="54"/>
  <c r="J98" i="54"/>
  <c r="I98" i="54"/>
  <c r="H98" i="54"/>
  <c r="S97" i="54"/>
  <c r="R97" i="54"/>
  <c r="M97" i="54"/>
  <c r="L97" i="54"/>
  <c r="K97" i="54"/>
  <c r="J97" i="54"/>
  <c r="I97" i="54"/>
  <c r="H97" i="54"/>
  <c r="S96" i="54"/>
  <c r="R96" i="54"/>
  <c r="M96" i="54"/>
  <c r="L96" i="54"/>
  <c r="K96" i="54"/>
  <c r="J96" i="54"/>
  <c r="I96" i="54"/>
  <c r="H96" i="54"/>
  <c r="S95" i="54"/>
  <c r="R95" i="54"/>
  <c r="M95" i="54"/>
  <c r="L95" i="54"/>
  <c r="K95" i="54"/>
  <c r="J95" i="54"/>
  <c r="I95" i="54"/>
  <c r="H95" i="54"/>
  <c r="S94" i="54"/>
  <c r="R94" i="54"/>
  <c r="M94" i="54"/>
  <c r="L94" i="54"/>
  <c r="K94" i="54"/>
  <c r="J94" i="54"/>
  <c r="I94" i="54"/>
  <c r="H94" i="54"/>
  <c r="S93" i="54"/>
  <c r="R93" i="54"/>
  <c r="M93" i="54"/>
  <c r="L93" i="54"/>
  <c r="K93" i="54"/>
  <c r="J93" i="54"/>
  <c r="I93" i="54"/>
  <c r="H93" i="54"/>
  <c r="S92" i="54"/>
  <c r="R92" i="54"/>
  <c r="M92" i="54"/>
  <c r="L92" i="54"/>
  <c r="K92" i="54"/>
  <c r="J92" i="54"/>
  <c r="I92" i="54"/>
  <c r="H92" i="54"/>
  <c r="S91" i="54"/>
  <c r="R91" i="54"/>
  <c r="M91" i="54"/>
  <c r="L91" i="54"/>
  <c r="K91" i="54"/>
  <c r="J91" i="54"/>
  <c r="I91" i="54"/>
  <c r="H91" i="54"/>
  <c r="S90" i="54"/>
  <c r="R90" i="54"/>
  <c r="M90" i="54"/>
  <c r="L90" i="54"/>
  <c r="K90" i="54"/>
  <c r="J90" i="54"/>
  <c r="I90" i="54"/>
  <c r="H90" i="54"/>
  <c r="S89" i="54"/>
  <c r="R89" i="54"/>
  <c r="M89" i="54"/>
  <c r="L89" i="54"/>
  <c r="K89" i="54"/>
  <c r="J89" i="54"/>
  <c r="I89" i="54"/>
  <c r="H89" i="54"/>
  <c r="S88" i="54"/>
  <c r="R88" i="54"/>
  <c r="M88" i="54"/>
  <c r="L88" i="54"/>
  <c r="K88" i="54"/>
  <c r="J88" i="54"/>
  <c r="I88" i="54"/>
  <c r="H88" i="54"/>
  <c r="S87" i="54"/>
  <c r="R87" i="54"/>
  <c r="M87" i="54"/>
  <c r="L87" i="54"/>
  <c r="K87" i="54"/>
  <c r="J87" i="54"/>
  <c r="I87" i="54"/>
  <c r="H87" i="54"/>
  <c r="S86" i="54"/>
  <c r="R86" i="54"/>
  <c r="M86" i="54"/>
  <c r="L86" i="54"/>
  <c r="K86" i="54"/>
  <c r="J86" i="54"/>
  <c r="I86" i="54"/>
  <c r="H86" i="54"/>
  <c r="S85" i="54"/>
  <c r="R85" i="54"/>
  <c r="M85" i="54"/>
  <c r="L85" i="54"/>
  <c r="K85" i="54"/>
  <c r="J85" i="54"/>
  <c r="I85" i="54"/>
  <c r="H85" i="54"/>
  <c r="S84" i="54"/>
  <c r="R84" i="54"/>
  <c r="M84" i="54"/>
  <c r="L84" i="54"/>
  <c r="K84" i="54"/>
  <c r="J84" i="54"/>
  <c r="I84" i="54"/>
  <c r="H84" i="54"/>
  <c r="S83" i="54"/>
  <c r="R83" i="54"/>
  <c r="M83" i="54"/>
  <c r="L83" i="54"/>
  <c r="K83" i="54"/>
  <c r="J83" i="54"/>
  <c r="I83" i="54"/>
  <c r="H83" i="54"/>
  <c r="S82" i="54"/>
  <c r="R82" i="54"/>
  <c r="M82" i="54"/>
  <c r="L82" i="54"/>
  <c r="K82" i="54"/>
  <c r="J82" i="54"/>
  <c r="I82" i="54"/>
  <c r="H82" i="54"/>
  <c r="S81" i="54"/>
  <c r="R81" i="54"/>
  <c r="M81" i="54"/>
  <c r="L81" i="54"/>
  <c r="K81" i="54"/>
  <c r="J81" i="54"/>
  <c r="I81" i="54"/>
  <c r="H81" i="54"/>
  <c r="S80" i="54"/>
  <c r="R80" i="54"/>
  <c r="M80" i="54"/>
  <c r="L80" i="54"/>
  <c r="K80" i="54"/>
  <c r="J80" i="54"/>
  <c r="I80" i="54"/>
  <c r="H80" i="54"/>
  <c r="S79" i="54"/>
  <c r="R79" i="54"/>
  <c r="M79" i="54"/>
  <c r="L79" i="54"/>
  <c r="K79" i="54"/>
  <c r="J79" i="54"/>
  <c r="I79" i="54"/>
  <c r="H79" i="54"/>
  <c r="S78" i="54"/>
  <c r="R78" i="54"/>
  <c r="M78" i="54"/>
  <c r="L78" i="54"/>
  <c r="K78" i="54"/>
  <c r="J78" i="54"/>
  <c r="I78" i="54"/>
  <c r="H78" i="54"/>
  <c r="S77" i="54"/>
  <c r="R77" i="54"/>
  <c r="M77" i="54"/>
  <c r="L77" i="54"/>
  <c r="K77" i="54"/>
  <c r="J77" i="54"/>
  <c r="I77" i="54"/>
  <c r="H77" i="54"/>
  <c r="S76" i="54"/>
  <c r="R76" i="54"/>
  <c r="M76" i="54"/>
  <c r="L76" i="54"/>
  <c r="K76" i="54"/>
  <c r="J76" i="54"/>
  <c r="I76" i="54"/>
  <c r="H76" i="54"/>
  <c r="S75" i="54"/>
  <c r="R75" i="54"/>
  <c r="M75" i="54"/>
  <c r="L75" i="54"/>
  <c r="K75" i="54"/>
  <c r="J75" i="54"/>
  <c r="I75" i="54"/>
  <c r="H75" i="54"/>
  <c r="S74" i="54"/>
  <c r="R74" i="54"/>
  <c r="M74" i="54"/>
  <c r="L74" i="54"/>
  <c r="K74" i="54"/>
  <c r="J74" i="54"/>
  <c r="I74" i="54"/>
  <c r="H74" i="54"/>
  <c r="S73" i="54"/>
  <c r="R73" i="54"/>
  <c r="M73" i="54"/>
  <c r="L73" i="54"/>
  <c r="K73" i="54"/>
  <c r="J73" i="54"/>
  <c r="I73" i="54"/>
  <c r="H73" i="54"/>
  <c r="S72" i="54"/>
  <c r="R72" i="54"/>
  <c r="M72" i="54"/>
  <c r="L72" i="54"/>
  <c r="K72" i="54"/>
  <c r="J72" i="54"/>
  <c r="I72" i="54"/>
  <c r="H72" i="54"/>
  <c r="S71" i="54"/>
  <c r="R71" i="54"/>
  <c r="M71" i="54"/>
  <c r="L71" i="54"/>
  <c r="K71" i="54"/>
  <c r="J71" i="54"/>
  <c r="I71" i="54"/>
  <c r="H71" i="54"/>
  <c r="S70" i="54"/>
  <c r="R70" i="54"/>
  <c r="M70" i="54"/>
  <c r="L70" i="54"/>
  <c r="K70" i="54"/>
  <c r="J70" i="54"/>
  <c r="I70" i="54"/>
  <c r="H70" i="54"/>
  <c r="S69" i="54"/>
  <c r="R69" i="54"/>
  <c r="M69" i="54"/>
  <c r="L69" i="54"/>
  <c r="K69" i="54"/>
  <c r="J69" i="54"/>
  <c r="I69" i="54"/>
  <c r="H69" i="54"/>
  <c r="S68" i="54"/>
  <c r="R68" i="54"/>
  <c r="M68" i="54"/>
  <c r="L68" i="54"/>
  <c r="K68" i="54"/>
  <c r="J68" i="54"/>
  <c r="I68" i="54"/>
  <c r="H68" i="54"/>
  <c r="S67" i="54"/>
  <c r="R67" i="54"/>
  <c r="M67" i="54"/>
  <c r="L67" i="54"/>
  <c r="K67" i="54"/>
  <c r="J67" i="54"/>
  <c r="I67" i="54"/>
  <c r="H67" i="54"/>
  <c r="S66" i="54"/>
  <c r="R66" i="54"/>
  <c r="M66" i="54"/>
  <c r="L66" i="54"/>
  <c r="K66" i="54"/>
  <c r="J66" i="54"/>
  <c r="I66" i="54"/>
  <c r="H66" i="54"/>
  <c r="S65" i="54"/>
  <c r="R65" i="54"/>
  <c r="M65" i="54"/>
  <c r="L65" i="54"/>
  <c r="K65" i="54"/>
  <c r="J65" i="54"/>
  <c r="I65" i="54"/>
  <c r="H65" i="54"/>
  <c r="S64" i="54"/>
  <c r="R64" i="54"/>
  <c r="M64" i="54"/>
  <c r="L64" i="54"/>
  <c r="K64" i="54"/>
  <c r="J64" i="54"/>
  <c r="I64" i="54"/>
  <c r="H64" i="54"/>
  <c r="S63" i="54"/>
  <c r="R63" i="54"/>
  <c r="M63" i="54"/>
  <c r="L63" i="54"/>
  <c r="K63" i="54"/>
  <c r="J63" i="54"/>
  <c r="I63" i="54"/>
  <c r="H63" i="54"/>
  <c r="S62" i="54"/>
  <c r="R62" i="54"/>
  <c r="M62" i="54"/>
  <c r="L62" i="54"/>
  <c r="K62" i="54"/>
  <c r="J62" i="54"/>
  <c r="I62" i="54"/>
  <c r="H62" i="54"/>
  <c r="S61" i="54"/>
  <c r="R61" i="54"/>
  <c r="M61" i="54"/>
  <c r="L61" i="54"/>
  <c r="K61" i="54"/>
  <c r="J61" i="54"/>
  <c r="I61" i="54"/>
  <c r="H61" i="54"/>
  <c r="S60" i="54"/>
  <c r="R60" i="54"/>
  <c r="M60" i="54"/>
  <c r="L60" i="54"/>
  <c r="K60" i="54"/>
  <c r="J60" i="54"/>
  <c r="I60" i="54"/>
  <c r="H60" i="54"/>
  <c r="S59" i="54"/>
  <c r="R59" i="54"/>
  <c r="M59" i="54"/>
  <c r="L59" i="54"/>
  <c r="K59" i="54"/>
  <c r="J59" i="54"/>
  <c r="I59" i="54"/>
  <c r="H59" i="54"/>
  <c r="S58" i="54"/>
  <c r="R58" i="54"/>
  <c r="M58" i="54"/>
  <c r="L58" i="54"/>
  <c r="K58" i="54"/>
  <c r="J58" i="54"/>
  <c r="I58" i="54"/>
  <c r="H58" i="54"/>
  <c r="S57" i="54"/>
  <c r="R57" i="54"/>
  <c r="M57" i="54"/>
  <c r="L57" i="54"/>
  <c r="K57" i="54"/>
  <c r="J57" i="54"/>
  <c r="I57" i="54"/>
  <c r="H57" i="54"/>
  <c r="S56" i="54"/>
  <c r="R56" i="54"/>
  <c r="M56" i="54"/>
  <c r="L56" i="54"/>
  <c r="K56" i="54"/>
  <c r="J56" i="54"/>
  <c r="I56" i="54"/>
  <c r="H56" i="54"/>
  <c r="S55" i="54"/>
  <c r="R55" i="54"/>
  <c r="M55" i="54"/>
  <c r="L55" i="54"/>
  <c r="K55" i="54"/>
  <c r="J55" i="54"/>
  <c r="I55" i="54"/>
  <c r="H55" i="54"/>
  <c r="S54" i="54"/>
  <c r="R54" i="54"/>
  <c r="M54" i="54"/>
  <c r="L54" i="54"/>
  <c r="K54" i="54"/>
  <c r="J54" i="54"/>
  <c r="I54" i="54"/>
  <c r="H54" i="54"/>
  <c r="S53" i="54"/>
  <c r="R53" i="54"/>
  <c r="M53" i="54"/>
  <c r="L53" i="54"/>
  <c r="K53" i="54"/>
  <c r="J53" i="54"/>
  <c r="I53" i="54"/>
  <c r="H53" i="54"/>
  <c r="S52" i="54"/>
  <c r="R52" i="54"/>
  <c r="M52" i="54"/>
  <c r="L52" i="54"/>
  <c r="K52" i="54"/>
  <c r="J52" i="54"/>
  <c r="I52" i="54"/>
  <c r="H52" i="54"/>
  <c r="S51" i="54"/>
  <c r="R51" i="54"/>
  <c r="M51" i="54"/>
  <c r="L51" i="54"/>
  <c r="K51" i="54"/>
  <c r="J51" i="54"/>
  <c r="I51" i="54"/>
  <c r="H51" i="54"/>
  <c r="S50" i="54"/>
  <c r="R50" i="54"/>
  <c r="M50" i="54"/>
  <c r="L50" i="54"/>
  <c r="K50" i="54"/>
  <c r="J50" i="54"/>
  <c r="I50" i="54"/>
  <c r="H50" i="54"/>
  <c r="S49" i="54"/>
  <c r="R49" i="54"/>
  <c r="M49" i="54"/>
  <c r="L49" i="54"/>
  <c r="K49" i="54"/>
  <c r="J49" i="54"/>
  <c r="I49" i="54"/>
  <c r="H49" i="54"/>
  <c r="S48" i="54"/>
  <c r="R48" i="54"/>
  <c r="M48" i="54"/>
  <c r="L48" i="54"/>
  <c r="K48" i="54"/>
  <c r="J48" i="54"/>
  <c r="I48" i="54"/>
  <c r="H48" i="54"/>
  <c r="S47" i="54"/>
  <c r="R47" i="54"/>
  <c r="M47" i="54"/>
  <c r="L47" i="54"/>
  <c r="K47" i="54"/>
  <c r="J47" i="54"/>
  <c r="I47" i="54"/>
  <c r="H47" i="54"/>
  <c r="S46" i="54"/>
  <c r="R46" i="54"/>
  <c r="M46" i="54"/>
  <c r="L46" i="54"/>
  <c r="K46" i="54"/>
  <c r="J46" i="54"/>
  <c r="I46" i="54"/>
  <c r="H46" i="54"/>
  <c r="S45" i="54"/>
  <c r="R45" i="54"/>
  <c r="M45" i="54"/>
  <c r="L45" i="54"/>
  <c r="K45" i="54"/>
  <c r="J45" i="54"/>
  <c r="I45" i="54"/>
  <c r="H45" i="54"/>
  <c r="S44" i="54"/>
  <c r="R44" i="54"/>
  <c r="M44" i="54"/>
  <c r="L44" i="54"/>
  <c r="K44" i="54"/>
  <c r="J44" i="54"/>
  <c r="I44" i="54"/>
  <c r="H44" i="54"/>
  <c r="S43" i="54"/>
  <c r="R43" i="54"/>
  <c r="M43" i="54"/>
  <c r="L43" i="54"/>
  <c r="K43" i="54"/>
  <c r="J43" i="54"/>
  <c r="I43" i="54"/>
  <c r="H43" i="54"/>
  <c r="S42" i="54"/>
  <c r="R42" i="54"/>
  <c r="M42" i="54"/>
  <c r="L42" i="54"/>
  <c r="K42" i="54"/>
  <c r="J42" i="54"/>
  <c r="I42" i="54"/>
  <c r="H42" i="54"/>
  <c r="S41" i="54"/>
  <c r="R41" i="54"/>
  <c r="M41" i="54"/>
  <c r="L41" i="54"/>
  <c r="K41" i="54"/>
  <c r="J41" i="54"/>
  <c r="I41" i="54"/>
  <c r="H41" i="54"/>
  <c r="S40" i="54"/>
  <c r="R40" i="54"/>
  <c r="M40" i="54"/>
  <c r="L40" i="54"/>
  <c r="K40" i="54"/>
  <c r="J40" i="54"/>
  <c r="I40" i="54"/>
  <c r="H40" i="54"/>
  <c r="S39" i="54"/>
  <c r="R39" i="54"/>
  <c r="M39" i="54"/>
  <c r="L39" i="54"/>
  <c r="K39" i="54"/>
  <c r="J39" i="54"/>
  <c r="I39" i="54"/>
  <c r="H39" i="54"/>
  <c r="S38" i="54"/>
  <c r="R38" i="54"/>
  <c r="M38" i="54"/>
  <c r="L38" i="54"/>
  <c r="K38" i="54"/>
  <c r="J38" i="54"/>
  <c r="I38" i="54"/>
  <c r="H38" i="54"/>
  <c r="S37" i="54"/>
  <c r="R37" i="54"/>
  <c r="M37" i="54"/>
  <c r="L37" i="54"/>
  <c r="K37" i="54"/>
  <c r="J37" i="54"/>
  <c r="I37" i="54"/>
  <c r="H37" i="54"/>
  <c r="S36" i="54"/>
  <c r="R36" i="54"/>
  <c r="M36" i="54"/>
  <c r="L36" i="54"/>
  <c r="K36" i="54"/>
  <c r="J36" i="54"/>
  <c r="I36" i="54"/>
  <c r="H36" i="54"/>
  <c r="S35" i="54"/>
  <c r="R35" i="54"/>
  <c r="M35" i="54"/>
  <c r="L35" i="54"/>
  <c r="K35" i="54"/>
  <c r="J35" i="54"/>
  <c r="I35" i="54"/>
  <c r="H35" i="54"/>
  <c r="S34" i="54"/>
  <c r="R34" i="54"/>
  <c r="M34" i="54"/>
  <c r="L34" i="54"/>
  <c r="K34" i="54"/>
  <c r="J34" i="54"/>
  <c r="I34" i="54"/>
  <c r="H34" i="54"/>
  <c r="S33" i="54"/>
  <c r="R33" i="54"/>
  <c r="M33" i="54"/>
  <c r="L33" i="54"/>
  <c r="K33" i="54"/>
  <c r="J33" i="54"/>
  <c r="I33" i="54"/>
  <c r="H33" i="54"/>
  <c r="S32" i="54"/>
  <c r="R32" i="54"/>
  <c r="M32" i="54"/>
  <c r="L32" i="54"/>
  <c r="K32" i="54"/>
  <c r="J32" i="54"/>
  <c r="I32" i="54"/>
  <c r="H32" i="54"/>
  <c r="S31" i="54"/>
  <c r="R31" i="54"/>
  <c r="M31" i="54"/>
  <c r="L31" i="54"/>
  <c r="K31" i="54"/>
  <c r="J31" i="54"/>
  <c r="I31" i="54"/>
  <c r="H31" i="54"/>
  <c r="S30" i="54"/>
  <c r="R30" i="54"/>
  <c r="M30" i="54"/>
  <c r="L30" i="54"/>
  <c r="K30" i="54"/>
  <c r="J30" i="54"/>
  <c r="I30" i="54"/>
  <c r="H30" i="54"/>
  <c r="S29" i="54"/>
  <c r="R29" i="54"/>
  <c r="M29" i="54"/>
  <c r="L29" i="54"/>
  <c r="K29" i="54"/>
  <c r="J29" i="54"/>
  <c r="I29" i="54"/>
  <c r="H29" i="54"/>
  <c r="S28" i="54"/>
  <c r="R28" i="54"/>
  <c r="M28" i="54"/>
  <c r="L28" i="54"/>
  <c r="K28" i="54"/>
  <c r="J28" i="54"/>
  <c r="I28" i="54"/>
  <c r="H28" i="54"/>
  <c r="S27" i="54"/>
  <c r="R27" i="54"/>
  <c r="M27" i="54"/>
  <c r="L27" i="54"/>
  <c r="K27" i="54"/>
  <c r="J27" i="54"/>
  <c r="I27" i="54"/>
  <c r="H27" i="54"/>
  <c r="I26" i="54"/>
  <c r="H26" i="54"/>
  <c r="J26" i="54" s="1"/>
  <c r="R26" i="54" s="1"/>
  <c r="I25" i="54"/>
  <c r="H25" i="54"/>
  <c r="J25" i="54" s="1"/>
  <c r="R25" i="54" s="1"/>
  <c r="I24" i="54"/>
  <c r="H24" i="54"/>
  <c r="J24" i="54" s="1"/>
  <c r="R24" i="54" s="1"/>
  <c r="I23" i="54"/>
  <c r="H23" i="54"/>
  <c r="J23" i="54" s="1"/>
  <c r="R23" i="54" s="1"/>
  <c r="I22" i="54"/>
  <c r="H22" i="54"/>
  <c r="I21" i="54"/>
  <c r="H21" i="54"/>
  <c r="J21" i="54" s="1"/>
  <c r="R21" i="54" s="1"/>
  <c r="I20" i="54"/>
  <c r="H20" i="54"/>
  <c r="J20" i="54" s="1"/>
  <c r="R20" i="54" s="1"/>
  <c r="I19" i="54"/>
  <c r="H19" i="54"/>
  <c r="J19" i="54" s="1"/>
  <c r="R19" i="54" s="1"/>
  <c r="I18" i="54"/>
  <c r="H18" i="54"/>
  <c r="J18" i="54" s="1"/>
  <c r="R18" i="54" s="1"/>
  <c r="I17" i="54"/>
  <c r="H17" i="54"/>
  <c r="J17" i="54" s="1"/>
  <c r="R17" i="54" s="1"/>
  <c r="I16" i="54"/>
  <c r="H16" i="54"/>
  <c r="J16" i="54" s="1"/>
  <c r="R16" i="54" s="1"/>
  <c r="I15" i="54"/>
  <c r="H15" i="54"/>
  <c r="J15" i="54" s="1"/>
  <c r="R15" i="54" s="1"/>
  <c r="I14" i="54"/>
  <c r="H14" i="54"/>
  <c r="I13" i="54"/>
  <c r="H13" i="54"/>
  <c r="J13" i="54" s="1"/>
  <c r="R13" i="54" s="1"/>
  <c r="I12" i="54"/>
  <c r="H12" i="54"/>
  <c r="J12" i="54" s="1"/>
  <c r="R12" i="54" s="1"/>
  <c r="I11" i="54"/>
  <c r="H11" i="54"/>
  <c r="J11" i="54" s="1"/>
  <c r="R11" i="54" s="1"/>
  <c r="I10" i="54"/>
  <c r="H10" i="54"/>
  <c r="I9" i="54"/>
  <c r="H9" i="54"/>
  <c r="J9" i="54" s="1"/>
  <c r="R9" i="54" s="1"/>
  <c r="I8" i="54"/>
  <c r="H8" i="54"/>
  <c r="J8" i="54" s="1"/>
  <c r="R8" i="54" s="1"/>
  <c r="I7" i="54"/>
  <c r="L7" i="54" s="1"/>
  <c r="H7" i="54"/>
  <c r="K7" i="54" s="1"/>
  <c r="J12" i="55" l="1"/>
  <c r="R12" i="55" s="1"/>
  <c r="J14" i="55"/>
  <c r="R14" i="55" s="1"/>
  <c r="J19" i="55"/>
  <c r="R19" i="55" s="1"/>
  <c r="J21" i="55"/>
  <c r="R21" i="55" s="1"/>
  <c r="K46" i="56"/>
  <c r="J11" i="55"/>
  <c r="R11" i="55" s="1"/>
  <c r="J13" i="55"/>
  <c r="R13" i="55" s="1"/>
  <c r="J15" i="55"/>
  <c r="R15" i="55" s="1"/>
  <c r="J20" i="55"/>
  <c r="R20" i="55" s="1"/>
  <c r="J22" i="55"/>
  <c r="R22" i="55" s="1"/>
  <c r="M30" i="56"/>
  <c r="S30" i="56" s="1"/>
  <c r="L31" i="56"/>
  <c r="M14" i="60"/>
  <c r="S14" i="60" s="1"/>
  <c r="L15" i="60"/>
  <c r="M7" i="55"/>
  <c r="S7" i="55" s="1"/>
  <c r="M13" i="59"/>
  <c r="S13" i="59" s="1"/>
  <c r="L14" i="59"/>
  <c r="L14" i="58"/>
  <c r="M13" i="58"/>
  <c r="S13" i="58" s="1"/>
  <c r="L32" i="57"/>
  <c r="M31" i="57"/>
  <c r="S31" i="57" s="1"/>
  <c r="L12" i="57"/>
  <c r="M11" i="57"/>
  <c r="S11" i="57" s="1"/>
  <c r="M10" i="56"/>
  <c r="S10" i="56" s="1"/>
  <c r="L11" i="56"/>
  <c r="J18" i="55"/>
  <c r="R18" i="55" s="1"/>
  <c r="K10" i="55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L8" i="55"/>
  <c r="J22" i="54"/>
  <c r="R22" i="54" s="1"/>
  <c r="J14" i="54"/>
  <c r="R14" i="54" s="1"/>
  <c r="J10" i="54"/>
  <c r="R10" i="54" s="1"/>
  <c r="K8" i="54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M7" i="54"/>
  <c r="S7" i="54" s="1"/>
  <c r="L8" i="54"/>
  <c r="J7" i="54"/>
  <c r="R7" i="54" s="1"/>
  <c r="S112" i="53"/>
  <c r="R112" i="53"/>
  <c r="M112" i="53"/>
  <c r="L112" i="53"/>
  <c r="K112" i="53"/>
  <c r="J112" i="53"/>
  <c r="I112" i="53"/>
  <c r="H112" i="53"/>
  <c r="S111" i="53"/>
  <c r="R111" i="53"/>
  <c r="M111" i="53"/>
  <c r="L111" i="53"/>
  <c r="K111" i="53"/>
  <c r="J111" i="53"/>
  <c r="I111" i="53"/>
  <c r="H111" i="53"/>
  <c r="S110" i="53"/>
  <c r="R110" i="53"/>
  <c r="M110" i="53"/>
  <c r="L110" i="53"/>
  <c r="K110" i="53"/>
  <c r="J110" i="53"/>
  <c r="I110" i="53"/>
  <c r="H110" i="53"/>
  <c r="S109" i="53"/>
  <c r="R109" i="53"/>
  <c r="M109" i="53"/>
  <c r="L109" i="53"/>
  <c r="K109" i="53"/>
  <c r="J109" i="53"/>
  <c r="I109" i="53"/>
  <c r="H109" i="53"/>
  <c r="S108" i="53"/>
  <c r="R108" i="53"/>
  <c r="M108" i="53"/>
  <c r="L108" i="53"/>
  <c r="K108" i="53"/>
  <c r="J108" i="53"/>
  <c r="I108" i="53"/>
  <c r="H108" i="53"/>
  <c r="S107" i="53"/>
  <c r="R107" i="53"/>
  <c r="M107" i="53"/>
  <c r="L107" i="53"/>
  <c r="K107" i="53"/>
  <c r="J107" i="53"/>
  <c r="I107" i="53"/>
  <c r="H107" i="53"/>
  <c r="S106" i="53"/>
  <c r="R106" i="53"/>
  <c r="M106" i="53"/>
  <c r="L106" i="53"/>
  <c r="K106" i="53"/>
  <c r="J106" i="53"/>
  <c r="I106" i="53"/>
  <c r="H106" i="53"/>
  <c r="S105" i="53"/>
  <c r="R105" i="53"/>
  <c r="M105" i="53"/>
  <c r="L105" i="53"/>
  <c r="K105" i="53"/>
  <c r="J105" i="53"/>
  <c r="I105" i="53"/>
  <c r="H105" i="53"/>
  <c r="S104" i="53"/>
  <c r="R104" i="53"/>
  <c r="M104" i="53"/>
  <c r="L104" i="53"/>
  <c r="K104" i="53"/>
  <c r="J104" i="53"/>
  <c r="I104" i="53"/>
  <c r="H104" i="53"/>
  <c r="S103" i="53"/>
  <c r="R103" i="53"/>
  <c r="M103" i="53"/>
  <c r="L103" i="53"/>
  <c r="K103" i="53"/>
  <c r="J103" i="53"/>
  <c r="I103" i="53"/>
  <c r="H103" i="53"/>
  <c r="S102" i="53"/>
  <c r="R102" i="53"/>
  <c r="M102" i="53"/>
  <c r="L102" i="53"/>
  <c r="K102" i="53"/>
  <c r="J102" i="53"/>
  <c r="I102" i="53"/>
  <c r="H102" i="53"/>
  <c r="S101" i="53"/>
  <c r="R101" i="53"/>
  <c r="M101" i="53"/>
  <c r="L101" i="53"/>
  <c r="K101" i="53"/>
  <c r="J101" i="53"/>
  <c r="I101" i="53"/>
  <c r="H101" i="53"/>
  <c r="S100" i="53"/>
  <c r="R100" i="53"/>
  <c r="M100" i="53"/>
  <c r="L100" i="53"/>
  <c r="K100" i="53"/>
  <c r="J100" i="53"/>
  <c r="I100" i="53"/>
  <c r="H100" i="53"/>
  <c r="S99" i="53"/>
  <c r="R99" i="53"/>
  <c r="M99" i="53"/>
  <c r="L99" i="53"/>
  <c r="K99" i="53"/>
  <c r="J99" i="53"/>
  <c r="I99" i="53"/>
  <c r="H99" i="53"/>
  <c r="S98" i="53"/>
  <c r="R98" i="53"/>
  <c r="M98" i="53"/>
  <c r="L98" i="53"/>
  <c r="K98" i="53"/>
  <c r="J98" i="53"/>
  <c r="I98" i="53"/>
  <c r="H98" i="53"/>
  <c r="S97" i="53"/>
  <c r="R97" i="53"/>
  <c r="M97" i="53"/>
  <c r="L97" i="53"/>
  <c r="K97" i="53"/>
  <c r="J97" i="53"/>
  <c r="I97" i="53"/>
  <c r="H97" i="53"/>
  <c r="S96" i="53"/>
  <c r="R96" i="53"/>
  <c r="M96" i="53"/>
  <c r="L96" i="53"/>
  <c r="K96" i="53"/>
  <c r="J96" i="53"/>
  <c r="I96" i="53"/>
  <c r="H96" i="53"/>
  <c r="S95" i="53"/>
  <c r="R95" i="53"/>
  <c r="M95" i="53"/>
  <c r="L95" i="53"/>
  <c r="K95" i="53"/>
  <c r="J95" i="53"/>
  <c r="I95" i="53"/>
  <c r="H95" i="53"/>
  <c r="S94" i="53"/>
  <c r="R94" i="53"/>
  <c r="M94" i="53"/>
  <c r="L94" i="53"/>
  <c r="K94" i="53"/>
  <c r="J94" i="53"/>
  <c r="I94" i="53"/>
  <c r="H94" i="53"/>
  <c r="S93" i="53"/>
  <c r="R93" i="53"/>
  <c r="M93" i="53"/>
  <c r="L93" i="53"/>
  <c r="K93" i="53"/>
  <c r="J93" i="53"/>
  <c r="I93" i="53"/>
  <c r="H93" i="53"/>
  <c r="S92" i="53"/>
  <c r="R92" i="53"/>
  <c r="M92" i="53"/>
  <c r="L92" i="53"/>
  <c r="K92" i="53"/>
  <c r="J92" i="53"/>
  <c r="I92" i="53"/>
  <c r="H92" i="53"/>
  <c r="S91" i="53"/>
  <c r="R91" i="53"/>
  <c r="M91" i="53"/>
  <c r="L91" i="53"/>
  <c r="K91" i="53"/>
  <c r="J91" i="53"/>
  <c r="I91" i="53"/>
  <c r="H91" i="53"/>
  <c r="S90" i="53"/>
  <c r="R90" i="53"/>
  <c r="M90" i="53"/>
  <c r="L90" i="53"/>
  <c r="K90" i="53"/>
  <c r="J90" i="53"/>
  <c r="I90" i="53"/>
  <c r="H90" i="53"/>
  <c r="S89" i="53"/>
  <c r="R89" i="53"/>
  <c r="M89" i="53"/>
  <c r="L89" i="53"/>
  <c r="K89" i="53"/>
  <c r="J89" i="53"/>
  <c r="I89" i="53"/>
  <c r="H89" i="53"/>
  <c r="S88" i="53"/>
  <c r="R88" i="53"/>
  <c r="M88" i="53"/>
  <c r="L88" i="53"/>
  <c r="K88" i="53"/>
  <c r="J88" i="53"/>
  <c r="I88" i="53"/>
  <c r="H88" i="53"/>
  <c r="S87" i="53"/>
  <c r="R87" i="53"/>
  <c r="M87" i="53"/>
  <c r="L87" i="53"/>
  <c r="K87" i="53"/>
  <c r="J87" i="53"/>
  <c r="I87" i="53"/>
  <c r="H87" i="53"/>
  <c r="S86" i="53"/>
  <c r="R86" i="53"/>
  <c r="M86" i="53"/>
  <c r="L86" i="53"/>
  <c r="K86" i="53"/>
  <c r="J86" i="53"/>
  <c r="I86" i="53"/>
  <c r="H86" i="53"/>
  <c r="S85" i="53"/>
  <c r="R85" i="53"/>
  <c r="M85" i="53"/>
  <c r="L85" i="53"/>
  <c r="K85" i="53"/>
  <c r="J85" i="53"/>
  <c r="I85" i="53"/>
  <c r="H85" i="53"/>
  <c r="S84" i="53"/>
  <c r="R84" i="53"/>
  <c r="M84" i="53"/>
  <c r="L84" i="53"/>
  <c r="K84" i="53"/>
  <c r="J84" i="53"/>
  <c r="I84" i="53"/>
  <c r="H84" i="53"/>
  <c r="S83" i="53"/>
  <c r="R83" i="53"/>
  <c r="M83" i="53"/>
  <c r="L83" i="53"/>
  <c r="K83" i="53"/>
  <c r="J83" i="53"/>
  <c r="I83" i="53"/>
  <c r="H83" i="53"/>
  <c r="S82" i="53"/>
  <c r="R82" i="53"/>
  <c r="M82" i="53"/>
  <c r="L82" i="53"/>
  <c r="K82" i="53"/>
  <c r="J82" i="53"/>
  <c r="I82" i="53"/>
  <c r="H82" i="53"/>
  <c r="S81" i="53"/>
  <c r="R81" i="53"/>
  <c r="M81" i="53"/>
  <c r="L81" i="53"/>
  <c r="K81" i="53"/>
  <c r="J81" i="53"/>
  <c r="I81" i="53"/>
  <c r="H81" i="53"/>
  <c r="S80" i="53"/>
  <c r="R80" i="53"/>
  <c r="M80" i="53"/>
  <c r="L80" i="53"/>
  <c r="K80" i="53"/>
  <c r="J80" i="53"/>
  <c r="I80" i="53"/>
  <c r="H80" i="53"/>
  <c r="S79" i="53"/>
  <c r="R79" i="53"/>
  <c r="M79" i="53"/>
  <c r="L79" i="53"/>
  <c r="K79" i="53"/>
  <c r="J79" i="53"/>
  <c r="I79" i="53"/>
  <c r="H79" i="53"/>
  <c r="S78" i="53"/>
  <c r="R78" i="53"/>
  <c r="M78" i="53"/>
  <c r="L78" i="53"/>
  <c r="K78" i="53"/>
  <c r="J78" i="53"/>
  <c r="I78" i="53"/>
  <c r="H78" i="53"/>
  <c r="S77" i="53"/>
  <c r="R77" i="53"/>
  <c r="M77" i="53"/>
  <c r="L77" i="53"/>
  <c r="K77" i="53"/>
  <c r="J77" i="53"/>
  <c r="I77" i="53"/>
  <c r="H77" i="53"/>
  <c r="S76" i="53"/>
  <c r="R76" i="53"/>
  <c r="M76" i="53"/>
  <c r="L76" i="53"/>
  <c r="K76" i="53"/>
  <c r="J76" i="53"/>
  <c r="I76" i="53"/>
  <c r="H76" i="53"/>
  <c r="S75" i="53"/>
  <c r="R75" i="53"/>
  <c r="M75" i="53"/>
  <c r="L75" i="53"/>
  <c r="K75" i="53"/>
  <c r="J75" i="53"/>
  <c r="I75" i="53"/>
  <c r="H75" i="53"/>
  <c r="S74" i="53"/>
  <c r="R74" i="53"/>
  <c r="M74" i="53"/>
  <c r="L74" i="53"/>
  <c r="K74" i="53"/>
  <c r="J74" i="53"/>
  <c r="I74" i="53"/>
  <c r="H74" i="53"/>
  <c r="S73" i="53"/>
  <c r="R73" i="53"/>
  <c r="M73" i="53"/>
  <c r="L73" i="53"/>
  <c r="K73" i="53"/>
  <c r="J73" i="53"/>
  <c r="I73" i="53"/>
  <c r="H73" i="53"/>
  <c r="S72" i="53"/>
  <c r="R72" i="53"/>
  <c r="M72" i="53"/>
  <c r="L72" i="53"/>
  <c r="K72" i="53"/>
  <c r="J72" i="53"/>
  <c r="I72" i="53"/>
  <c r="H72" i="53"/>
  <c r="S71" i="53"/>
  <c r="R71" i="53"/>
  <c r="M71" i="53"/>
  <c r="L71" i="53"/>
  <c r="K71" i="53"/>
  <c r="J71" i="53"/>
  <c r="I71" i="53"/>
  <c r="H71" i="53"/>
  <c r="S70" i="53"/>
  <c r="R70" i="53"/>
  <c r="M70" i="53"/>
  <c r="L70" i="53"/>
  <c r="K70" i="53"/>
  <c r="J70" i="53"/>
  <c r="I70" i="53"/>
  <c r="H70" i="53"/>
  <c r="S69" i="53"/>
  <c r="R69" i="53"/>
  <c r="M69" i="53"/>
  <c r="L69" i="53"/>
  <c r="K69" i="53"/>
  <c r="J69" i="53"/>
  <c r="I69" i="53"/>
  <c r="H69" i="53"/>
  <c r="S68" i="53"/>
  <c r="R68" i="53"/>
  <c r="M68" i="53"/>
  <c r="L68" i="53"/>
  <c r="K68" i="53"/>
  <c r="J68" i="53"/>
  <c r="I68" i="53"/>
  <c r="H68" i="53"/>
  <c r="S67" i="53"/>
  <c r="R67" i="53"/>
  <c r="M67" i="53"/>
  <c r="L67" i="53"/>
  <c r="K67" i="53"/>
  <c r="J67" i="53"/>
  <c r="I67" i="53"/>
  <c r="H67" i="53"/>
  <c r="S66" i="53"/>
  <c r="R66" i="53"/>
  <c r="M66" i="53"/>
  <c r="L66" i="53"/>
  <c r="K66" i="53"/>
  <c r="J66" i="53"/>
  <c r="I66" i="53"/>
  <c r="H66" i="53"/>
  <c r="S65" i="53"/>
  <c r="R65" i="53"/>
  <c r="M65" i="53"/>
  <c r="L65" i="53"/>
  <c r="K65" i="53"/>
  <c r="J65" i="53"/>
  <c r="I65" i="53"/>
  <c r="H65" i="53"/>
  <c r="S64" i="53"/>
  <c r="R64" i="53"/>
  <c r="M64" i="53"/>
  <c r="L64" i="53"/>
  <c r="K64" i="53"/>
  <c r="J64" i="53"/>
  <c r="I64" i="53"/>
  <c r="H64" i="53"/>
  <c r="S63" i="53"/>
  <c r="R63" i="53"/>
  <c r="M63" i="53"/>
  <c r="L63" i="53"/>
  <c r="K63" i="53"/>
  <c r="J63" i="53"/>
  <c r="I63" i="53"/>
  <c r="H63" i="53"/>
  <c r="S62" i="53"/>
  <c r="R62" i="53"/>
  <c r="M62" i="53"/>
  <c r="L62" i="53"/>
  <c r="K62" i="53"/>
  <c r="J62" i="53"/>
  <c r="I62" i="53"/>
  <c r="H62" i="53"/>
  <c r="S61" i="53"/>
  <c r="R61" i="53"/>
  <c r="M61" i="53"/>
  <c r="L61" i="53"/>
  <c r="K61" i="53"/>
  <c r="J61" i="53"/>
  <c r="I61" i="53"/>
  <c r="H61" i="53"/>
  <c r="S60" i="53"/>
  <c r="R60" i="53"/>
  <c r="M60" i="53"/>
  <c r="L60" i="53"/>
  <c r="K60" i="53"/>
  <c r="J60" i="53"/>
  <c r="I60" i="53"/>
  <c r="H60" i="53"/>
  <c r="S59" i="53"/>
  <c r="R59" i="53"/>
  <c r="M59" i="53"/>
  <c r="L59" i="53"/>
  <c r="K59" i="53"/>
  <c r="J59" i="53"/>
  <c r="I59" i="53"/>
  <c r="H59" i="53"/>
  <c r="S58" i="53"/>
  <c r="R58" i="53"/>
  <c r="M58" i="53"/>
  <c r="L58" i="53"/>
  <c r="K58" i="53"/>
  <c r="J58" i="53"/>
  <c r="I58" i="53"/>
  <c r="H58" i="53"/>
  <c r="S57" i="53"/>
  <c r="R57" i="53"/>
  <c r="M57" i="53"/>
  <c r="L57" i="53"/>
  <c r="K57" i="53"/>
  <c r="J57" i="53"/>
  <c r="I57" i="53"/>
  <c r="H57" i="53"/>
  <c r="S56" i="53"/>
  <c r="R56" i="53"/>
  <c r="M56" i="53"/>
  <c r="L56" i="53"/>
  <c r="K56" i="53"/>
  <c r="J56" i="53"/>
  <c r="I56" i="53"/>
  <c r="H56" i="53"/>
  <c r="S55" i="53"/>
  <c r="R55" i="53"/>
  <c r="M55" i="53"/>
  <c r="L55" i="53"/>
  <c r="K55" i="53"/>
  <c r="J55" i="53"/>
  <c r="I55" i="53"/>
  <c r="H55" i="53"/>
  <c r="S54" i="53"/>
  <c r="R54" i="53"/>
  <c r="M54" i="53"/>
  <c r="L54" i="53"/>
  <c r="K54" i="53"/>
  <c r="J54" i="53"/>
  <c r="I54" i="53"/>
  <c r="H54" i="53"/>
  <c r="S53" i="53"/>
  <c r="R53" i="53"/>
  <c r="M53" i="53"/>
  <c r="L53" i="53"/>
  <c r="K53" i="53"/>
  <c r="J53" i="53"/>
  <c r="I53" i="53"/>
  <c r="H53" i="53"/>
  <c r="S52" i="53"/>
  <c r="R52" i="53"/>
  <c r="M52" i="53"/>
  <c r="L52" i="53"/>
  <c r="K52" i="53"/>
  <c r="J52" i="53"/>
  <c r="I52" i="53"/>
  <c r="H52" i="53"/>
  <c r="S51" i="53"/>
  <c r="R51" i="53"/>
  <c r="M51" i="53"/>
  <c r="L51" i="53"/>
  <c r="K51" i="53"/>
  <c r="J51" i="53"/>
  <c r="I51" i="53"/>
  <c r="H51" i="53"/>
  <c r="S50" i="53"/>
  <c r="R50" i="53"/>
  <c r="M50" i="53"/>
  <c r="L50" i="53"/>
  <c r="K50" i="53"/>
  <c r="J50" i="53"/>
  <c r="I50" i="53"/>
  <c r="H50" i="53"/>
  <c r="S49" i="53"/>
  <c r="R49" i="53"/>
  <c r="M49" i="53"/>
  <c r="L49" i="53"/>
  <c r="K49" i="53"/>
  <c r="J49" i="53"/>
  <c r="I49" i="53"/>
  <c r="H49" i="53"/>
  <c r="S48" i="53"/>
  <c r="R48" i="53"/>
  <c r="M48" i="53"/>
  <c r="L48" i="53"/>
  <c r="K48" i="53"/>
  <c r="J48" i="53"/>
  <c r="I48" i="53"/>
  <c r="H48" i="53"/>
  <c r="S47" i="53"/>
  <c r="R47" i="53"/>
  <c r="M47" i="53"/>
  <c r="L47" i="53"/>
  <c r="K47" i="53"/>
  <c r="J47" i="53"/>
  <c r="I47" i="53"/>
  <c r="H47" i="53"/>
  <c r="S46" i="53"/>
  <c r="R46" i="53"/>
  <c r="M46" i="53"/>
  <c r="L46" i="53"/>
  <c r="K46" i="53"/>
  <c r="J46" i="53"/>
  <c r="I46" i="53"/>
  <c r="H46" i="53"/>
  <c r="S45" i="53"/>
  <c r="R45" i="53"/>
  <c r="M45" i="53"/>
  <c r="L45" i="53"/>
  <c r="K45" i="53"/>
  <c r="J45" i="53"/>
  <c r="I45" i="53"/>
  <c r="H45" i="53"/>
  <c r="S44" i="53"/>
  <c r="R44" i="53"/>
  <c r="M44" i="53"/>
  <c r="L44" i="53"/>
  <c r="K44" i="53"/>
  <c r="J44" i="53"/>
  <c r="I44" i="53"/>
  <c r="H44" i="53"/>
  <c r="S43" i="53"/>
  <c r="R43" i="53"/>
  <c r="M43" i="53"/>
  <c r="L43" i="53"/>
  <c r="K43" i="53"/>
  <c r="J43" i="53"/>
  <c r="I43" i="53"/>
  <c r="H43" i="53"/>
  <c r="S42" i="53"/>
  <c r="R42" i="53"/>
  <c r="M42" i="53"/>
  <c r="L42" i="53"/>
  <c r="K42" i="53"/>
  <c r="J42" i="53"/>
  <c r="I42" i="53"/>
  <c r="H42" i="53"/>
  <c r="S41" i="53"/>
  <c r="R41" i="53"/>
  <c r="M41" i="53"/>
  <c r="L41" i="53"/>
  <c r="K41" i="53"/>
  <c r="J41" i="53"/>
  <c r="I41" i="53"/>
  <c r="H41" i="53"/>
  <c r="S40" i="53"/>
  <c r="R40" i="53"/>
  <c r="M40" i="53"/>
  <c r="L40" i="53"/>
  <c r="K40" i="53"/>
  <c r="J40" i="53"/>
  <c r="I40" i="53"/>
  <c r="H40" i="53"/>
  <c r="S39" i="53"/>
  <c r="R39" i="53"/>
  <c r="M39" i="53"/>
  <c r="L39" i="53"/>
  <c r="K39" i="53"/>
  <c r="J39" i="53"/>
  <c r="I39" i="53"/>
  <c r="H39" i="53"/>
  <c r="S38" i="53"/>
  <c r="R38" i="53"/>
  <c r="M38" i="53"/>
  <c r="L38" i="53"/>
  <c r="K38" i="53"/>
  <c r="J38" i="53"/>
  <c r="I38" i="53"/>
  <c r="H38" i="53"/>
  <c r="S37" i="53"/>
  <c r="R37" i="53"/>
  <c r="M37" i="53"/>
  <c r="L37" i="53"/>
  <c r="K37" i="53"/>
  <c r="J37" i="53"/>
  <c r="I37" i="53"/>
  <c r="H37" i="53"/>
  <c r="S36" i="53"/>
  <c r="R36" i="53"/>
  <c r="M36" i="53"/>
  <c r="L36" i="53"/>
  <c r="K36" i="53"/>
  <c r="J36" i="53"/>
  <c r="I36" i="53"/>
  <c r="H36" i="53"/>
  <c r="I35" i="53"/>
  <c r="H35" i="53"/>
  <c r="J35" i="53" s="1"/>
  <c r="R35" i="53" s="1"/>
  <c r="S34" i="53"/>
  <c r="R34" i="53"/>
  <c r="M34" i="53"/>
  <c r="L34" i="53"/>
  <c r="L35" i="53" s="1"/>
  <c r="K34" i="53"/>
  <c r="J34" i="53"/>
  <c r="I34" i="53"/>
  <c r="H34" i="53"/>
  <c r="S33" i="53"/>
  <c r="R33" i="53"/>
  <c r="M33" i="53"/>
  <c r="L33" i="53"/>
  <c r="K33" i="53"/>
  <c r="J33" i="53"/>
  <c r="I33" i="53"/>
  <c r="H33" i="53"/>
  <c r="S32" i="53"/>
  <c r="R32" i="53"/>
  <c r="M32" i="53"/>
  <c r="L32" i="53"/>
  <c r="K32" i="53"/>
  <c r="J32" i="53"/>
  <c r="I32" i="53"/>
  <c r="H32" i="53"/>
  <c r="S31" i="53"/>
  <c r="R31" i="53"/>
  <c r="M31" i="53"/>
  <c r="L31" i="53"/>
  <c r="K31" i="53"/>
  <c r="J31" i="53"/>
  <c r="I31" i="53"/>
  <c r="H31" i="53"/>
  <c r="S30" i="53"/>
  <c r="R30" i="53"/>
  <c r="M30" i="53"/>
  <c r="L30" i="53"/>
  <c r="K30" i="53"/>
  <c r="J30" i="53"/>
  <c r="I30" i="53"/>
  <c r="H30" i="53"/>
  <c r="S29" i="53"/>
  <c r="R29" i="53"/>
  <c r="M29" i="53"/>
  <c r="L29" i="53"/>
  <c r="K29" i="53"/>
  <c r="J29" i="53"/>
  <c r="I29" i="53"/>
  <c r="H29" i="53"/>
  <c r="S28" i="53"/>
  <c r="R28" i="53"/>
  <c r="M28" i="53"/>
  <c r="L28" i="53"/>
  <c r="K28" i="53"/>
  <c r="J28" i="53"/>
  <c r="I28" i="53"/>
  <c r="H28" i="53"/>
  <c r="S27" i="53"/>
  <c r="R27" i="53"/>
  <c r="M27" i="53"/>
  <c r="L27" i="53"/>
  <c r="K27" i="53"/>
  <c r="J27" i="53"/>
  <c r="I27" i="53"/>
  <c r="H27" i="53"/>
  <c r="I26" i="53"/>
  <c r="H26" i="53"/>
  <c r="I25" i="53"/>
  <c r="J25" i="53" s="1"/>
  <c r="R25" i="53" s="1"/>
  <c r="H25" i="53"/>
  <c r="I24" i="53"/>
  <c r="H24" i="53"/>
  <c r="I23" i="53"/>
  <c r="H23" i="53"/>
  <c r="I22" i="53"/>
  <c r="J22" i="53" s="1"/>
  <c r="R22" i="53" s="1"/>
  <c r="H22" i="53"/>
  <c r="I21" i="53"/>
  <c r="J21" i="53" s="1"/>
  <c r="R21" i="53" s="1"/>
  <c r="H21" i="53"/>
  <c r="I20" i="53"/>
  <c r="J20" i="53" s="1"/>
  <c r="R20" i="53" s="1"/>
  <c r="H20" i="53"/>
  <c r="I19" i="53"/>
  <c r="J19" i="53" s="1"/>
  <c r="R19" i="53" s="1"/>
  <c r="H19" i="53"/>
  <c r="I18" i="53"/>
  <c r="J18" i="53" s="1"/>
  <c r="R18" i="53" s="1"/>
  <c r="H18" i="53"/>
  <c r="I17" i="53"/>
  <c r="H17" i="53"/>
  <c r="H16" i="53"/>
  <c r="I16" i="53"/>
  <c r="I15" i="53"/>
  <c r="H15" i="53"/>
  <c r="J15" i="53" s="1"/>
  <c r="R15" i="53" s="1"/>
  <c r="H14" i="53"/>
  <c r="I14" i="53"/>
  <c r="J14" i="53" s="1"/>
  <c r="R14" i="53" s="1"/>
  <c r="I13" i="53"/>
  <c r="H13" i="53"/>
  <c r="H12" i="53"/>
  <c r="I12" i="53"/>
  <c r="I11" i="53"/>
  <c r="H11" i="53"/>
  <c r="I10" i="53"/>
  <c r="J10" i="53" s="1"/>
  <c r="R10" i="53" s="1"/>
  <c r="H10" i="53"/>
  <c r="I9" i="53"/>
  <c r="H9" i="53"/>
  <c r="I8" i="53"/>
  <c r="J8" i="53" s="1"/>
  <c r="R8" i="53" s="1"/>
  <c r="H8" i="53"/>
  <c r="I7" i="53"/>
  <c r="H7" i="53"/>
  <c r="K7" i="53" s="1"/>
  <c r="K8" i="53" s="1"/>
  <c r="G18" i="52"/>
  <c r="J11" i="53" l="1"/>
  <c r="R11" i="53" s="1"/>
  <c r="J16" i="53"/>
  <c r="R16" i="53" s="1"/>
  <c r="J23" i="53"/>
  <c r="R23" i="53" s="1"/>
  <c r="M15" i="60"/>
  <c r="S15" i="60" s="1"/>
  <c r="L16" i="60"/>
  <c r="J13" i="53"/>
  <c r="R13" i="53" s="1"/>
  <c r="K47" i="56"/>
  <c r="M31" i="56"/>
  <c r="S31" i="56" s="1"/>
  <c r="L32" i="56"/>
  <c r="L15" i="59"/>
  <c r="M14" i="59"/>
  <c r="S14" i="59" s="1"/>
  <c r="L15" i="58"/>
  <c r="M14" i="58"/>
  <c r="S14" i="58" s="1"/>
  <c r="L13" i="57"/>
  <c r="M12" i="57"/>
  <c r="S12" i="57" s="1"/>
  <c r="L33" i="57"/>
  <c r="M32" i="57"/>
  <c r="S32" i="57" s="1"/>
  <c r="M11" i="56"/>
  <c r="S11" i="56" s="1"/>
  <c r="L12" i="56"/>
  <c r="M8" i="55"/>
  <c r="S8" i="55" s="1"/>
  <c r="L9" i="55"/>
  <c r="L9" i="54"/>
  <c r="M8" i="54"/>
  <c r="S8" i="54" s="1"/>
  <c r="J26" i="53"/>
  <c r="R26" i="53" s="1"/>
  <c r="K35" i="53"/>
  <c r="M35" i="53"/>
  <c r="S35" i="53" s="1"/>
  <c r="J24" i="53"/>
  <c r="R24" i="53" s="1"/>
  <c r="J17" i="53"/>
  <c r="R17" i="53" s="1"/>
  <c r="J12" i="53"/>
  <c r="R12" i="53" s="1"/>
  <c r="J9" i="53"/>
  <c r="R9" i="53" s="1"/>
  <c r="K9" i="53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J7" i="53"/>
  <c r="R7" i="53" s="1"/>
  <c r="L7" i="53"/>
  <c r="G16" i="52"/>
  <c r="G14" i="52"/>
  <c r="M32" i="56" l="1"/>
  <c r="S32" i="56" s="1"/>
  <c r="L33" i="56"/>
  <c r="M16" i="60"/>
  <c r="S16" i="60" s="1"/>
  <c r="L17" i="60"/>
  <c r="L16" i="59"/>
  <c r="M15" i="59"/>
  <c r="S15" i="59" s="1"/>
  <c r="L16" i="58"/>
  <c r="M15" i="58"/>
  <c r="S15" i="58" s="1"/>
  <c r="L34" i="57"/>
  <c r="M33" i="57"/>
  <c r="S33" i="57" s="1"/>
  <c r="M13" i="57"/>
  <c r="S13" i="57" s="1"/>
  <c r="L14" i="57"/>
  <c r="M12" i="56"/>
  <c r="S12" i="56" s="1"/>
  <c r="L13" i="56"/>
  <c r="M9" i="55"/>
  <c r="S9" i="55" s="1"/>
  <c r="L10" i="55"/>
  <c r="M9" i="54"/>
  <c r="S9" i="54" s="1"/>
  <c r="L10" i="54"/>
  <c r="L8" i="53"/>
  <c r="M7" i="53"/>
  <c r="S7" i="53" s="1"/>
  <c r="G12" i="52"/>
  <c r="S112" i="52"/>
  <c r="R112" i="52"/>
  <c r="M112" i="52"/>
  <c r="L112" i="52"/>
  <c r="K112" i="52"/>
  <c r="J112" i="52"/>
  <c r="I112" i="52"/>
  <c r="H112" i="52"/>
  <c r="S111" i="52"/>
  <c r="R111" i="52"/>
  <c r="M111" i="52"/>
  <c r="L111" i="52"/>
  <c r="K111" i="52"/>
  <c r="J111" i="52"/>
  <c r="I111" i="52"/>
  <c r="H111" i="52"/>
  <c r="S110" i="52"/>
  <c r="R110" i="52"/>
  <c r="M110" i="52"/>
  <c r="L110" i="52"/>
  <c r="K110" i="52"/>
  <c r="J110" i="52"/>
  <c r="I110" i="52"/>
  <c r="H110" i="52"/>
  <c r="S109" i="52"/>
  <c r="R109" i="52"/>
  <c r="M109" i="52"/>
  <c r="L109" i="52"/>
  <c r="K109" i="52"/>
  <c r="J109" i="52"/>
  <c r="I109" i="52"/>
  <c r="H109" i="52"/>
  <c r="S108" i="52"/>
  <c r="R108" i="52"/>
  <c r="M108" i="52"/>
  <c r="L108" i="52"/>
  <c r="K108" i="52"/>
  <c r="J108" i="52"/>
  <c r="I108" i="52"/>
  <c r="H108" i="52"/>
  <c r="S107" i="52"/>
  <c r="R107" i="52"/>
  <c r="M107" i="52"/>
  <c r="L107" i="52"/>
  <c r="K107" i="52"/>
  <c r="J107" i="52"/>
  <c r="I107" i="52"/>
  <c r="H107" i="52"/>
  <c r="S106" i="52"/>
  <c r="R106" i="52"/>
  <c r="M106" i="52"/>
  <c r="L106" i="52"/>
  <c r="K106" i="52"/>
  <c r="J106" i="52"/>
  <c r="I106" i="52"/>
  <c r="H106" i="52"/>
  <c r="S105" i="52"/>
  <c r="R105" i="52"/>
  <c r="M105" i="52"/>
  <c r="L105" i="52"/>
  <c r="K105" i="52"/>
  <c r="J105" i="52"/>
  <c r="I105" i="52"/>
  <c r="H105" i="52"/>
  <c r="S104" i="52"/>
  <c r="R104" i="52"/>
  <c r="M104" i="52"/>
  <c r="L104" i="52"/>
  <c r="K104" i="52"/>
  <c r="J104" i="52"/>
  <c r="I104" i="52"/>
  <c r="H104" i="52"/>
  <c r="S103" i="52"/>
  <c r="R103" i="52"/>
  <c r="M103" i="52"/>
  <c r="L103" i="52"/>
  <c r="K103" i="52"/>
  <c r="J103" i="52"/>
  <c r="I103" i="52"/>
  <c r="H103" i="52"/>
  <c r="S102" i="52"/>
  <c r="R102" i="52"/>
  <c r="M102" i="52"/>
  <c r="L102" i="52"/>
  <c r="K102" i="52"/>
  <c r="J102" i="52"/>
  <c r="I102" i="52"/>
  <c r="H102" i="52"/>
  <c r="S101" i="52"/>
  <c r="R101" i="52"/>
  <c r="M101" i="52"/>
  <c r="L101" i="52"/>
  <c r="K101" i="52"/>
  <c r="J101" i="52"/>
  <c r="I101" i="52"/>
  <c r="H101" i="52"/>
  <c r="S100" i="52"/>
  <c r="R100" i="52"/>
  <c r="M100" i="52"/>
  <c r="L100" i="52"/>
  <c r="K100" i="52"/>
  <c r="J100" i="52"/>
  <c r="I100" i="52"/>
  <c r="H100" i="52"/>
  <c r="S99" i="52"/>
  <c r="R99" i="52"/>
  <c r="M99" i="52"/>
  <c r="L99" i="52"/>
  <c r="K99" i="52"/>
  <c r="J99" i="52"/>
  <c r="I99" i="52"/>
  <c r="H99" i="52"/>
  <c r="S98" i="52"/>
  <c r="R98" i="52"/>
  <c r="M98" i="52"/>
  <c r="L98" i="52"/>
  <c r="K98" i="52"/>
  <c r="J98" i="52"/>
  <c r="I98" i="52"/>
  <c r="H98" i="52"/>
  <c r="S97" i="52"/>
  <c r="R97" i="52"/>
  <c r="M97" i="52"/>
  <c r="L97" i="52"/>
  <c r="K97" i="52"/>
  <c r="J97" i="52"/>
  <c r="I97" i="52"/>
  <c r="H97" i="52"/>
  <c r="S96" i="52"/>
  <c r="R96" i="52"/>
  <c r="M96" i="52"/>
  <c r="L96" i="52"/>
  <c r="K96" i="52"/>
  <c r="J96" i="52"/>
  <c r="I96" i="52"/>
  <c r="H96" i="52"/>
  <c r="S95" i="52"/>
  <c r="R95" i="52"/>
  <c r="M95" i="52"/>
  <c r="L95" i="52"/>
  <c r="K95" i="52"/>
  <c r="J95" i="52"/>
  <c r="I95" i="52"/>
  <c r="H95" i="52"/>
  <c r="S94" i="52"/>
  <c r="R94" i="52"/>
  <c r="M94" i="52"/>
  <c r="L94" i="52"/>
  <c r="K94" i="52"/>
  <c r="J94" i="52"/>
  <c r="I94" i="52"/>
  <c r="H94" i="52"/>
  <c r="S93" i="52"/>
  <c r="R93" i="52"/>
  <c r="M93" i="52"/>
  <c r="L93" i="52"/>
  <c r="K93" i="52"/>
  <c r="J93" i="52"/>
  <c r="I93" i="52"/>
  <c r="H93" i="52"/>
  <c r="S92" i="52"/>
  <c r="R92" i="52"/>
  <c r="M92" i="52"/>
  <c r="L92" i="52"/>
  <c r="K92" i="52"/>
  <c r="J92" i="52"/>
  <c r="I92" i="52"/>
  <c r="H92" i="52"/>
  <c r="S91" i="52"/>
  <c r="R91" i="52"/>
  <c r="M91" i="52"/>
  <c r="L91" i="52"/>
  <c r="K91" i="52"/>
  <c r="J91" i="52"/>
  <c r="I91" i="52"/>
  <c r="H91" i="52"/>
  <c r="S90" i="52"/>
  <c r="R90" i="52"/>
  <c r="M90" i="52"/>
  <c r="L90" i="52"/>
  <c r="K90" i="52"/>
  <c r="J90" i="52"/>
  <c r="I90" i="52"/>
  <c r="H90" i="52"/>
  <c r="S89" i="52"/>
  <c r="R89" i="52"/>
  <c r="M89" i="52"/>
  <c r="L89" i="52"/>
  <c r="K89" i="52"/>
  <c r="J89" i="52"/>
  <c r="I89" i="52"/>
  <c r="H89" i="52"/>
  <c r="S88" i="52"/>
  <c r="R88" i="52"/>
  <c r="M88" i="52"/>
  <c r="L88" i="52"/>
  <c r="K88" i="52"/>
  <c r="J88" i="52"/>
  <c r="I88" i="52"/>
  <c r="H88" i="52"/>
  <c r="S87" i="52"/>
  <c r="R87" i="52"/>
  <c r="M87" i="52"/>
  <c r="L87" i="52"/>
  <c r="K87" i="52"/>
  <c r="J87" i="52"/>
  <c r="I87" i="52"/>
  <c r="H87" i="52"/>
  <c r="S86" i="52"/>
  <c r="R86" i="52"/>
  <c r="M86" i="52"/>
  <c r="L86" i="52"/>
  <c r="K86" i="52"/>
  <c r="J86" i="52"/>
  <c r="I86" i="52"/>
  <c r="H86" i="52"/>
  <c r="S85" i="52"/>
  <c r="R85" i="52"/>
  <c r="M85" i="52"/>
  <c r="L85" i="52"/>
  <c r="K85" i="52"/>
  <c r="J85" i="52"/>
  <c r="I85" i="52"/>
  <c r="H85" i="52"/>
  <c r="S84" i="52"/>
  <c r="R84" i="52"/>
  <c r="M84" i="52"/>
  <c r="L84" i="52"/>
  <c r="K84" i="52"/>
  <c r="J84" i="52"/>
  <c r="I84" i="52"/>
  <c r="H84" i="52"/>
  <c r="S83" i="52"/>
  <c r="R83" i="52"/>
  <c r="M83" i="52"/>
  <c r="L83" i="52"/>
  <c r="K83" i="52"/>
  <c r="J83" i="52"/>
  <c r="I83" i="52"/>
  <c r="H83" i="52"/>
  <c r="S82" i="52"/>
  <c r="R82" i="52"/>
  <c r="M82" i="52"/>
  <c r="L82" i="52"/>
  <c r="K82" i="52"/>
  <c r="J82" i="52"/>
  <c r="I82" i="52"/>
  <c r="H82" i="52"/>
  <c r="S81" i="52"/>
  <c r="R81" i="52"/>
  <c r="M81" i="52"/>
  <c r="L81" i="52"/>
  <c r="K81" i="52"/>
  <c r="J81" i="52"/>
  <c r="I81" i="52"/>
  <c r="H81" i="52"/>
  <c r="S80" i="52"/>
  <c r="R80" i="52"/>
  <c r="M80" i="52"/>
  <c r="L80" i="52"/>
  <c r="K80" i="52"/>
  <c r="J80" i="52"/>
  <c r="I80" i="52"/>
  <c r="H80" i="52"/>
  <c r="S79" i="52"/>
  <c r="R79" i="52"/>
  <c r="M79" i="52"/>
  <c r="L79" i="52"/>
  <c r="K79" i="52"/>
  <c r="J79" i="52"/>
  <c r="I79" i="52"/>
  <c r="H79" i="52"/>
  <c r="S78" i="52"/>
  <c r="R78" i="52"/>
  <c r="M78" i="52"/>
  <c r="L78" i="52"/>
  <c r="K78" i="52"/>
  <c r="J78" i="52"/>
  <c r="I78" i="52"/>
  <c r="H78" i="52"/>
  <c r="S77" i="52"/>
  <c r="R77" i="52"/>
  <c r="M77" i="52"/>
  <c r="L77" i="52"/>
  <c r="K77" i="52"/>
  <c r="J77" i="52"/>
  <c r="I77" i="52"/>
  <c r="H77" i="52"/>
  <c r="S76" i="52"/>
  <c r="R76" i="52"/>
  <c r="M76" i="52"/>
  <c r="L76" i="52"/>
  <c r="K76" i="52"/>
  <c r="J76" i="52"/>
  <c r="I76" i="52"/>
  <c r="H76" i="52"/>
  <c r="S75" i="52"/>
  <c r="R75" i="52"/>
  <c r="M75" i="52"/>
  <c r="L75" i="52"/>
  <c r="K75" i="52"/>
  <c r="J75" i="52"/>
  <c r="I75" i="52"/>
  <c r="H75" i="52"/>
  <c r="S74" i="52"/>
  <c r="R74" i="52"/>
  <c r="M74" i="52"/>
  <c r="L74" i="52"/>
  <c r="K74" i="52"/>
  <c r="J74" i="52"/>
  <c r="I74" i="52"/>
  <c r="H74" i="52"/>
  <c r="S73" i="52"/>
  <c r="R73" i="52"/>
  <c r="M73" i="52"/>
  <c r="L73" i="52"/>
  <c r="K73" i="52"/>
  <c r="J73" i="52"/>
  <c r="I73" i="52"/>
  <c r="H73" i="52"/>
  <c r="S72" i="52"/>
  <c r="R72" i="52"/>
  <c r="M72" i="52"/>
  <c r="L72" i="52"/>
  <c r="K72" i="52"/>
  <c r="J72" i="52"/>
  <c r="I72" i="52"/>
  <c r="H72" i="52"/>
  <c r="S71" i="52"/>
  <c r="R71" i="52"/>
  <c r="M71" i="52"/>
  <c r="L71" i="52"/>
  <c r="K71" i="52"/>
  <c r="J71" i="52"/>
  <c r="I71" i="52"/>
  <c r="H71" i="52"/>
  <c r="S70" i="52"/>
  <c r="R70" i="52"/>
  <c r="M70" i="52"/>
  <c r="L70" i="52"/>
  <c r="K70" i="52"/>
  <c r="J70" i="52"/>
  <c r="I70" i="52"/>
  <c r="H70" i="52"/>
  <c r="S69" i="52"/>
  <c r="R69" i="52"/>
  <c r="M69" i="52"/>
  <c r="L69" i="52"/>
  <c r="K69" i="52"/>
  <c r="J69" i="52"/>
  <c r="I69" i="52"/>
  <c r="H69" i="52"/>
  <c r="S68" i="52"/>
  <c r="R68" i="52"/>
  <c r="M68" i="52"/>
  <c r="L68" i="52"/>
  <c r="K68" i="52"/>
  <c r="J68" i="52"/>
  <c r="I68" i="52"/>
  <c r="H68" i="52"/>
  <c r="S67" i="52"/>
  <c r="R67" i="52"/>
  <c r="M67" i="52"/>
  <c r="L67" i="52"/>
  <c r="K67" i="52"/>
  <c r="J67" i="52"/>
  <c r="I67" i="52"/>
  <c r="H67" i="52"/>
  <c r="S66" i="52"/>
  <c r="R66" i="52"/>
  <c r="M66" i="52"/>
  <c r="L66" i="52"/>
  <c r="K66" i="52"/>
  <c r="J66" i="52"/>
  <c r="I66" i="52"/>
  <c r="H66" i="52"/>
  <c r="S65" i="52"/>
  <c r="R65" i="52"/>
  <c r="M65" i="52"/>
  <c r="L65" i="52"/>
  <c r="K65" i="52"/>
  <c r="J65" i="52"/>
  <c r="I65" i="52"/>
  <c r="H65" i="52"/>
  <c r="S64" i="52"/>
  <c r="R64" i="52"/>
  <c r="M64" i="52"/>
  <c r="L64" i="52"/>
  <c r="K64" i="52"/>
  <c r="J64" i="52"/>
  <c r="I64" i="52"/>
  <c r="H64" i="52"/>
  <c r="S63" i="52"/>
  <c r="R63" i="52"/>
  <c r="M63" i="52"/>
  <c r="L63" i="52"/>
  <c r="K63" i="52"/>
  <c r="J63" i="52"/>
  <c r="I63" i="52"/>
  <c r="H63" i="52"/>
  <c r="S62" i="52"/>
  <c r="R62" i="52"/>
  <c r="M62" i="52"/>
  <c r="L62" i="52"/>
  <c r="K62" i="52"/>
  <c r="J62" i="52"/>
  <c r="I62" i="52"/>
  <c r="H62" i="52"/>
  <c r="S61" i="52"/>
  <c r="R61" i="52"/>
  <c r="M61" i="52"/>
  <c r="L61" i="52"/>
  <c r="K61" i="52"/>
  <c r="J61" i="52"/>
  <c r="I61" i="52"/>
  <c r="H61" i="52"/>
  <c r="S60" i="52"/>
  <c r="R60" i="52"/>
  <c r="M60" i="52"/>
  <c r="L60" i="52"/>
  <c r="K60" i="52"/>
  <c r="J60" i="52"/>
  <c r="I60" i="52"/>
  <c r="H60" i="52"/>
  <c r="S59" i="52"/>
  <c r="R59" i="52"/>
  <c r="M59" i="52"/>
  <c r="L59" i="52"/>
  <c r="K59" i="52"/>
  <c r="J59" i="52"/>
  <c r="I59" i="52"/>
  <c r="H59" i="52"/>
  <c r="S58" i="52"/>
  <c r="R58" i="52"/>
  <c r="M58" i="52"/>
  <c r="L58" i="52"/>
  <c r="K58" i="52"/>
  <c r="J58" i="52"/>
  <c r="I58" i="52"/>
  <c r="H58" i="52"/>
  <c r="S57" i="52"/>
  <c r="R57" i="52"/>
  <c r="M57" i="52"/>
  <c r="L57" i="52"/>
  <c r="K57" i="52"/>
  <c r="J57" i="52"/>
  <c r="I57" i="52"/>
  <c r="H57" i="52"/>
  <c r="S56" i="52"/>
  <c r="R56" i="52"/>
  <c r="M56" i="52"/>
  <c r="L56" i="52"/>
  <c r="K56" i="52"/>
  <c r="J56" i="52"/>
  <c r="I56" i="52"/>
  <c r="H56" i="52"/>
  <c r="S55" i="52"/>
  <c r="R55" i="52"/>
  <c r="M55" i="52"/>
  <c r="L55" i="52"/>
  <c r="K55" i="52"/>
  <c r="J55" i="52"/>
  <c r="I55" i="52"/>
  <c r="H55" i="52"/>
  <c r="S54" i="52"/>
  <c r="R54" i="52"/>
  <c r="M54" i="52"/>
  <c r="L54" i="52"/>
  <c r="K54" i="52"/>
  <c r="J54" i="52"/>
  <c r="I54" i="52"/>
  <c r="H54" i="52"/>
  <c r="S53" i="52"/>
  <c r="R53" i="52"/>
  <c r="M53" i="52"/>
  <c r="L53" i="52"/>
  <c r="K53" i="52"/>
  <c r="J53" i="52"/>
  <c r="I53" i="52"/>
  <c r="H53" i="52"/>
  <c r="S52" i="52"/>
  <c r="R52" i="52"/>
  <c r="M52" i="52"/>
  <c r="L52" i="52"/>
  <c r="K52" i="52"/>
  <c r="J52" i="52"/>
  <c r="I52" i="52"/>
  <c r="H52" i="52"/>
  <c r="S51" i="52"/>
  <c r="R51" i="52"/>
  <c r="M51" i="52"/>
  <c r="L51" i="52"/>
  <c r="K51" i="52"/>
  <c r="J51" i="52"/>
  <c r="I51" i="52"/>
  <c r="H51" i="52"/>
  <c r="S50" i="52"/>
  <c r="R50" i="52"/>
  <c r="M50" i="52"/>
  <c r="L50" i="52"/>
  <c r="K50" i="52"/>
  <c r="J50" i="52"/>
  <c r="I50" i="52"/>
  <c r="H50" i="52"/>
  <c r="S49" i="52"/>
  <c r="R49" i="52"/>
  <c r="M49" i="52"/>
  <c r="L49" i="52"/>
  <c r="K49" i="52"/>
  <c r="J49" i="52"/>
  <c r="I49" i="52"/>
  <c r="H49" i="52"/>
  <c r="S48" i="52"/>
  <c r="R48" i="52"/>
  <c r="M48" i="52"/>
  <c r="L48" i="52"/>
  <c r="K48" i="52"/>
  <c r="J48" i="52"/>
  <c r="I48" i="52"/>
  <c r="H48" i="52"/>
  <c r="S47" i="52"/>
  <c r="R47" i="52"/>
  <c r="M47" i="52"/>
  <c r="L47" i="52"/>
  <c r="K47" i="52"/>
  <c r="J47" i="52"/>
  <c r="I47" i="52"/>
  <c r="H47" i="52"/>
  <c r="S46" i="52"/>
  <c r="R46" i="52"/>
  <c r="M46" i="52"/>
  <c r="L46" i="52"/>
  <c r="K46" i="52"/>
  <c r="J46" i="52"/>
  <c r="I46" i="52"/>
  <c r="H46" i="52"/>
  <c r="S45" i="52"/>
  <c r="R45" i="52"/>
  <c r="M45" i="52"/>
  <c r="L45" i="52"/>
  <c r="K45" i="52"/>
  <c r="J45" i="52"/>
  <c r="I45" i="52"/>
  <c r="H45" i="52"/>
  <c r="S44" i="52"/>
  <c r="R44" i="52"/>
  <c r="M44" i="52"/>
  <c r="L44" i="52"/>
  <c r="K44" i="52"/>
  <c r="J44" i="52"/>
  <c r="I44" i="52"/>
  <c r="H44" i="52"/>
  <c r="S43" i="52"/>
  <c r="R43" i="52"/>
  <c r="M43" i="52"/>
  <c r="L43" i="52"/>
  <c r="K43" i="52"/>
  <c r="J43" i="52"/>
  <c r="I43" i="52"/>
  <c r="H43" i="52"/>
  <c r="S42" i="52"/>
  <c r="R42" i="52"/>
  <c r="M42" i="52"/>
  <c r="L42" i="52"/>
  <c r="K42" i="52"/>
  <c r="J42" i="52"/>
  <c r="I42" i="52"/>
  <c r="H42" i="52"/>
  <c r="S41" i="52"/>
  <c r="R41" i="52"/>
  <c r="M41" i="52"/>
  <c r="L41" i="52"/>
  <c r="K41" i="52"/>
  <c r="J41" i="52"/>
  <c r="I41" i="52"/>
  <c r="H41" i="52"/>
  <c r="S40" i="52"/>
  <c r="R40" i="52"/>
  <c r="M40" i="52"/>
  <c r="L40" i="52"/>
  <c r="K40" i="52"/>
  <c r="J40" i="52"/>
  <c r="I40" i="52"/>
  <c r="H40" i="52"/>
  <c r="S39" i="52"/>
  <c r="R39" i="52"/>
  <c r="M39" i="52"/>
  <c r="L39" i="52"/>
  <c r="K39" i="52"/>
  <c r="J39" i="52"/>
  <c r="I39" i="52"/>
  <c r="H39" i="52"/>
  <c r="S38" i="52"/>
  <c r="R38" i="52"/>
  <c r="M38" i="52"/>
  <c r="L38" i="52"/>
  <c r="K38" i="52"/>
  <c r="J38" i="52"/>
  <c r="I38" i="52"/>
  <c r="H38" i="52"/>
  <c r="S37" i="52"/>
  <c r="R37" i="52"/>
  <c r="M37" i="52"/>
  <c r="L37" i="52"/>
  <c r="K37" i="52"/>
  <c r="J37" i="52"/>
  <c r="I37" i="52"/>
  <c r="H37" i="52"/>
  <c r="S36" i="52"/>
  <c r="R36" i="52"/>
  <c r="M36" i="52"/>
  <c r="L36" i="52"/>
  <c r="K36" i="52"/>
  <c r="J36" i="52"/>
  <c r="I36" i="52"/>
  <c r="H36" i="52"/>
  <c r="S35" i="52"/>
  <c r="R35" i="52"/>
  <c r="M35" i="52"/>
  <c r="L35" i="52"/>
  <c r="K35" i="52"/>
  <c r="J35" i="52"/>
  <c r="I35" i="52"/>
  <c r="H35" i="52"/>
  <c r="S34" i="52"/>
  <c r="R34" i="52"/>
  <c r="M34" i="52"/>
  <c r="L34" i="52"/>
  <c r="K34" i="52"/>
  <c r="J34" i="52"/>
  <c r="I34" i="52"/>
  <c r="H34" i="52"/>
  <c r="J33" i="52"/>
  <c r="R33" i="52" s="1"/>
  <c r="I33" i="52"/>
  <c r="H33" i="52"/>
  <c r="J32" i="52"/>
  <c r="R32" i="52" s="1"/>
  <c r="I32" i="52"/>
  <c r="H32" i="52"/>
  <c r="J31" i="52"/>
  <c r="R31" i="52" s="1"/>
  <c r="I31" i="52"/>
  <c r="H31" i="52"/>
  <c r="J30" i="52"/>
  <c r="R30" i="52" s="1"/>
  <c r="I30" i="52"/>
  <c r="H30" i="52"/>
  <c r="J29" i="52"/>
  <c r="R29" i="52" s="1"/>
  <c r="I29" i="52"/>
  <c r="H29" i="52"/>
  <c r="J28" i="52"/>
  <c r="R28" i="52" s="1"/>
  <c r="I28" i="52"/>
  <c r="H28" i="52"/>
  <c r="J27" i="52"/>
  <c r="R27" i="52" s="1"/>
  <c r="I27" i="52"/>
  <c r="H27" i="52"/>
  <c r="J26" i="52"/>
  <c r="R26" i="52" s="1"/>
  <c r="I26" i="52"/>
  <c r="H26" i="52"/>
  <c r="J25" i="52"/>
  <c r="R25" i="52" s="1"/>
  <c r="I25" i="52"/>
  <c r="H25" i="52"/>
  <c r="J24" i="52"/>
  <c r="R24" i="52" s="1"/>
  <c r="I24" i="52"/>
  <c r="H24" i="52"/>
  <c r="J23" i="52"/>
  <c r="R23" i="52" s="1"/>
  <c r="I23" i="52"/>
  <c r="H23" i="52"/>
  <c r="J22" i="52"/>
  <c r="R22" i="52" s="1"/>
  <c r="I22" i="52"/>
  <c r="H22" i="52"/>
  <c r="J21" i="52"/>
  <c r="R21" i="52" s="1"/>
  <c r="I21" i="52"/>
  <c r="H21" i="52"/>
  <c r="J20" i="52"/>
  <c r="R20" i="52" s="1"/>
  <c r="I20" i="52"/>
  <c r="H20" i="52"/>
  <c r="J19" i="52"/>
  <c r="R19" i="52" s="1"/>
  <c r="I19" i="52"/>
  <c r="H19" i="52"/>
  <c r="I18" i="52"/>
  <c r="H18" i="52"/>
  <c r="I17" i="52"/>
  <c r="J17" i="52" s="1"/>
  <c r="R17" i="52" s="1"/>
  <c r="H17" i="52"/>
  <c r="I16" i="52"/>
  <c r="H16" i="52"/>
  <c r="I15" i="52"/>
  <c r="H15" i="52"/>
  <c r="J15" i="52" s="1"/>
  <c r="R15" i="52" s="1"/>
  <c r="I14" i="52"/>
  <c r="H14" i="52"/>
  <c r="I13" i="52"/>
  <c r="J13" i="52" s="1"/>
  <c r="R13" i="52" s="1"/>
  <c r="H13" i="52"/>
  <c r="I12" i="52"/>
  <c r="J12" i="52" s="1"/>
  <c r="R12" i="52" s="1"/>
  <c r="H12" i="52"/>
  <c r="I11" i="52"/>
  <c r="H11" i="52"/>
  <c r="J10" i="52"/>
  <c r="R10" i="52" s="1"/>
  <c r="I10" i="52"/>
  <c r="H10" i="52"/>
  <c r="I9" i="52"/>
  <c r="H9" i="52"/>
  <c r="I8" i="52"/>
  <c r="H8" i="52"/>
  <c r="I7" i="52"/>
  <c r="L7" i="52" s="1"/>
  <c r="H7" i="52"/>
  <c r="K7" i="52" s="1"/>
  <c r="K8" i="52" s="1"/>
  <c r="K9" i="52" s="1"/>
  <c r="K10" i="52" s="1"/>
  <c r="K11" i="52" s="1"/>
  <c r="K12" i="52" s="1"/>
  <c r="K13" i="52" s="1"/>
  <c r="K14" i="52" s="1"/>
  <c r="K15" i="52" s="1"/>
  <c r="G7" i="51"/>
  <c r="S112" i="51"/>
  <c r="R112" i="51"/>
  <c r="M112" i="51"/>
  <c r="L112" i="51"/>
  <c r="K112" i="51"/>
  <c r="J112" i="51"/>
  <c r="I112" i="51"/>
  <c r="H112" i="51"/>
  <c r="S111" i="51"/>
  <c r="R111" i="51"/>
  <c r="M111" i="51"/>
  <c r="L111" i="51"/>
  <c r="K111" i="51"/>
  <c r="J111" i="51"/>
  <c r="I111" i="51"/>
  <c r="H111" i="51"/>
  <c r="S110" i="51"/>
  <c r="R110" i="51"/>
  <c r="M110" i="51"/>
  <c r="L110" i="51"/>
  <c r="K110" i="51"/>
  <c r="J110" i="51"/>
  <c r="I110" i="51"/>
  <c r="H110" i="51"/>
  <c r="S109" i="51"/>
  <c r="R109" i="51"/>
  <c r="M109" i="51"/>
  <c r="L109" i="51"/>
  <c r="K109" i="51"/>
  <c r="J109" i="51"/>
  <c r="I109" i="51"/>
  <c r="H109" i="51"/>
  <c r="S108" i="51"/>
  <c r="R108" i="51"/>
  <c r="M108" i="51"/>
  <c r="L108" i="51"/>
  <c r="K108" i="51"/>
  <c r="J108" i="51"/>
  <c r="I108" i="51"/>
  <c r="H108" i="51"/>
  <c r="S107" i="51"/>
  <c r="R107" i="51"/>
  <c r="M107" i="51"/>
  <c r="L107" i="51"/>
  <c r="K107" i="51"/>
  <c r="J107" i="51"/>
  <c r="I107" i="51"/>
  <c r="H107" i="51"/>
  <c r="S106" i="51"/>
  <c r="R106" i="51"/>
  <c r="M106" i="51"/>
  <c r="L106" i="51"/>
  <c r="K106" i="51"/>
  <c r="J106" i="51"/>
  <c r="I106" i="51"/>
  <c r="H106" i="51"/>
  <c r="S105" i="51"/>
  <c r="R105" i="51"/>
  <c r="M105" i="51"/>
  <c r="L105" i="51"/>
  <c r="K105" i="51"/>
  <c r="J105" i="51"/>
  <c r="I105" i="51"/>
  <c r="H105" i="51"/>
  <c r="S104" i="51"/>
  <c r="R104" i="51"/>
  <c r="M104" i="51"/>
  <c r="L104" i="51"/>
  <c r="K104" i="51"/>
  <c r="J104" i="51"/>
  <c r="I104" i="51"/>
  <c r="H104" i="51"/>
  <c r="S103" i="51"/>
  <c r="R103" i="51"/>
  <c r="M103" i="51"/>
  <c r="L103" i="51"/>
  <c r="K103" i="51"/>
  <c r="J103" i="51"/>
  <c r="I103" i="51"/>
  <c r="H103" i="51"/>
  <c r="S102" i="51"/>
  <c r="R102" i="51"/>
  <c r="M102" i="51"/>
  <c r="L102" i="51"/>
  <c r="K102" i="51"/>
  <c r="J102" i="51"/>
  <c r="I102" i="51"/>
  <c r="H102" i="51"/>
  <c r="S101" i="51"/>
  <c r="R101" i="51"/>
  <c r="M101" i="51"/>
  <c r="L101" i="51"/>
  <c r="K101" i="51"/>
  <c r="J101" i="51"/>
  <c r="I101" i="51"/>
  <c r="H101" i="51"/>
  <c r="S100" i="51"/>
  <c r="R100" i="51"/>
  <c r="M100" i="51"/>
  <c r="L100" i="51"/>
  <c r="K100" i="51"/>
  <c r="J100" i="51"/>
  <c r="I100" i="51"/>
  <c r="H100" i="51"/>
  <c r="S99" i="51"/>
  <c r="R99" i="51"/>
  <c r="M99" i="51"/>
  <c r="L99" i="51"/>
  <c r="K99" i="51"/>
  <c r="J99" i="51"/>
  <c r="I99" i="51"/>
  <c r="H99" i="51"/>
  <c r="S98" i="51"/>
  <c r="R98" i="51"/>
  <c r="M98" i="51"/>
  <c r="L98" i="51"/>
  <c r="K98" i="51"/>
  <c r="J98" i="51"/>
  <c r="I98" i="51"/>
  <c r="H98" i="51"/>
  <c r="S97" i="51"/>
  <c r="R97" i="51"/>
  <c r="M97" i="51"/>
  <c r="L97" i="51"/>
  <c r="K97" i="51"/>
  <c r="J97" i="51"/>
  <c r="I97" i="51"/>
  <c r="H97" i="51"/>
  <c r="S96" i="51"/>
  <c r="R96" i="51"/>
  <c r="M96" i="51"/>
  <c r="L96" i="51"/>
  <c r="K96" i="51"/>
  <c r="J96" i="51"/>
  <c r="I96" i="51"/>
  <c r="H96" i="51"/>
  <c r="S95" i="51"/>
  <c r="R95" i="51"/>
  <c r="M95" i="51"/>
  <c r="L95" i="51"/>
  <c r="K95" i="51"/>
  <c r="J95" i="51"/>
  <c r="I95" i="51"/>
  <c r="H95" i="51"/>
  <c r="S94" i="51"/>
  <c r="R94" i="51"/>
  <c r="M94" i="51"/>
  <c r="L94" i="51"/>
  <c r="K94" i="51"/>
  <c r="J94" i="51"/>
  <c r="I94" i="51"/>
  <c r="H94" i="51"/>
  <c r="S93" i="51"/>
  <c r="R93" i="51"/>
  <c r="M93" i="51"/>
  <c r="L93" i="51"/>
  <c r="K93" i="51"/>
  <c r="J93" i="51"/>
  <c r="I93" i="51"/>
  <c r="H93" i="51"/>
  <c r="S92" i="51"/>
  <c r="R92" i="51"/>
  <c r="M92" i="51"/>
  <c r="L92" i="51"/>
  <c r="K92" i="51"/>
  <c r="J92" i="51"/>
  <c r="I92" i="51"/>
  <c r="H92" i="51"/>
  <c r="S91" i="51"/>
  <c r="R91" i="51"/>
  <c r="M91" i="51"/>
  <c r="L91" i="51"/>
  <c r="K91" i="51"/>
  <c r="J91" i="51"/>
  <c r="I91" i="51"/>
  <c r="H91" i="51"/>
  <c r="S90" i="51"/>
  <c r="R90" i="51"/>
  <c r="M90" i="51"/>
  <c r="L90" i="51"/>
  <c r="K90" i="51"/>
  <c r="J90" i="51"/>
  <c r="I90" i="51"/>
  <c r="H90" i="51"/>
  <c r="S89" i="51"/>
  <c r="R89" i="51"/>
  <c r="M89" i="51"/>
  <c r="L89" i="51"/>
  <c r="K89" i="51"/>
  <c r="J89" i="51"/>
  <c r="I89" i="51"/>
  <c r="H89" i="51"/>
  <c r="S88" i="51"/>
  <c r="R88" i="51"/>
  <c r="M88" i="51"/>
  <c r="L88" i="51"/>
  <c r="K88" i="51"/>
  <c r="J88" i="51"/>
  <c r="I88" i="51"/>
  <c r="H88" i="51"/>
  <c r="S87" i="51"/>
  <c r="R87" i="51"/>
  <c r="M87" i="51"/>
  <c r="L87" i="51"/>
  <c r="K87" i="51"/>
  <c r="J87" i="51"/>
  <c r="I87" i="51"/>
  <c r="H87" i="51"/>
  <c r="S86" i="51"/>
  <c r="R86" i="51"/>
  <c r="M86" i="51"/>
  <c r="L86" i="51"/>
  <c r="K86" i="51"/>
  <c r="J86" i="51"/>
  <c r="I86" i="51"/>
  <c r="H86" i="51"/>
  <c r="S85" i="51"/>
  <c r="R85" i="51"/>
  <c r="M85" i="51"/>
  <c r="L85" i="51"/>
  <c r="K85" i="51"/>
  <c r="J85" i="51"/>
  <c r="I85" i="51"/>
  <c r="H85" i="51"/>
  <c r="S84" i="51"/>
  <c r="R84" i="51"/>
  <c r="M84" i="51"/>
  <c r="L84" i="51"/>
  <c r="K84" i="51"/>
  <c r="J84" i="51"/>
  <c r="I84" i="51"/>
  <c r="H84" i="51"/>
  <c r="S83" i="51"/>
  <c r="R83" i="51"/>
  <c r="M83" i="51"/>
  <c r="L83" i="51"/>
  <c r="K83" i="51"/>
  <c r="J83" i="51"/>
  <c r="I83" i="51"/>
  <c r="H83" i="51"/>
  <c r="S82" i="51"/>
  <c r="R82" i="51"/>
  <c r="M82" i="51"/>
  <c r="L82" i="51"/>
  <c r="K82" i="51"/>
  <c r="J82" i="51"/>
  <c r="I82" i="51"/>
  <c r="H82" i="51"/>
  <c r="S81" i="51"/>
  <c r="R81" i="51"/>
  <c r="M81" i="51"/>
  <c r="L81" i="51"/>
  <c r="K81" i="51"/>
  <c r="J81" i="51"/>
  <c r="I81" i="51"/>
  <c r="H81" i="51"/>
  <c r="S80" i="51"/>
  <c r="R80" i="51"/>
  <c r="M80" i="51"/>
  <c r="L80" i="51"/>
  <c r="K80" i="51"/>
  <c r="J80" i="51"/>
  <c r="I80" i="51"/>
  <c r="H80" i="51"/>
  <c r="S79" i="51"/>
  <c r="R79" i="51"/>
  <c r="M79" i="51"/>
  <c r="L79" i="51"/>
  <c r="K79" i="51"/>
  <c r="J79" i="51"/>
  <c r="I79" i="51"/>
  <c r="H79" i="51"/>
  <c r="S78" i="51"/>
  <c r="R78" i="51"/>
  <c r="M78" i="51"/>
  <c r="L78" i="51"/>
  <c r="K78" i="51"/>
  <c r="J78" i="51"/>
  <c r="I78" i="51"/>
  <c r="H78" i="51"/>
  <c r="S77" i="51"/>
  <c r="R77" i="51"/>
  <c r="M77" i="51"/>
  <c r="L77" i="51"/>
  <c r="K77" i="51"/>
  <c r="J77" i="51"/>
  <c r="I77" i="51"/>
  <c r="H77" i="51"/>
  <c r="S76" i="51"/>
  <c r="R76" i="51"/>
  <c r="M76" i="51"/>
  <c r="L76" i="51"/>
  <c r="K76" i="51"/>
  <c r="J76" i="51"/>
  <c r="I76" i="51"/>
  <c r="H76" i="51"/>
  <c r="S75" i="51"/>
  <c r="R75" i="51"/>
  <c r="M75" i="51"/>
  <c r="L75" i="51"/>
  <c r="K75" i="51"/>
  <c r="J75" i="51"/>
  <c r="I75" i="51"/>
  <c r="H75" i="51"/>
  <c r="S74" i="51"/>
  <c r="R74" i="51"/>
  <c r="M74" i="51"/>
  <c r="L74" i="51"/>
  <c r="K74" i="51"/>
  <c r="J74" i="51"/>
  <c r="I74" i="51"/>
  <c r="H74" i="51"/>
  <c r="S73" i="51"/>
  <c r="R73" i="51"/>
  <c r="M73" i="51"/>
  <c r="L73" i="51"/>
  <c r="K73" i="51"/>
  <c r="J73" i="51"/>
  <c r="I73" i="51"/>
  <c r="H73" i="51"/>
  <c r="S72" i="51"/>
  <c r="R72" i="51"/>
  <c r="M72" i="51"/>
  <c r="L72" i="51"/>
  <c r="K72" i="51"/>
  <c r="J72" i="51"/>
  <c r="I72" i="51"/>
  <c r="H72" i="51"/>
  <c r="S71" i="51"/>
  <c r="R71" i="51"/>
  <c r="M71" i="51"/>
  <c r="L71" i="51"/>
  <c r="K71" i="51"/>
  <c r="J71" i="51"/>
  <c r="I71" i="51"/>
  <c r="H71" i="51"/>
  <c r="S70" i="51"/>
  <c r="R70" i="51"/>
  <c r="M70" i="51"/>
  <c r="L70" i="51"/>
  <c r="K70" i="51"/>
  <c r="J70" i="51"/>
  <c r="I70" i="51"/>
  <c r="H70" i="51"/>
  <c r="S69" i="51"/>
  <c r="R69" i="51"/>
  <c r="M69" i="51"/>
  <c r="L69" i="51"/>
  <c r="K69" i="51"/>
  <c r="J69" i="51"/>
  <c r="I69" i="51"/>
  <c r="H69" i="51"/>
  <c r="S68" i="51"/>
  <c r="R68" i="51"/>
  <c r="M68" i="51"/>
  <c r="L68" i="51"/>
  <c r="K68" i="51"/>
  <c r="J68" i="51"/>
  <c r="I68" i="51"/>
  <c r="H68" i="51"/>
  <c r="S67" i="51"/>
  <c r="R67" i="51"/>
  <c r="M67" i="51"/>
  <c r="L67" i="51"/>
  <c r="K67" i="51"/>
  <c r="J67" i="51"/>
  <c r="I67" i="51"/>
  <c r="H67" i="51"/>
  <c r="S66" i="51"/>
  <c r="R66" i="51"/>
  <c r="M66" i="51"/>
  <c r="L66" i="51"/>
  <c r="K66" i="51"/>
  <c r="J66" i="51"/>
  <c r="I66" i="51"/>
  <c r="H66" i="51"/>
  <c r="S65" i="51"/>
  <c r="R65" i="51"/>
  <c r="M65" i="51"/>
  <c r="L65" i="51"/>
  <c r="K65" i="51"/>
  <c r="J65" i="51"/>
  <c r="I65" i="51"/>
  <c r="H65" i="51"/>
  <c r="S64" i="51"/>
  <c r="R64" i="51"/>
  <c r="M64" i="51"/>
  <c r="L64" i="51"/>
  <c r="K64" i="51"/>
  <c r="J64" i="51"/>
  <c r="I64" i="51"/>
  <c r="H64" i="51"/>
  <c r="S63" i="51"/>
  <c r="R63" i="51"/>
  <c r="M63" i="51"/>
  <c r="L63" i="51"/>
  <c r="K63" i="51"/>
  <c r="J63" i="51"/>
  <c r="I63" i="51"/>
  <c r="H63" i="51"/>
  <c r="S62" i="51"/>
  <c r="R62" i="51"/>
  <c r="M62" i="51"/>
  <c r="L62" i="51"/>
  <c r="K62" i="51"/>
  <c r="J62" i="51"/>
  <c r="I62" i="51"/>
  <c r="H62" i="51"/>
  <c r="S61" i="51"/>
  <c r="R61" i="51"/>
  <c r="M61" i="51"/>
  <c r="L61" i="51"/>
  <c r="K61" i="51"/>
  <c r="J61" i="51"/>
  <c r="I61" i="51"/>
  <c r="H61" i="51"/>
  <c r="S60" i="51"/>
  <c r="R60" i="51"/>
  <c r="M60" i="51"/>
  <c r="L60" i="51"/>
  <c r="K60" i="51"/>
  <c r="J60" i="51"/>
  <c r="I60" i="51"/>
  <c r="H60" i="51"/>
  <c r="S59" i="51"/>
  <c r="R59" i="51"/>
  <c r="M59" i="51"/>
  <c r="L59" i="51"/>
  <c r="K59" i="51"/>
  <c r="J59" i="51"/>
  <c r="I59" i="51"/>
  <c r="H59" i="51"/>
  <c r="S58" i="51"/>
  <c r="R58" i="51"/>
  <c r="M58" i="51"/>
  <c r="L58" i="51"/>
  <c r="K58" i="51"/>
  <c r="J58" i="51"/>
  <c r="I58" i="51"/>
  <c r="H58" i="51"/>
  <c r="S57" i="51"/>
  <c r="R57" i="51"/>
  <c r="M57" i="51"/>
  <c r="L57" i="51"/>
  <c r="K57" i="51"/>
  <c r="J57" i="51"/>
  <c r="I57" i="51"/>
  <c r="H57" i="51"/>
  <c r="S56" i="51"/>
  <c r="R56" i="51"/>
  <c r="M56" i="51"/>
  <c r="L56" i="51"/>
  <c r="K56" i="51"/>
  <c r="J56" i="51"/>
  <c r="I56" i="51"/>
  <c r="H56" i="51"/>
  <c r="S55" i="51"/>
  <c r="R55" i="51"/>
  <c r="M55" i="51"/>
  <c r="L55" i="51"/>
  <c r="K55" i="51"/>
  <c r="J55" i="51"/>
  <c r="I55" i="51"/>
  <c r="H55" i="51"/>
  <c r="S54" i="51"/>
  <c r="R54" i="51"/>
  <c r="M54" i="51"/>
  <c r="L54" i="51"/>
  <c r="K54" i="51"/>
  <c r="J54" i="51"/>
  <c r="I54" i="51"/>
  <c r="H54" i="51"/>
  <c r="S53" i="51"/>
  <c r="R53" i="51"/>
  <c r="M53" i="51"/>
  <c r="L53" i="51"/>
  <c r="K53" i="51"/>
  <c r="J53" i="51"/>
  <c r="I53" i="51"/>
  <c r="H53" i="51"/>
  <c r="S52" i="51"/>
  <c r="R52" i="51"/>
  <c r="M52" i="51"/>
  <c r="L52" i="51"/>
  <c r="K52" i="51"/>
  <c r="J52" i="51"/>
  <c r="I52" i="51"/>
  <c r="H52" i="51"/>
  <c r="S51" i="51"/>
  <c r="R51" i="51"/>
  <c r="M51" i="51"/>
  <c r="L51" i="51"/>
  <c r="K51" i="51"/>
  <c r="J51" i="51"/>
  <c r="I51" i="51"/>
  <c r="H51" i="51"/>
  <c r="S50" i="51"/>
  <c r="R50" i="51"/>
  <c r="M50" i="51"/>
  <c r="L50" i="51"/>
  <c r="K50" i="51"/>
  <c r="J50" i="51"/>
  <c r="I50" i="51"/>
  <c r="H50" i="51"/>
  <c r="S49" i="51"/>
  <c r="R49" i="51"/>
  <c r="M49" i="51"/>
  <c r="L49" i="51"/>
  <c r="K49" i="51"/>
  <c r="J49" i="51"/>
  <c r="I49" i="51"/>
  <c r="H49" i="51"/>
  <c r="S48" i="51"/>
  <c r="R48" i="51"/>
  <c r="M48" i="51"/>
  <c r="L48" i="51"/>
  <c r="K48" i="51"/>
  <c r="J48" i="51"/>
  <c r="I48" i="51"/>
  <c r="H48" i="51"/>
  <c r="S47" i="51"/>
  <c r="R47" i="51"/>
  <c r="M47" i="51"/>
  <c r="L47" i="51"/>
  <c r="K47" i="51"/>
  <c r="J47" i="51"/>
  <c r="I47" i="51"/>
  <c r="H47" i="51"/>
  <c r="S46" i="51"/>
  <c r="R46" i="51"/>
  <c r="M46" i="51"/>
  <c r="L46" i="51"/>
  <c r="K46" i="51"/>
  <c r="J46" i="51"/>
  <c r="I46" i="51"/>
  <c r="H46" i="51"/>
  <c r="S45" i="51"/>
  <c r="R45" i="51"/>
  <c r="M45" i="51"/>
  <c r="L45" i="51"/>
  <c r="K45" i="51"/>
  <c r="J45" i="51"/>
  <c r="I45" i="51"/>
  <c r="H45" i="51"/>
  <c r="S44" i="51"/>
  <c r="R44" i="51"/>
  <c r="M44" i="51"/>
  <c r="L44" i="51"/>
  <c r="K44" i="51"/>
  <c r="J44" i="51"/>
  <c r="I44" i="51"/>
  <c r="H44" i="51"/>
  <c r="S43" i="51"/>
  <c r="R43" i="51"/>
  <c r="M43" i="51"/>
  <c r="L43" i="51"/>
  <c r="K43" i="51"/>
  <c r="J43" i="51"/>
  <c r="I43" i="51"/>
  <c r="H43" i="51"/>
  <c r="S42" i="51"/>
  <c r="R42" i="51"/>
  <c r="M42" i="51"/>
  <c r="L42" i="51"/>
  <c r="K42" i="51"/>
  <c r="J42" i="51"/>
  <c r="I42" i="51"/>
  <c r="H42" i="51"/>
  <c r="S41" i="51"/>
  <c r="R41" i="51"/>
  <c r="M41" i="51"/>
  <c r="L41" i="51"/>
  <c r="K41" i="51"/>
  <c r="J41" i="51"/>
  <c r="I41" i="51"/>
  <c r="H41" i="51"/>
  <c r="S40" i="51"/>
  <c r="R40" i="51"/>
  <c r="M40" i="51"/>
  <c r="L40" i="51"/>
  <c r="K40" i="51"/>
  <c r="J40" i="51"/>
  <c r="I40" i="51"/>
  <c r="H40" i="51"/>
  <c r="S39" i="51"/>
  <c r="R39" i="51"/>
  <c r="M39" i="51"/>
  <c r="L39" i="51"/>
  <c r="K39" i="51"/>
  <c r="J39" i="51"/>
  <c r="I39" i="51"/>
  <c r="H39" i="51"/>
  <c r="S38" i="51"/>
  <c r="R38" i="51"/>
  <c r="M38" i="51"/>
  <c r="L38" i="51"/>
  <c r="K38" i="51"/>
  <c r="J38" i="51"/>
  <c r="I38" i="51"/>
  <c r="H38" i="51"/>
  <c r="S37" i="51"/>
  <c r="R37" i="51"/>
  <c r="M37" i="51"/>
  <c r="L37" i="51"/>
  <c r="K37" i="51"/>
  <c r="J37" i="51"/>
  <c r="I37" i="51"/>
  <c r="H37" i="51"/>
  <c r="S36" i="51"/>
  <c r="R36" i="51"/>
  <c r="M36" i="51"/>
  <c r="L36" i="51"/>
  <c r="K36" i="51"/>
  <c r="J36" i="51"/>
  <c r="I36" i="51"/>
  <c r="H36" i="51"/>
  <c r="S35" i="51"/>
  <c r="R35" i="51"/>
  <c r="M35" i="51"/>
  <c r="L35" i="51"/>
  <c r="K35" i="51"/>
  <c r="J35" i="51"/>
  <c r="I35" i="51"/>
  <c r="H35" i="51"/>
  <c r="S34" i="51"/>
  <c r="R34" i="51"/>
  <c r="M34" i="51"/>
  <c r="L34" i="51"/>
  <c r="K34" i="51"/>
  <c r="J34" i="51"/>
  <c r="I34" i="51"/>
  <c r="H34" i="51"/>
  <c r="I33" i="51"/>
  <c r="J33" i="51" s="1"/>
  <c r="R33" i="51" s="1"/>
  <c r="H33" i="51"/>
  <c r="I32" i="51"/>
  <c r="H32" i="51"/>
  <c r="I31" i="51"/>
  <c r="H31" i="51"/>
  <c r="I30" i="51"/>
  <c r="H30" i="51"/>
  <c r="I29" i="51"/>
  <c r="H29" i="51"/>
  <c r="I28" i="51"/>
  <c r="J28" i="51" s="1"/>
  <c r="R28" i="51" s="1"/>
  <c r="H28" i="51"/>
  <c r="I27" i="51"/>
  <c r="H27" i="51"/>
  <c r="I26" i="51"/>
  <c r="H26" i="51"/>
  <c r="I25" i="51"/>
  <c r="H25" i="51"/>
  <c r="I24" i="51"/>
  <c r="J24" i="51" s="1"/>
  <c r="R24" i="51" s="1"/>
  <c r="H24" i="51"/>
  <c r="I23" i="51"/>
  <c r="J23" i="51" s="1"/>
  <c r="R23" i="51" s="1"/>
  <c r="H23" i="51"/>
  <c r="I22" i="51"/>
  <c r="J22" i="51" s="1"/>
  <c r="R22" i="51" s="1"/>
  <c r="H22" i="51"/>
  <c r="H21" i="51"/>
  <c r="I21" i="51"/>
  <c r="I20" i="51"/>
  <c r="J20" i="51" s="1"/>
  <c r="R20" i="51" s="1"/>
  <c r="H20" i="51"/>
  <c r="I19" i="51"/>
  <c r="J19" i="51" s="1"/>
  <c r="R19" i="51" s="1"/>
  <c r="H19" i="51"/>
  <c r="I18" i="51"/>
  <c r="J18" i="51" s="1"/>
  <c r="R18" i="51" s="1"/>
  <c r="H18" i="51"/>
  <c r="I17" i="51"/>
  <c r="J17" i="51" s="1"/>
  <c r="R17" i="51" s="1"/>
  <c r="H17" i="51"/>
  <c r="I16" i="51"/>
  <c r="H16" i="51"/>
  <c r="J16" i="51" s="1"/>
  <c r="R16" i="51" s="1"/>
  <c r="H15" i="51"/>
  <c r="I15" i="51"/>
  <c r="J15" i="51" s="1"/>
  <c r="R15" i="51" s="1"/>
  <c r="I14" i="51"/>
  <c r="H14" i="51"/>
  <c r="I13" i="51"/>
  <c r="H13" i="51"/>
  <c r="J13" i="51" s="1"/>
  <c r="R13" i="51" s="1"/>
  <c r="I12" i="51"/>
  <c r="H12" i="51"/>
  <c r="J12" i="51" s="1"/>
  <c r="R12" i="51" s="1"/>
  <c r="I11" i="51"/>
  <c r="H11" i="51"/>
  <c r="I10" i="51"/>
  <c r="H10" i="51"/>
  <c r="J10" i="51" s="1"/>
  <c r="R10" i="51" s="1"/>
  <c r="I9" i="51"/>
  <c r="H9" i="51"/>
  <c r="J9" i="51" s="1"/>
  <c r="R9" i="51" s="1"/>
  <c r="I8" i="51"/>
  <c r="H8" i="51"/>
  <c r="J8" i="51" s="1"/>
  <c r="R8" i="51" s="1"/>
  <c r="I7" i="51"/>
  <c r="L7" i="51" s="1"/>
  <c r="H7" i="51"/>
  <c r="J7" i="51" s="1"/>
  <c r="R7" i="51" s="1"/>
  <c r="G21" i="50"/>
  <c r="G18" i="50"/>
  <c r="G15" i="50"/>
  <c r="S112" i="50"/>
  <c r="R112" i="50"/>
  <c r="M112" i="50"/>
  <c r="L112" i="50"/>
  <c r="K112" i="50"/>
  <c r="J112" i="50"/>
  <c r="I112" i="50"/>
  <c r="H112" i="50"/>
  <c r="S111" i="50"/>
  <c r="R111" i="50"/>
  <c r="M111" i="50"/>
  <c r="L111" i="50"/>
  <c r="K111" i="50"/>
  <c r="J111" i="50"/>
  <c r="I111" i="50"/>
  <c r="H111" i="50"/>
  <c r="S110" i="50"/>
  <c r="R110" i="50"/>
  <c r="M110" i="50"/>
  <c r="L110" i="50"/>
  <c r="K110" i="50"/>
  <c r="J110" i="50"/>
  <c r="I110" i="50"/>
  <c r="H110" i="50"/>
  <c r="S109" i="50"/>
  <c r="R109" i="50"/>
  <c r="M109" i="50"/>
  <c r="L109" i="50"/>
  <c r="K109" i="50"/>
  <c r="J109" i="50"/>
  <c r="I109" i="50"/>
  <c r="H109" i="50"/>
  <c r="S108" i="50"/>
  <c r="R108" i="50"/>
  <c r="M108" i="50"/>
  <c r="L108" i="50"/>
  <c r="K108" i="50"/>
  <c r="J108" i="50"/>
  <c r="I108" i="50"/>
  <c r="H108" i="50"/>
  <c r="S107" i="50"/>
  <c r="R107" i="50"/>
  <c r="M107" i="50"/>
  <c r="L107" i="50"/>
  <c r="K107" i="50"/>
  <c r="J107" i="50"/>
  <c r="I107" i="50"/>
  <c r="H107" i="50"/>
  <c r="S106" i="50"/>
  <c r="R106" i="50"/>
  <c r="M106" i="50"/>
  <c r="L106" i="50"/>
  <c r="K106" i="50"/>
  <c r="J106" i="50"/>
  <c r="I106" i="50"/>
  <c r="H106" i="50"/>
  <c r="S105" i="50"/>
  <c r="R105" i="50"/>
  <c r="M105" i="50"/>
  <c r="L105" i="50"/>
  <c r="K105" i="50"/>
  <c r="J105" i="50"/>
  <c r="I105" i="50"/>
  <c r="H105" i="50"/>
  <c r="S104" i="50"/>
  <c r="R104" i="50"/>
  <c r="M104" i="50"/>
  <c r="L104" i="50"/>
  <c r="K104" i="50"/>
  <c r="J104" i="50"/>
  <c r="I104" i="50"/>
  <c r="H104" i="50"/>
  <c r="S103" i="50"/>
  <c r="R103" i="50"/>
  <c r="M103" i="50"/>
  <c r="L103" i="50"/>
  <c r="K103" i="50"/>
  <c r="J103" i="50"/>
  <c r="I103" i="50"/>
  <c r="H103" i="50"/>
  <c r="S102" i="50"/>
  <c r="R102" i="50"/>
  <c r="M102" i="50"/>
  <c r="L102" i="50"/>
  <c r="K102" i="50"/>
  <c r="J102" i="50"/>
  <c r="I102" i="50"/>
  <c r="H102" i="50"/>
  <c r="S101" i="50"/>
  <c r="R101" i="50"/>
  <c r="M101" i="50"/>
  <c r="L101" i="50"/>
  <c r="K101" i="50"/>
  <c r="J101" i="50"/>
  <c r="I101" i="50"/>
  <c r="H101" i="50"/>
  <c r="S100" i="50"/>
  <c r="R100" i="50"/>
  <c r="M100" i="50"/>
  <c r="L100" i="50"/>
  <c r="K100" i="50"/>
  <c r="J100" i="50"/>
  <c r="I100" i="50"/>
  <c r="H100" i="50"/>
  <c r="S99" i="50"/>
  <c r="R99" i="50"/>
  <c r="M99" i="50"/>
  <c r="L99" i="50"/>
  <c r="K99" i="50"/>
  <c r="J99" i="50"/>
  <c r="I99" i="50"/>
  <c r="H99" i="50"/>
  <c r="S98" i="50"/>
  <c r="R98" i="50"/>
  <c r="M98" i="50"/>
  <c r="L98" i="50"/>
  <c r="K98" i="50"/>
  <c r="J98" i="50"/>
  <c r="I98" i="50"/>
  <c r="H98" i="50"/>
  <c r="S97" i="50"/>
  <c r="R97" i="50"/>
  <c r="M97" i="50"/>
  <c r="L97" i="50"/>
  <c r="K97" i="50"/>
  <c r="J97" i="50"/>
  <c r="I97" i="50"/>
  <c r="H97" i="50"/>
  <c r="S96" i="50"/>
  <c r="R96" i="50"/>
  <c r="M96" i="50"/>
  <c r="L96" i="50"/>
  <c r="K96" i="50"/>
  <c r="J96" i="50"/>
  <c r="I96" i="50"/>
  <c r="H96" i="50"/>
  <c r="S95" i="50"/>
  <c r="R95" i="50"/>
  <c r="M95" i="50"/>
  <c r="L95" i="50"/>
  <c r="K95" i="50"/>
  <c r="J95" i="50"/>
  <c r="I95" i="50"/>
  <c r="H95" i="50"/>
  <c r="S94" i="50"/>
  <c r="R94" i="50"/>
  <c r="M94" i="50"/>
  <c r="L94" i="50"/>
  <c r="K94" i="50"/>
  <c r="J94" i="50"/>
  <c r="I94" i="50"/>
  <c r="H94" i="50"/>
  <c r="S93" i="50"/>
  <c r="R93" i="50"/>
  <c r="M93" i="50"/>
  <c r="L93" i="50"/>
  <c r="K93" i="50"/>
  <c r="J93" i="50"/>
  <c r="I93" i="50"/>
  <c r="H93" i="50"/>
  <c r="S92" i="50"/>
  <c r="R92" i="50"/>
  <c r="M92" i="50"/>
  <c r="L92" i="50"/>
  <c r="K92" i="50"/>
  <c r="J92" i="50"/>
  <c r="I92" i="50"/>
  <c r="H92" i="50"/>
  <c r="S91" i="50"/>
  <c r="R91" i="50"/>
  <c r="M91" i="50"/>
  <c r="L91" i="50"/>
  <c r="K91" i="50"/>
  <c r="J91" i="50"/>
  <c r="I91" i="50"/>
  <c r="H91" i="50"/>
  <c r="S90" i="50"/>
  <c r="R90" i="50"/>
  <c r="M90" i="50"/>
  <c r="L90" i="50"/>
  <c r="K90" i="50"/>
  <c r="J90" i="50"/>
  <c r="I90" i="50"/>
  <c r="H90" i="50"/>
  <c r="S89" i="50"/>
  <c r="R89" i="50"/>
  <c r="M89" i="50"/>
  <c r="L89" i="50"/>
  <c r="K89" i="50"/>
  <c r="J89" i="50"/>
  <c r="I89" i="50"/>
  <c r="H89" i="50"/>
  <c r="S88" i="50"/>
  <c r="R88" i="50"/>
  <c r="M88" i="50"/>
  <c r="L88" i="50"/>
  <c r="K88" i="50"/>
  <c r="J88" i="50"/>
  <c r="I88" i="50"/>
  <c r="H88" i="50"/>
  <c r="S87" i="50"/>
  <c r="R87" i="50"/>
  <c r="M87" i="50"/>
  <c r="L87" i="50"/>
  <c r="K87" i="50"/>
  <c r="J87" i="50"/>
  <c r="I87" i="50"/>
  <c r="H87" i="50"/>
  <c r="S86" i="50"/>
  <c r="R86" i="50"/>
  <c r="M86" i="50"/>
  <c r="L86" i="50"/>
  <c r="K86" i="50"/>
  <c r="J86" i="50"/>
  <c r="I86" i="50"/>
  <c r="H86" i="50"/>
  <c r="S85" i="50"/>
  <c r="R85" i="50"/>
  <c r="M85" i="50"/>
  <c r="L85" i="50"/>
  <c r="K85" i="50"/>
  <c r="J85" i="50"/>
  <c r="I85" i="50"/>
  <c r="H85" i="50"/>
  <c r="S84" i="50"/>
  <c r="R84" i="50"/>
  <c r="M84" i="50"/>
  <c r="L84" i="50"/>
  <c r="K84" i="50"/>
  <c r="J84" i="50"/>
  <c r="I84" i="50"/>
  <c r="H84" i="50"/>
  <c r="S83" i="50"/>
  <c r="R83" i="50"/>
  <c r="M83" i="50"/>
  <c r="L83" i="50"/>
  <c r="K83" i="50"/>
  <c r="J83" i="50"/>
  <c r="I83" i="50"/>
  <c r="H83" i="50"/>
  <c r="S82" i="50"/>
  <c r="R82" i="50"/>
  <c r="M82" i="50"/>
  <c r="L82" i="50"/>
  <c r="K82" i="50"/>
  <c r="J82" i="50"/>
  <c r="I82" i="50"/>
  <c r="H82" i="50"/>
  <c r="S81" i="50"/>
  <c r="R81" i="50"/>
  <c r="M81" i="50"/>
  <c r="L81" i="50"/>
  <c r="K81" i="50"/>
  <c r="J81" i="50"/>
  <c r="I81" i="50"/>
  <c r="H81" i="50"/>
  <c r="S80" i="50"/>
  <c r="R80" i="50"/>
  <c r="M80" i="50"/>
  <c r="L80" i="50"/>
  <c r="K80" i="50"/>
  <c r="J80" i="50"/>
  <c r="I80" i="50"/>
  <c r="H80" i="50"/>
  <c r="S79" i="50"/>
  <c r="R79" i="50"/>
  <c r="M79" i="50"/>
  <c r="L79" i="50"/>
  <c r="K79" i="50"/>
  <c r="J79" i="50"/>
  <c r="I79" i="50"/>
  <c r="H79" i="50"/>
  <c r="S78" i="50"/>
  <c r="R78" i="50"/>
  <c r="M78" i="50"/>
  <c r="L78" i="50"/>
  <c r="K78" i="50"/>
  <c r="J78" i="50"/>
  <c r="I78" i="50"/>
  <c r="H78" i="50"/>
  <c r="S77" i="50"/>
  <c r="R77" i="50"/>
  <c r="M77" i="50"/>
  <c r="L77" i="50"/>
  <c r="K77" i="50"/>
  <c r="J77" i="50"/>
  <c r="I77" i="50"/>
  <c r="H77" i="50"/>
  <c r="S76" i="50"/>
  <c r="R76" i="50"/>
  <c r="M76" i="50"/>
  <c r="L76" i="50"/>
  <c r="K76" i="50"/>
  <c r="J76" i="50"/>
  <c r="I76" i="50"/>
  <c r="H76" i="50"/>
  <c r="S75" i="50"/>
  <c r="R75" i="50"/>
  <c r="M75" i="50"/>
  <c r="L75" i="50"/>
  <c r="K75" i="50"/>
  <c r="J75" i="50"/>
  <c r="I75" i="50"/>
  <c r="H75" i="50"/>
  <c r="S74" i="50"/>
  <c r="R74" i="50"/>
  <c r="M74" i="50"/>
  <c r="L74" i="50"/>
  <c r="K74" i="50"/>
  <c r="J74" i="50"/>
  <c r="I74" i="50"/>
  <c r="H74" i="50"/>
  <c r="S73" i="50"/>
  <c r="R73" i="50"/>
  <c r="M73" i="50"/>
  <c r="L73" i="50"/>
  <c r="K73" i="50"/>
  <c r="J73" i="50"/>
  <c r="I73" i="50"/>
  <c r="H73" i="50"/>
  <c r="S72" i="50"/>
  <c r="R72" i="50"/>
  <c r="M72" i="50"/>
  <c r="L72" i="50"/>
  <c r="K72" i="50"/>
  <c r="J72" i="50"/>
  <c r="I72" i="50"/>
  <c r="H72" i="50"/>
  <c r="S71" i="50"/>
  <c r="R71" i="50"/>
  <c r="M71" i="50"/>
  <c r="L71" i="50"/>
  <c r="K71" i="50"/>
  <c r="J71" i="50"/>
  <c r="I71" i="50"/>
  <c r="H71" i="50"/>
  <c r="S70" i="50"/>
  <c r="R70" i="50"/>
  <c r="M70" i="50"/>
  <c r="L70" i="50"/>
  <c r="K70" i="50"/>
  <c r="J70" i="50"/>
  <c r="I70" i="50"/>
  <c r="H70" i="50"/>
  <c r="S69" i="50"/>
  <c r="R69" i="50"/>
  <c r="M69" i="50"/>
  <c r="L69" i="50"/>
  <c r="K69" i="50"/>
  <c r="J69" i="50"/>
  <c r="I69" i="50"/>
  <c r="H69" i="50"/>
  <c r="S68" i="50"/>
  <c r="R68" i="50"/>
  <c r="M68" i="50"/>
  <c r="L68" i="50"/>
  <c r="K68" i="50"/>
  <c r="J68" i="50"/>
  <c r="I68" i="50"/>
  <c r="H68" i="50"/>
  <c r="S67" i="50"/>
  <c r="R67" i="50"/>
  <c r="M67" i="50"/>
  <c r="L67" i="50"/>
  <c r="K67" i="50"/>
  <c r="J67" i="50"/>
  <c r="I67" i="50"/>
  <c r="H67" i="50"/>
  <c r="S66" i="50"/>
  <c r="R66" i="50"/>
  <c r="M66" i="50"/>
  <c r="L66" i="50"/>
  <c r="K66" i="50"/>
  <c r="J66" i="50"/>
  <c r="I66" i="50"/>
  <c r="H66" i="50"/>
  <c r="S65" i="50"/>
  <c r="R65" i="50"/>
  <c r="M65" i="50"/>
  <c r="L65" i="50"/>
  <c r="K65" i="50"/>
  <c r="J65" i="50"/>
  <c r="I65" i="50"/>
  <c r="H65" i="50"/>
  <c r="S64" i="50"/>
  <c r="R64" i="50"/>
  <c r="M64" i="50"/>
  <c r="L64" i="50"/>
  <c r="K64" i="50"/>
  <c r="J64" i="50"/>
  <c r="I64" i="50"/>
  <c r="H64" i="50"/>
  <c r="S63" i="50"/>
  <c r="R63" i="50"/>
  <c r="M63" i="50"/>
  <c r="L63" i="50"/>
  <c r="K63" i="50"/>
  <c r="J63" i="50"/>
  <c r="I63" i="50"/>
  <c r="H63" i="50"/>
  <c r="S62" i="50"/>
  <c r="R62" i="50"/>
  <c r="M62" i="50"/>
  <c r="L62" i="50"/>
  <c r="K62" i="50"/>
  <c r="J62" i="50"/>
  <c r="I62" i="50"/>
  <c r="H62" i="50"/>
  <c r="S61" i="50"/>
  <c r="R61" i="50"/>
  <c r="M61" i="50"/>
  <c r="L61" i="50"/>
  <c r="K61" i="50"/>
  <c r="J61" i="50"/>
  <c r="I61" i="50"/>
  <c r="H61" i="50"/>
  <c r="S60" i="50"/>
  <c r="R60" i="50"/>
  <c r="M60" i="50"/>
  <c r="L60" i="50"/>
  <c r="K60" i="50"/>
  <c r="J60" i="50"/>
  <c r="I60" i="50"/>
  <c r="H60" i="50"/>
  <c r="S59" i="50"/>
  <c r="R59" i="50"/>
  <c r="M59" i="50"/>
  <c r="L59" i="50"/>
  <c r="K59" i="50"/>
  <c r="J59" i="50"/>
  <c r="I59" i="50"/>
  <c r="H59" i="50"/>
  <c r="S58" i="50"/>
  <c r="R58" i="50"/>
  <c r="M58" i="50"/>
  <c r="L58" i="50"/>
  <c r="K58" i="50"/>
  <c r="J58" i="50"/>
  <c r="I58" i="50"/>
  <c r="H58" i="50"/>
  <c r="S57" i="50"/>
  <c r="R57" i="50"/>
  <c r="M57" i="50"/>
  <c r="L57" i="50"/>
  <c r="K57" i="50"/>
  <c r="J57" i="50"/>
  <c r="I57" i="50"/>
  <c r="H57" i="50"/>
  <c r="S56" i="50"/>
  <c r="R56" i="50"/>
  <c r="M56" i="50"/>
  <c r="L56" i="50"/>
  <c r="K56" i="50"/>
  <c r="J56" i="50"/>
  <c r="I56" i="50"/>
  <c r="H56" i="50"/>
  <c r="S55" i="50"/>
  <c r="R55" i="50"/>
  <c r="M55" i="50"/>
  <c r="L55" i="50"/>
  <c r="K55" i="50"/>
  <c r="J55" i="50"/>
  <c r="I55" i="50"/>
  <c r="H55" i="50"/>
  <c r="S54" i="50"/>
  <c r="R54" i="50"/>
  <c r="M54" i="50"/>
  <c r="L54" i="50"/>
  <c r="K54" i="50"/>
  <c r="J54" i="50"/>
  <c r="I54" i="50"/>
  <c r="H54" i="50"/>
  <c r="S53" i="50"/>
  <c r="R53" i="50"/>
  <c r="M53" i="50"/>
  <c r="L53" i="50"/>
  <c r="K53" i="50"/>
  <c r="J53" i="50"/>
  <c r="I53" i="50"/>
  <c r="H53" i="50"/>
  <c r="S52" i="50"/>
  <c r="R52" i="50"/>
  <c r="M52" i="50"/>
  <c r="L52" i="50"/>
  <c r="K52" i="50"/>
  <c r="J52" i="50"/>
  <c r="I52" i="50"/>
  <c r="H52" i="50"/>
  <c r="S51" i="50"/>
  <c r="R51" i="50"/>
  <c r="M51" i="50"/>
  <c r="L51" i="50"/>
  <c r="K51" i="50"/>
  <c r="J51" i="50"/>
  <c r="I51" i="50"/>
  <c r="H51" i="50"/>
  <c r="S50" i="50"/>
  <c r="R50" i="50"/>
  <c r="M50" i="50"/>
  <c r="L50" i="50"/>
  <c r="K50" i="50"/>
  <c r="J50" i="50"/>
  <c r="I50" i="50"/>
  <c r="H50" i="50"/>
  <c r="S49" i="50"/>
  <c r="R49" i="50"/>
  <c r="M49" i="50"/>
  <c r="L49" i="50"/>
  <c r="K49" i="50"/>
  <c r="J49" i="50"/>
  <c r="I49" i="50"/>
  <c r="H49" i="50"/>
  <c r="S48" i="50"/>
  <c r="R48" i="50"/>
  <c r="M48" i="50"/>
  <c r="L48" i="50"/>
  <c r="K48" i="50"/>
  <c r="J48" i="50"/>
  <c r="I48" i="50"/>
  <c r="H48" i="50"/>
  <c r="S47" i="50"/>
  <c r="R47" i="50"/>
  <c r="M47" i="50"/>
  <c r="L47" i="50"/>
  <c r="K47" i="50"/>
  <c r="J47" i="50"/>
  <c r="I47" i="50"/>
  <c r="H47" i="50"/>
  <c r="S46" i="50"/>
  <c r="R46" i="50"/>
  <c r="M46" i="50"/>
  <c r="L46" i="50"/>
  <c r="K46" i="50"/>
  <c r="J46" i="50"/>
  <c r="I46" i="50"/>
  <c r="H46" i="50"/>
  <c r="S45" i="50"/>
  <c r="R45" i="50"/>
  <c r="M45" i="50"/>
  <c r="L45" i="50"/>
  <c r="K45" i="50"/>
  <c r="J45" i="50"/>
  <c r="I45" i="50"/>
  <c r="H45" i="50"/>
  <c r="S44" i="50"/>
  <c r="R44" i="50"/>
  <c r="M44" i="50"/>
  <c r="L44" i="50"/>
  <c r="K44" i="50"/>
  <c r="J44" i="50"/>
  <c r="I44" i="50"/>
  <c r="H44" i="50"/>
  <c r="S43" i="50"/>
  <c r="R43" i="50"/>
  <c r="M43" i="50"/>
  <c r="L43" i="50"/>
  <c r="K43" i="50"/>
  <c r="J43" i="50"/>
  <c r="I43" i="50"/>
  <c r="H43" i="50"/>
  <c r="S42" i="50"/>
  <c r="R42" i="50"/>
  <c r="M42" i="50"/>
  <c r="L42" i="50"/>
  <c r="K42" i="50"/>
  <c r="J42" i="50"/>
  <c r="I42" i="50"/>
  <c r="H42" i="50"/>
  <c r="S41" i="50"/>
  <c r="R41" i="50"/>
  <c r="M41" i="50"/>
  <c r="L41" i="50"/>
  <c r="K41" i="50"/>
  <c r="J41" i="50"/>
  <c r="I41" i="50"/>
  <c r="H41" i="50"/>
  <c r="S40" i="50"/>
  <c r="R40" i="50"/>
  <c r="M40" i="50"/>
  <c r="L40" i="50"/>
  <c r="K40" i="50"/>
  <c r="J40" i="50"/>
  <c r="I40" i="50"/>
  <c r="H40" i="50"/>
  <c r="S39" i="50"/>
  <c r="R39" i="50"/>
  <c r="M39" i="50"/>
  <c r="L39" i="50"/>
  <c r="K39" i="50"/>
  <c r="J39" i="50"/>
  <c r="I39" i="50"/>
  <c r="H39" i="50"/>
  <c r="S38" i="50"/>
  <c r="R38" i="50"/>
  <c r="M38" i="50"/>
  <c r="L38" i="50"/>
  <c r="K38" i="50"/>
  <c r="J38" i="50"/>
  <c r="I38" i="50"/>
  <c r="H38" i="50"/>
  <c r="S37" i="50"/>
  <c r="R37" i="50"/>
  <c r="M37" i="50"/>
  <c r="L37" i="50"/>
  <c r="K37" i="50"/>
  <c r="J37" i="50"/>
  <c r="I37" i="50"/>
  <c r="H37" i="50"/>
  <c r="S36" i="50"/>
  <c r="R36" i="50"/>
  <c r="M36" i="50"/>
  <c r="L36" i="50"/>
  <c r="K36" i="50"/>
  <c r="J36" i="50"/>
  <c r="I36" i="50"/>
  <c r="H36" i="50"/>
  <c r="S35" i="50"/>
  <c r="R35" i="50"/>
  <c r="M35" i="50"/>
  <c r="L35" i="50"/>
  <c r="K35" i="50"/>
  <c r="J35" i="50"/>
  <c r="I35" i="50"/>
  <c r="H35" i="50"/>
  <c r="S34" i="50"/>
  <c r="R34" i="50"/>
  <c r="M34" i="50"/>
  <c r="L34" i="50"/>
  <c r="K34" i="50"/>
  <c r="J34" i="50"/>
  <c r="I34" i="50"/>
  <c r="H34" i="50"/>
  <c r="S33" i="50"/>
  <c r="R33" i="50"/>
  <c r="M33" i="50"/>
  <c r="L33" i="50"/>
  <c r="K33" i="50"/>
  <c r="J33" i="50"/>
  <c r="I33" i="50"/>
  <c r="H33" i="50"/>
  <c r="S32" i="50"/>
  <c r="R32" i="50"/>
  <c r="M32" i="50"/>
  <c r="L32" i="50"/>
  <c r="K32" i="50"/>
  <c r="J32" i="50"/>
  <c r="I32" i="50"/>
  <c r="H32" i="50"/>
  <c r="S31" i="50"/>
  <c r="R31" i="50"/>
  <c r="M31" i="50"/>
  <c r="L31" i="50"/>
  <c r="K31" i="50"/>
  <c r="J31" i="50"/>
  <c r="I31" i="50"/>
  <c r="H31" i="50"/>
  <c r="S30" i="50"/>
  <c r="R30" i="50"/>
  <c r="M30" i="50"/>
  <c r="L30" i="50"/>
  <c r="K30" i="50"/>
  <c r="J30" i="50"/>
  <c r="I30" i="50"/>
  <c r="H30" i="50"/>
  <c r="S29" i="50"/>
  <c r="R29" i="50"/>
  <c r="M29" i="50"/>
  <c r="L29" i="50"/>
  <c r="K29" i="50"/>
  <c r="J29" i="50"/>
  <c r="I29" i="50"/>
  <c r="H29" i="50"/>
  <c r="S28" i="50"/>
  <c r="R28" i="50"/>
  <c r="M28" i="50"/>
  <c r="L28" i="50"/>
  <c r="K28" i="50"/>
  <c r="J28" i="50"/>
  <c r="I28" i="50"/>
  <c r="H28" i="50"/>
  <c r="S27" i="50"/>
  <c r="R27" i="50"/>
  <c r="M27" i="50"/>
  <c r="L27" i="50"/>
  <c r="K27" i="50"/>
  <c r="J27" i="50"/>
  <c r="I27" i="50"/>
  <c r="H27" i="50"/>
  <c r="S26" i="50"/>
  <c r="R26" i="50"/>
  <c r="M26" i="50"/>
  <c r="L26" i="50"/>
  <c r="K26" i="50"/>
  <c r="J26" i="50"/>
  <c r="I26" i="50"/>
  <c r="H26" i="50"/>
  <c r="S25" i="50"/>
  <c r="R25" i="50"/>
  <c r="M25" i="50"/>
  <c r="L25" i="50"/>
  <c r="K25" i="50"/>
  <c r="J25" i="50"/>
  <c r="I25" i="50"/>
  <c r="H25" i="50"/>
  <c r="S24" i="50"/>
  <c r="R24" i="50"/>
  <c r="M24" i="50"/>
  <c r="L24" i="50"/>
  <c r="K24" i="50"/>
  <c r="J24" i="50"/>
  <c r="I24" i="50"/>
  <c r="H24" i="50"/>
  <c r="I23" i="50"/>
  <c r="H23" i="50"/>
  <c r="I22" i="50"/>
  <c r="H22" i="50"/>
  <c r="J22" i="50" s="1"/>
  <c r="R22" i="50" s="1"/>
  <c r="I21" i="50"/>
  <c r="J21" i="50" s="1"/>
  <c r="R21" i="50" s="1"/>
  <c r="H21" i="50"/>
  <c r="H20" i="50"/>
  <c r="I20" i="50"/>
  <c r="I19" i="50"/>
  <c r="H19" i="50"/>
  <c r="I18" i="50"/>
  <c r="H18" i="50"/>
  <c r="I17" i="50"/>
  <c r="H17" i="50"/>
  <c r="I16" i="50"/>
  <c r="H16" i="50"/>
  <c r="I15" i="50"/>
  <c r="H15" i="50"/>
  <c r="H14" i="50"/>
  <c r="I14" i="50"/>
  <c r="I13" i="50"/>
  <c r="J13" i="50" s="1"/>
  <c r="R13" i="50" s="1"/>
  <c r="H13" i="50"/>
  <c r="I12" i="50"/>
  <c r="J12" i="50" s="1"/>
  <c r="R12" i="50" s="1"/>
  <c r="H12" i="50"/>
  <c r="I11" i="50"/>
  <c r="J11" i="50" s="1"/>
  <c r="R11" i="50" s="1"/>
  <c r="H11" i="50"/>
  <c r="I10" i="50"/>
  <c r="J10" i="50" s="1"/>
  <c r="R10" i="50" s="1"/>
  <c r="H10" i="50"/>
  <c r="I9" i="50"/>
  <c r="J9" i="50" s="1"/>
  <c r="R9" i="50" s="1"/>
  <c r="H9" i="50"/>
  <c r="I8" i="50"/>
  <c r="J8" i="50" s="1"/>
  <c r="R8" i="50" s="1"/>
  <c r="H8" i="50"/>
  <c r="I7" i="50"/>
  <c r="L7" i="50" s="1"/>
  <c r="H7" i="50"/>
  <c r="K7" i="50" s="1"/>
  <c r="K8" i="50" s="1"/>
  <c r="K9" i="50" s="1"/>
  <c r="K10" i="50" s="1"/>
  <c r="K11" i="50" s="1"/>
  <c r="K12" i="50" s="1"/>
  <c r="K13" i="50" s="1"/>
  <c r="G20" i="49"/>
  <c r="G14" i="49"/>
  <c r="S112" i="49"/>
  <c r="R112" i="49"/>
  <c r="M112" i="49"/>
  <c r="L112" i="49"/>
  <c r="K112" i="49"/>
  <c r="J112" i="49"/>
  <c r="I112" i="49"/>
  <c r="H112" i="49"/>
  <c r="S111" i="49"/>
  <c r="R111" i="49"/>
  <c r="M111" i="49"/>
  <c r="L111" i="49"/>
  <c r="K111" i="49"/>
  <c r="J111" i="49"/>
  <c r="I111" i="49"/>
  <c r="H111" i="49"/>
  <c r="S110" i="49"/>
  <c r="R110" i="49"/>
  <c r="M110" i="49"/>
  <c r="L110" i="49"/>
  <c r="K110" i="49"/>
  <c r="J110" i="49"/>
  <c r="I110" i="49"/>
  <c r="H110" i="49"/>
  <c r="S109" i="49"/>
  <c r="R109" i="49"/>
  <c r="M109" i="49"/>
  <c r="L109" i="49"/>
  <c r="K109" i="49"/>
  <c r="J109" i="49"/>
  <c r="I109" i="49"/>
  <c r="H109" i="49"/>
  <c r="S108" i="49"/>
  <c r="R108" i="49"/>
  <c r="M108" i="49"/>
  <c r="L108" i="49"/>
  <c r="K108" i="49"/>
  <c r="J108" i="49"/>
  <c r="I108" i="49"/>
  <c r="H108" i="49"/>
  <c r="S107" i="49"/>
  <c r="R107" i="49"/>
  <c r="M107" i="49"/>
  <c r="L107" i="49"/>
  <c r="K107" i="49"/>
  <c r="J107" i="49"/>
  <c r="I107" i="49"/>
  <c r="H107" i="49"/>
  <c r="S106" i="49"/>
  <c r="R106" i="49"/>
  <c r="M106" i="49"/>
  <c r="L106" i="49"/>
  <c r="K106" i="49"/>
  <c r="J106" i="49"/>
  <c r="I106" i="49"/>
  <c r="H106" i="49"/>
  <c r="S105" i="49"/>
  <c r="R105" i="49"/>
  <c r="M105" i="49"/>
  <c r="L105" i="49"/>
  <c r="K105" i="49"/>
  <c r="J105" i="49"/>
  <c r="I105" i="49"/>
  <c r="H105" i="49"/>
  <c r="S104" i="49"/>
  <c r="R104" i="49"/>
  <c r="M104" i="49"/>
  <c r="L104" i="49"/>
  <c r="K104" i="49"/>
  <c r="J104" i="49"/>
  <c r="I104" i="49"/>
  <c r="H104" i="49"/>
  <c r="S103" i="49"/>
  <c r="R103" i="49"/>
  <c r="M103" i="49"/>
  <c r="L103" i="49"/>
  <c r="K103" i="49"/>
  <c r="J103" i="49"/>
  <c r="I103" i="49"/>
  <c r="H103" i="49"/>
  <c r="S102" i="49"/>
  <c r="R102" i="49"/>
  <c r="M102" i="49"/>
  <c r="L102" i="49"/>
  <c r="K102" i="49"/>
  <c r="J102" i="49"/>
  <c r="I102" i="49"/>
  <c r="H102" i="49"/>
  <c r="S101" i="49"/>
  <c r="R101" i="49"/>
  <c r="M101" i="49"/>
  <c r="L101" i="49"/>
  <c r="K101" i="49"/>
  <c r="J101" i="49"/>
  <c r="I101" i="49"/>
  <c r="H101" i="49"/>
  <c r="S100" i="49"/>
  <c r="R100" i="49"/>
  <c r="M100" i="49"/>
  <c r="L100" i="49"/>
  <c r="K100" i="49"/>
  <c r="J100" i="49"/>
  <c r="I100" i="49"/>
  <c r="H100" i="49"/>
  <c r="S99" i="49"/>
  <c r="R99" i="49"/>
  <c r="M99" i="49"/>
  <c r="L99" i="49"/>
  <c r="K99" i="49"/>
  <c r="J99" i="49"/>
  <c r="I99" i="49"/>
  <c r="H99" i="49"/>
  <c r="S98" i="49"/>
  <c r="R98" i="49"/>
  <c r="M98" i="49"/>
  <c r="L98" i="49"/>
  <c r="K98" i="49"/>
  <c r="J98" i="49"/>
  <c r="I98" i="49"/>
  <c r="H98" i="49"/>
  <c r="S97" i="49"/>
  <c r="R97" i="49"/>
  <c r="M97" i="49"/>
  <c r="L97" i="49"/>
  <c r="K97" i="49"/>
  <c r="J97" i="49"/>
  <c r="I97" i="49"/>
  <c r="H97" i="49"/>
  <c r="S96" i="49"/>
  <c r="R96" i="49"/>
  <c r="M96" i="49"/>
  <c r="L96" i="49"/>
  <c r="K96" i="49"/>
  <c r="J96" i="49"/>
  <c r="I96" i="49"/>
  <c r="H96" i="49"/>
  <c r="S95" i="49"/>
  <c r="R95" i="49"/>
  <c r="M95" i="49"/>
  <c r="L95" i="49"/>
  <c r="K95" i="49"/>
  <c r="J95" i="49"/>
  <c r="I95" i="49"/>
  <c r="H95" i="49"/>
  <c r="S94" i="49"/>
  <c r="R94" i="49"/>
  <c r="M94" i="49"/>
  <c r="L94" i="49"/>
  <c r="K94" i="49"/>
  <c r="J94" i="49"/>
  <c r="I94" i="49"/>
  <c r="H94" i="49"/>
  <c r="S93" i="49"/>
  <c r="R93" i="49"/>
  <c r="M93" i="49"/>
  <c r="L93" i="49"/>
  <c r="K93" i="49"/>
  <c r="J93" i="49"/>
  <c r="I93" i="49"/>
  <c r="H93" i="49"/>
  <c r="S92" i="49"/>
  <c r="R92" i="49"/>
  <c r="M92" i="49"/>
  <c r="L92" i="49"/>
  <c r="K92" i="49"/>
  <c r="J92" i="49"/>
  <c r="I92" i="49"/>
  <c r="H92" i="49"/>
  <c r="S91" i="49"/>
  <c r="R91" i="49"/>
  <c r="M91" i="49"/>
  <c r="L91" i="49"/>
  <c r="K91" i="49"/>
  <c r="J91" i="49"/>
  <c r="I91" i="49"/>
  <c r="H91" i="49"/>
  <c r="S90" i="49"/>
  <c r="R90" i="49"/>
  <c r="M90" i="49"/>
  <c r="L90" i="49"/>
  <c r="K90" i="49"/>
  <c r="J90" i="49"/>
  <c r="I90" i="49"/>
  <c r="H90" i="49"/>
  <c r="S89" i="49"/>
  <c r="R89" i="49"/>
  <c r="M89" i="49"/>
  <c r="L89" i="49"/>
  <c r="K89" i="49"/>
  <c r="J89" i="49"/>
  <c r="I89" i="49"/>
  <c r="H89" i="49"/>
  <c r="S88" i="49"/>
  <c r="R88" i="49"/>
  <c r="M88" i="49"/>
  <c r="L88" i="49"/>
  <c r="K88" i="49"/>
  <c r="J88" i="49"/>
  <c r="I88" i="49"/>
  <c r="H88" i="49"/>
  <c r="S87" i="49"/>
  <c r="R87" i="49"/>
  <c r="M87" i="49"/>
  <c r="L87" i="49"/>
  <c r="K87" i="49"/>
  <c r="J87" i="49"/>
  <c r="I87" i="49"/>
  <c r="H87" i="49"/>
  <c r="S86" i="49"/>
  <c r="R86" i="49"/>
  <c r="M86" i="49"/>
  <c r="L86" i="49"/>
  <c r="K86" i="49"/>
  <c r="J86" i="49"/>
  <c r="I86" i="49"/>
  <c r="H86" i="49"/>
  <c r="S85" i="49"/>
  <c r="R85" i="49"/>
  <c r="M85" i="49"/>
  <c r="L85" i="49"/>
  <c r="K85" i="49"/>
  <c r="J85" i="49"/>
  <c r="I85" i="49"/>
  <c r="H85" i="49"/>
  <c r="S84" i="49"/>
  <c r="R84" i="49"/>
  <c r="M84" i="49"/>
  <c r="L84" i="49"/>
  <c r="K84" i="49"/>
  <c r="J84" i="49"/>
  <c r="I84" i="49"/>
  <c r="H84" i="49"/>
  <c r="S83" i="49"/>
  <c r="R83" i="49"/>
  <c r="M83" i="49"/>
  <c r="L83" i="49"/>
  <c r="K83" i="49"/>
  <c r="J83" i="49"/>
  <c r="I83" i="49"/>
  <c r="H83" i="49"/>
  <c r="S82" i="49"/>
  <c r="R82" i="49"/>
  <c r="M82" i="49"/>
  <c r="L82" i="49"/>
  <c r="K82" i="49"/>
  <c r="J82" i="49"/>
  <c r="I82" i="49"/>
  <c r="H82" i="49"/>
  <c r="S81" i="49"/>
  <c r="R81" i="49"/>
  <c r="M81" i="49"/>
  <c r="L81" i="49"/>
  <c r="K81" i="49"/>
  <c r="J81" i="49"/>
  <c r="I81" i="49"/>
  <c r="H81" i="49"/>
  <c r="S80" i="49"/>
  <c r="R80" i="49"/>
  <c r="M80" i="49"/>
  <c r="L80" i="49"/>
  <c r="K80" i="49"/>
  <c r="J80" i="49"/>
  <c r="I80" i="49"/>
  <c r="H80" i="49"/>
  <c r="S79" i="49"/>
  <c r="R79" i="49"/>
  <c r="M79" i="49"/>
  <c r="L79" i="49"/>
  <c r="K79" i="49"/>
  <c r="J79" i="49"/>
  <c r="I79" i="49"/>
  <c r="H79" i="49"/>
  <c r="S78" i="49"/>
  <c r="R78" i="49"/>
  <c r="M78" i="49"/>
  <c r="L78" i="49"/>
  <c r="K78" i="49"/>
  <c r="J78" i="49"/>
  <c r="I78" i="49"/>
  <c r="H78" i="49"/>
  <c r="S77" i="49"/>
  <c r="R77" i="49"/>
  <c r="M77" i="49"/>
  <c r="L77" i="49"/>
  <c r="K77" i="49"/>
  <c r="J77" i="49"/>
  <c r="I77" i="49"/>
  <c r="H77" i="49"/>
  <c r="S76" i="49"/>
  <c r="R76" i="49"/>
  <c r="M76" i="49"/>
  <c r="L76" i="49"/>
  <c r="K76" i="49"/>
  <c r="J76" i="49"/>
  <c r="I76" i="49"/>
  <c r="H76" i="49"/>
  <c r="S75" i="49"/>
  <c r="R75" i="49"/>
  <c r="M75" i="49"/>
  <c r="L75" i="49"/>
  <c r="K75" i="49"/>
  <c r="J75" i="49"/>
  <c r="I75" i="49"/>
  <c r="H75" i="49"/>
  <c r="S74" i="49"/>
  <c r="R74" i="49"/>
  <c r="M74" i="49"/>
  <c r="L74" i="49"/>
  <c r="K74" i="49"/>
  <c r="J74" i="49"/>
  <c r="I74" i="49"/>
  <c r="H74" i="49"/>
  <c r="S73" i="49"/>
  <c r="R73" i="49"/>
  <c r="M73" i="49"/>
  <c r="L73" i="49"/>
  <c r="K73" i="49"/>
  <c r="J73" i="49"/>
  <c r="I73" i="49"/>
  <c r="H73" i="49"/>
  <c r="S72" i="49"/>
  <c r="R72" i="49"/>
  <c r="M72" i="49"/>
  <c r="L72" i="49"/>
  <c r="K72" i="49"/>
  <c r="J72" i="49"/>
  <c r="I72" i="49"/>
  <c r="H72" i="49"/>
  <c r="S71" i="49"/>
  <c r="R71" i="49"/>
  <c r="M71" i="49"/>
  <c r="L71" i="49"/>
  <c r="K71" i="49"/>
  <c r="J71" i="49"/>
  <c r="I71" i="49"/>
  <c r="H71" i="49"/>
  <c r="S70" i="49"/>
  <c r="R70" i="49"/>
  <c r="M70" i="49"/>
  <c r="L70" i="49"/>
  <c r="K70" i="49"/>
  <c r="J70" i="49"/>
  <c r="I70" i="49"/>
  <c r="H70" i="49"/>
  <c r="S69" i="49"/>
  <c r="R69" i="49"/>
  <c r="M69" i="49"/>
  <c r="L69" i="49"/>
  <c r="K69" i="49"/>
  <c r="J69" i="49"/>
  <c r="I69" i="49"/>
  <c r="H69" i="49"/>
  <c r="S68" i="49"/>
  <c r="R68" i="49"/>
  <c r="M68" i="49"/>
  <c r="L68" i="49"/>
  <c r="K68" i="49"/>
  <c r="J68" i="49"/>
  <c r="I68" i="49"/>
  <c r="H68" i="49"/>
  <c r="S67" i="49"/>
  <c r="R67" i="49"/>
  <c r="M67" i="49"/>
  <c r="L67" i="49"/>
  <c r="K67" i="49"/>
  <c r="J67" i="49"/>
  <c r="I67" i="49"/>
  <c r="H67" i="49"/>
  <c r="S66" i="49"/>
  <c r="R66" i="49"/>
  <c r="M66" i="49"/>
  <c r="L66" i="49"/>
  <c r="K66" i="49"/>
  <c r="J66" i="49"/>
  <c r="I66" i="49"/>
  <c r="H66" i="49"/>
  <c r="S65" i="49"/>
  <c r="R65" i="49"/>
  <c r="M65" i="49"/>
  <c r="L65" i="49"/>
  <c r="K65" i="49"/>
  <c r="J65" i="49"/>
  <c r="I65" i="49"/>
  <c r="H65" i="49"/>
  <c r="S64" i="49"/>
  <c r="R64" i="49"/>
  <c r="M64" i="49"/>
  <c r="L64" i="49"/>
  <c r="K64" i="49"/>
  <c r="J64" i="49"/>
  <c r="I64" i="49"/>
  <c r="H64" i="49"/>
  <c r="S63" i="49"/>
  <c r="R63" i="49"/>
  <c r="M63" i="49"/>
  <c r="L63" i="49"/>
  <c r="K63" i="49"/>
  <c r="J63" i="49"/>
  <c r="I63" i="49"/>
  <c r="H63" i="49"/>
  <c r="S62" i="49"/>
  <c r="R62" i="49"/>
  <c r="M62" i="49"/>
  <c r="L62" i="49"/>
  <c r="K62" i="49"/>
  <c r="J62" i="49"/>
  <c r="I62" i="49"/>
  <c r="H62" i="49"/>
  <c r="S61" i="49"/>
  <c r="R61" i="49"/>
  <c r="M61" i="49"/>
  <c r="L61" i="49"/>
  <c r="K61" i="49"/>
  <c r="J61" i="49"/>
  <c r="I61" i="49"/>
  <c r="H61" i="49"/>
  <c r="S60" i="49"/>
  <c r="R60" i="49"/>
  <c r="M60" i="49"/>
  <c r="L60" i="49"/>
  <c r="K60" i="49"/>
  <c r="J60" i="49"/>
  <c r="I60" i="49"/>
  <c r="H60" i="49"/>
  <c r="S59" i="49"/>
  <c r="R59" i="49"/>
  <c r="M59" i="49"/>
  <c r="L59" i="49"/>
  <c r="K59" i="49"/>
  <c r="J59" i="49"/>
  <c r="I59" i="49"/>
  <c r="H59" i="49"/>
  <c r="S58" i="49"/>
  <c r="R58" i="49"/>
  <c r="M58" i="49"/>
  <c r="L58" i="49"/>
  <c r="K58" i="49"/>
  <c r="J58" i="49"/>
  <c r="I58" i="49"/>
  <c r="H58" i="49"/>
  <c r="S57" i="49"/>
  <c r="R57" i="49"/>
  <c r="M57" i="49"/>
  <c r="L57" i="49"/>
  <c r="K57" i="49"/>
  <c r="J57" i="49"/>
  <c r="I57" i="49"/>
  <c r="H57" i="49"/>
  <c r="S56" i="49"/>
  <c r="R56" i="49"/>
  <c r="M56" i="49"/>
  <c r="L56" i="49"/>
  <c r="K56" i="49"/>
  <c r="J56" i="49"/>
  <c r="I56" i="49"/>
  <c r="H56" i="49"/>
  <c r="S55" i="49"/>
  <c r="R55" i="49"/>
  <c r="M55" i="49"/>
  <c r="L55" i="49"/>
  <c r="K55" i="49"/>
  <c r="J55" i="49"/>
  <c r="I55" i="49"/>
  <c r="H55" i="49"/>
  <c r="S54" i="49"/>
  <c r="R54" i="49"/>
  <c r="M54" i="49"/>
  <c r="L54" i="49"/>
  <c r="K54" i="49"/>
  <c r="J54" i="49"/>
  <c r="I54" i="49"/>
  <c r="H54" i="49"/>
  <c r="S53" i="49"/>
  <c r="R53" i="49"/>
  <c r="M53" i="49"/>
  <c r="L53" i="49"/>
  <c r="K53" i="49"/>
  <c r="J53" i="49"/>
  <c r="I53" i="49"/>
  <c r="H53" i="49"/>
  <c r="S52" i="49"/>
  <c r="R52" i="49"/>
  <c r="M52" i="49"/>
  <c r="L52" i="49"/>
  <c r="K52" i="49"/>
  <c r="J52" i="49"/>
  <c r="I52" i="49"/>
  <c r="H52" i="49"/>
  <c r="S51" i="49"/>
  <c r="R51" i="49"/>
  <c r="M51" i="49"/>
  <c r="L51" i="49"/>
  <c r="K51" i="49"/>
  <c r="J51" i="49"/>
  <c r="I51" i="49"/>
  <c r="H51" i="49"/>
  <c r="S50" i="49"/>
  <c r="R50" i="49"/>
  <c r="M50" i="49"/>
  <c r="L50" i="49"/>
  <c r="K50" i="49"/>
  <c r="J50" i="49"/>
  <c r="I50" i="49"/>
  <c r="H50" i="49"/>
  <c r="S49" i="49"/>
  <c r="R49" i="49"/>
  <c r="M49" i="49"/>
  <c r="L49" i="49"/>
  <c r="K49" i="49"/>
  <c r="J49" i="49"/>
  <c r="I49" i="49"/>
  <c r="H49" i="49"/>
  <c r="S48" i="49"/>
  <c r="R48" i="49"/>
  <c r="M48" i="49"/>
  <c r="L48" i="49"/>
  <c r="K48" i="49"/>
  <c r="J48" i="49"/>
  <c r="I48" i="49"/>
  <c r="H48" i="49"/>
  <c r="S47" i="49"/>
  <c r="R47" i="49"/>
  <c r="M47" i="49"/>
  <c r="L47" i="49"/>
  <c r="K47" i="49"/>
  <c r="J47" i="49"/>
  <c r="I47" i="49"/>
  <c r="H47" i="49"/>
  <c r="S46" i="49"/>
  <c r="R46" i="49"/>
  <c r="M46" i="49"/>
  <c r="L46" i="49"/>
  <c r="K46" i="49"/>
  <c r="J46" i="49"/>
  <c r="I46" i="49"/>
  <c r="H46" i="49"/>
  <c r="S45" i="49"/>
  <c r="R45" i="49"/>
  <c r="M45" i="49"/>
  <c r="L45" i="49"/>
  <c r="K45" i="49"/>
  <c r="J45" i="49"/>
  <c r="I45" i="49"/>
  <c r="H45" i="49"/>
  <c r="S44" i="49"/>
  <c r="R44" i="49"/>
  <c r="M44" i="49"/>
  <c r="L44" i="49"/>
  <c r="K44" i="49"/>
  <c r="J44" i="49"/>
  <c r="I44" i="49"/>
  <c r="H44" i="49"/>
  <c r="S43" i="49"/>
  <c r="R43" i="49"/>
  <c r="M43" i="49"/>
  <c r="L43" i="49"/>
  <c r="K43" i="49"/>
  <c r="J43" i="49"/>
  <c r="I43" i="49"/>
  <c r="H43" i="49"/>
  <c r="S42" i="49"/>
  <c r="R42" i="49"/>
  <c r="M42" i="49"/>
  <c r="L42" i="49"/>
  <c r="K42" i="49"/>
  <c r="J42" i="49"/>
  <c r="I42" i="49"/>
  <c r="H42" i="49"/>
  <c r="I41" i="49"/>
  <c r="J41" i="49" s="1"/>
  <c r="R41" i="49" s="1"/>
  <c r="H41" i="49"/>
  <c r="I40" i="49"/>
  <c r="J40" i="49" s="1"/>
  <c r="R40" i="49" s="1"/>
  <c r="H40" i="49"/>
  <c r="I39" i="49"/>
  <c r="J39" i="49" s="1"/>
  <c r="R39" i="49" s="1"/>
  <c r="H39" i="49"/>
  <c r="I38" i="49"/>
  <c r="J38" i="49" s="1"/>
  <c r="R38" i="49" s="1"/>
  <c r="H38" i="49"/>
  <c r="I37" i="49"/>
  <c r="J37" i="49" s="1"/>
  <c r="R37" i="49" s="1"/>
  <c r="H37" i="49"/>
  <c r="I36" i="49"/>
  <c r="J36" i="49" s="1"/>
  <c r="R36" i="49" s="1"/>
  <c r="H36" i="49"/>
  <c r="I35" i="49"/>
  <c r="J35" i="49" s="1"/>
  <c r="R35" i="49" s="1"/>
  <c r="H35" i="49"/>
  <c r="I34" i="49"/>
  <c r="J34" i="49" s="1"/>
  <c r="R34" i="49" s="1"/>
  <c r="H34" i="49"/>
  <c r="I33" i="49"/>
  <c r="J33" i="49" s="1"/>
  <c r="R33" i="49" s="1"/>
  <c r="H33" i="49"/>
  <c r="I32" i="49"/>
  <c r="J32" i="49" s="1"/>
  <c r="R32" i="49" s="1"/>
  <c r="H32" i="49"/>
  <c r="I31" i="49"/>
  <c r="J31" i="49" s="1"/>
  <c r="R31" i="49" s="1"/>
  <c r="H31" i="49"/>
  <c r="I30" i="49"/>
  <c r="J30" i="49" s="1"/>
  <c r="R30" i="49" s="1"/>
  <c r="H30" i="49"/>
  <c r="I29" i="49"/>
  <c r="J29" i="49" s="1"/>
  <c r="R29" i="49" s="1"/>
  <c r="H29" i="49"/>
  <c r="I28" i="49"/>
  <c r="J28" i="49" s="1"/>
  <c r="R28" i="49" s="1"/>
  <c r="H28" i="49"/>
  <c r="I27" i="49"/>
  <c r="J27" i="49" s="1"/>
  <c r="R27" i="49" s="1"/>
  <c r="H27" i="49"/>
  <c r="I26" i="49"/>
  <c r="J26" i="49" s="1"/>
  <c r="R26" i="49" s="1"/>
  <c r="H26" i="49"/>
  <c r="I25" i="49"/>
  <c r="J25" i="49" s="1"/>
  <c r="R25" i="49" s="1"/>
  <c r="H25" i="49"/>
  <c r="I24" i="49"/>
  <c r="J24" i="49" s="1"/>
  <c r="R24" i="49" s="1"/>
  <c r="H24" i="49"/>
  <c r="I23" i="49"/>
  <c r="J23" i="49" s="1"/>
  <c r="R23" i="49" s="1"/>
  <c r="H23" i="49"/>
  <c r="I22" i="49"/>
  <c r="J22" i="49" s="1"/>
  <c r="R22" i="49" s="1"/>
  <c r="H22" i="49"/>
  <c r="I21" i="49"/>
  <c r="J21" i="49" s="1"/>
  <c r="R21" i="49" s="1"/>
  <c r="H21" i="49"/>
  <c r="I20" i="49"/>
  <c r="J20" i="49" s="1"/>
  <c r="R20" i="49" s="1"/>
  <c r="H20" i="49"/>
  <c r="I19" i="49"/>
  <c r="J19" i="49" s="1"/>
  <c r="R19" i="49" s="1"/>
  <c r="H19" i="49"/>
  <c r="I18" i="49"/>
  <c r="J18" i="49" s="1"/>
  <c r="R18" i="49" s="1"/>
  <c r="H18" i="49"/>
  <c r="I17" i="49"/>
  <c r="J17" i="49" s="1"/>
  <c r="R17" i="49" s="1"/>
  <c r="H17" i="49"/>
  <c r="I16" i="49"/>
  <c r="J16" i="49" s="1"/>
  <c r="R16" i="49" s="1"/>
  <c r="H16" i="49"/>
  <c r="I15" i="49"/>
  <c r="J15" i="49" s="1"/>
  <c r="R15" i="49" s="1"/>
  <c r="H15" i="49"/>
  <c r="I14" i="49"/>
  <c r="J14" i="49" s="1"/>
  <c r="R14" i="49" s="1"/>
  <c r="H14" i="49"/>
  <c r="I13" i="49"/>
  <c r="J13" i="49" s="1"/>
  <c r="R13" i="49" s="1"/>
  <c r="H13" i="49"/>
  <c r="I12" i="49"/>
  <c r="J12" i="49" s="1"/>
  <c r="R12" i="49" s="1"/>
  <c r="H12" i="49"/>
  <c r="I11" i="49"/>
  <c r="J11" i="49" s="1"/>
  <c r="R11" i="49" s="1"/>
  <c r="H11" i="49"/>
  <c r="I10" i="49"/>
  <c r="J10" i="49" s="1"/>
  <c r="R10" i="49" s="1"/>
  <c r="H10" i="49"/>
  <c r="I9" i="49"/>
  <c r="J9" i="49" s="1"/>
  <c r="R9" i="49" s="1"/>
  <c r="H9" i="49"/>
  <c r="I8" i="49"/>
  <c r="H8" i="49"/>
  <c r="I7" i="49"/>
  <c r="L7" i="49" s="1"/>
  <c r="H7" i="49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G12" i="48"/>
  <c r="G10" i="48"/>
  <c r="S112" i="48"/>
  <c r="R112" i="48"/>
  <c r="M112" i="48"/>
  <c r="L112" i="48"/>
  <c r="K112" i="48"/>
  <c r="J112" i="48"/>
  <c r="I112" i="48"/>
  <c r="H112" i="48"/>
  <c r="S111" i="48"/>
  <c r="R111" i="48"/>
  <c r="M111" i="48"/>
  <c r="L111" i="48"/>
  <c r="K111" i="48"/>
  <c r="J111" i="48"/>
  <c r="I111" i="48"/>
  <c r="H111" i="48"/>
  <c r="S110" i="48"/>
  <c r="R110" i="48"/>
  <c r="M110" i="48"/>
  <c r="L110" i="48"/>
  <c r="K110" i="48"/>
  <c r="J110" i="48"/>
  <c r="I110" i="48"/>
  <c r="H110" i="48"/>
  <c r="S109" i="48"/>
  <c r="R109" i="48"/>
  <c r="M109" i="48"/>
  <c r="L109" i="48"/>
  <c r="K109" i="48"/>
  <c r="J109" i="48"/>
  <c r="I109" i="48"/>
  <c r="H109" i="48"/>
  <c r="S108" i="48"/>
  <c r="R108" i="48"/>
  <c r="M108" i="48"/>
  <c r="L108" i="48"/>
  <c r="K108" i="48"/>
  <c r="J108" i="48"/>
  <c r="I108" i="48"/>
  <c r="H108" i="48"/>
  <c r="S107" i="48"/>
  <c r="R107" i="48"/>
  <c r="M107" i="48"/>
  <c r="L107" i="48"/>
  <c r="K107" i="48"/>
  <c r="J107" i="48"/>
  <c r="I107" i="48"/>
  <c r="H107" i="48"/>
  <c r="S106" i="48"/>
  <c r="R106" i="48"/>
  <c r="M106" i="48"/>
  <c r="L106" i="48"/>
  <c r="K106" i="48"/>
  <c r="J106" i="48"/>
  <c r="I106" i="48"/>
  <c r="H106" i="48"/>
  <c r="S105" i="48"/>
  <c r="R105" i="48"/>
  <c r="M105" i="48"/>
  <c r="L105" i="48"/>
  <c r="K105" i="48"/>
  <c r="J105" i="48"/>
  <c r="I105" i="48"/>
  <c r="H105" i="48"/>
  <c r="S104" i="48"/>
  <c r="R104" i="48"/>
  <c r="M104" i="48"/>
  <c r="L104" i="48"/>
  <c r="K104" i="48"/>
  <c r="J104" i="48"/>
  <c r="I104" i="48"/>
  <c r="H104" i="48"/>
  <c r="S103" i="48"/>
  <c r="R103" i="48"/>
  <c r="M103" i="48"/>
  <c r="L103" i="48"/>
  <c r="K103" i="48"/>
  <c r="J103" i="48"/>
  <c r="I103" i="48"/>
  <c r="H103" i="48"/>
  <c r="S102" i="48"/>
  <c r="R102" i="48"/>
  <c r="M102" i="48"/>
  <c r="L102" i="48"/>
  <c r="K102" i="48"/>
  <c r="J102" i="48"/>
  <c r="I102" i="48"/>
  <c r="H102" i="48"/>
  <c r="S101" i="48"/>
  <c r="R101" i="48"/>
  <c r="M101" i="48"/>
  <c r="L101" i="48"/>
  <c r="K101" i="48"/>
  <c r="J101" i="48"/>
  <c r="I101" i="48"/>
  <c r="H101" i="48"/>
  <c r="S100" i="48"/>
  <c r="R100" i="48"/>
  <c r="M100" i="48"/>
  <c r="L100" i="48"/>
  <c r="K100" i="48"/>
  <c r="J100" i="48"/>
  <c r="I100" i="48"/>
  <c r="H100" i="48"/>
  <c r="S99" i="48"/>
  <c r="R99" i="48"/>
  <c r="M99" i="48"/>
  <c r="L99" i="48"/>
  <c r="K99" i="48"/>
  <c r="J99" i="48"/>
  <c r="I99" i="48"/>
  <c r="H99" i="48"/>
  <c r="S98" i="48"/>
  <c r="R98" i="48"/>
  <c r="M98" i="48"/>
  <c r="L98" i="48"/>
  <c r="K98" i="48"/>
  <c r="J98" i="48"/>
  <c r="I98" i="48"/>
  <c r="H98" i="48"/>
  <c r="S97" i="48"/>
  <c r="R97" i="48"/>
  <c r="M97" i="48"/>
  <c r="L97" i="48"/>
  <c r="K97" i="48"/>
  <c r="J97" i="48"/>
  <c r="I97" i="48"/>
  <c r="H97" i="48"/>
  <c r="S96" i="48"/>
  <c r="R96" i="48"/>
  <c r="M96" i="48"/>
  <c r="L96" i="48"/>
  <c r="K96" i="48"/>
  <c r="J96" i="48"/>
  <c r="I96" i="48"/>
  <c r="H96" i="48"/>
  <c r="S95" i="48"/>
  <c r="R95" i="48"/>
  <c r="M95" i="48"/>
  <c r="L95" i="48"/>
  <c r="K95" i="48"/>
  <c r="J95" i="48"/>
  <c r="I95" i="48"/>
  <c r="H95" i="48"/>
  <c r="S94" i="48"/>
  <c r="R94" i="48"/>
  <c r="M94" i="48"/>
  <c r="L94" i="48"/>
  <c r="K94" i="48"/>
  <c r="J94" i="48"/>
  <c r="I94" i="48"/>
  <c r="H94" i="48"/>
  <c r="S93" i="48"/>
  <c r="R93" i="48"/>
  <c r="M93" i="48"/>
  <c r="L93" i="48"/>
  <c r="K93" i="48"/>
  <c r="J93" i="48"/>
  <c r="I93" i="48"/>
  <c r="H93" i="48"/>
  <c r="S92" i="48"/>
  <c r="R92" i="48"/>
  <c r="M92" i="48"/>
  <c r="L92" i="48"/>
  <c r="K92" i="48"/>
  <c r="J92" i="48"/>
  <c r="I92" i="48"/>
  <c r="H92" i="48"/>
  <c r="S91" i="48"/>
  <c r="R91" i="48"/>
  <c r="M91" i="48"/>
  <c r="L91" i="48"/>
  <c r="K91" i="48"/>
  <c r="J91" i="48"/>
  <c r="I91" i="48"/>
  <c r="H91" i="48"/>
  <c r="S90" i="48"/>
  <c r="R90" i="48"/>
  <c r="M90" i="48"/>
  <c r="L90" i="48"/>
  <c r="K90" i="48"/>
  <c r="J90" i="48"/>
  <c r="I90" i="48"/>
  <c r="H90" i="48"/>
  <c r="S89" i="48"/>
  <c r="R89" i="48"/>
  <c r="M89" i="48"/>
  <c r="L89" i="48"/>
  <c r="K89" i="48"/>
  <c r="J89" i="48"/>
  <c r="I89" i="48"/>
  <c r="H89" i="48"/>
  <c r="S88" i="48"/>
  <c r="R88" i="48"/>
  <c r="M88" i="48"/>
  <c r="L88" i="48"/>
  <c r="K88" i="48"/>
  <c r="J88" i="48"/>
  <c r="I88" i="48"/>
  <c r="H88" i="48"/>
  <c r="S87" i="48"/>
  <c r="R87" i="48"/>
  <c r="M87" i="48"/>
  <c r="L87" i="48"/>
  <c r="K87" i="48"/>
  <c r="J87" i="48"/>
  <c r="I87" i="48"/>
  <c r="H87" i="48"/>
  <c r="S86" i="48"/>
  <c r="R86" i="48"/>
  <c r="M86" i="48"/>
  <c r="L86" i="48"/>
  <c r="K86" i="48"/>
  <c r="J86" i="48"/>
  <c r="I86" i="48"/>
  <c r="H86" i="48"/>
  <c r="S85" i="48"/>
  <c r="R85" i="48"/>
  <c r="M85" i="48"/>
  <c r="L85" i="48"/>
  <c r="K85" i="48"/>
  <c r="J85" i="48"/>
  <c r="I85" i="48"/>
  <c r="H85" i="48"/>
  <c r="S84" i="48"/>
  <c r="R84" i="48"/>
  <c r="M84" i="48"/>
  <c r="L84" i="48"/>
  <c r="K84" i="48"/>
  <c r="J84" i="48"/>
  <c r="I84" i="48"/>
  <c r="H84" i="48"/>
  <c r="S83" i="48"/>
  <c r="R83" i="48"/>
  <c r="M83" i="48"/>
  <c r="L83" i="48"/>
  <c r="K83" i="48"/>
  <c r="J83" i="48"/>
  <c r="I83" i="48"/>
  <c r="H83" i="48"/>
  <c r="S82" i="48"/>
  <c r="R82" i="48"/>
  <c r="M82" i="48"/>
  <c r="L82" i="48"/>
  <c r="K82" i="48"/>
  <c r="J82" i="48"/>
  <c r="I82" i="48"/>
  <c r="H82" i="48"/>
  <c r="S81" i="48"/>
  <c r="R81" i="48"/>
  <c r="M81" i="48"/>
  <c r="L81" i="48"/>
  <c r="K81" i="48"/>
  <c r="J81" i="48"/>
  <c r="I81" i="48"/>
  <c r="H81" i="48"/>
  <c r="S80" i="48"/>
  <c r="R80" i="48"/>
  <c r="M80" i="48"/>
  <c r="L80" i="48"/>
  <c r="K80" i="48"/>
  <c r="J80" i="48"/>
  <c r="I80" i="48"/>
  <c r="H80" i="48"/>
  <c r="S79" i="48"/>
  <c r="R79" i="48"/>
  <c r="M79" i="48"/>
  <c r="L79" i="48"/>
  <c r="K79" i="48"/>
  <c r="J79" i="48"/>
  <c r="I79" i="48"/>
  <c r="H79" i="48"/>
  <c r="S78" i="48"/>
  <c r="R78" i="48"/>
  <c r="M78" i="48"/>
  <c r="L78" i="48"/>
  <c r="K78" i="48"/>
  <c r="J78" i="48"/>
  <c r="I78" i="48"/>
  <c r="H78" i="48"/>
  <c r="S77" i="48"/>
  <c r="R77" i="48"/>
  <c r="M77" i="48"/>
  <c r="L77" i="48"/>
  <c r="K77" i="48"/>
  <c r="J77" i="48"/>
  <c r="I77" i="48"/>
  <c r="H77" i="48"/>
  <c r="S76" i="48"/>
  <c r="R76" i="48"/>
  <c r="M76" i="48"/>
  <c r="L76" i="48"/>
  <c r="K76" i="48"/>
  <c r="J76" i="48"/>
  <c r="I76" i="48"/>
  <c r="H76" i="48"/>
  <c r="S75" i="48"/>
  <c r="R75" i="48"/>
  <c r="M75" i="48"/>
  <c r="L75" i="48"/>
  <c r="K75" i="48"/>
  <c r="J75" i="48"/>
  <c r="I75" i="48"/>
  <c r="H75" i="48"/>
  <c r="S74" i="48"/>
  <c r="R74" i="48"/>
  <c r="M74" i="48"/>
  <c r="L74" i="48"/>
  <c r="K74" i="48"/>
  <c r="J74" i="48"/>
  <c r="I74" i="48"/>
  <c r="H74" i="48"/>
  <c r="S73" i="48"/>
  <c r="R73" i="48"/>
  <c r="M73" i="48"/>
  <c r="L73" i="48"/>
  <c r="K73" i="48"/>
  <c r="J73" i="48"/>
  <c r="I73" i="48"/>
  <c r="H73" i="48"/>
  <c r="S72" i="48"/>
  <c r="R72" i="48"/>
  <c r="M72" i="48"/>
  <c r="L72" i="48"/>
  <c r="K72" i="48"/>
  <c r="J72" i="48"/>
  <c r="I72" i="48"/>
  <c r="H72" i="48"/>
  <c r="S71" i="48"/>
  <c r="R71" i="48"/>
  <c r="M71" i="48"/>
  <c r="L71" i="48"/>
  <c r="K71" i="48"/>
  <c r="J71" i="48"/>
  <c r="I71" i="48"/>
  <c r="H71" i="48"/>
  <c r="S70" i="48"/>
  <c r="R70" i="48"/>
  <c r="M70" i="48"/>
  <c r="L70" i="48"/>
  <c r="K70" i="48"/>
  <c r="J70" i="48"/>
  <c r="I70" i="48"/>
  <c r="H70" i="48"/>
  <c r="S69" i="48"/>
  <c r="R69" i="48"/>
  <c r="M69" i="48"/>
  <c r="L69" i="48"/>
  <c r="K69" i="48"/>
  <c r="J69" i="48"/>
  <c r="I69" i="48"/>
  <c r="H69" i="48"/>
  <c r="S68" i="48"/>
  <c r="R68" i="48"/>
  <c r="M68" i="48"/>
  <c r="L68" i="48"/>
  <c r="K68" i="48"/>
  <c r="J68" i="48"/>
  <c r="I68" i="48"/>
  <c r="H68" i="48"/>
  <c r="S67" i="48"/>
  <c r="R67" i="48"/>
  <c r="M67" i="48"/>
  <c r="L67" i="48"/>
  <c r="K67" i="48"/>
  <c r="J67" i="48"/>
  <c r="I67" i="48"/>
  <c r="H67" i="48"/>
  <c r="S66" i="48"/>
  <c r="R66" i="48"/>
  <c r="M66" i="48"/>
  <c r="L66" i="48"/>
  <c r="K66" i="48"/>
  <c r="J66" i="48"/>
  <c r="I66" i="48"/>
  <c r="H66" i="48"/>
  <c r="S65" i="48"/>
  <c r="R65" i="48"/>
  <c r="M65" i="48"/>
  <c r="L65" i="48"/>
  <c r="K65" i="48"/>
  <c r="J65" i="48"/>
  <c r="I65" i="48"/>
  <c r="H65" i="48"/>
  <c r="S64" i="48"/>
  <c r="R64" i="48"/>
  <c r="M64" i="48"/>
  <c r="L64" i="48"/>
  <c r="K64" i="48"/>
  <c r="J64" i="48"/>
  <c r="I64" i="48"/>
  <c r="H64" i="48"/>
  <c r="S63" i="48"/>
  <c r="R63" i="48"/>
  <c r="M63" i="48"/>
  <c r="L63" i="48"/>
  <c r="K63" i="48"/>
  <c r="J63" i="48"/>
  <c r="I63" i="48"/>
  <c r="H63" i="48"/>
  <c r="S62" i="48"/>
  <c r="R62" i="48"/>
  <c r="M62" i="48"/>
  <c r="L62" i="48"/>
  <c r="K62" i="48"/>
  <c r="J62" i="48"/>
  <c r="I62" i="48"/>
  <c r="H62" i="48"/>
  <c r="S61" i="48"/>
  <c r="R61" i="48"/>
  <c r="M61" i="48"/>
  <c r="L61" i="48"/>
  <c r="K61" i="48"/>
  <c r="J61" i="48"/>
  <c r="I61" i="48"/>
  <c r="H61" i="48"/>
  <c r="S60" i="48"/>
  <c r="R60" i="48"/>
  <c r="M60" i="48"/>
  <c r="L60" i="48"/>
  <c r="K60" i="48"/>
  <c r="J60" i="48"/>
  <c r="I60" i="48"/>
  <c r="H60" i="48"/>
  <c r="S59" i="48"/>
  <c r="R59" i="48"/>
  <c r="M59" i="48"/>
  <c r="L59" i="48"/>
  <c r="K59" i="48"/>
  <c r="J59" i="48"/>
  <c r="I59" i="48"/>
  <c r="H59" i="48"/>
  <c r="S58" i="48"/>
  <c r="R58" i="48"/>
  <c r="M58" i="48"/>
  <c r="L58" i="48"/>
  <c r="K58" i="48"/>
  <c r="J58" i="48"/>
  <c r="I58" i="48"/>
  <c r="H58" i="48"/>
  <c r="S57" i="48"/>
  <c r="R57" i="48"/>
  <c r="M57" i="48"/>
  <c r="L57" i="48"/>
  <c r="K57" i="48"/>
  <c r="J57" i="48"/>
  <c r="I57" i="48"/>
  <c r="H57" i="48"/>
  <c r="S56" i="48"/>
  <c r="R56" i="48"/>
  <c r="M56" i="48"/>
  <c r="L56" i="48"/>
  <c r="K56" i="48"/>
  <c r="J56" i="48"/>
  <c r="I56" i="48"/>
  <c r="H56" i="48"/>
  <c r="S55" i="48"/>
  <c r="R55" i="48"/>
  <c r="M55" i="48"/>
  <c r="L55" i="48"/>
  <c r="K55" i="48"/>
  <c r="J55" i="48"/>
  <c r="I55" i="48"/>
  <c r="H55" i="48"/>
  <c r="S54" i="48"/>
  <c r="R54" i="48"/>
  <c r="M54" i="48"/>
  <c r="L54" i="48"/>
  <c r="K54" i="48"/>
  <c r="J54" i="48"/>
  <c r="I54" i="48"/>
  <c r="H54" i="48"/>
  <c r="S53" i="48"/>
  <c r="R53" i="48"/>
  <c r="M53" i="48"/>
  <c r="L53" i="48"/>
  <c r="K53" i="48"/>
  <c r="J53" i="48"/>
  <c r="I53" i="48"/>
  <c r="H53" i="48"/>
  <c r="S52" i="48"/>
  <c r="R52" i="48"/>
  <c r="M52" i="48"/>
  <c r="L52" i="48"/>
  <c r="K52" i="48"/>
  <c r="J52" i="48"/>
  <c r="I52" i="48"/>
  <c r="H52" i="48"/>
  <c r="S51" i="48"/>
  <c r="R51" i="48"/>
  <c r="M51" i="48"/>
  <c r="L51" i="48"/>
  <c r="K51" i="48"/>
  <c r="J51" i="48"/>
  <c r="I51" i="48"/>
  <c r="H51" i="48"/>
  <c r="S50" i="48"/>
  <c r="R50" i="48"/>
  <c r="M50" i="48"/>
  <c r="L50" i="48"/>
  <c r="K50" i="48"/>
  <c r="J50" i="48"/>
  <c r="I50" i="48"/>
  <c r="H50" i="48"/>
  <c r="S49" i="48"/>
  <c r="R49" i="48"/>
  <c r="M49" i="48"/>
  <c r="L49" i="48"/>
  <c r="K49" i="48"/>
  <c r="J49" i="48"/>
  <c r="I49" i="48"/>
  <c r="H49" i="48"/>
  <c r="S48" i="48"/>
  <c r="R48" i="48"/>
  <c r="M48" i="48"/>
  <c r="L48" i="48"/>
  <c r="K48" i="48"/>
  <c r="J48" i="48"/>
  <c r="I48" i="48"/>
  <c r="H48" i="48"/>
  <c r="S47" i="48"/>
  <c r="R47" i="48"/>
  <c r="M47" i="48"/>
  <c r="L47" i="48"/>
  <c r="K47" i="48"/>
  <c r="J47" i="48"/>
  <c r="I47" i="48"/>
  <c r="H47" i="48"/>
  <c r="S46" i="48"/>
  <c r="R46" i="48"/>
  <c r="M46" i="48"/>
  <c r="L46" i="48"/>
  <c r="K46" i="48"/>
  <c r="J46" i="48"/>
  <c r="I46" i="48"/>
  <c r="H46" i="48"/>
  <c r="S45" i="48"/>
  <c r="R45" i="48"/>
  <c r="M45" i="48"/>
  <c r="L45" i="48"/>
  <c r="K45" i="48"/>
  <c r="J45" i="48"/>
  <c r="I45" i="48"/>
  <c r="H45" i="48"/>
  <c r="S44" i="48"/>
  <c r="R44" i="48"/>
  <c r="M44" i="48"/>
  <c r="L44" i="48"/>
  <c r="K44" i="48"/>
  <c r="J44" i="48"/>
  <c r="I44" i="48"/>
  <c r="H44" i="48"/>
  <c r="S43" i="48"/>
  <c r="R43" i="48"/>
  <c r="M43" i="48"/>
  <c r="L43" i="48"/>
  <c r="K43" i="48"/>
  <c r="J43" i="48"/>
  <c r="I43" i="48"/>
  <c r="H43" i="48"/>
  <c r="S42" i="48"/>
  <c r="R42" i="48"/>
  <c r="M42" i="48"/>
  <c r="L42" i="48"/>
  <c r="K42" i="48"/>
  <c r="J42" i="48"/>
  <c r="I42" i="48"/>
  <c r="H42" i="48"/>
  <c r="S41" i="48"/>
  <c r="R41" i="48"/>
  <c r="M41" i="48"/>
  <c r="L41" i="48"/>
  <c r="K41" i="48"/>
  <c r="J41" i="48"/>
  <c r="I41" i="48"/>
  <c r="H41" i="48"/>
  <c r="S40" i="48"/>
  <c r="R40" i="48"/>
  <c r="M40" i="48"/>
  <c r="L40" i="48"/>
  <c r="K40" i="48"/>
  <c r="J40" i="48"/>
  <c r="I40" i="48"/>
  <c r="H40" i="48"/>
  <c r="S39" i="48"/>
  <c r="R39" i="48"/>
  <c r="M39" i="48"/>
  <c r="L39" i="48"/>
  <c r="K39" i="48"/>
  <c r="J39" i="48"/>
  <c r="I39" i="48"/>
  <c r="H39" i="48"/>
  <c r="S38" i="48"/>
  <c r="R38" i="48"/>
  <c r="M38" i="48"/>
  <c r="L38" i="48"/>
  <c r="K38" i="48"/>
  <c r="J38" i="48"/>
  <c r="I38" i="48"/>
  <c r="H38" i="48"/>
  <c r="S37" i="48"/>
  <c r="R37" i="48"/>
  <c r="M37" i="48"/>
  <c r="L37" i="48"/>
  <c r="K37" i="48"/>
  <c r="J37" i="48"/>
  <c r="I37" i="48"/>
  <c r="H37" i="48"/>
  <c r="S36" i="48"/>
  <c r="R36" i="48"/>
  <c r="M36" i="48"/>
  <c r="L36" i="48"/>
  <c r="K36" i="48"/>
  <c r="J36" i="48"/>
  <c r="I36" i="48"/>
  <c r="H36" i="48"/>
  <c r="S35" i="48"/>
  <c r="R35" i="48"/>
  <c r="M35" i="48"/>
  <c r="L35" i="48"/>
  <c r="K35" i="48"/>
  <c r="J35" i="48"/>
  <c r="I35" i="48"/>
  <c r="H35" i="48"/>
  <c r="S34" i="48"/>
  <c r="R34" i="48"/>
  <c r="M34" i="48"/>
  <c r="L34" i="48"/>
  <c r="K34" i="48"/>
  <c r="J34" i="48"/>
  <c r="I34" i="48"/>
  <c r="H34" i="48"/>
  <c r="S33" i="48"/>
  <c r="R33" i="48"/>
  <c r="M33" i="48"/>
  <c r="L33" i="48"/>
  <c r="K33" i="48"/>
  <c r="J33" i="48"/>
  <c r="I33" i="48"/>
  <c r="H33" i="48"/>
  <c r="S32" i="48"/>
  <c r="R32" i="48"/>
  <c r="M32" i="48"/>
  <c r="L32" i="48"/>
  <c r="K32" i="48"/>
  <c r="J32" i="48"/>
  <c r="I32" i="48"/>
  <c r="H32" i="48"/>
  <c r="S31" i="48"/>
  <c r="R31" i="48"/>
  <c r="M31" i="48"/>
  <c r="L31" i="48"/>
  <c r="K31" i="48"/>
  <c r="J31" i="48"/>
  <c r="I31" i="48"/>
  <c r="H31" i="48"/>
  <c r="S30" i="48"/>
  <c r="R30" i="48"/>
  <c r="M30" i="48"/>
  <c r="L30" i="48"/>
  <c r="K30" i="48"/>
  <c r="J30" i="48"/>
  <c r="I30" i="48"/>
  <c r="H30" i="48"/>
  <c r="S29" i="48"/>
  <c r="R29" i="48"/>
  <c r="M29" i="48"/>
  <c r="L29" i="48"/>
  <c r="K29" i="48"/>
  <c r="J29" i="48"/>
  <c r="I29" i="48"/>
  <c r="H29" i="48"/>
  <c r="S28" i="48"/>
  <c r="R28" i="48"/>
  <c r="M28" i="48"/>
  <c r="L28" i="48"/>
  <c r="K28" i="48"/>
  <c r="J28" i="48"/>
  <c r="I28" i="48"/>
  <c r="H28" i="48"/>
  <c r="S27" i="48"/>
  <c r="R27" i="48"/>
  <c r="M27" i="48"/>
  <c r="L27" i="48"/>
  <c r="K27" i="48"/>
  <c r="J27" i="48"/>
  <c r="I27" i="48"/>
  <c r="H27" i="48"/>
  <c r="S26" i="48"/>
  <c r="R26" i="48"/>
  <c r="M26" i="48"/>
  <c r="L26" i="48"/>
  <c r="K26" i="48"/>
  <c r="J26" i="48"/>
  <c r="I26" i="48"/>
  <c r="H26" i="48"/>
  <c r="S25" i="48"/>
  <c r="R25" i="48"/>
  <c r="M25" i="48"/>
  <c r="L25" i="48"/>
  <c r="K25" i="48"/>
  <c r="J25" i="48"/>
  <c r="I25" i="48"/>
  <c r="H25" i="48"/>
  <c r="J24" i="48"/>
  <c r="R24" i="48" s="1"/>
  <c r="I24" i="48"/>
  <c r="H24" i="48"/>
  <c r="H23" i="48"/>
  <c r="I23" i="48"/>
  <c r="J23" i="48" s="1"/>
  <c r="R23" i="48" s="1"/>
  <c r="I22" i="48"/>
  <c r="J22" i="48" s="1"/>
  <c r="R22" i="48" s="1"/>
  <c r="H22" i="48"/>
  <c r="I21" i="48"/>
  <c r="J21" i="48" s="1"/>
  <c r="R21" i="48" s="1"/>
  <c r="H21" i="48"/>
  <c r="R20" i="48"/>
  <c r="J20" i="48"/>
  <c r="I20" i="48"/>
  <c r="H20" i="48"/>
  <c r="R19" i="48"/>
  <c r="J19" i="48"/>
  <c r="I19" i="48"/>
  <c r="H19" i="48"/>
  <c r="H18" i="48"/>
  <c r="I18" i="48"/>
  <c r="J18" i="48" s="1"/>
  <c r="R18" i="48" s="1"/>
  <c r="I17" i="48"/>
  <c r="H17" i="48"/>
  <c r="J17" i="48" s="1"/>
  <c r="R17" i="48" s="1"/>
  <c r="H16" i="48"/>
  <c r="I16" i="48"/>
  <c r="J16" i="48" s="1"/>
  <c r="R16" i="48" s="1"/>
  <c r="I15" i="48"/>
  <c r="J15" i="48" s="1"/>
  <c r="R15" i="48" s="1"/>
  <c r="H15" i="48"/>
  <c r="I14" i="48"/>
  <c r="J14" i="48" s="1"/>
  <c r="R14" i="48" s="1"/>
  <c r="H14" i="48"/>
  <c r="H13" i="48"/>
  <c r="I13" i="48"/>
  <c r="J13" i="48" s="1"/>
  <c r="R13" i="48" s="1"/>
  <c r="I12" i="48"/>
  <c r="J12" i="48" s="1"/>
  <c r="R12" i="48" s="1"/>
  <c r="H12" i="48"/>
  <c r="I11" i="48"/>
  <c r="H11" i="48"/>
  <c r="I10" i="48"/>
  <c r="H10" i="48"/>
  <c r="I9" i="48"/>
  <c r="H9" i="48"/>
  <c r="I8" i="48"/>
  <c r="H8" i="48"/>
  <c r="I7" i="48"/>
  <c r="L7" i="48" s="1"/>
  <c r="H7" i="48"/>
  <c r="K7" i="48" s="1"/>
  <c r="M42" i="47"/>
  <c r="M41" i="47"/>
  <c r="M40" i="47"/>
  <c r="M39" i="47"/>
  <c r="M32" i="47"/>
  <c r="M31" i="47"/>
  <c r="G23" i="47"/>
  <c r="G21" i="47"/>
  <c r="G18" i="47"/>
  <c r="G16" i="47"/>
  <c r="G13" i="47"/>
  <c r="S112" i="47"/>
  <c r="R112" i="47"/>
  <c r="M112" i="47"/>
  <c r="L112" i="47"/>
  <c r="K112" i="47"/>
  <c r="J112" i="47"/>
  <c r="I112" i="47"/>
  <c r="H112" i="47"/>
  <c r="S111" i="47"/>
  <c r="R111" i="47"/>
  <c r="M111" i="47"/>
  <c r="L111" i="47"/>
  <c r="K111" i="47"/>
  <c r="J111" i="47"/>
  <c r="I111" i="47"/>
  <c r="H111" i="47"/>
  <c r="S110" i="47"/>
  <c r="R110" i="47"/>
  <c r="M110" i="47"/>
  <c r="L110" i="47"/>
  <c r="K110" i="47"/>
  <c r="J110" i="47"/>
  <c r="I110" i="47"/>
  <c r="H110" i="47"/>
  <c r="S109" i="47"/>
  <c r="R109" i="47"/>
  <c r="M109" i="47"/>
  <c r="L109" i="47"/>
  <c r="K109" i="47"/>
  <c r="J109" i="47"/>
  <c r="I109" i="47"/>
  <c r="H109" i="47"/>
  <c r="S108" i="47"/>
  <c r="R108" i="47"/>
  <c r="M108" i="47"/>
  <c r="L108" i="47"/>
  <c r="K108" i="47"/>
  <c r="J108" i="47"/>
  <c r="I108" i="47"/>
  <c r="H108" i="47"/>
  <c r="S107" i="47"/>
  <c r="R107" i="47"/>
  <c r="M107" i="47"/>
  <c r="L107" i="47"/>
  <c r="K107" i="47"/>
  <c r="J107" i="47"/>
  <c r="I107" i="47"/>
  <c r="H107" i="47"/>
  <c r="S106" i="47"/>
  <c r="R106" i="47"/>
  <c r="M106" i="47"/>
  <c r="L106" i="47"/>
  <c r="K106" i="47"/>
  <c r="J106" i="47"/>
  <c r="I106" i="47"/>
  <c r="H106" i="47"/>
  <c r="S105" i="47"/>
  <c r="R105" i="47"/>
  <c r="M105" i="47"/>
  <c r="L105" i="47"/>
  <c r="K105" i="47"/>
  <c r="J105" i="47"/>
  <c r="I105" i="47"/>
  <c r="H105" i="47"/>
  <c r="S104" i="47"/>
  <c r="R104" i="47"/>
  <c r="M104" i="47"/>
  <c r="L104" i="47"/>
  <c r="K104" i="47"/>
  <c r="J104" i="47"/>
  <c r="I104" i="47"/>
  <c r="H104" i="47"/>
  <c r="S103" i="47"/>
  <c r="R103" i="47"/>
  <c r="M103" i="47"/>
  <c r="L103" i="47"/>
  <c r="K103" i="47"/>
  <c r="J103" i="47"/>
  <c r="I103" i="47"/>
  <c r="H103" i="47"/>
  <c r="S102" i="47"/>
  <c r="R102" i="47"/>
  <c r="M102" i="47"/>
  <c r="L102" i="47"/>
  <c r="K102" i="47"/>
  <c r="J102" i="47"/>
  <c r="I102" i="47"/>
  <c r="H102" i="47"/>
  <c r="S101" i="47"/>
  <c r="R101" i="47"/>
  <c r="M101" i="47"/>
  <c r="L101" i="47"/>
  <c r="K101" i="47"/>
  <c r="J101" i="47"/>
  <c r="I101" i="47"/>
  <c r="H101" i="47"/>
  <c r="S100" i="47"/>
  <c r="R100" i="47"/>
  <c r="M100" i="47"/>
  <c r="L100" i="47"/>
  <c r="K100" i="47"/>
  <c r="J100" i="47"/>
  <c r="I100" i="47"/>
  <c r="H100" i="47"/>
  <c r="S99" i="47"/>
  <c r="R99" i="47"/>
  <c r="M99" i="47"/>
  <c r="L99" i="47"/>
  <c r="K99" i="47"/>
  <c r="J99" i="47"/>
  <c r="I99" i="47"/>
  <c r="H99" i="47"/>
  <c r="S98" i="47"/>
  <c r="R98" i="47"/>
  <c r="M98" i="47"/>
  <c r="L98" i="47"/>
  <c r="K98" i="47"/>
  <c r="J98" i="47"/>
  <c r="I98" i="47"/>
  <c r="H98" i="47"/>
  <c r="S97" i="47"/>
  <c r="R97" i="47"/>
  <c r="M97" i="47"/>
  <c r="L97" i="47"/>
  <c r="K97" i="47"/>
  <c r="J97" i="47"/>
  <c r="I97" i="47"/>
  <c r="H97" i="47"/>
  <c r="S96" i="47"/>
  <c r="R96" i="47"/>
  <c r="M96" i="47"/>
  <c r="L96" i="47"/>
  <c r="K96" i="47"/>
  <c r="J96" i="47"/>
  <c r="I96" i="47"/>
  <c r="H96" i="47"/>
  <c r="S95" i="47"/>
  <c r="R95" i="47"/>
  <c r="M95" i="47"/>
  <c r="L95" i="47"/>
  <c r="K95" i="47"/>
  <c r="J95" i="47"/>
  <c r="I95" i="47"/>
  <c r="H95" i="47"/>
  <c r="S94" i="47"/>
  <c r="R94" i="47"/>
  <c r="M94" i="47"/>
  <c r="L94" i="47"/>
  <c r="K94" i="47"/>
  <c r="J94" i="47"/>
  <c r="I94" i="47"/>
  <c r="H94" i="47"/>
  <c r="S93" i="47"/>
  <c r="R93" i="47"/>
  <c r="M93" i="47"/>
  <c r="L93" i="47"/>
  <c r="K93" i="47"/>
  <c r="J93" i="47"/>
  <c r="I93" i="47"/>
  <c r="H93" i="47"/>
  <c r="S92" i="47"/>
  <c r="R92" i="47"/>
  <c r="M92" i="47"/>
  <c r="L92" i="47"/>
  <c r="K92" i="47"/>
  <c r="J92" i="47"/>
  <c r="I92" i="47"/>
  <c r="H92" i="47"/>
  <c r="S91" i="47"/>
  <c r="R91" i="47"/>
  <c r="M91" i="47"/>
  <c r="L91" i="47"/>
  <c r="K91" i="47"/>
  <c r="J91" i="47"/>
  <c r="I91" i="47"/>
  <c r="H91" i="47"/>
  <c r="S90" i="47"/>
  <c r="R90" i="47"/>
  <c r="M90" i="47"/>
  <c r="L90" i="47"/>
  <c r="K90" i="47"/>
  <c r="J90" i="47"/>
  <c r="I90" i="47"/>
  <c r="H90" i="47"/>
  <c r="S89" i="47"/>
  <c r="R89" i="47"/>
  <c r="M89" i="47"/>
  <c r="L89" i="47"/>
  <c r="K89" i="47"/>
  <c r="J89" i="47"/>
  <c r="I89" i="47"/>
  <c r="H89" i="47"/>
  <c r="S88" i="47"/>
  <c r="R88" i="47"/>
  <c r="M88" i="47"/>
  <c r="L88" i="47"/>
  <c r="K88" i="47"/>
  <c r="J88" i="47"/>
  <c r="I88" i="47"/>
  <c r="H88" i="47"/>
  <c r="S87" i="47"/>
  <c r="R87" i="47"/>
  <c r="M87" i="47"/>
  <c r="L87" i="47"/>
  <c r="K87" i="47"/>
  <c r="J87" i="47"/>
  <c r="I87" i="47"/>
  <c r="H87" i="47"/>
  <c r="S86" i="47"/>
  <c r="R86" i="47"/>
  <c r="M86" i="47"/>
  <c r="L86" i="47"/>
  <c r="K86" i="47"/>
  <c r="J86" i="47"/>
  <c r="I86" i="47"/>
  <c r="H86" i="47"/>
  <c r="S85" i="47"/>
  <c r="R85" i="47"/>
  <c r="M85" i="47"/>
  <c r="L85" i="47"/>
  <c r="K85" i="47"/>
  <c r="J85" i="47"/>
  <c r="I85" i="47"/>
  <c r="H85" i="47"/>
  <c r="S84" i="47"/>
  <c r="R84" i="47"/>
  <c r="M84" i="47"/>
  <c r="L84" i="47"/>
  <c r="K84" i="47"/>
  <c r="J84" i="47"/>
  <c r="I84" i="47"/>
  <c r="H84" i="47"/>
  <c r="S83" i="47"/>
  <c r="R83" i="47"/>
  <c r="M83" i="47"/>
  <c r="L83" i="47"/>
  <c r="K83" i="47"/>
  <c r="J83" i="47"/>
  <c r="I83" i="47"/>
  <c r="H83" i="47"/>
  <c r="S82" i="47"/>
  <c r="R82" i="47"/>
  <c r="M82" i="47"/>
  <c r="L82" i="47"/>
  <c r="K82" i="47"/>
  <c r="J82" i="47"/>
  <c r="I82" i="47"/>
  <c r="H82" i="47"/>
  <c r="S81" i="47"/>
  <c r="R81" i="47"/>
  <c r="M81" i="47"/>
  <c r="L81" i="47"/>
  <c r="K81" i="47"/>
  <c r="J81" i="47"/>
  <c r="I81" i="47"/>
  <c r="H81" i="47"/>
  <c r="S80" i="47"/>
  <c r="R80" i="47"/>
  <c r="M80" i="47"/>
  <c r="L80" i="47"/>
  <c r="K80" i="47"/>
  <c r="J80" i="47"/>
  <c r="I80" i="47"/>
  <c r="H80" i="47"/>
  <c r="S79" i="47"/>
  <c r="R79" i="47"/>
  <c r="M79" i="47"/>
  <c r="L79" i="47"/>
  <c r="K79" i="47"/>
  <c r="J79" i="47"/>
  <c r="I79" i="47"/>
  <c r="H79" i="47"/>
  <c r="S78" i="47"/>
  <c r="R78" i="47"/>
  <c r="M78" i="47"/>
  <c r="L78" i="47"/>
  <c r="K78" i="47"/>
  <c r="J78" i="47"/>
  <c r="I78" i="47"/>
  <c r="H78" i="47"/>
  <c r="S77" i="47"/>
  <c r="R77" i="47"/>
  <c r="M77" i="47"/>
  <c r="L77" i="47"/>
  <c r="K77" i="47"/>
  <c r="J77" i="47"/>
  <c r="I77" i="47"/>
  <c r="H77" i="47"/>
  <c r="S76" i="47"/>
  <c r="R76" i="47"/>
  <c r="M76" i="47"/>
  <c r="L76" i="47"/>
  <c r="K76" i="47"/>
  <c r="J76" i="47"/>
  <c r="I76" i="47"/>
  <c r="H76" i="47"/>
  <c r="S75" i="47"/>
  <c r="R75" i="47"/>
  <c r="M75" i="47"/>
  <c r="L75" i="47"/>
  <c r="K75" i="47"/>
  <c r="J75" i="47"/>
  <c r="I75" i="47"/>
  <c r="H75" i="47"/>
  <c r="S74" i="47"/>
  <c r="R74" i="47"/>
  <c r="M74" i="47"/>
  <c r="L74" i="47"/>
  <c r="K74" i="47"/>
  <c r="J74" i="47"/>
  <c r="I74" i="47"/>
  <c r="H74" i="47"/>
  <c r="S73" i="47"/>
  <c r="R73" i="47"/>
  <c r="M73" i="47"/>
  <c r="L73" i="47"/>
  <c r="K73" i="47"/>
  <c r="J73" i="47"/>
  <c r="I73" i="47"/>
  <c r="H73" i="47"/>
  <c r="S72" i="47"/>
  <c r="R72" i="47"/>
  <c r="M72" i="47"/>
  <c r="L72" i="47"/>
  <c r="K72" i="47"/>
  <c r="J72" i="47"/>
  <c r="I72" i="47"/>
  <c r="H72" i="47"/>
  <c r="S71" i="47"/>
  <c r="R71" i="47"/>
  <c r="M71" i="47"/>
  <c r="L71" i="47"/>
  <c r="K71" i="47"/>
  <c r="J71" i="47"/>
  <c r="I71" i="47"/>
  <c r="H71" i="47"/>
  <c r="S70" i="47"/>
  <c r="R70" i="47"/>
  <c r="M70" i="47"/>
  <c r="L70" i="47"/>
  <c r="K70" i="47"/>
  <c r="J70" i="47"/>
  <c r="I70" i="47"/>
  <c r="H70" i="47"/>
  <c r="M69" i="47"/>
  <c r="S69" i="47" s="1"/>
  <c r="L69" i="47"/>
  <c r="K69" i="47"/>
  <c r="J69" i="47"/>
  <c r="R69" i="47" s="1"/>
  <c r="I69" i="47"/>
  <c r="H69" i="47"/>
  <c r="M68" i="47"/>
  <c r="S68" i="47" s="1"/>
  <c r="L68" i="47"/>
  <c r="K68" i="47"/>
  <c r="J68" i="47"/>
  <c r="R68" i="47" s="1"/>
  <c r="I68" i="47"/>
  <c r="H68" i="47"/>
  <c r="S67" i="47"/>
  <c r="R67" i="47"/>
  <c r="M67" i="47"/>
  <c r="L67" i="47"/>
  <c r="K67" i="47"/>
  <c r="J67" i="47"/>
  <c r="I67" i="47"/>
  <c r="H67" i="47"/>
  <c r="S66" i="47"/>
  <c r="R66" i="47"/>
  <c r="M66" i="47"/>
  <c r="L66" i="47"/>
  <c r="K66" i="47"/>
  <c r="J66" i="47"/>
  <c r="I66" i="47"/>
  <c r="H66" i="47"/>
  <c r="M65" i="47"/>
  <c r="S65" i="47" s="1"/>
  <c r="L65" i="47"/>
  <c r="K65" i="47"/>
  <c r="J65" i="47"/>
  <c r="R65" i="47" s="1"/>
  <c r="I65" i="47"/>
  <c r="H65" i="47"/>
  <c r="M64" i="47"/>
  <c r="S64" i="47" s="1"/>
  <c r="L64" i="47"/>
  <c r="K64" i="47"/>
  <c r="J64" i="47"/>
  <c r="R64" i="47" s="1"/>
  <c r="I64" i="47"/>
  <c r="H64" i="47"/>
  <c r="S63" i="47"/>
  <c r="R63" i="47"/>
  <c r="M63" i="47"/>
  <c r="L63" i="47"/>
  <c r="K63" i="47"/>
  <c r="J63" i="47"/>
  <c r="I63" i="47"/>
  <c r="H63" i="47"/>
  <c r="S62" i="47"/>
  <c r="R62" i="47"/>
  <c r="M62" i="47"/>
  <c r="L62" i="47"/>
  <c r="K62" i="47"/>
  <c r="J62" i="47"/>
  <c r="I62" i="47"/>
  <c r="H62" i="47"/>
  <c r="R61" i="47"/>
  <c r="M61" i="47"/>
  <c r="S61" i="47" s="1"/>
  <c r="L61" i="47"/>
  <c r="K61" i="47"/>
  <c r="J61" i="47"/>
  <c r="I61" i="47"/>
  <c r="H61" i="47"/>
  <c r="R60" i="47"/>
  <c r="M60" i="47"/>
  <c r="S60" i="47" s="1"/>
  <c r="L60" i="47"/>
  <c r="K60" i="47"/>
  <c r="J60" i="47"/>
  <c r="I60" i="47"/>
  <c r="H60" i="47"/>
  <c r="S59" i="47"/>
  <c r="R59" i="47"/>
  <c r="M59" i="47"/>
  <c r="L59" i="47"/>
  <c r="K59" i="47"/>
  <c r="J59" i="47"/>
  <c r="I59" i="47"/>
  <c r="H59" i="47"/>
  <c r="S58" i="47"/>
  <c r="R58" i="47"/>
  <c r="M58" i="47"/>
  <c r="L58" i="47"/>
  <c r="K58" i="47"/>
  <c r="J58" i="47"/>
  <c r="I58" i="47"/>
  <c r="H58" i="47"/>
  <c r="S57" i="47"/>
  <c r="R57" i="47"/>
  <c r="M57" i="47"/>
  <c r="L57" i="47"/>
  <c r="K57" i="47"/>
  <c r="J57" i="47"/>
  <c r="I57" i="47"/>
  <c r="H57" i="47"/>
  <c r="S56" i="47"/>
  <c r="R56" i="47"/>
  <c r="M56" i="47"/>
  <c r="L56" i="47"/>
  <c r="K56" i="47"/>
  <c r="J56" i="47"/>
  <c r="I56" i="47"/>
  <c r="H56" i="47"/>
  <c r="S55" i="47"/>
  <c r="R55" i="47"/>
  <c r="M55" i="47"/>
  <c r="L55" i="47"/>
  <c r="K55" i="47"/>
  <c r="J55" i="47"/>
  <c r="I55" i="47"/>
  <c r="H55" i="47"/>
  <c r="S54" i="47"/>
  <c r="R54" i="47"/>
  <c r="M54" i="47"/>
  <c r="L54" i="47"/>
  <c r="K54" i="47"/>
  <c r="J54" i="47"/>
  <c r="I54" i="47"/>
  <c r="H54" i="47"/>
  <c r="S53" i="47"/>
  <c r="R53" i="47"/>
  <c r="M53" i="47"/>
  <c r="L53" i="47"/>
  <c r="K53" i="47"/>
  <c r="J53" i="47"/>
  <c r="I53" i="47"/>
  <c r="H53" i="47"/>
  <c r="S52" i="47"/>
  <c r="R52" i="47"/>
  <c r="M52" i="47"/>
  <c r="L52" i="47"/>
  <c r="K52" i="47"/>
  <c r="J52" i="47"/>
  <c r="I52" i="47"/>
  <c r="H52" i="47"/>
  <c r="S51" i="47"/>
  <c r="R51" i="47"/>
  <c r="M51" i="47"/>
  <c r="L51" i="47"/>
  <c r="K51" i="47"/>
  <c r="J51" i="47"/>
  <c r="I51" i="47"/>
  <c r="H51" i="47"/>
  <c r="S50" i="47"/>
  <c r="R50" i="47"/>
  <c r="M50" i="47"/>
  <c r="L50" i="47"/>
  <c r="K50" i="47"/>
  <c r="J50" i="47"/>
  <c r="I50" i="47"/>
  <c r="H50" i="47"/>
  <c r="S49" i="47"/>
  <c r="R49" i="47"/>
  <c r="M49" i="47"/>
  <c r="L49" i="47"/>
  <c r="K49" i="47"/>
  <c r="J49" i="47"/>
  <c r="I49" i="47"/>
  <c r="H49" i="47"/>
  <c r="S48" i="47"/>
  <c r="R48" i="47"/>
  <c r="M48" i="47"/>
  <c r="L48" i="47"/>
  <c r="K48" i="47"/>
  <c r="J48" i="47"/>
  <c r="I48" i="47"/>
  <c r="H48" i="47"/>
  <c r="S47" i="47"/>
  <c r="R47" i="47"/>
  <c r="M47" i="47"/>
  <c r="L47" i="47"/>
  <c r="K47" i="47"/>
  <c r="J47" i="47"/>
  <c r="I47" i="47"/>
  <c r="H47" i="47"/>
  <c r="S46" i="47"/>
  <c r="R46" i="47"/>
  <c r="M46" i="47"/>
  <c r="L46" i="47"/>
  <c r="K46" i="47"/>
  <c r="J46" i="47"/>
  <c r="I46" i="47"/>
  <c r="H46" i="47"/>
  <c r="S45" i="47"/>
  <c r="R45" i="47"/>
  <c r="M45" i="47"/>
  <c r="L45" i="47"/>
  <c r="K45" i="47"/>
  <c r="J45" i="47"/>
  <c r="I45" i="47"/>
  <c r="H45" i="47"/>
  <c r="S44" i="47"/>
  <c r="R44" i="47"/>
  <c r="M44" i="47"/>
  <c r="L44" i="47"/>
  <c r="K44" i="47"/>
  <c r="J44" i="47"/>
  <c r="I44" i="47"/>
  <c r="H44" i="47"/>
  <c r="S43" i="47"/>
  <c r="R43" i="47"/>
  <c r="M43" i="47"/>
  <c r="L43" i="47"/>
  <c r="K43" i="47"/>
  <c r="J43" i="47"/>
  <c r="I43" i="47"/>
  <c r="H43" i="47"/>
  <c r="S42" i="47"/>
  <c r="R42" i="47"/>
  <c r="L42" i="47"/>
  <c r="K42" i="47"/>
  <c r="J42" i="47"/>
  <c r="I42" i="47"/>
  <c r="H42" i="47"/>
  <c r="S41" i="47"/>
  <c r="R41" i="47"/>
  <c r="L41" i="47"/>
  <c r="K41" i="47"/>
  <c r="J41" i="47"/>
  <c r="I41" i="47"/>
  <c r="H41" i="47"/>
  <c r="S40" i="47"/>
  <c r="R40" i="47"/>
  <c r="L40" i="47"/>
  <c r="K40" i="47"/>
  <c r="J40" i="47"/>
  <c r="I40" i="47"/>
  <c r="H40" i="47"/>
  <c r="S39" i="47"/>
  <c r="R39" i="47"/>
  <c r="L39" i="47"/>
  <c r="K39" i="47"/>
  <c r="J39" i="47"/>
  <c r="I39" i="47"/>
  <c r="H39" i="47"/>
  <c r="S38" i="47"/>
  <c r="R38" i="47"/>
  <c r="M38" i="47"/>
  <c r="L38" i="47"/>
  <c r="K38" i="47"/>
  <c r="J38" i="47"/>
  <c r="I38" i="47"/>
  <c r="H38" i="47"/>
  <c r="S37" i="47"/>
  <c r="R37" i="47"/>
  <c r="M37" i="47"/>
  <c r="L37" i="47"/>
  <c r="K37" i="47"/>
  <c r="J37" i="47"/>
  <c r="I37" i="47"/>
  <c r="H37" i="47"/>
  <c r="S36" i="47"/>
  <c r="R36" i="47"/>
  <c r="M36" i="47"/>
  <c r="L36" i="47"/>
  <c r="K36" i="47"/>
  <c r="J36" i="47"/>
  <c r="I36" i="47"/>
  <c r="H36" i="47"/>
  <c r="S35" i="47"/>
  <c r="R35" i="47"/>
  <c r="M35" i="47"/>
  <c r="L35" i="47"/>
  <c r="K35" i="47"/>
  <c r="J35" i="47"/>
  <c r="I35" i="47"/>
  <c r="H35" i="47"/>
  <c r="S34" i="47"/>
  <c r="R34" i="47"/>
  <c r="M34" i="47"/>
  <c r="L34" i="47"/>
  <c r="K34" i="47"/>
  <c r="J34" i="47"/>
  <c r="I34" i="47"/>
  <c r="H34" i="47"/>
  <c r="S33" i="47"/>
  <c r="R33" i="47"/>
  <c r="M33" i="47"/>
  <c r="L33" i="47"/>
  <c r="K33" i="47"/>
  <c r="J33" i="47"/>
  <c r="I33" i="47"/>
  <c r="H33" i="47"/>
  <c r="S32" i="47"/>
  <c r="R32" i="47"/>
  <c r="L32" i="47"/>
  <c r="K32" i="47"/>
  <c r="J32" i="47"/>
  <c r="I32" i="47"/>
  <c r="H32" i="47"/>
  <c r="S31" i="47"/>
  <c r="R31" i="47"/>
  <c r="L31" i="47"/>
  <c r="K31" i="47"/>
  <c r="J31" i="47"/>
  <c r="I31" i="47"/>
  <c r="H31" i="47"/>
  <c r="I30" i="47"/>
  <c r="J30" i="47" s="1"/>
  <c r="R30" i="47" s="1"/>
  <c r="H30" i="47"/>
  <c r="I29" i="47"/>
  <c r="J29" i="47" s="1"/>
  <c r="R29" i="47" s="1"/>
  <c r="H29" i="47"/>
  <c r="I28" i="47"/>
  <c r="J28" i="47" s="1"/>
  <c r="R28" i="47" s="1"/>
  <c r="H28" i="47"/>
  <c r="I27" i="47"/>
  <c r="J27" i="47" s="1"/>
  <c r="R27" i="47" s="1"/>
  <c r="H27" i="47"/>
  <c r="I26" i="47"/>
  <c r="J26" i="47" s="1"/>
  <c r="R26" i="47" s="1"/>
  <c r="H26" i="47"/>
  <c r="I25" i="47"/>
  <c r="J25" i="47" s="1"/>
  <c r="R25" i="47" s="1"/>
  <c r="H25" i="47"/>
  <c r="I24" i="47"/>
  <c r="J24" i="47" s="1"/>
  <c r="R24" i="47" s="1"/>
  <c r="H24" i="47"/>
  <c r="I23" i="47"/>
  <c r="J23" i="47" s="1"/>
  <c r="R23" i="47" s="1"/>
  <c r="H23" i="47"/>
  <c r="I22" i="47"/>
  <c r="H22" i="47"/>
  <c r="I21" i="47"/>
  <c r="J21" i="47" s="1"/>
  <c r="R21" i="47" s="1"/>
  <c r="H21" i="47"/>
  <c r="I20" i="47"/>
  <c r="J20" i="47" s="1"/>
  <c r="R20" i="47" s="1"/>
  <c r="H20" i="47"/>
  <c r="I19" i="47"/>
  <c r="J19" i="47" s="1"/>
  <c r="R19" i="47" s="1"/>
  <c r="H19" i="47"/>
  <c r="I18" i="47"/>
  <c r="J18" i="47" s="1"/>
  <c r="R18" i="47" s="1"/>
  <c r="H18" i="47"/>
  <c r="I17" i="47"/>
  <c r="H17" i="47"/>
  <c r="I16" i="47"/>
  <c r="J16" i="47" s="1"/>
  <c r="R16" i="47" s="1"/>
  <c r="H16" i="47"/>
  <c r="I15" i="47"/>
  <c r="J15" i="47" s="1"/>
  <c r="R15" i="47" s="1"/>
  <c r="H15" i="47"/>
  <c r="I14" i="47"/>
  <c r="J14" i="47" s="1"/>
  <c r="R14" i="47" s="1"/>
  <c r="H14" i="47"/>
  <c r="I13" i="47"/>
  <c r="J13" i="47" s="1"/>
  <c r="R13" i="47" s="1"/>
  <c r="H13" i="47"/>
  <c r="I12" i="47"/>
  <c r="J12" i="47" s="1"/>
  <c r="R12" i="47" s="1"/>
  <c r="H12" i="47"/>
  <c r="I11" i="47"/>
  <c r="J11" i="47" s="1"/>
  <c r="R11" i="47" s="1"/>
  <c r="H11" i="47"/>
  <c r="H10" i="47"/>
  <c r="I10" i="47"/>
  <c r="I9" i="47"/>
  <c r="J9" i="47" s="1"/>
  <c r="R9" i="47" s="1"/>
  <c r="H9" i="47"/>
  <c r="I8" i="47"/>
  <c r="H8" i="47"/>
  <c r="L7" i="47"/>
  <c r="I7" i="47"/>
  <c r="H7" i="47"/>
  <c r="K7" i="47" s="1"/>
  <c r="J8" i="52" l="1"/>
  <c r="R8" i="52" s="1"/>
  <c r="J18" i="52"/>
  <c r="R18" i="52" s="1"/>
  <c r="M17" i="60"/>
  <c r="S17" i="60" s="1"/>
  <c r="L18" i="60"/>
  <c r="M18" i="60" s="1"/>
  <c r="S18" i="60" s="1"/>
  <c r="J10" i="47"/>
  <c r="R10" i="47" s="1"/>
  <c r="J8" i="48"/>
  <c r="R8" i="48" s="1"/>
  <c r="J15" i="50"/>
  <c r="R15" i="50" s="1"/>
  <c r="J17" i="50"/>
  <c r="R17" i="50" s="1"/>
  <c r="J19" i="50"/>
  <c r="R19" i="50" s="1"/>
  <c r="J23" i="50"/>
  <c r="R23" i="50" s="1"/>
  <c r="J21" i="51"/>
  <c r="R21" i="51" s="1"/>
  <c r="J27" i="51"/>
  <c r="R27" i="51" s="1"/>
  <c r="K8" i="48"/>
  <c r="K9" i="48" s="1"/>
  <c r="J9" i="52"/>
  <c r="R9" i="52" s="1"/>
  <c r="J11" i="52"/>
  <c r="R11" i="52" s="1"/>
  <c r="J14" i="52"/>
  <c r="R14" i="52" s="1"/>
  <c r="M33" i="56"/>
  <c r="S33" i="56" s="1"/>
  <c r="L34" i="56"/>
  <c r="J9" i="48"/>
  <c r="R9" i="48" s="1"/>
  <c r="J11" i="48"/>
  <c r="R11" i="48" s="1"/>
  <c r="J14" i="50"/>
  <c r="R14" i="50" s="1"/>
  <c r="J16" i="50"/>
  <c r="R16" i="50" s="1"/>
  <c r="J20" i="50"/>
  <c r="R20" i="50" s="1"/>
  <c r="J30" i="51"/>
  <c r="R30" i="51" s="1"/>
  <c r="J32" i="51"/>
  <c r="R32" i="51" s="1"/>
  <c r="M16" i="59"/>
  <c r="S16" i="59" s="1"/>
  <c r="L17" i="59"/>
  <c r="L17" i="58"/>
  <c r="M16" i="58"/>
  <c r="S16" i="58" s="1"/>
  <c r="L15" i="57"/>
  <c r="M14" i="57"/>
  <c r="S14" i="57" s="1"/>
  <c r="M34" i="57"/>
  <c r="S34" i="57" s="1"/>
  <c r="L35" i="57"/>
  <c r="M13" i="56"/>
  <c r="S13" i="56" s="1"/>
  <c r="L14" i="56"/>
  <c r="M10" i="55"/>
  <c r="S10" i="55" s="1"/>
  <c r="L11" i="55"/>
  <c r="L11" i="54"/>
  <c r="M10" i="54"/>
  <c r="S10" i="54" s="1"/>
  <c r="M8" i="53"/>
  <c r="S8" i="53" s="1"/>
  <c r="L9" i="53"/>
  <c r="J16" i="52"/>
  <c r="R16" i="52" s="1"/>
  <c r="K16" i="52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L8" i="52"/>
  <c r="L9" i="52" s="1"/>
  <c r="J7" i="52"/>
  <c r="R7" i="52" s="1"/>
  <c r="M8" i="52"/>
  <c r="S8" i="52" s="1"/>
  <c r="M7" i="52"/>
  <c r="S7" i="52" s="1"/>
  <c r="J31" i="51"/>
  <c r="R31" i="51" s="1"/>
  <c r="J29" i="51"/>
  <c r="R29" i="51" s="1"/>
  <c r="J26" i="51"/>
  <c r="R26" i="51" s="1"/>
  <c r="J25" i="51"/>
  <c r="R25" i="51" s="1"/>
  <c r="J14" i="51"/>
  <c r="R14" i="51" s="1"/>
  <c r="K7" i="5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J11" i="51"/>
  <c r="R11" i="51" s="1"/>
  <c r="L8" i="51"/>
  <c r="J18" i="50"/>
  <c r="R18" i="50" s="1"/>
  <c r="K14" i="50"/>
  <c r="K15" i="50" s="1"/>
  <c r="K16" i="50" s="1"/>
  <c r="K17" i="50" s="1"/>
  <c r="K18" i="50" s="1"/>
  <c r="K19" i="50" s="1"/>
  <c r="K20" i="50" s="1"/>
  <c r="K21" i="50" s="1"/>
  <c r="K22" i="50" s="1"/>
  <c r="K23" i="50" s="1"/>
  <c r="L8" i="50"/>
  <c r="M7" i="50"/>
  <c r="S7" i="50" s="1"/>
  <c r="J7" i="50"/>
  <c r="R7" i="50" s="1"/>
  <c r="J8" i="49"/>
  <c r="R8" i="49" s="1"/>
  <c r="M7" i="49"/>
  <c r="S7" i="49" s="1"/>
  <c r="L8" i="49"/>
  <c r="J7" i="49"/>
  <c r="R7" i="49" s="1"/>
  <c r="J10" i="48"/>
  <c r="R10" i="48" s="1"/>
  <c r="K10" i="48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L8" i="48"/>
  <c r="M7" i="48"/>
  <c r="S7" i="48" s="1"/>
  <c r="J7" i="48"/>
  <c r="R7" i="48" s="1"/>
  <c r="J22" i="47"/>
  <c r="R22" i="47" s="1"/>
  <c r="J17" i="47"/>
  <c r="R17" i="47" s="1"/>
  <c r="J8" i="47"/>
  <c r="R8" i="47" s="1"/>
  <c r="K8" i="47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J7" i="47"/>
  <c r="R7" i="47" s="1"/>
  <c r="M7" i="47"/>
  <c r="S7" i="47" s="1"/>
  <c r="L8" i="47"/>
  <c r="H26" i="46"/>
  <c r="H25" i="46"/>
  <c r="G10" i="46"/>
  <c r="K28" i="51" l="1"/>
  <c r="K29" i="51" s="1"/>
  <c r="L35" i="56"/>
  <c r="M34" i="56"/>
  <c r="S34" i="56" s="1"/>
  <c r="M17" i="59"/>
  <c r="S17" i="59" s="1"/>
  <c r="L18" i="59"/>
  <c r="L18" i="58"/>
  <c r="M17" i="58"/>
  <c r="S17" i="58" s="1"/>
  <c r="L36" i="57"/>
  <c r="M35" i="57"/>
  <c r="S35" i="57" s="1"/>
  <c r="L16" i="57"/>
  <c r="M15" i="57"/>
  <c r="S15" i="57" s="1"/>
  <c r="M14" i="56"/>
  <c r="S14" i="56" s="1"/>
  <c r="L15" i="56"/>
  <c r="M11" i="55"/>
  <c r="S11" i="55" s="1"/>
  <c r="L12" i="55"/>
  <c r="L12" i="54"/>
  <c r="M11" i="54"/>
  <c r="S11" i="54" s="1"/>
  <c r="M9" i="53"/>
  <c r="S9" i="53" s="1"/>
  <c r="L10" i="53"/>
  <c r="M9" i="52"/>
  <c r="S9" i="52" s="1"/>
  <c r="L10" i="52"/>
  <c r="M7" i="51"/>
  <c r="S7" i="51" s="1"/>
  <c r="L9" i="51"/>
  <c r="M8" i="51"/>
  <c r="S8" i="51" s="1"/>
  <c r="L9" i="50"/>
  <c r="M8" i="50"/>
  <c r="S8" i="50" s="1"/>
  <c r="L9" i="49"/>
  <c r="M8" i="49"/>
  <c r="S8" i="49" s="1"/>
  <c r="L9" i="48"/>
  <c r="M8" i="48"/>
  <c r="S8" i="48" s="1"/>
  <c r="M8" i="47"/>
  <c r="S8" i="47" s="1"/>
  <c r="L9" i="47"/>
  <c r="S112" i="46"/>
  <c r="R112" i="46"/>
  <c r="M112" i="46"/>
  <c r="L112" i="46"/>
  <c r="K112" i="46"/>
  <c r="J112" i="46"/>
  <c r="I112" i="46"/>
  <c r="H112" i="46"/>
  <c r="S111" i="46"/>
  <c r="R111" i="46"/>
  <c r="M111" i="46"/>
  <c r="L111" i="46"/>
  <c r="K111" i="46"/>
  <c r="J111" i="46"/>
  <c r="I111" i="46"/>
  <c r="H111" i="46"/>
  <c r="S110" i="46"/>
  <c r="R110" i="46"/>
  <c r="M110" i="46"/>
  <c r="L110" i="46"/>
  <c r="K110" i="46"/>
  <c r="J110" i="46"/>
  <c r="I110" i="46"/>
  <c r="H110" i="46"/>
  <c r="S109" i="46"/>
  <c r="R109" i="46"/>
  <c r="M109" i="46"/>
  <c r="L109" i="46"/>
  <c r="K109" i="46"/>
  <c r="J109" i="46"/>
  <c r="I109" i="46"/>
  <c r="H109" i="46"/>
  <c r="S108" i="46"/>
  <c r="R108" i="46"/>
  <c r="M108" i="46"/>
  <c r="L108" i="46"/>
  <c r="K108" i="46"/>
  <c r="J108" i="46"/>
  <c r="I108" i="46"/>
  <c r="H108" i="46"/>
  <c r="S107" i="46"/>
  <c r="R107" i="46"/>
  <c r="M107" i="46"/>
  <c r="L107" i="46"/>
  <c r="K107" i="46"/>
  <c r="J107" i="46"/>
  <c r="I107" i="46"/>
  <c r="H107" i="46"/>
  <c r="S106" i="46"/>
  <c r="R106" i="46"/>
  <c r="M106" i="46"/>
  <c r="L106" i="46"/>
  <c r="K106" i="46"/>
  <c r="J106" i="46"/>
  <c r="I106" i="46"/>
  <c r="H106" i="46"/>
  <c r="S105" i="46"/>
  <c r="R105" i="46"/>
  <c r="M105" i="46"/>
  <c r="L105" i="46"/>
  <c r="K105" i="46"/>
  <c r="J105" i="46"/>
  <c r="I105" i="46"/>
  <c r="H105" i="46"/>
  <c r="S104" i="46"/>
  <c r="R104" i="46"/>
  <c r="M104" i="46"/>
  <c r="L104" i="46"/>
  <c r="K104" i="46"/>
  <c r="J104" i="46"/>
  <c r="I104" i="46"/>
  <c r="H104" i="46"/>
  <c r="S103" i="46"/>
  <c r="R103" i="46"/>
  <c r="M103" i="46"/>
  <c r="L103" i="46"/>
  <c r="K103" i="46"/>
  <c r="J103" i="46"/>
  <c r="I103" i="46"/>
  <c r="H103" i="46"/>
  <c r="S102" i="46"/>
  <c r="R102" i="46"/>
  <c r="M102" i="46"/>
  <c r="L102" i="46"/>
  <c r="K102" i="46"/>
  <c r="J102" i="46"/>
  <c r="I102" i="46"/>
  <c r="H102" i="46"/>
  <c r="S101" i="46"/>
  <c r="R101" i="46"/>
  <c r="M101" i="46"/>
  <c r="L101" i="46"/>
  <c r="K101" i="46"/>
  <c r="J101" i="46"/>
  <c r="I101" i="46"/>
  <c r="H101" i="46"/>
  <c r="S100" i="46"/>
  <c r="R100" i="46"/>
  <c r="M100" i="46"/>
  <c r="L100" i="46"/>
  <c r="K100" i="46"/>
  <c r="J100" i="46"/>
  <c r="I100" i="46"/>
  <c r="H100" i="46"/>
  <c r="S99" i="46"/>
  <c r="R99" i="46"/>
  <c r="M99" i="46"/>
  <c r="L99" i="46"/>
  <c r="K99" i="46"/>
  <c r="J99" i="46"/>
  <c r="I99" i="46"/>
  <c r="H99" i="46"/>
  <c r="S98" i="46"/>
  <c r="R98" i="46"/>
  <c r="M98" i="46"/>
  <c r="L98" i="46"/>
  <c r="K98" i="46"/>
  <c r="J98" i="46"/>
  <c r="I98" i="46"/>
  <c r="H98" i="46"/>
  <c r="S97" i="46"/>
  <c r="R97" i="46"/>
  <c r="M97" i="46"/>
  <c r="L97" i="46"/>
  <c r="K97" i="46"/>
  <c r="J97" i="46"/>
  <c r="I97" i="46"/>
  <c r="H97" i="46"/>
  <c r="S96" i="46"/>
  <c r="R96" i="46"/>
  <c r="M96" i="46"/>
  <c r="L96" i="46"/>
  <c r="K96" i="46"/>
  <c r="J96" i="46"/>
  <c r="I96" i="46"/>
  <c r="H96" i="46"/>
  <c r="S95" i="46"/>
  <c r="R95" i="46"/>
  <c r="M95" i="46"/>
  <c r="L95" i="46"/>
  <c r="K95" i="46"/>
  <c r="J95" i="46"/>
  <c r="I95" i="46"/>
  <c r="H95" i="46"/>
  <c r="S94" i="46"/>
  <c r="R94" i="46"/>
  <c r="M94" i="46"/>
  <c r="L94" i="46"/>
  <c r="K94" i="46"/>
  <c r="J94" i="46"/>
  <c r="I94" i="46"/>
  <c r="H94" i="46"/>
  <c r="S93" i="46"/>
  <c r="R93" i="46"/>
  <c r="M93" i="46"/>
  <c r="L93" i="46"/>
  <c r="K93" i="46"/>
  <c r="J93" i="46"/>
  <c r="I93" i="46"/>
  <c r="H93" i="46"/>
  <c r="S92" i="46"/>
  <c r="R92" i="46"/>
  <c r="M92" i="46"/>
  <c r="L92" i="46"/>
  <c r="K92" i="46"/>
  <c r="J92" i="46"/>
  <c r="I92" i="46"/>
  <c r="H92" i="46"/>
  <c r="S91" i="46"/>
  <c r="R91" i="46"/>
  <c r="M91" i="46"/>
  <c r="L91" i="46"/>
  <c r="K91" i="46"/>
  <c r="J91" i="46"/>
  <c r="I91" i="46"/>
  <c r="H91" i="46"/>
  <c r="S90" i="46"/>
  <c r="R90" i="46"/>
  <c r="M90" i="46"/>
  <c r="L90" i="46"/>
  <c r="K90" i="46"/>
  <c r="J90" i="46"/>
  <c r="I90" i="46"/>
  <c r="H90" i="46"/>
  <c r="S89" i="46"/>
  <c r="R89" i="46"/>
  <c r="M89" i="46"/>
  <c r="L89" i="46"/>
  <c r="K89" i="46"/>
  <c r="J89" i="46"/>
  <c r="I89" i="46"/>
  <c r="H89" i="46"/>
  <c r="S88" i="46"/>
  <c r="R88" i="46"/>
  <c r="M88" i="46"/>
  <c r="L88" i="46"/>
  <c r="K88" i="46"/>
  <c r="J88" i="46"/>
  <c r="I88" i="46"/>
  <c r="H88" i="46"/>
  <c r="S87" i="46"/>
  <c r="R87" i="46"/>
  <c r="M87" i="46"/>
  <c r="L87" i="46"/>
  <c r="K87" i="46"/>
  <c r="J87" i="46"/>
  <c r="I87" i="46"/>
  <c r="H87" i="46"/>
  <c r="S86" i="46"/>
  <c r="R86" i="46"/>
  <c r="M86" i="46"/>
  <c r="L86" i="46"/>
  <c r="K86" i="46"/>
  <c r="J86" i="46"/>
  <c r="I86" i="46"/>
  <c r="H86" i="46"/>
  <c r="S85" i="46"/>
  <c r="R85" i="46"/>
  <c r="M85" i="46"/>
  <c r="L85" i="46"/>
  <c r="K85" i="46"/>
  <c r="J85" i="46"/>
  <c r="I85" i="46"/>
  <c r="H85" i="46"/>
  <c r="S84" i="46"/>
  <c r="R84" i="46"/>
  <c r="M84" i="46"/>
  <c r="L84" i="46"/>
  <c r="K84" i="46"/>
  <c r="J84" i="46"/>
  <c r="I84" i="46"/>
  <c r="H84" i="46"/>
  <c r="S83" i="46"/>
  <c r="R83" i="46"/>
  <c r="M83" i="46"/>
  <c r="L83" i="46"/>
  <c r="K83" i="46"/>
  <c r="J83" i="46"/>
  <c r="I83" i="46"/>
  <c r="H83" i="46"/>
  <c r="S82" i="46"/>
  <c r="R82" i="46"/>
  <c r="M82" i="46"/>
  <c r="L82" i="46"/>
  <c r="K82" i="46"/>
  <c r="J82" i="46"/>
  <c r="I82" i="46"/>
  <c r="H82" i="46"/>
  <c r="S81" i="46"/>
  <c r="R81" i="46"/>
  <c r="M81" i="46"/>
  <c r="L81" i="46"/>
  <c r="K81" i="46"/>
  <c r="J81" i="46"/>
  <c r="I81" i="46"/>
  <c r="H81" i="46"/>
  <c r="S80" i="46"/>
  <c r="R80" i="46"/>
  <c r="M80" i="46"/>
  <c r="L80" i="46"/>
  <c r="K80" i="46"/>
  <c r="J80" i="46"/>
  <c r="I80" i="46"/>
  <c r="H80" i="46"/>
  <c r="S79" i="46"/>
  <c r="R79" i="46"/>
  <c r="M79" i="46"/>
  <c r="L79" i="46"/>
  <c r="K79" i="46"/>
  <c r="J79" i="46"/>
  <c r="I79" i="46"/>
  <c r="H79" i="46"/>
  <c r="S78" i="46"/>
  <c r="R78" i="46"/>
  <c r="M78" i="46"/>
  <c r="L78" i="46"/>
  <c r="K78" i="46"/>
  <c r="J78" i="46"/>
  <c r="I78" i="46"/>
  <c r="H78" i="46"/>
  <c r="S77" i="46"/>
  <c r="R77" i="46"/>
  <c r="M77" i="46"/>
  <c r="L77" i="46"/>
  <c r="K77" i="46"/>
  <c r="J77" i="46"/>
  <c r="I77" i="46"/>
  <c r="H77" i="46"/>
  <c r="S76" i="46"/>
  <c r="R76" i="46"/>
  <c r="M76" i="46"/>
  <c r="L76" i="46"/>
  <c r="K76" i="46"/>
  <c r="J76" i="46"/>
  <c r="I76" i="46"/>
  <c r="H76" i="46"/>
  <c r="S75" i="46"/>
  <c r="R75" i="46"/>
  <c r="M75" i="46"/>
  <c r="L75" i="46"/>
  <c r="K75" i="46"/>
  <c r="J75" i="46"/>
  <c r="I75" i="46"/>
  <c r="H75" i="46"/>
  <c r="S74" i="46"/>
  <c r="R74" i="46"/>
  <c r="M74" i="46"/>
  <c r="L74" i="46"/>
  <c r="K74" i="46"/>
  <c r="J74" i="46"/>
  <c r="I74" i="46"/>
  <c r="H74" i="46"/>
  <c r="S73" i="46"/>
  <c r="R73" i="46"/>
  <c r="M73" i="46"/>
  <c r="L73" i="46"/>
  <c r="K73" i="46"/>
  <c r="J73" i="46"/>
  <c r="I73" i="46"/>
  <c r="H73" i="46"/>
  <c r="S72" i="46"/>
  <c r="R72" i="46"/>
  <c r="M72" i="46"/>
  <c r="L72" i="46"/>
  <c r="K72" i="46"/>
  <c r="J72" i="46"/>
  <c r="I72" i="46"/>
  <c r="H72" i="46"/>
  <c r="S71" i="46"/>
  <c r="R71" i="46"/>
  <c r="M71" i="46"/>
  <c r="L71" i="46"/>
  <c r="K71" i="46"/>
  <c r="J71" i="46"/>
  <c r="I71" i="46"/>
  <c r="H71" i="46"/>
  <c r="S70" i="46"/>
  <c r="R70" i="46"/>
  <c r="M70" i="46"/>
  <c r="L70" i="46"/>
  <c r="K70" i="46"/>
  <c r="J70" i="46"/>
  <c r="I70" i="46"/>
  <c r="H70" i="46"/>
  <c r="M69" i="46"/>
  <c r="S69" i="46" s="1"/>
  <c r="L69" i="46"/>
  <c r="K69" i="46"/>
  <c r="J69" i="46"/>
  <c r="R69" i="46" s="1"/>
  <c r="I69" i="46"/>
  <c r="H69" i="46"/>
  <c r="M68" i="46"/>
  <c r="S68" i="46" s="1"/>
  <c r="L68" i="46"/>
  <c r="K68" i="46"/>
  <c r="J68" i="46"/>
  <c r="R68" i="46" s="1"/>
  <c r="I68" i="46"/>
  <c r="H68" i="46"/>
  <c r="S67" i="46"/>
  <c r="R67" i="46"/>
  <c r="M67" i="46"/>
  <c r="L67" i="46"/>
  <c r="K67" i="46"/>
  <c r="J67" i="46"/>
  <c r="I67" i="46"/>
  <c r="H67" i="46"/>
  <c r="S66" i="46"/>
  <c r="R66" i="46"/>
  <c r="M66" i="46"/>
  <c r="L66" i="46"/>
  <c r="K66" i="46"/>
  <c r="J66" i="46"/>
  <c r="I66" i="46"/>
  <c r="H66" i="46"/>
  <c r="M65" i="46"/>
  <c r="S65" i="46" s="1"/>
  <c r="L65" i="46"/>
  <c r="K65" i="46"/>
  <c r="J65" i="46"/>
  <c r="R65" i="46" s="1"/>
  <c r="I65" i="46"/>
  <c r="H65" i="46"/>
  <c r="M64" i="46"/>
  <c r="S64" i="46" s="1"/>
  <c r="L64" i="46"/>
  <c r="K64" i="46"/>
  <c r="J64" i="46"/>
  <c r="R64" i="46" s="1"/>
  <c r="I64" i="46"/>
  <c r="H64" i="46"/>
  <c r="S63" i="46"/>
  <c r="R63" i="46"/>
  <c r="M63" i="46"/>
  <c r="L63" i="46"/>
  <c r="K63" i="46"/>
  <c r="J63" i="46"/>
  <c r="I63" i="46"/>
  <c r="H63" i="46"/>
  <c r="S62" i="46"/>
  <c r="R62" i="46"/>
  <c r="M62" i="46"/>
  <c r="L62" i="46"/>
  <c r="K62" i="46"/>
  <c r="J62" i="46"/>
  <c r="I62" i="46"/>
  <c r="H62" i="46"/>
  <c r="M61" i="46"/>
  <c r="S61" i="46" s="1"/>
  <c r="L61" i="46"/>
  <c r="K61" i="46"/>
  <c r="J61" i="46"/>
  <c r="R61" i="46" s="1"/>
  <c r="I61" i="46"/>
  <c r="H61" i="46"/>
  <c r="M60" i="46"/>
  <c r="S60" i="46" s="1"/>
  <c r="L60" i="46"/>
  <c r="K60" i="46"/>
  <c r="J60" i="46"/>
  <c r="R60" i="46" s="1"/>
  <c r="I60" i="46"/>
  <c r="H60" i="46"/>
  <c r="S59" i="46"/>
  <c r="R59" i="46"/>
  <c r="M59" i="46"/>
  <c r="L59" i="46"/>
  <c r="K59" i="46"/>
  <c r="J59" i="46"/>
  <c r="I59" i="46"/>
  <c r="H59" i="46"/>
  <c r="S58" i="46"/>
  <c r="R58" i="46"/>
  <c r="M58" i="46"/>
  <c r="L58" i="46"/>
  <c r="K58" i="46"/>
  <c r="J58" i="46"/>
  <c r="I58" i="46"/>
  <c r="H58" i="46"/>
  <c r="S57" i="46"/>
  <c r="R57" i="46"/>
  <c r="M57" i="46"/>
  <c r="L57" i="46"/>
  <c r="K57" i="46"/>
  <c r="J57" i="46"/>
  <c r="I57" i="46"/>
  <c r="H57" i="46"/>
  <c r="S56" i="46"/>
  <c r="R56" i="46"/>
  <c r="M56" i="46"/>
  <c r="L56" i="46"/>
  <c r="K56" i="46"/>
  <c r="J56" i="46"/>
  <c r="I56" i="46"/>
  <c r="H56" i="46"/>
  <c r="S55" i="46"/>
  <c r="R55" i="46"/>
  <c r="M55" i="46"/>
  <c r="L55" i="46"/>
  <c r="K55" i="46"/>
  <c r="J55" i="46"/>
  <c r="I55" i="46"/>
  <c r="H55" i="46"/>
  <c r="S54" i="46"/>
  <c r="R54" i="46"/>
  <c r="M54" i="46"/>
  <c r="L54" i="46"/>
  <c r="K54" i="46"/>
  <c r="J54" i="46"/>
  <c r="I54" i="46"/>
  <c r="H54" i="46"/>
  <c r="S53" i="46"/>
  <c r="R53" i="46"/>
  <c r="M53" i="46"/>
  <c r="L53" i="46"/>
  <c r="K53" i="46"/>
  <c r="J53" i="46"/>
  <c r="I53" i="46"/>
  <c r="H53" i="46"/>
  <c r="S52" i="46"/>
  <c r="R52" i="46"/>
  <c r="M52" i="46"/>
  <c r="L52" i="46"/>
  <c r="K52" i="46"/>
  <c r="J52" i="46"/>
  <c r="I52" i="46"/>
  <c r="H52" i="46"/>
  <c r="S51" i="46"/>
  <c r="R51" i="46"/>
  <c r="M51" i="46"/>
  <c r="L51" i="46"/>
  <c r="K51" i="46"/>
  <c r="J51" i="46"/>
  <c r="I51" i="46"/>
  <c r="H51" i="46"/>
  <c r="S50" i="46"/>
  <c r="R50" i="46"/>
  <c r="M50" i="46"/>
  <c r="L50" i="46"/>
  <c r="K50" i="46"/>
  <c r="J50" i="46"/>
  <c r="I50" i="46"/>
  <c r="H50" i="46"/>
  <c r="S49" i="46"/>
  <c r="R49" i="46"/>
  <c r="M49" i="46"/>
  <c r="L49" i="46"/>
  <c r="K49" i="46"/>
  <c r="J49" i="46"/>
  <c r="I49" i="46"/>
  <c r="H49" i="46"/>
  <c r="S48" i="46"/>
  <c r="R48" i="46"/>
  <c r="M48" i="46"/>
  <c r="L48" i="46"/>
  <c r="K48" i="46"/>
  <c r="J48" i="46"/>
  <c r="I48" i="46"/>
  <c r="H48" i="46"/>
  <c r="S47" i="46"/>
  <c r="R47" i="46"/>
  <c r="M47" i="46"/>
  <c r="L47" i="46"/>
  <c r="K47" i="46"/>
  <c r="J47" i="46"/>
  <c r="I47" i="46"/>
  <c r="H47" i="46"/>
  <c r="S46" i="46"/>
  <c r="R46" i="46"/>
  <c r="M46" i="46"/>
  <c r="L46" i="46"/>
  <c r="K46" i="46"/>
  <c r="J46" i="46"/>
  <c r="I46" i="46"/>
  <c r="H46" i="46"/>
  <c r="S45" i="46"/>
  <c r="R45" i="46"/>
  <c r="M45" i="46"/>
  <c r="L45" i="46"/>
  <c r="K45" i="46"/>
  <c r="J45" i="46"/>
  <c r="I45" i="46"/>
  <c r="H45" i="46"/>
  <c r="S44" i="46"/>
  <c r="R44" i="46"/>
  <c r="M44" i="46"/>
  <c r="L44" i="46"/>
  <c r="K44" i="46"/>
  <c r="J44" i="46"/>
  <c r="I44" i="46"/>
  <c r="H44" i="46"/>
  <c r="S43" i="46"/>
  <c r="R43" i="46"/>
  <c r="M43" i="46"/>
  <c r="L43" i="46"/>
  <c r="K43" i="46"/>
  <c r="J43" i="46"/>
  <c r="I43" i="46"/>
  <c r="H43" i="46"/>
  <c r="S42" i="46"/>
  <c r="R42" i="46"/>
  <c r="M42" i="46"/>
  <c r="L42" i="46"/>
  <c r="K42" i="46"/>
  <c r="J42" i="46"/>
  <c r="I42" i="46"/>
  <c r="H42" i="46"/>
  <c r="S41" i="46"/>
  <c r="R41" i="46"/>
  <c r="M41" i="46"/>
  <c r="L41" i="46"/>
  <c r="K41" i="46"/>
  <c r="J41" i="46"/>
  <c r="I41" i="46"/>
  <c r="H41" i="46"/>
  <c r="S40" i="46"/>
  <c r="R40" i="46"/>
  <c r="M40" i="46"/>
  <c r="L40" i="46"/>
  <c r="K40" i="46"/>
  <c r="J40" i="46"/>
  <c r="I40" i="46"/>
  <c r="H40" i="46"/>
  <c r="S39" i="46"/>
  <c r="R39" i="46"/>
  <c r="M39" i="46"/>
  <c r="L39" i="46"/>
  <c r="K39" i="46"/>
  <c r="J39" i="46"/>
  <c r="I39" i="46"/>
  <c r="H39" i="46"/>
  <c r="S38" i="46"/>
  <c r="R38" i="46"/>
  <c r="M38" i="46"/>
  <c r="L38" i="46"/>
  <c r="K38" i="46"/>
  <c r="J38" i="46"/>
  <c r="I38" i="46"/>
  <c r="H38" i="46"/>
  <c r="S37" i="46"/>
  <c r="R37" i="46"/>
  <c r="M37" i="46"/>
  <c r="L37" i="46"/>
  <c r="K37" i="46"/>
  <c r="J37" i="46"/>
  <c r="I37" i="46"/>
  <c r="H37" i="46"/>
  <c r="S36" i="46"/>
  <c r="R36" i="46"/>
  <c r="M36" i="46"/>
  <c r="L36" i="46"/>
  <c r="K36" i="46"/>
  <c r="J36" i="46"/>
  <c r="I36" i="46"/>
  <c r="H36" i="46"/>
  <c r="S35" i="46"/>
  <c r="R35" i="46"/>
  <c r="M35" i="46"/>
  <c r="L35" i="46"/>
  <c r="K35" i="46"/>
  <c r="J35" i="46"/>
  <c r="I35" i="46"/>
  <c r="H35" i="46"/>
  <c r="S34" i="46"/>
  <c r="R34" i="46"/>
  <c r="M34" i="46"/>
  <c r="L34" i="46"/>
  <c r="K34" i="46"/>
  <c r="J34" i="46"/>
  <c r="I34" i="46"/>
  <c r="H34" i="46"/>
  <c r="S33" i="46"/>
  <c r="R33" i="46"/>
  <c r="M33" i="46"/>
  <c r="L33" i="46"/>
  <c r="K33" i="46"/>
  <c r="J33" i="46"/>
  <c r="I33" i="46"/>
  <c r="H33" i="46"/>
  <c r="S32" i="46"/>
  <c r="R32" i="46"/>
  <c r="M32" i="46"/>
  <c r="L32" i="46"/>
  <c r="K32" i="46"/>
  <c r="J32" i="46"/>
  <c r="I32" i="46"/>
  <c r="H32" i="46"/>
  <c r="S31" i="46"/>
  <c r="R31" i="46"/>
  <c r="M31" i="46"/>
  <c r="L31" i="46"/>
  <c r="K31" i="46"/>
  <c r="J31" i="46"/>
  <c r="I31" i="46"/>
  <c r="H31" i="46"/>
  <c r="I30" i="46"/>
  <c r="H30" i="46"/>
  <c r="I29" i="46"/>
  <c r="H29" i="46"/>
  <c r="I28" i="46"/>
  <c r="H28" i="46"/>
  <c r="I27" i="46"/>
  <c r="J27" i="46" s="1"/>
  <c r="R27" i="46" s="1"/>
  <c r="H27" i="46"/>
  <c r="I26" i="46"/>
  <c r="I25" i="46"/>
  <c r="J25" i="46" s="1"/>
  <c r="R25" i="46" s="1"/>
  <c r="I24" i="46"/>
  <c r="H24" i="46"/>
  <c r="I23" i="46"/>
  <c r="J23" i="46" s="1"/>
  <c r="R23" i="46" s="1"/>
  <c r="H23" i="46"/>
  <c r="I22" i="46"/>
  <c r="H22" i="46"/>
  <c r="J22" i="46" s="1"/>
  <c r="R22" i="46" s="1"/>
  <c r="I21" i="46"/>
  <c r="J21" i="46" s="1"/>
  <c r="R21" i="46" s="1"/>
  <c r="H21" i="46"/>
  <c r="I20" i="46"/>
  <c r="H20" i="46"/>
  <c r="J20" i="46" s="1"/>
  <c r="R20" i="46" s="1"/>
  <c r="I19" i="46"/>
  <c r="J19" i="46" s="1"/>
  <c r="R19" i="46" s="1"/>
  <c r="H19" i="46"/>
  <c r="I18" i="46"/>
  <c r="H18" i="46"/>
  <c r="J18" i="46" s="1"/>
  <c r="R18" i="46" s="1"/>
  <c r="I17" i="46"/>
  <c r="H17" i="46"/>
  <c r="I16" i="46"/>
  <c r="H16" i="46"/>
  <c r="I15" i="46"/>
  <c r="H15" i="46"/>
  <c r="I14" i="46"/>
  <c r="H14" i="46"/>
  <c r="I13" i="46"/>
  <c r="H13" i="46"/>
  <c r="I12" i="46"/>
  <c r="H12" i="46"/>
  <c r="I11" i="46"/>
  <c r="H11" i="46"/>
  <c r="I10" i="46"/>
  <c r="H10" i="46"/>
  <c r="I9" i="46"/>
  <c r="H9" i="46"/>
  <c r="I8" i="46"/>
  <c r="H8" i="46"/>
  <c r="I7" i="46"/>
  <c r="L7" i="46" s="1"/>
  <c r="L8" i="46" s="1"/>
  <c r="H7" i="46"/>
  <c r="K7" i="46" s="1"/>
  <c r="M35" i="56" l="1"/>
  <c r="S35" i="56" s="1"/>
  <c r="L36" i="56"/>
  <c r="J29" i="46"/>
  <c r="R29" i="46" s="1"/>
  <c r="K30" i="51"/>
  <c r="K31" i="51" s="1"/>
  <c r="K32" i="51" s="1"/>
  <c r="K33" i="51" s="1"/>
  <c r="L19" i="59"/>
  <c r="M19" i="59" s="1"/>
  <c r="S19" i="59" s="1"/>
  <c r="M18" i="59"/>
  <c r="S18" i="59" s="1"/>
  <c r="L19" i="58"/>
  <c r="M19" i="58" s="1"/>
  <c r="S19" i="58" s="1"/>
  <c r="M18" i="58"/>
  <c r="S18" i="58" s="1"/>
  <c r="M16" i="57"/>
  <c r="S16" i="57" s="1"/>
  <c r="L17" i="57"/>
  <c r="L37" i="57"/>
  <c r="M36" i="57"/>
  <c r="S36" i="57" s="1"/>
  <c r="M15" i="56"/>
  <c r="S15" i="56" s="1"/>
  <c r="L16" i="56"/>
  <c r="M12" i="55"/>
  <c r="S12" i="55" s="1"/>
  <c r="L13" i="55"/>
  <c r="M12" i="54"/>
  <c r="S12" i="54" s="1"/>
  <c r="L13" i="54"/>
  <c r="M10" i="53"/>
  <c r="S10" i="53" s="1"/>
  <c r="L11" i="53"/>
  <c r="L11" i="52"/>
  <c r="M10" i="52"/>
  <c r="S10" i="52" s="1"/>
  <c r="M9" i="51"/>
  <c r="S9" i="51" s="1"/>
  <c r="L10" i="51"/>
  <c r="M9" i="50"/>
  <c r="S9" i="50" s="1"/>
  <c r="L10" i="50"/>
  <c r="L10" i="49"/>
  <c r="M9" i="49"/>
  <c r="S9" i="49" s="1"/>
  <c r="L10" i="48"/>
  <c r="M9" i="48"/>
  <c r="S9" i="48" s="1"/>
  <c r="L10" i="47"/>
  <c r="M9" i="47"/>
  <c r="S9" i="47" s="1"/>
  <c r="J30" i="46"/>
  <c r="R30" i="46" s="1"/>
  <c r="J28" i="46"/>
  <c r="R28" i="46" s="1"/>
  <c r="J26" i="46"/>
  <c r="R26" i="46" s="1"/>
  <c r="J9" i="46"/>
  <c r="R9" i="46" s="1"/>
  <c r="J17" i="46"/>
  <c r="R17" i="46" s="1"/>
  <c r="J8" i="46"/>
  <c r="R8" i="46" s="1"/>
  <c r="J12" i="46"/>
  <c r="R12" i="46" s="1"/>
  <c r="J16" i="46"/>
  <c r="R16" i="46" s="1"/>
  <c r="J10" i="46"/>
  <c r="R10" i="46" s="1"/>
  <c r="J24" i="46"/>
  <c r="R24" i="46" s="1"/>
  <c r="J13" i="46"/>
  <c r="R13" i="46" s="1"/>
  <c r="J14" i="46"/>
  <c r="R14" i="46" s="1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J11" i="46"/>
  <c r="R11" i="46" s="1"/>
  <c r="J15" i="46"/>
  <c r="R15" i="46" s="1"/>
  <c r="J7" i="46"/>
  <c r="R7" i="46" s="1"/>
  <c r="M8" i="46"/>
  <c r="S8" i="46" s="1"/>
  <c r="L9" i="46"/>
  <c r="M7" i="46"/>
  <c r="S7" i="46" s="1"/>
  <c r="S112" i="45"/>
  <c r="R112" i="45"/>
  <c r="M112" i="45"/>
  <c r="L112" i="45"/>
  <c r="K112" i="45"/>
  <c r="J112" i="45"/>
  <c r="I112" i="45"/>
  <c r="H112" i="45"/>
  <c r="S111" i="45"/>
  <c r="R111" i="45"/>
  <c r="M111" i="45"/>
  <c r="L111" i="45"/>
  <c r="K111" i="45"/>
  <c r="J111" i="45"/>
  <c r="I111" i="45"/>
  <c r="H111" i="45"/>
  <c r="S110" i="45"/>
  <c r="R110" i="45"/>
  <c r="M110" i="45"/>
  <c r="L110" i="45"/>
  <c r="K110" i="45"/>
  <c r="J110" i="45"/>
  <c r="I110" i="45"/>
  <c r="H110" i="45"/>
  <c r="S109" i="45"/>
  <c r="R109" i="45"/>
  <c r="M109" i="45"/>
  <c r="L109" i="45"/>
  <c r="K109" i="45"/>
  <c r="J109" i="45"/>
  <c r="I109" i="45"/>
  <c r="H109" i="45"/>
  <c r="S108" i="45"/>
  <c r="R108" i="45"/>
  <c r="M108" i="45"/>
  <c r="L108" i="45"/>
  <c r="K108" i="45"/>
  <c r="J108" i="45"/>
  <c r="I108" i="45"/>
  <c r="H108" i="45"/>
  <c r="S107" i="45"/>
  <c r="R107" i="45"/>
  <c r="M107" i="45"/>
  <c r="L107" i="45"/>
  <c r="K107" i="45"/>
  <c r="J107" i="45"/>
  <c r="I107" i="45"/>
  <c r="H107" i="45"/>
  <c r="S106" i="45"/>
  <c r="R106" i="45"/>
  <c r="M106" i="45"/>
  <c r="L106" i="45"/>
  <c r="K106" i="45"/>
  <c r="J106" i="45"/>
  <c r="I106" i="45"/>
  <c r="H106" i="45"/>
  <c r="S105" i="45"/>
  <c r="R105" i="45"/>
  <c r="M105" i="45"/>
  <c r="L105" i="45"/>
  <c r="K105" i="45"/>
  <c r="J105" i="45"/>
  <c r="I105" i="45"/>
  <c r="H105" i="45"/>
  <c r="S104" i="45"/>
  <c r="R104" i="45"/>
  <c r="M104" i="45"/>
  <c r="L104" i="45"/>
  <c r="K104" i="45"/>
  <c r="J104" i="45"/>
  <c r="I104" i="45"/>
  <c r="H104" i="45"/>
  <c r="S103" i="45"/>
  <c r="R103" i="45"/>
  <c r="M103" i="45"/>
  <c r="L103" i="45"/>
  <c r="K103" i="45"/>
  <c r="J103" i="45"/>
  <c r="I103" i="45"/>
  <c r="H103" i="45"/>
  <c r="S102" i="45"/>
  <c r="R102" i="45"/>
  <c r="M102" i="45"/>
  <c r="L102" i="45"/>
  <c r="K102" i="45"/>
  <c r="J102" i="45"/>
  <c r="I102" i="45"/>
  <c r="H102" i="45"/>
  <c r="S101" i="45"/>
  <c r="R101" i="45"/>
  <c r="M101" i="45"/>
  <c r="L101" i="45"/>
  <c r="K101" i="45"/>
  <c r="J101" i="45"/>
  <c r="I101" i="45"/>
  <c r="H101" i="45"/>
  <c r="S100" i="45"/>
  <c r="R100" i="45"/>
  <c r="M100" i="45"/>
  <c r="L100" i="45"/>
  <c r="K100" i="45"/>
  <c r="J100" i="45"/>
  <c r="I100" i="45"/>
  <c r="H100" i="45"/>
  <c r="S99" i="45"/>
  <c r="R99" i="45"/>
  <c r="M99" i="45"/>
  <c r="L99" i="45"/>
  <c r="K99" i="45"/>
  <c r="J99" i="45"/>
  <c r="I99" i="45"/>
  <c r="H99" i="45"/>
  <c r="S98" i="45"/>
  <c r="R98" i="45"/>
  <c r="M98" i="45"/>
  <c r="L98" i="45"/>
  <c r="K98" i="45"/>
  <c r="J98" i="45"/>
  <c r="I98" i="45"/>
  <c r="H98" i="45"/>
  <c r="S97" i="45"/>
  <c r="R97" i="45"/>
  <c r="M97" i="45"/>
  <c r="L97" i="45"/>
  <c r="K97" i="45"/>
  <c r="J97" i="45"/>
  <c r="I97" i="45"/>
  <c r="H97" i="45"/>
  <c r="S96" i="45"/>
  <c r="R96" i="45"/>
  <c r="M96" i="45"/>
  <c r="L96" i="45"/>
  <c r="K96" i="45"/>
  <c r="J96" i="45"/>
  <c r="I96" i="45"/>
  <c r="H96" i="45"/>
  <c r="S95" i="45"/>
  <c r="R95" i="45"/>
  <c r="M95" i="45"/>
  <c r="L95" i="45"/>
  <c r="K95" i="45"/>
  <c r="J95" i="45"/>
  <c r="I95" i="45"/>
  <c r="H95" i="45"/>
  <c r="S94" i="45"/>
  <c r="R94" i="45"/>
  <c r="M94" i="45"/>
  <c r="L94" i="45"/>
  <c r="K94" i="45"/>
  <c r="J94" i="45"/>
  <c r="I94" i="45"/>
  <c r="H94" i="45"/>
  <c r="S93" i="45"/>
  <c r="R93" i="45"/>
  <c r="M93" i="45"/>
  <c r="L93" i="45"/>
  <c r="K93" i="45"/>
  <c r="J93" i="45"/>
  <c r="I93" i="45"/>
  <c r="H93" i="45"/>
  <c r="S92" i="45"/>
  <c r="R92" i="45"/>
  <c r="M92" i="45"/>
  <c r="L92" i="45"/>
  <c r="K92" i="45"/>
  <c r="J92" i="45"/>
  <c r="I92" i="45"/>
  <c r="H92" i="45"/>
  <c r="S91" i="45"/>
  <c r="R91" i="45"/>
  <c r="M91" i="45"/>
  <c r="L91" i="45"/>
  <c r="K91" i="45"/>
  <c r="J91" i="45"/>
  <c r="I91" i="45"/>
  <c r="H91" i="45"/>
  <c r="S90" i="45"/>
  <c r="R90" i="45"/>
  <c r="M90" i="45"/>
  <c r="L90" i="45"/>
  <c r="K90" i="45"/>
  <c r="J90" i="45"/>
  <c r="I90" i="45"/>
  <c r="H90" i="45"/>
  <c r="S89" i="45"/>
  <c r="R89" i="45"/>
  <c r="M89" i="45"/>
  <c r="L89" i="45"/>
  <c r="K89" i="45"/>
  <c r="J89" i="45"/>
  <c r="I89" i="45"/>
  <c r="H89" i="45"/>
  <c r="S88" i="45"/>
  <c r="R88" i="45"/>
  <c r="M88" i="45"/>
  <c r="L88" i="45"/>
  <c r="K88" i="45"/>
  <c r="J88" i="45"/>
  <c r="I88" i="45"/>
  <c r="H88" i="45"/>
  <c r="S87" i="45"/>
  <c r="R87" i="45"/>
  <c r="M87" i="45"/>
  <c r="L87" i="45"/>
  <c r="K87" i="45"/>
  <c r="J87" i="45"/>
  <c r="I87" i="45"/>
  <c r="H87" i="45"/>
  <c r="S86" i="45"/>
  <c r="R86" i="45"/>
  <c r="M86" i="45"/>
  <c r="L86" i="45"/>
  <c r="K86" i="45"/>
  <c r="J86" i="45"/>
  <c r="I86" i="45"/>
  <c r="H86" i="45"/>
  <c r="S85" i="45"/>
  <c r="R85" i="45"/>
  <c r="M85" i="45"/>
  <c r="L85" i="45"/>
  <c r="K85" i="45"/>
  <c r="J85" i="45"/>
  <c r="I85" i="45"/>
  <c r="H85" i="45"/>
  <c r="S84" i="45"/>
  <c r="R84" i="45"/>
  <c r="M84" i="45"/>
  <c r="L84" i="45"/>
  <c r="K84" i="45"/>
  <c r="J84" i="45"/>
  <c r="I84" i="45"/>
  <c r="H84" i="45"/>
  <c r="S83" i="45"/>
  <c r="R83" i="45"/>
  <c r="M83" i="45"/>
  <c r="L83" i="45"/>
  <c r="K83" i="45"/>
  <c r="J83" i="45"/>
  <c r="I83" i="45"/>
  <c r="H83" i="45"/>
  <c r="S82" i="45"/>
  <c r="R82" i="45"/>
  <c r="M82" i="45"/>
  <c r="L82" i="45"/>
  <c r="K82" i="45"/>
  <c r="J82" i="45"/>
  <c r="I82" i="45"/>
  <c r="H82" i="45"/>
  <c r="S81" i="45"/>
  <c r="R81" i="45"/>
  <c r="M81" i="45"/>
  <c r="L81" i="45"/>
  <c r="K81" i="45"/>
  <c r="J81" i="45"/>
  <c r="I81" i="45"/>
  <c r="H81" i="45"/>
  <c r="S80" i="45"/>
  <c r="R80" i="45"/>
  <c r="M80" i="45"/>
  <c r="L80" i="45"/>
  <c r="K80" i="45"/>
  <c r="J80" i="45"/>
  <c r="I80" i="45"/>
  <c r="H80" i="45"/>
  <c r="S79" i="45"/>
  <c r="R79" i="45"/>
  <c r="M79" i="45"/>
  <c r="L79" i="45"/>
  <c r="K79" i="45"/>
  <c r="J79" i="45"/>
  <c r="I79" i="45"/>
  <c r="H79" i="45"/>
  <c r="S78" i="45"/>
  <c r="R78" i="45"/>
  <c r="M78" i="45"/>
  <c r="L78" i="45"/>
  <c r="K78" i="45"/>
  <c r="J78" i="45"/>
  <c r="I78" i="45"/>
  <c r="H78" i="45"/>
  <c r="S77" i="45"/>
  <c r="R77" i="45"/>
  <c r="M77" i="45"/>
  <c r="L77" i="45"/>
  <c r="K77" i="45"/>
  <c r="J77" i="45"/>
  <c r="I77" i="45"/>
  <c r="H77" i="45"/>
  <c r="S76" i="45"/>
  <c r="R76" i="45"/>
  <c r="M76" i="45"/>
  <c r="L76" i="45"/>
  <c r="K76" i="45"/>
  <c r="J76" i="45"/>
  <c r="I76" i="45"/>
  <c r="H76" i="45"/>
  <c r="S75" i="45"/>
  <c r="R75" i="45"/>
  <c r="M75" i="45"/>
  <c r="L75" i="45"/>
  <c r="K75" i="45"/>
  <c r="J75" i="45"/>
  <c r="I75" i="45"/>
  <c r="H75" i="45"/>
  <c r="S74" i="45"/>
  <c r="R74" i="45"/>
  <c r="M74" i="45"/>
  <c r="L74" i="45"/>
  <c r="K74" i="45"/>
  <c r="J74" i="45"/>
  <c r="I74" i="45"/>
  <c r="H74" i="45"/>
  <c r="S73" i="45"/>
  <c r="R73" i="45"/>
  <c r="M73" i="45"/>
  <c r="L73" i="45"/>
  <c r="K73" i="45"/>
  <c r="J73" i="45"/>
  <c r="I73" i="45"/>
  <c r="H73" i="45"/>
  <c r="S72" i="45"/>
  <c r="R72" i="45"/>
  <c r="M72" i="45"/>
  <c r="L72" i="45"/>
  <c r="K72" i="45"/>
  <c r="J72" i="45"/>
  <c r="I72" i="45"/>
  <c r="H72" i="45"/>
  <c r="S71" i="45"/>
  <c r="R71" i="45"/>
  <c r="M71" i="45"/>
  <c r="L71" i="45"/>
  <c r="K71" i="45"/>
  <c r="J71" i="45"/>
  <c r="I71" i="45"/>
  <c r="H71" i="45"/>
  <c r="S70" i="45"/>
  <c r="R70" i="45"/>
  <c r="M70" i="45"/>
  <c r="L70" i="45"/>
  <c r="K70" i="45"/>
  <c r="J70" i="45"/>
  <c r="I70" i="45"/>
  <c r="H70" i="45"/>
  <c r="M69" i="45"/>
  <c r="S69" i="45" s="1"/>
  <c r="L69" i="45"/>
  <c r="K69" i="45"/>
  <c r="J69" i="45"/>
  <c r="R69" i="45" s="1"/>
  <c r="I69" i="45"/>
  <c r="H69" i="45"/>
  <c r="M68" i="45"/>
  <c r="S68" i="45" s="1"/>
  <c r="L68" i="45"/>
  <c r="K68" i="45"/>
  <c r="J68" i="45"/>
  <c r="R68" i="45" s="1"/>
  <c r="I68" i="45"/>
  <c r="H68" i="45"/>
  <c r="S67" i="45"/>
  <c r="R67" i="45"/>
  <c r="M67" i="45"/>
  <c r="L67" i="45"/>
  <c r="K67" i="45"/>
  <c r="J67" i="45"/>
  <c r="I67" i="45"/>
  <c r="H67" i="45"/>
  <c r="S66" i="45"/>
  <c r="R66" i="45"/>
  <c r="M66" i="45"/>
  <c r="L66" i="45"/>
  <c r="K66" i="45"/>
  <c r="J66" i="45"/>
  <c r="I66" i="45"/>
  <c r="H66" i="45"/>
  <c r="M65" i="45"/>
  <c r="S65" i="45" s="1"/>
  <c r="L65" i="45"/>
  <c r="K65" i="45"/>
  <c r="J65" i="45"/>
  <c r="R65" i="45" s="1"/>
  <c r="I65" i="45"/>
  <c r="H65" i="45"/>
  <c r="M64" i="45"/>
  <c r="S64" i="45" s="1"/>
  <c r="L64" i="45"/>
  <c r="K64" i="45"/>
  <c r="J64" i="45"/>
  <c r="R64" i="45" s="1"/>
  <c r="I64" i="45"/>
  <c r="H64" i="45"/>
  <c r="S63" i="45"/>
  <c r="R63" i="45"/>
  <c r="M63" i="45"/>
  <c r="L63" i="45"/>
  <c r="K63" i="45"/>
  <c r="J63" i="45"/>
  <c r="I63" i="45"/>
  <c r="H63" i="45"/>
  <c r="S62" i="45"/>
  <c r="R62" i="45"/>
  <c r="M62" i="45"/>
  <c r="L62" i="45"/>
  <c r="K62" i="45"/>
  <c r="J62" i="45"/>
  <c r="I62" i="45"/>
  <c r="H62" i="45"/>
  <c r="M61" i="45"/>
  <c r="S61" i="45" s="1"/>
  <c r="L61" i="45"/>
  <c r="K61" i="45"/>
  <c r="J61" i="45"/>
  <c r="R61" i="45" s="1"/>
  <c r="I61" i="45"/>
  <c r="H61" i="45"/>
  <c r="M60" i="45"/>
  <c r="S60" i="45" s="1"/>
  <c r="L60" i="45"/>
  <c r="K60" i="45"/>
  <c r="J60" i="45"/>
  <c r="R60" i="45" s="1"/>
  <c r="I60" i="45"/>
  <c r="H60" i="45"/>
  <c r="S59" i="45"/>
  <c r="R59" i="45"/>
  <c r="M59" i="45"/>
  <c r="L59" i="45"/>
  <c r="K59" i="45"/>
  <c r="J59" i="45"/>
  <c r="I59" i="45"/>
  <c r="H59" i="45"/>
  <c r="S58" i="45"/>
  <c r="R58" i="45"/>
  <c r="M58" i="45"/>
  <c r="L58" i="45"/>
  <c r="K58" i="45"/>
  <c r="J58" i="45"/>
  <c r="I58" i="45"/>
  <c r="H58" i="45"/>
  <c r="S57" i="45"/>
  <c r="R57" i="45"/>
  <c r="M57" i="45"/>
  <c r="L57" i="45"/>
  <c r="K57" i="45"/>
  <c r="J57" i="45"/>
  <c r="I57" i="45"/>
  <c r="H57" i="45"/>
  <c r="S56" i="45"/>
  <c r="R56" i="45"/>
  <c r="M56" i="45"/>
  <c r="L56" i="45"/>
  <c r="K56" i="45"/>
  <c r="J56" i="45"/>
  <c r="I56" i="45"/>
  <c r="H56" i="45"/>
  <c r="S55" i="45"/>
  <c r="R55" i="45"/>
  <c r="M55" i="45"/>
  <c r="L55" i="45"/>
  <c r="K55" i="45"/>
  <c r="J55" i="45"/>
  <c r="I55" i="45"/>
  <c r="H55" i="45"/>
  <c r="S54" i="45"/>
  <c r="R54" i="45"/>
  <c r="M54" i="45"/>
  <c r="L54" i="45"/>
  <c r="K54" i="45"/>
  <c r="J54" i="45"/>
  <c r="I54" i="45"/>
  <c r="H54" i="45"/>
  <c r="S53" i="45"/>
  <c r="R53" i="45"/>
  <c r="M53" i="45"/>
  <c r="L53" i="45"/>
  <c r="K53" i="45"/>
  <c r="J53" i="45"/>
  <c r="I53" i="45"/>
  <c r="H53" i="45"/>
  <c r="S52" i="45"/>
  <c r="R52" i="45"/>
  <c r="M52" i="45"/>
  <c r="L52" i="45"/>
  <c r="K52" i="45"/>
  <c r="J52" i="45"/>
  <c r="I52" i="45"/>
  <c r="H52" i="45"/>
  <c r="S51" i="45"/>
  <c r="R51" i="45"/>
  <c r="M51" i="45"/>
  <c r="L51" i="45"/>
  <c r="K51" i="45"/>
  <c r="J51" i="45"/>
  <c r="I51" i="45"/>
  <c r="H51" i="45"/>
  <c r="S50" i="45"/>
  <c r="R50" i="45"/>
  <c r="M50" i="45"/>
  <c r="L50" i="45"/>
  <c r="K50" i="45"/>
  <c r="J50" i="45"/>
  <c r="I50" i="45"/>
  <c r="H50" i="45"/>
  <c r="S49" i="45"/>
  <c r="R49" i="45"/>
  <c r="M49" i="45"/>
  <c r="L49" i="45"/>
  <c r="K49" i="45"/>
  <c r="J49" i="45"/>
  <c r="I49" i="45"/>
  <c r="H49" i="45"/>
  <c r="S48" i="45"/>
  <c r="R48" i="45"/>
  <c r="M48" i="45"/>
  <c r="L48" i="45"/>
  <c r="K48" i="45"/>
  <c r="J48" i="45"/>
  <c r="I48" i="45"/>
  <c r="H48" i="45"/>
  <c r="S47" i="45"/>
  <c r="R47" i="45"/>
  <c r="M47" i="45"/>
  <c r="L47" i="45"/>
  <c r="K47" i="45"/>
  <c r="J47" i="45"/>
  <c r="I47" i="45"/>
  <c r="H47" i="45"/>
  <c r="S46" i="45"/>
  <c r="R46" i="45"/>
  <c r="M46" i="45"/>
  <c r="L46" i="45"/>
  <c r="K46" i="45"/>
  <c r="J46" i="45"/>
  <c r="I46" i="45"/>
  <c r="H46" i="45"/>
  <c r="S45" i="45"/>
  <c r="R45" i="45"/>
  <c r="M45" i="45"/>
  <c r="L45" i="45"/>
  <c r="K45" i="45"/>
  <c r="J45" i="45"/>
  <c r="I45" i="45"/>
  <c r="H45" i="45"/>
  <c r="S44" i="45"/>
  <c r="R44" i="45"/>
  <c r="M44" i="45"/>
  <c r="L44" i="45"/>
  <c r="K44" i="45"/>
  <c r="J44" i="45"/>
  <c r="I44" i="45"/>
  <c r="H44" i="45"/>
  <c r="S43" i="45"/>
  <c r="R43" i="45"/>
  <c r="M43" i="45"/>
  <c r="L43" i="45"/>
  <c r="K43" i="45"/>
  <c r="J43" i="45"/>
  <c r="I43" i="45"/>
  <c r="H43" i="45"/>
  <c r="S42" i="45"/>
  <c r="R42" i="45"/>
  <c r="M42" i="45"/>
  <c r="L42" i="45"/>
  <c r="K42" i="45"/>
  <c r="J42" i="45"/>
  <c r="I42" i="45"/>
  <c r="H42" i="45"/>
  <c r="S41" i="45"/>
  <c r="R41" i="45"/>
  <c r="M41" i="45"/>
  <c r="L41" i="45"/>
  <c r="K41" i="45"/>
  <c r="J41" i="45"/>
  <c r="I41" i="45"/>
  <c r="H41" i="45"/>
  <c r="S40" i="45"/>
  <c r="R40" i="45"/>
  <c r="M40" i="45"/>
  <c r="L40" i="45"/>
  <c r="K40" i="45"/>
  <c r="J40" i="45"/>
  <c r="I40" i="45"/>
  <c r="H40" i="45"/>
  <c r="S39" i="45"/>
  <c r="R39" i="45"/>
  <c r="M39" i="45"/>
  <c r="L39" i="45"/>
  <c r="K39" i="45"/>
  <c r="J39" i="45"/>
  <c r="I39" i="45"/>
  <c r="H39" i="45"/>
  <c r="S38" i="45"/>
  <c r="R38" i="45"/>
  <c r="M38" i="45"/>
  <c r="L38" i="45"/>
  <c r="K38" i="45"/>
  <c r="J38" i="45"/>
  <c r="I38" i="45"/>
  <c r="H38" i="45"/>
  <c r="S37" i="45"/>
  <c r="R37" i="45"/>
  <c r="M37" i="45"/>
  <c r="L37" i="45"/>
  <c r="K37" i="45"/>
  <c r="J37" i="45"/>
  <c r="I37" i="45"/>
  <c r="H37" i="45"/>
  <c r="S36" i="45"/>
  <c r="R36" i="45"/>
  <c r="M36" i="45"/>
  <c r="L36" i="45"/>
  <c r="K36" i="45"/>
  <c r="J36" i="45"/>
  <c r="I36" i="45"/>
  <c r="H36" i="45"/>
  <c r="S35" i="45"/>
  <c r="R35" i="45"/>
  <c r="M35" i="45"/>
  <c r="L35" i="45"/>
  <c r="K35" i="45"/>
  <c r="J35" i="45"/>
  <c r="I35" i="45"/>
  <c r="H35" i="45"/>
  <c r="S34" i="45"/>
  <c r="R34" i="45"/>
  <c r="M34" i="45"/>
  <c r="L34" i="45"/>
  <c r="K34" i="45"/>
  <c r="J34" i="45"/>
  <c r="I34" i="45"/>
  <c r="H34" i="45"/>
  <c r="S33" i="45"/>
  <c r="R33" i="45"/>
  <c r="M33" i="45"/>
  <c r="L33" i="45"/>
  <c r="K33" i="45"/>
  <c r="J33" i="45"/>
  <c r="I33" i="45"/>
  <c r="H33" i="45"/>
  <c r="S32" i="45"/>
  <c r="R32" i="45"/>
  <c r="M32" i="45"/>
  <c r="L32" i="45"/>
  <c r="K32" i="45"/>
  <c r="J32" i="45"/>
  <c r="I32" i="45"/>
  <c r="H32" i="45"/>
  <c r="S31" i="45"/>
  <c r="R31" i="45"/>
  <c r="M31" i="45"/>
  <c r="L31" i="45"/>
  <c r="K31" i="45"/>
  <c r="J31" i="45"/>
  <c r="I31" i="45"/>
  <c r="H31" i="45"/>
  <c r="S30" i="45"/>
  <c r="R30" i="45"/>
  <c r="M30" i="45"/>
  <c r="L30" i="45"/>
  <c r="K30" i="45"/>
  <c r="J30" i="45"/>
  <c r="I30" i="45"/>
  <c r="H30" i="45"/>
  <c r="S29" i="45"/>
  <c r="R29" i="45"/>
  <c r="M29" i="45"/>
  <c r="L29" i="45"/>
  <c r="K29" i="45"/>
  <c r="J29" i="45"/>
  <c r="I29" i="45"/>
  <c r="H29" i="45"/>
  <c r="S28" i="45"/>
  <c r="R28" i="45"/>
  <c r="M28" i="45"/>
  <c r="L28" i="45"/>
  <c r="K28" i="45"/>
  <c r="J28" i="45"/>
  <c r="I28" i="45"/>
  <c r="H28" i="45"/>
  <c r="S27" i="45"/>
  <c r="R27" i="45"/>
  <c r="M27" i="45"/>
  <c r="L27" i="45"/>
  <c r="K27" i="45"/>
  <c r="J27" i="45"/>
  <c r="I27" i="45"/>
  <c r="H27" i="45"/>
  <c r="S26" i="45"/>
  <c r="R26" i="45"/>
  <c r="M26" i="45"/>
  <c r="L26" i="45"/>
  <c r="K26" i="45"/>
  <c r="J26" i="45"/>
  <c r="I26" i="45"/>
  <c r="H26" i="45"/>
  <c r="S25" i="45"/>
  <c r="R25" i="45"/>
  <c r="M25" i="45"/>
  <c r="L25" i="45"/>
  <c r="K25" i="45"/>
  <c r="J25" i="45"/>
  <c r="I25" i="45"/>
  <c r="H25" i="45"/>
  <c r="I24" i="45"/>
  <c r="J24" i="45" s="1"/>
  <c r="R24" i="45" s="1"/>
  <c r="H24" i="45"/>
  <c r="I23" i="45"/>
  <c r="J23" i="45" s="1"/>
  <c r="R23" i="45" s="1"/>
  <c r="H23" i="45"/>
  <c r="I22" i="45"/>
  <c r="H22" i="45"/>
  <c r="I21" i="45"/>
  <c r="J21" i="45" s="1"/>
  <c r="R21" i="45" s="1"/>
  <c r="H21" i="45"/>
  <c r="I20" i="45"/>
  <c r="J20" i="45" s="1"/>
  <c r="R20" i="45" s="1"/>
  <c r="H20" i="45"/>
  <c r="I19" i="45"/>
  <c r="J19" i="45" s="1"/>
  <c r="R19" i="45" s="1"/>
  <c r="H19" i="45"/>
  <c r="I18" i="45"/>
  <c r="J18" i="45" s="1"/>
  <c r="R18" i="45" s="1"/>
  <c r="H18" i="45"/>
  <c r="I17" i="45"/>
  <c r="J17" i="45" s="1"/>
  <c r="R17" i="45" s="1"/>
  <c r="H17" i="45"/>
  <c r="I16" i="45"/>
  <c r="H16" i="45"/>
  <c r="I15" i="45"/>
  <c r="H15" i="45"/>
  <c r="I14" i="45"/>
  <c r="J14" i="45" s="1"/>
  <c r="R14" i="45" s="1"/>
  <c r="H14" i="45"/>
  <c r="I13" i="45"/>
  <c r="J13" i="45" s="1"/>
  <c r="R13" i="45" s="1"/>
  <c r="H13" i="45"/>
  <c r="I12" i="45"/>
  <c r="H12" i="45"/>
  <c r="I11" i="45"/>
  <c r="H11" i="45"/>
  <c r="I10" i="45"/>
  <c r="J10" i="45" s="1"/>
  <c r="R10" i="45" s="1"/>
  <c r="H10" i="45"/>
  <c r="I9" i="45"/>
  <c r="J9" i="45" s="1"/>
  <c r="R9" i="45" s="1"/>
  <c r="H9" i="45"/>
  <c r="I8" i="45"/>
  <c r="J8" i="45" s="1"/>
  <c r="R8" i="45" s="1"/>
  <c r="H8" i="45"/>
  <c r="I7" i="45"/>
  <c r="J7" i="45" s="1"/>
  <c r="R7" i="45" s="1"/>
  <c r="H7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J12" i="45" l="1"/>
  <c r="R12" i="45" s="1"/>
  <c r="J16" i="45"/>
  <c r="R16" i="45" s="1"/>
  <c r="J22" i="45"/>
  <c r="R22" i="45" s="1"/>
  <c r="J11" i="45"/>
  <c r="R11" i="45" s="1"/>
  <c r="J15" i="45"/>
  <c r="R15" i="45" s="1"/>
  <c r="M36" i="56"/>
  <c r="S36" i="56" s="1"/>
  <c r="L37" i="56"/>
  <c r="M37" i="57"/>
  <c r="S37" i="57" s="1"/>
  <c r="L38" i="57"/>
  <c r="L18" i="57"/>
  <c r="M17" i="57"/>
  <c r="S17" i="57" s="1"/>
  <c r="L17" i="56"/>
  <c r="M16" i="56"/>
  <c r="S16" i="56" s="1"/>
  <c r="M13" i="55"/>
  <c r="S13" i="55" s="1"/>
  <c r="L14" i="55"/>
  <c r="M13" i="54"/>
  <c r="S13" i="54" s="1"/>
  <c r="L14" i="54"/>
  <c r="M11" i="53"/>
  <c r="S11" i="53" s="1"/>
  <c r="L12" i="53"/>
  <c r="L12" i="52"/>
  <c r="M11" i="52"/>
  <c r="S11" i="52" s="1"/>
  <c r="M10" i="51"/>
  <c r="S10" i="51" s="1"/>
  <c r="L11" i="51"/>
  <c r="L11" i="50"/>
  <c r="M10" i="50"/>
  <c r="S10" i="50" s="1"/>
  <c r="M10" i="49"/>
  <c r="S10" i="49" s="1"/>
  <c r="L11" i="49"/>
  <c r="L11" i="48"/>
  <c r="M10" i="48"/>
  <c r="S10" i="48" s="1"/>
  <c r="M10" i="47"/>
  <c r="S10" i="47" s="1"/>
  <c r="L11" i="47"/>
  <c r="L10" i="46"/>
  <c r="M9" i="46"/>
  <c r="S9" i="46" s="1"/>
  <c r="L7" i="45"/>
  <c r="M37" i="56" l="1"/>
  <c r="S37" i="56" s="1"/>
  <c r="L38" i="56"/>
  <c r="L19" i="57"/>
  <c r="M18" i="57"/>
  <c r="S18" i="57" s="1"/>
  <c r="L39" i="57"/>
  <c r="M38" i="57"/>
  <c r="S38" i="57" s="1"/>
  <c r="M17" i="56"/>
  <c r="S17" i="56" s="1"/>
  <c r="L18" i="56"/>
  <c r="M14" i="55"/>
  <c r="S14" i="55" s="1"/>
  <c r="L15" i="55"/>
  <c r="M14" i="54"/>
  <c r="S14" i="54" s="1"/>
  <c r="L15" i="54"/>
  <c r="L13" i="53"/>
  <c r="M12" i="53"/>
  <c r="S12" i="53" s="1"/>
  <c r="L13" i="52"/>
  <c r="M12" i="52"/>
  <c r="S12" i="52" s="1"/>
  <c r="L12" i="51"/>
  <c r="M11" i="51"/>
  <c r="S11" i="51" s="1"/>
  <c r="L12" i="50"/>
  <c r="M11" i="50"/>
  <c r="S11" i="50" s="1"/>
  <c r="L12" i="49"/>
  <c r="M11" i="49"/>
  <c r="S11" i="49" s="1"/>
  <c r="L12" i="48"/>
  <c r="M11" i="48"/>
  <c r="S11" i="48" s="1"/>
  <c r="M11" i="47"/>
  <c r="S11" i="47" s="1"/>
  <c r="L12" i="47"/>
  <c r="L11" i="46"/>
  <c r="M10" i="46"/>
  <c r="S10" i="46" s="1"/>
  <c r="M7" i="45"/>
  <c r="S7" i="45" s="1"/>
  <c r="L8" i="45"/>
  <c r="S112" i="44"/>
  <c r="R112" i="44"/>
  <c r="M112" i="44"/>
  <c r="L112" i="44"/>
  <c r="K112" i="44"/>
  <c r="J112" i="44"/>
  <c r="I112" i="44"/>
  <c r="H112" i="44"/>
  <c r="S111" i="44"/>
  <c r="R111" i="44"/>
  <c r="M111" i="44"/>
  <c r="L111" i="44"/>
  <c r="K111" i="44"/>
  <c r="J111" i="44"/>
  <c r="I111" i="44"/>
  <c r="H111" i="44"/>
  <c r="S110" i="44"/>
  <c r="R110" i="44"/>
  <c r="M110" i="44"/>
  <c r="L110" i="44"/>
  <c r="K110" i="44"/>
  <c r="J110" i="44"/>
  <c r="I110" i="44"/>
  <c r="H110" i="44"/>
  <c r="S109" i="44"/>
  <c r="R109" i="44"/>
  <c r="M109" i="44"/>
  <c r="L109" i="44"/>
  <c r="K109" i="44"/>
  <c r="J109" i="44"/>
  <c r="I109" i="44"/>
  <c r="H109" i="44"/>
  <c r="S108" i="44"/>
  <c r="R108" i="44"/>
  <c r="M108" i="44"/>
  <c r="L108" i="44"/>
  <c r="K108" i="44"/>
  <c r="J108" i="44"/>
  <c r="I108" i="44"/>
  <c r="H108" i="44"/>
  <c r="S107" i="44"/>
  <c r="R107" i="44"/>
  <c r="M107" i="44"/>
  <c r="L107" i="44"/>
  <c r="K107" i="44"/>
  <c r="J107" i="44"/>
  <c r="I107" i="44"/>
  <c r="H107" i="44"/>
  <c r="S106" i="44"/>
  <c r="R106" i="44"/>
  <c r="M106" i="44"/>
  <c r="L106" i="44"/>
  <c r="K106" i="44"/>
  <c r="J106" i="44"/>
  <c r="I106" i="44"/>
  <c r="H106" i="44"/>
  <c r="S105" i="44"/>
  <c r="R105" i="44"/>
  <c r="M105" i="44"/>
  <c r="L105" i="44"/>
  <c r="K105" i="44"/>
  <c r="J105" i="44"/>
  <c r="I105" i="44"/>
  <c r="H105" i="44"/>
  <c r="S104" i="44"/>
  <c r="R104" i="44"/>
  <c r="M104" i="44"/>
  <c r="L104" i="44"/>
  <c r="K104" i="44"/>
  <c r="J104" i="44"/>
  <c r="I104" i="44"/>
  <c r="H104" i="44"/>
  <c r="S103" i="44"/>
  <c r="R103" i="44"/>
  <c r="M103" i="44"/>
  <c r="L103" i="44"/>
  <c r="K103" i="44"/>
  <c r="J103" i="44"/>
  <c r="I103" i="44"/>
  <c r="H103" i="44"/>
  <c r="S102" i="44"/>
  <c r="R102" i="44"/>
  <c r="M102" i="44"/>
  <c r="L102" i="44"/>
  <c r="K102" i="44"/>
  <c r="J102" i="44"/>
  <c r="I102" i="44"/>
  <c r="H102" i="44"/>
  <c r="S101" i="44"/>
  <c r="R101" i="44"/>
  <c r="M101" i="44"/>
  <c r="L101" i="44"/>
  <c r="K101" i="44"/>
  <c r="J101" i="44"/>
  <c r="I101" i="44"/>
  <c r="H101" i="44"/>
  <c r="S100" i="44"/>
  <c r="R100" i="44"/>
  <c r="M100" i="44"/>
  <c r="L100" i="44"/>
  <c r="K100" i="44"/>
  <c r="J100" i="44"/>
  <c r="I100" i="44"/>
  <c r="H100" i="44"/>
  <c r="S99" i="44"/>
  <c r="R99" i="44"/>
  <c r="M99" i="44"/>
  <c r="L99" i="44"/>
  <c r="K99" i="44"/>
  <c r="J99" i="44"/>
  <c r="I99" i="44"/>
  <c r="H99" i="44"/>
  <c r="S98" i="44"/>
  <c r="R98" i="44"/>
  <c r="M98" i="44"/>
  <c r="L98" i="44"/>
  <c r="K98" i="44"/>
  <c r="J98" i="44"/>
  <c r="I98" i="44"/>
  <c r="H98" i="44"/>
  <c r="S97" i="44"/>
  <c r="R97" i="44"/>
  <c r="M97" i="44"/>
  <c r="L97" i="44"/>
  <c r="K97" i="44"/>
  <c r="J97" i="44"/>
  <c r="I97" i="44"/>
  <c r="H97" i="44"/>
  <c r="S96" i="44"/>
  <c r="R96" i="44"/>
  <c r="M96" i="44"/>
  <c r="L96" i="44"/>
  <c r="K96" i="44"/>
  <c r="J96" i="44"/>
  <c r="I96" i="44"/>
  <c r="H96" i="44"/>
  <c r="S95" i="44"/>
  <c r="R95" i="44"/>
  <c r="M95" i="44"/>
  <c r="L95" i="44"/>
  <c r="K95" i="44"/>
  <c r="J95" i="44"/>
  <c r="I95" i="44"/>
  <c r="H95" i="44"/>
  <c r="S94" i="44"/>
  <c r="R94" i="44"/>
  <c r="M94" i="44"/>
  <c r="L94" i="44"/>
  <c r="K94" i="44"/>
  <c r="J94" i="44"/>
  <c r="I94" i="44"/>
  <c r="H94" i="44"/>
  <c r="S93" i="44"/>
  <c r="R93" i="44"/>
  <c r="M93" i="44"/>
  <c r="L93" i="44"/>
  <c r="K93" i="44"/>
  <c r="J93" i="44"/>
  <c r="I93" i="44"/>
  <c r="H93" i="44"/>
  <c r="S92" i="44"/>
  <c r="R92" i="44"/>
  <c r="M92" i="44"/>
  <c r="L92" i="44"/>
  <c r="K92" i="44"/>
  <c r="J92" i="44"/>
  <c r="I92" i="44"/>
  <c r="H92" i="44"/>
  <c r="S91" i="44"/>
  <c r="R91" i="44"/>
  <c r="M91" i="44"/>
  <c r="L91" i="44"/>
  <c r="K91" i="44"/>
  <c r="J91" i="44"/>
  <c r="I91" i="44"/>
  <c r="H91" i="44"/>
  <c r="S90" i="44"/>
  <c r="R90" i="44"/>
  <c r="M90" i="44"/>
  <c r="L90" i="44"/>
  <c r="K90" i="44"/>
  <c r="J90" i="44"/>
  <c r="I90" i="44"/>
  <c r="H90" i="44"/>
  <c r="S89" i="44"/>
  <c r="R89" i="44"/>
  <c r="M89" i="44"/>
  <c r="L89" i="44"/>
  <c r="K89" i="44"/>
  <c r="J89" i="44"/>
  <c r="I89" i="44"/>
  <c r="H89" i="44"/>
  <c r="S88" i="44"/>
  <c r="R88" i="44"/>
  <c r="M88" i="44"/>
  <c r="L88" i="44"/>
  <c r="K88" i="44"/>
  <c r="J88" i="44"/>
  <c r="I88" i="44"/>
  <c r="H88" i="44"/>
  <c r="S87" i="44"/>
  <c r="R87" i="44"/>
  <c r="M87" i="44"/>
  <c r="L87" i="44"/>
  <c r="K87" i="44"/>
  <c r="J87" i="44"/>
  <c r="I87" i="44"/>
  <c r="H87" i="44"/>
  <c r="S86" i="44"/>
  <c r="R86" i="44"/>
  <c r="M86" i="44"/>
  <c r="L86" i="44"/>
  <c r="K86" i="44"/>
  <c r="J86" i="44"/>
  <c r="I86" i="44"/>
  <c r="H86" i="44"/>
  <c r="S85" i="44"/>
  <c r="R85" i="44"/>
  <c r="M85" i="44"/>
  <c r="L85" i="44"/>
  <c r="K85" i="44"/>
  <c r="J85" i="44"/>
  <c r="I85" i="44"/>
  <c r="H85" i="44"/>
  <c r="S84" i="44"/>
  <c r="R84" i="44"/>
  <c r="M84" i="44"/>
  <c r="L84" i="44"/>
  <c r="K84" i="44"/>
  <c r="J84" i="44"/>
  <c r="I84" i="44"/>
  <c r="H84" i="44"/>
  <c r="S83" i="44"/>
  <c r="R83" i="44"/>
  <c r="M83" i="44"/>
  <c r="L83" i="44"/>
  <c r="K83" i="44"/>
  <c r="J83" i="44"/>
  <c r="I83" i="44"/>
  <c r="H83" i="44"/>
  <c r="S82" i="44"/>
  <c r="R82" i="44"/>
  <c r="M82" i="44"/>
  <c r="L82" i="44"/>
  <c r="K82" i="44"/>
  <c r="J82" i="44"/>
  <c r="I82" i="44"/>
  <c r="H82" i="44"/>
  <c r="S81" i="44"/>
  <c r="R81" i="44"/>
  <c r="M81" i="44"/>
  <c r="L81" i="44"/>
  <c r="K81" i="44"/>
  <c r="J81" i="44"/>
  <c r="I81" i="44"/>
  <c r="H81" i="44"/>
  <c r="S80" i="44"/>
  <c r="R80" i="44"/>
  <c r="M80" i="44"/>
  <c r="L80" i="44"/>
  <c r="K80" i="44"/>
  <c r="J80" i="44"/>
  <c r="I80" i="44"/>
  <c r="H80" i="44"/>
  <c r="S79" i="44"/>
  <c r="R79" i="44"/>
  <c r="M79" i="44"/>
  <c r="L79" i="44"/>
  <c r="K79" i="44"/>
  <c r="J79" i="44"/>
  <c r="I79" i="44"/>
  <c r="H79" i="44"/>
  <c r="S78" i="44"/>
  <c r="R78" i="44"/>
  <c r="M78" i="44"/>
  <c r="L78" i="44"/>
  <c r="K78" i="44"/>
  <c r="J78" i="44"/>
  <c r="I78" i="44"/>
  <c r="H78" i="44"/>
  <c r="S77" i="44"/>
  <c r="R77" i="44"/>
  <c r="M77" i="44"/>
  <c r="L77" i="44"/>
  <c r="K77" i="44"/>
  <c r="J77" i="44"/>
  <c r="I77" i="44"/>
  <c r="H77" i="44"/>
  <c r="S76" i="44"/>
  <c r="R76" i="44"/>
  <c r="M76" i="44"/>
  <c r="L76" i="44"/>
  <c r="K76" i="44"/>
  <c r="J76" i="44"/>
  <c r="I76" i="44"/>
  <c r="H76" i="44"/>
  <c r="S75" i="44"/>
  <c r="R75" i="44"/>
  <c r="M75" i="44"/>
  <c r="L75" i="44"/>
  <c r="K75" i="44"/>
  <c r="J75" i="44"/>
  <c r="I75" i="44"/>
  <c r="H75" i="44"/>
  <c r="S74" i="44"/>
  <c r="R74" i="44"/>
  <c r="M74" i="44"/>
  <c r="L74" i="44"/>
  <c r="K74" i="44"/>
  <c r="J74" i="44"/>
  <c r="I74" i="44"/>
  <c r="H74" i="44"/>
  <c r="S73" i="44"/>
  <c r="R73" i="44"/>
  <c r="M73" i="44"/>
  <c r="L73" i="44"/>
  <c r="K73" i="44"/>
  <c r="J73" i="44"/>
  <c r="I73" i="44"/>
  <c r="H73" i="44"/>
  <c r="S72" i="44"/>
  <c r="R72" i="44"/>
  <c r="M72" i="44"/>
  <c r="L72" i="44"/>
  <c r="K72" i="44"/>
  <c r="J72" i="44"/>
  <c r="I72" i="44"/>
  <c r="H72" i="44"/>
  <c r="S71" i="44"/>
  <c r="R71" i="44"/>
  <c r="M71" i="44"/>
  <c r="L71" i="44"/>
  <c r="K71" i="44"/>
  <c r="J71" i="44"/>
  <c r="I71" i="44"/>
  <c r="H71" i="44"/>
  <c r="S70" i="44"/>
  <c r="R70" i="44"/>
  <c r="M70" i="44"/>
  <c r="L70" i="44"/>
  <c r="K70" i="44"/>
  <c r="J70" i="44"/>
  <c r="I70" i="44"/>
  <c r="H70" i="44"/>
  <c r="S69" i="44"/>
  <c r="R69" i="44"/>
  <c r="M69" i="44"/>
  <c r="L69" i="44"/>
  <c r="K69" i="44"/>
  <c r="J69" i="44"/>
  <c r="I69" i="44"/>
  <c r="H69" i="44"/>
  <c r="S68" i="44"/>
  <c r="R68" i="44"/>
  <c r="M68" i="44"/>
  <c r="L68" i="44"/>
  <c r="K68" i="44"/>
  <c r="J68" i="44"/>
  <c r="I68" i="44"/>
  <c r="H68" i="44"/>
  <c r="S67" i="44"/>
  <c r="R67" i="44"/>
  <c r="M67" i="44"/>
  <c r="L67" i="44"/>
  <c r="K67" i="44"/>
  <c r="J67" i="44"/>
  <c r="I67" i="44"/>
  <c r="H67" i="44"/>
  <c r="S66" i="44"/>
  <c r="R66" i="44"/>
  <c r="M66" i="44"/>
  <c r="L66" i="44"/>
  <c r="K66" i="44"/>
  <c r="J66" i="44"/>
  <c r="I66" i="44"/>
  <c r="H66" i="44"/>
  <c r="S65" i="44"/>
  <c r="R65" i="44"/>
  <c r="M65" i="44"/>
  <c r="L65" i="44"/>
  <c r="K65" i="44"/>
  <c r="J65" i="44"/>
  <c r="I65" i="44"/>
  <c r="H65" i="44"/>
  <c r="S64" i="44"/>
  <c r="R64" i="44"/>
  <c r="M64" i="44"/>
  <c r="L64" i="44"/>
  <c r="K64" i="44"/>
  <c r="J64" i="44"/>
  <c r="I64" i="44"/>
  <c r="H64" i="44"/>
  <c r="S63" i="44"/>
  <c r="R63" i="44"/>
  <c r="M63" i="44"/>
  <c r="L63" i="44"/>
  <c r="K63" i="44"/>
  <c r="J63" i="44"/>
  <c r="I63" i="44"/>
  <c r="H63" i="44"/>
  <c r="S62" i="44"/>
  <c r="R62" i="44"/>
  <c r="M62" i="44"/>
  <c r="L62" i="44"/>
  <c r="K62" i="44"/>
  <c r="J62" i="44"/>
  <c r="I62" i="44"/>
  <c r="H62" i="44"/>
  <c r="S61" i="44"/>
  <c r="R61" i="44"/>
  <c r="M61" i="44"/>
  <c r="L61" i="44"/>
  <c r="K61" i="44"/>
  <c r="J61" i="44"/>
  <c r="I61" i="44"/>
  <c r="H61" i="44"/>
  <c r="S60" i="44"/>
  <c r="R60" i="44"/>
  <c r="M60" i="44"/>
  <c r="L60" i="44"/>
  <c r="K60" i="44"/>
  <c r="J60" i="44"/>
  <c r="I60" i="44"/>
  <c r="H60" i="44"/>
  <c r="S59" i="44"/>
  <c r="R59" i="44"/>
  <c r="M59" i="44"/>
  <c r="L59" i="44"/>
  <c r="K59" i="44"/>
  <c r="J59" i="44"/>
  <c r="I59" i="44"/>
  <c r="H59" i="44"/>
  <c r="S58" i="44"/>
  <c r="R58" i="44"/>
  <c r="M58" i="44"/>
  <c r="L58" i="44"/>
  <c r="K58" i="44"/>
  <c r="J58" i="44"/>
  <c r="I58" i="44"/>
  <c r="H58" i="44"/>
  <c r="S57" i="44"/>
  <c r="R57" i="44"/>
  <c r="M57" i="44"/>
  <c r="L57" i="44"/>
  <c r="K57" i="44"/>
  <c r="J57" i="44"/>
  <c r="I57" i="44"/>
  <c r="H57" i="44"/>
  <c r="S56" i="44"/>
  <c r="R56" i="44"/>
  <c r="M56" i="44"/>
  <c r="L56" i="44"/>
  <c r="K56" i="44"/>
  <c r="J56" i="44"/>
  <c r="I56" i="44"/>
  <c r="H56" i="44"/>
  <c r="S55" i="44"/>
  <c r="R55" i="44"/>
  <c r="M55" i="44"/>
  <c r="L55" i="44"/>
  <c r="K55" i="44"/>
  <c r="J55" i="44"/>
  <c r="I55" i="44"/>
  <c r="H55" i="44"/>
  <c r="S54" i="44"/>
  <c r="R54" i="44"/>
  <c r="M54" i="44"/>
  <c r="L54" i="44"/>
  <c r="K54" i="44"/>
  <c r="J54" i="44"/>
  <c r="I54" i="44"/>
  <c r="H54" i="44"/>
  <c r="S53" i="44"/>
  <c r="R53" i="44"/>
  <c r="M53" i="44"/>
  <c r="L53" i="44"/>
  <c r="K53" i="44"/>
  <c r="J53" i="44"/>
  <c r="I53" i="44"/>
  <c r="H53" i="44"/>
  <c r="S52" i="44"/>
  <c r="R52" i="44"/>
  <c r="M52" i="44"/>
  <c r="L52" i="44"/>
  <c r="K52" i="44"/>
  <c r="J52" i="44"/>
  <c r="I52" i="44"/>
  <c r="H52" i="44"/>
  <c r="S51" i="44"/>
  <c r="R51" i="44"/>
  <c r="M51" i="44"/>
  <c r="L51" i="44"/>
  <c r="K51" i="44"/>
  <c r="J51" i="44"/>
  <c r="I51" i="44"/>
  <c r="H51" i="44"/>
  <c r="S50" i="44"/>
  <c r="R50" i="44"/>
  <c r="M50" i="44"/>
  <c r="L50" i="44"/>
  <c r="K50" i="44"/>
  <c r="J50" i="44"/>
  <c r="I50" i="44"/>
  <c r="H50" i="44"/>
  <c r="S49" i="44"/>
  <c r="R49" i="44"/>
  <c r="M49" i="44"/>
  <c r="L49" i="44"/>
  <c r="K49" i="44"/>
  <c r="J49" i="44"/>
  <c r="I49" i="44"/>
  <c r="H49" i="44"/>
  <c r="S48" i="44"/>
  <c r="R48" i="44"/>
  <c r="M48" i="44"/>
  <c r="L48" i="44"/>
  <c r="K48" i="44"/>
  <c r="J48" i="44"/>
  <c r="I48" i="44"/>
  <c r="H48" i="44"/>
  <c r="S47" i="44"/>
  <c r="R47" i="44"/>
  <c r="M47" i="44"/>
  <c r="L47" i="44"/>
  <c r="K47" i="44"/>
  <c r="J47" i="44"/>
  <c r="I47" i="44"/>
  <c r="H47" i="44"/>
  <c r="S46" i="44"/>
  <c r="R46" i="44"/>
  <c r="M46" i="44"/>
  <c r="L46" i="44"/>
  <c r="K46" i="44"/>
  <c r="J46" i="44"/>
  <c r="I46" i="44"/>
  <c r="H46" i="44"/>
  <c r="S45" i="44"/>
  <c r="R45" i="44"/>
  <c r="M45" i="44"/>
  <c r="L45" i="44"/>
  <c r="K45" i="44"/>
  <c r="J45" i="44"/>
  <c r="I45" i="44"/>
  <c r="H45" i="44"/>
  <c r="S44" i="44"/>
  <c r="R44" i="44"/>
  <c r="M44" i="44"/>
  <c r="L44" i="44"/>
  <c r="K44" i="44"/>
  <c r="J44" i="44"/>
  <c r="I44" i="44"/>
  <c r="H44" i="44"/>
  <c r="S43" i="44"/>
  <c r="R43" i="44"/>
  <c r="M43" i="44"/>
  <c r="L43" i="44"/>
  <c r="K43" i="44"/>
  <c r="J43" i="44"/>
  <c r="I43" i="44"/>
  <c r="H43" i="44"/>
  <c r="S42" i="44"/>
  <c r="R42" i="44"/>
  <c r="M42" i="44"/>
  <c r="L42" i="44"/>
  <c r="K42" i="44"/>
  <c r="J42" i="44"/>
  <c r="I42" i="44"/>
  <c r="H42" i="44"/>
  <c r="S41" i="44"/>
  <c r="R41" i="44"/>
  <c r="M41" i="44"/>
  <c r="L41" i="44"/>
  <c r="K41" i="44"/>
  <c r="J41" i="44"/>
  <c r="I41" i="44"/>
  <c r="H41" i="44"/>
  <c r="S40" i="44"/>
  <c r="R40" i="44"/>
  <c r="M40" i="44"/>
  <c r="L40" i="44"/>
  <c r="K40" i="44"/>
  <c r="J40" i="44"/>
  <c r="I40" i="44"/>
  <c r="H40" i="44"/>
  <c r="S39" i="44"/>
  <c r="R39" i="44"/>
  <c r="M39" i="44"/>
  <c r="L39" i="44"/>
  <c r="K39" i="44"/>
  <c r="J39" i="44"/>
  <c r="I39" i="44"/>
  <c r="H39" i="44"/>
  <c r="S38" i="44"/>
  <c r="R38" i="44"/>
  <c r="M38" i="44"/>
  <c r="L38" i="44"/>
  <c r="K38" i="44"/>
  <c r="J38" i="44"/>
  <c r="I38" i="44"/>
  <c r="H38" i="44"/>
  <c r="S37" i="44"/>
  <c r="R37" i="44"/>
  <c r="M37" i="44"/>
  <c r="L37" i="44"/>
  <c r="K37" i="44"/>
  <c r="J37" i="44"/>
  <c r="I37" i="44"/>
  <c r="H37" i="44"/>
  <c r="S36" i="44"/>
  <c r="R36" i="44"/>
  <c r="M36" i="44"/>
  <c r="L36" i="44"/>
  <c r="K36" i="44"/>
  <c r="J36" i="44"/>
  <c r="I36" i="44"/>
  <c r="H36" i="44"/>
  <c r="S35" i="44"/>
  <c r="R35" i="44"/>
  <c r="M35" i="44"/>
  <c r="L35" i="44"/>
  <c r="K35" i="44"/>
  <c r="J35" i="44"/>
  <c r="I35" i="44"/>
  <c r="H35" i="44"/>
  <c r="S34" i="44"/>
  <c r="R34" i="44"/>
  <c r="M34" i="44"/>
  <c r="L34" i="44"/>
  <c r="K34" i="44"/>
  <c r="J34" i="44"/>
  <c r="I34" i="44"/>
  <c r="H34" i="44"/>
  <c r="S33" i="44"/>
  <c r="R33" i="44"/>
  <c r="M33" i="44"/>
  <c r="L33" i="44"/>
  <c r="K33" i="44"/>
  <c r="J33" i="44"/>
  <c r="I33" i="44"/>
  <c r="H33" i="44"/>
  <c r="S32" i="44"/>
  <c r="R32" i="44"/>
  <c r="M32" i="44"/>
  <c r="L32" i="44"/>
  <c r="K32" i="44"/>
  <c r="J32" i="44"/>
  <c r="I32" i="44"/>
  <c r="H32" i="44"/>
  <c r="S31" i="44"/>
  <c r="R31" i="44"/>
  <c r="M31" i="44"/>
  <c r="L31" i="44"/>
  <c r="K31" i="44"/>
  <c r="J31" i="44"/>
  <c r="I31" i="44"/>
  <c r="H31" i="44"/>
  <c r="S30" i="44"/>
  <c r="R30" i="44"/>
  <c r="M30" i="44"/>
  <c r="L30" i="44"/>
  <c r="K30" i="44"/>
  <c r="J30" i="44"/>
  <c r="I30" i="44"/>
  <c r="H30" i="44"/>
  <c r="S29" i="44"/>
  <c r="R29" i="44"/>
  <c r="M29" i="44"/>
  <c r="L29" i="44"/>
  <c r="K29" i="44"/>
  <c r="J29" i="44"/>
  <c r="I29" i="44"/>
  <c r="H29" i="44"/>
  <c r="S28" i="44"/>
  <c r="R28" i="44"/>
  <c r="M28" i="44"/>
  <c r="L28" i="44"/>
  <c r="K28" i="44"/>
  <c r="J28" i="44"/>
  <c r="I28" i="44"/>
  <c r="H28" i="44"/>
  <c r="S27" i="44"/>
  <c r="R27" i="44"/>
  <c r="M27" i="44"/>
  <c r="L27" i="44"/>
  <c r="K27" i="44"/>
  <c r="J27" i="44"/>
  <c r="I27" i="44"/>
  <c r="H27" i="44"/>
  <c r="S26" i="44"/>
  <c r="R26" i="44"/>
  <c r="M26" i="44"/>
  <c r="L26" i="44"/>
  <c r="K26" i="44"/>
  <c r="J26" i="44"/>
  <c r="I26" i="44"/>
  <c r="H26" i="44"/>
  <c r="S25" i="44"/>
  <c r="R25" i="44"/>
  <c r="M25" i="44"/>
  <c r="L25" i="44"/>
  <c r="K25" i="44"/>
  <c r="J25" i="44"/>
  <c r="I25" i="44"/>
  <c r="H25" i="44"/>
  <c r="S24" i="44"/>
  <c r="R24" i="44"/>
  <c r="M24" i="44"/>
  <c r="L24" i="44"/>
  <c r="K24" i="44"/>
  <c r="J24" i="44"/>
  <c r="I24" i="44"/>
  <c r="H24" i="44"/>
  <c r="S23" i="44"/>
  <c r="R23" i="44"/>
  <c r="M23" i="44"/>
  <c r="L23" i="44"/>
  <c r="K23" i="44"/>
  <c r="J23" i="44"/>
  <c r="I23" i="44"/>
  <c r="H23" i="44"/>
  <c r="S22" i="44"/>
  <c r="R22" i="44"/>
  <c r="M22" i="44"/>
  <c r="L22" i="44"/>
  <c r="K22" i="44"/>
  <c r="J22" i="44"/>
  <c r="I22" i="44"/>
  <c r="H22" i="44"/>
  <c r="S21" i="44"/>
  <c r="R21" i="44"/>
  <c r="M21" i="44"/>
  <c r="L21" i="44"/>
  <c r="K21" i="44"/>
  <c r="J21" i="44"/>
  <c r="I21" i="44"/>
  <c r="H21" i="44"/>
  <c r="I20" i="44"/>
  <c r="H20" i="44"/>
  <c r="I19" i="44"/>
  <c r="H19" i="44"/>
  <c r="I18" i="44"/>
  <c r="H18" i="44"/>
  <c r="J18" i="44" s="1"/>
  <c r="R18" i="44" s="1"/>
  <c r="I17" i="44"/>
  <c r="J17" i="44" s="1"/>
  <c r="R17" i="44" s="1"/>
  <c r="H17" i="44"/>
  <c r="I16" i="44"/>
  <c r="H16" i="44"/>
  <c r="I15" i="44"/>
  <c r="J15" i="44" s="1"/>
  <c r="R15" i="44" s="1"/>
  <c r="H15" i="44"/>
  <c r="I14" i="44"/>
  <c r="J14" i="44" s="1"/>
  <c r="R14" i="44" s="1"/>
  <c r="H14" i="44"/>
  <c r="I13" i="44"/>
  <c r="H13" i="44"/>
  <c r="I12" i="44"/>
  <c r="J12" i="44" s="1"/>
  <c r="R12" i="44" s="1"/>
  <c r="H12" i="44"/>
  <c r="I11" i="44"/>
  <c r="H11" i="44"/>
  <c r="I10" i="44"/>
  <c r="J10" i="44" s="1"/>
  <c r="R10" i="44" s="1"/>
  <c r="H10" i="44"/>
  <c r="I9" i="44"/>
  <c r="H9" i="44"/>
  <c r="I8" i="44"/>
  <c r="J8" i="44" s="1"/>
  <c r="R8" i="44" s="1"/>
  <c r="H8" i="44"/>
  <c r="I7" i="44"/>
  <c r="H7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M8" i="45" l="1"/>
  <c r="S8" i="45" s="1"/>
  <c r="L9" i="45"/>
  <c r="L39" i="56"/>
  <c r="M38" i="56"/>
  <c r="S38" i="56" s="1"/>
  <c r="J9" i="44"/>
  <c r="R9" i="44" s="1"/>
  <c r="J11" i="44"/>
  <c r="R11" i="44" s="1"/>
  <c r="J13" i="44"/>
  <c r="R13" i="44" s="1"/>
  <c r="J16" i="44"/>
  <c r="R16" i="44" s="1"/>
  <c r="M39" i="57"/>
  <c r="S39" i="57" s="1"/>
  <c r="L40" i="57"/>
  <c r="M19" i="57"/>
  <c r="S19" i="57" s="1"/>
  <c r="L20" i="57"/>
  <c r="M18" i="56"/>
  <c r="S18" i="56" s="1"/>
  <c r="L19" i="56"/>
  <c r="M15" i="55"/>
  <c r="S15" i="55" s="1"/>
  <c r="L16" i="55"/>
  <c r="L16" i="54"/>
  <c r="M15" i="54"/>
  <c r="S15" i="54" s="1"/>
  <c r="M13" i="53"/>
  <c r="S13" i="53" s="1"/>
  <c r="L14" i="53"/>
  <c r="M13" i="52"/>
  <c r="S13" i="52" s="1"/>
  <c r="L14" i="52"/>
  <c r="M12" i="51"/>
  <c r="S12" i="51" s="1"/>
  <c r="L13" i="51"/>
  <c r="L13" i="50"/>
  <c r="M12" i="50"/>
  <c r="S12" i="50" s="1"/>
  <c r="L13" i="49"/>
  <c r="M12" i="49"/>
  <c r="S12" i="49" s="1"/>
  <c r="L13" i="48"/>
  <c r="M12" i="48"/>
  <c r="S12" i="48" s="1"/>
  <c r="M12" i="47"/>
  <c r="S12" i="47" s="1"/>
  <c r="L13" i="47"/>
  <c r="M11" i="46"/>
  <c r="S11" i="46" s="1"/>
  <c r="L12" i="46"/>
  <c r="J20" i="44"/>
  <c r="R20" i="44" s="1"/>
  <c r="J19" i="44"/>
  <c r="R19" i="44" s="1"/>
  <c r="J7" i="44"/>
  <c r="R7" i="44" s="1"/>
  <c r="L7" i="44"/>
  <c r="M7" i="44" s="1"/>
  <c r="S7" i="44" s="1"/>
  <c r="S112" i="43"/>
  <c r="R112" i="43"/>
  <c r="M112" i="43"/>
  <c r="L112" i="43"/>
  <c r="K112" i="43"/>
  <c r="J112" i="43"/>
  <c r="I112" i="43"/>
  <c r="H112" i="43"/>
  <c r="S111" i="43"/>
  <c r="R111" i="43"/>
  <c r="M111" i="43"/>
  <c r="L111" i="43"/>
  <c r="K111" i="43"/>
  <c r="J111" i="43"/>
  <c r="I111" i="43"/>
  <c r="H111" i="43"/>
  <c r="S110" i="43"/>
  <c r="R110" i="43"/>
  <c r="M110" i="43"/>
  <c r="L110" i="43"/>
  <c r="K110" i="43"/>
  <c r="J110" i="43"/>
  <c r="I110" i="43"/>
  <c r="H110" i="43"/>
  <c r="S109" i="43"/>
  <c r="R109" i="43"/>
  <c r="M109" i="43"/>
  <c r="L109" i="43"/>
  <c r="K109" i="43"/>
  <c r="J109" i="43"/>
  <c r="I109" i="43"/>
  <c r="H109" i="43"/>
  <c r="S108" i="43"/>
  <c r="R108" i="43"/>
  <c r="M108" i="43"/>
  <c r="L108" i="43"/>
  <c r="K108" i="43"/>
  <c r="J108" i="43"/>
  <c r="I108" i="43"/>
  <c r="H108" i="43"/>
  <c r="S107" i="43"/>
  <c r="R107" i="43"/>
  <c r="M107" i="43"/>
  <c r="L107" i="43"/>
  <c r="K107" i="43"/>
  <c r="J107" i="43"/>
  <c r="I107" i="43"/>
  <c r="H107" i="43"/>
  <c r="S106" i="43"/>
  <c r="R106" i="43"/>
  <c r="M106" i="43"/>
  <c r="L106" i="43"/>
  <c r="K106" i="43"/>
  <c r="J106" i="43"/>
  <c r="I106" i="43"/>
  <c r="H106" i="43"/>
  <c r="S105" i="43"/>
  <c r="R105" i="43"/>
  <c r="M105" i="43"/>
  <c r="L105" i="43"/>
  <c r="K105" i="43"/>
  <c r="J105" i="43"/>
  <c r="I105" i="43"/>
  <c r="H105" i="43"/>
  <c r="S104" i="43"/>
  <c r="R104" i="43"/>
  <c r="M104" i="43"/>
  <c r="L104" i="43"/>
  <c r="K104" i="43"/>
  <c r="J104" i="43"/>
  <c r="I104" i="43"/>
  <c r="H104" i="43"/>
  <c r="S103" i="43"/>
  <c r="R103" i="43"/>
  <c r="M103" i="43"/>
  <c r="L103" i="43"/>
  <c r="K103" i="43"/>
  <c r="J103" i="43"/>
  <c r="I103" i="43"/>
  <c r="H103" i="43"/>
  <c r="S102" i="43"/>
  <c r="R102" i="43"/>
  <c r="M102" i="43"/>
  <c r="L102" i="43"/>
  <c r="K102" i="43"/>
  <c r="J102" i="43"/>
  <c r="I102" i="43"/>
  <c r="H102" i="43"/>
  <c r="S101" i="43"/>
  <c r="R101" i="43"/>
  <c r="M101" i="43"/>
  <c r="L101" i="43"/>
  <c r="K101" i="43"/>
  <c r="J101" i="43"/>
  <c r="I101" i="43"/>
  <c r="H101" i="43"/>
  <c r="S100" i="43"/>
  <c r="R100" i="43"/>
  <c r="M100" i="43"/>
  <c r="L100" i="43"/>
  <c r="K100" i="43"/>
  <c r="J100" i="43"/>
  <c r="I100" i="43"/>
  <c r="H100" i="43"/>
  <c r="S99" i="43"/>
  <c r="R99" i="43"/>
  <c r="M99" i="43"/>
  <c r="L99" i="43"/>
  <c r="K99" i="43"/>
  <c r="J99" i="43"/>
  <c r="I99" i="43"/>
  <c r="H99" i="43"/>
  <c r="S98" i="43"/>
  <c r="R98" i="43"/>
  <c r="M98" i="43"/>
  <c r="L98" i="43"/>
  <c r="K98" i="43"/>
  <c r="J98" i="43"/>
  <c r="I98" i="43"/>
  <c r="H98" i="43"/>
  <c r="S97" i="43"/>
  <c r="R97" i="43"/>
  <c r="M97" i="43"/>
  <c r="L97" i="43"/>
  <c r="K97" i="43"/>
  <c r="J97" i="43"/>
  <c r="I97" i="43"/>
  <c r="H97" i="43"/>
  <c r="S96" i="43"/>
  <c r="R96" i="43"/>
  <c r="M96" i="43"/>
  <c r="L96" i="43"/>
  <c r="K96" i="43"/>
  <c r="J96" i="43"/>
  <c r="I96" i="43"/>
  <c r="H96" i="43"/>
  <c r="S95" i="43"/>
  <c r="R95" i="43"/>
  <c r="M95" i="43"/>
  <c r="L95" i="43"/>
  <c r="K95" i="43"/>
  <c r="J95" i="43"/>
  <c r="I95" i="43"/>
  <c r="H95" i="43"/>
  <c r="S94" i="43"/>
  <c r="R94" i="43"/>
  <c r="M94" i="43"/>
  <c r="L94" i="43"/>
  <c r="K94" i="43"/>
  <c r="J94" i="43"/>
  <c r="I94" i="43"/>
  <c r="H94" i="43"/>
  <c r="S93" i="43"/>
  <c r="R93" i="43"/>
  <c r="M93" i="43"/>
  <c r="L93" i="43"/>
  <c r="K93" i="43"/>
  <c r="J93" i="43"/>
  <c r="I93" i="43"/>
  <c r="H93" i="43"/>
  <c r="S92" i="43"/>
  <c r="R92" i="43"/>
  <c r="M92" i="43"/>
  <c r="L92" i="43"/>
  <c r="K92" i="43"/>
  <c r="J92" i="43"/>
  <c r="I92" i="43"/>
  <c r="H92" i="43"/>
  <c r="S91" i="43"/>
  <c r="R91" i="43"/>
  <c r="M91" i="43"/>
  <c r="L91" i="43"/>
  <c r="K91" i="43"/>
  <c r="J91" i="43"/>
  <c r="I91" i="43"/>
  <c r="H91" i="43"/>
  <c r="S90" i="43"/>
  <c r="R90" i="43"/>
  <c r="M90" i="43"/>
  <c r="L90" i="43"/>
  <c r="K90" i="43"/>
  <c r="J90" i="43"/>
  <c r="I90" i="43"/>
  <c r="H90" i="43"/>
  <c r="S89" i="43"/>
  <c r="R89" i="43"/>
  <c r="M89" i="43"/>
  <c r="L89" i="43"/>
  <c r="K89" i="43"/>
  <c r="J89" i="43"/>
  <c r="I89" i="43"/>
  <c r="H89" i="43"/>
  <c r="S88" i="43"/>
  <c r="R88" i="43"/>
  <c r="M88" i="43"/>
  <c r="L88" i="43"/>
  <c r="K88" i="43"/>
  <c r="J88" i="43"/>
  <c r="I88" i="43"/>
  <c r="H88" i="43"/>
  <c r="S87" i="43"/>
  <c r="R87" i="43"/>
  <c r="M87" i="43"/>
  <c r="L87" i="43"/>
  <c r="K87" i="43"/>
  <c r="J87" i="43"/>
  <c r="I87" i="43"/>
  <c r="H87" i="43"/>
  <c r="S86" i="43"/>
  <c r="R86" i="43"/>
  <c r="M86" i="43"/>
  <c r="L86" i="43"/>
  <c r="K86" i="43"/>
  <c r="J86" i="43"/>
  <c r="I86" i="43"/>
  <c r="H86" i="43"/>
  <c r="S85" i="43"/>
  <c r="R85" i="43"/>
  <c r="M85" i="43"/>
  <c r="L85" i="43"/>
  <c r="K85" i="43"/>
  <c r="J85" i="43"/>
  <c r="I85" i="43"/>
  <c r="H85" i="43"/>
  <c r="S84" i="43"/>
  <c r="R84" i="43"/>
  <c r="M84" i="43"/>
  <c r="L84" i="43"/>
  <c r="K84" i="43"/>
  <c r="J84" i="43"/>
  <c r="I84" i="43"/>
  <c r="H84" i="43"/>
  <c r="S83" i="43"/>
  <c r="R83" i="43"/>
  <c r="M83" i="43"/>
  <c r="L83" i="43"/>
  <c r="K83" i="43"/>
  <c r="J83" i="43"/>
  <c r="I83" i="43"/>
  <c r="H83" i="43"/>
  <c r="S82" i="43"/>
  <c r="R82" i="43"/>
  <c r="M82" i="43"/>
  <c r="L82" i="43"/>
  <c r="K82" i="43"/>
  <c r="J82" i="43"/>
  <c r="I82" i="43"/>
  <c r="H82" i="43"/>
  <c r="S81" i="43"/>
  <c r="R81" i="43"/>
  <c r="M81" i="43"/>
  <c r="L81" i="43"/>
  <c r="K81" i="43"/>
  <c r="J81" i="43"/>
  <c r="I81" i="43"/>
  <c r="H81" i="43"/>
  <c r="S80" i="43"/>
  <c r="R80" i="43"/>
  <c r="M80" i="43"/>
  <c r="L80" i="43"/>
  <c r="K80" i="43"/>
  <c r="J80" i="43"/>
  <c r="I80" i="43"/>
  <c r="H80" i="43"/>
  <c r="S79" i="43"/>
  <c r="R79" i="43"/>
  <c r="M79" i="43"/>
  <c r="L79" i="43"/>
  <c r="K79" i="43"/>
  <c r="J79" i="43"/>
  <c r="I79" i="43"/>
  <c r="H79" i="43"/>
  <c r="S78" i="43"/>
  <c r="R78" i="43"/>
  <c r="M78" i="43"/>
  <c r="L78" i="43"/>
  <c r="K78" i="43"/>
  <c r="J78" i="43"/>
  <c r="I78" i="43"/>
  <c r="H78" i="43"/>
  <c r="S77" i="43"/>
  <c r="R77" i="43"/>
  <c r="M77" i="43"/>
  <c r="L77" i="43"/>
  <c r="K77" i="43"/>
  <c r="J77" i="43"/>
  <c r="I77" i="43"/>
  <c r="H77" i="43"/>
  <c r="S76" i="43"/>
  <c r="R76" i="43"/>
  <c r="M76" i="43"/>
  <c r="L76" i="43"/>
  <c r="K76" i="43"/>
  <c r="J76" i="43"/>
  <c r="I76" i="43"/>
  <c r="H76" i="43"/>
  <c r="S75" i="43"/>
  <c r="R75" i="43"/>
  <c r="M75" i="43"/>
  <c r="L75" i="43"/>
  <c r="K75" i="43"/>
  <c r="J75" i="43"/>
  <c r="I75" i="43"/>
  <c r="H75" i="43"/>
  <c r="S74" i="43"/>
  <c r="R74" i="43"/>
  <c r="M74" i="43"/>
  <c r="L74" i="43"/>
  <c r="K74" i="43"/>
  <c r="J74" i="43"/>
  <c r="I74" i="43"/>
  <c r="H74" i="43"/>
  <c r="S73" i="43"/>
  <c r="R73" i="43"/>
  <c r="M73" i="43"/>
  <c r="L73" i="43"/>
  <c r="K73" i="43"/>
  <c r="J73" i="43"/>
  <c r="I73" i="43"/>
  <c r="H73" i="43"/>
  <c r="S72" i="43"/>
  <c r="R72" i="43"/>
  <c r="M72" i="43"/>
  <c r="L72" i="43"/>
  <c r="K72" i="43"/>
  <c r="J72" i="43"/>
  <c r="I72" i="43"/>
  <c r="H72" i="43"/>
  <c r="S71" i="43"/>
  <c r="R71" i="43"/>
  <c r="M71" i="43"/>
  <c r="L71" i="43"/>
  <c r="K71" i="43"/>
  <c r="J71" i="43"/>
  <c r="I71" i="43"/>
  <c r="H71" i="43"/>
  <c r="S70" i="43"/>
  <c r="R70" i="43"/>
  <c r="M70" i="43"/>
  <c r="L70" i="43"/>
  <c r="K70" i="43"/>
  <c r="J70" i="43"/>
  <c r="I70" i="43"/>
  <c r="H70" i="43"/>
  <c r="M69" i="43"/>
  <c r="S69" i="43" s="1"/>
  <c r="L69" i="43"/>
  <c r="K69" i="43"/>
  <c r="J69" i="43"/>
  <c r="R69" i="43" s="1"/>
  <c r="I69" i="43"/>
  <c r="H69" i="43"/>
  <c r="M68" i="43"/>
  <c r="S68" i="43" s="1"/>
  <c r="L68" i="43"/>
  <c r="K68" i="43"/>
  <c r="J68" i="43"/>
  <c r="R68" i="43" s="1"/>
  <c r="I68" i="43"/>
  <c r="H68" i="43"/>
  <c r="S67" i="43"/>
  <c r="R67" i="43"/>
  <c r="M67" i="43"/>
  <c r="L67" i="43"/>
  <c r="K67" i="43"/>
  <c r="J67" i="43"/>
  <c r="I67" i="43"/>
  <c r="H67" i="43"/>
  <c r="S66" i="43"/>
  <c r="R66" i="43"/>
  <c r="M66" i="43"/>
  <c r="L66" i="43"/>
  <c r="K66" i="43"/>
  <c r="J66" i="43"/>
  <c r="I66" i="43"/>
  <c r="H66" i="43"/>
  <c r="M65" i="43"/>
  <c r="S65" i="43" s="1"/>
  <c r="L65" i="43"/>
  <c r="K65" i="43"/>
  <c r="J65" i="43"/>
  <c r="R65" i="43" s="1"/>
  <c r="I65" i="43"/>
  <c r="H65" i="43"/>
  <c r="M64" i="43"/>
  <c r="S64" i="43" s="1"/>
  <c r="L64" i="43"/>
  <c r="K64" i="43"/>
  <c r="J64" i="43"/>
  <c r="R64" i="43" s="1"/>
  <c r="I64" i="43"/>
  <c r="H64" i="43"/>
  <c r="S63" i="43"/>
  <c r="R63" i="43"/>
  <c r="M63" i="43"/>
  <c r="L63" i="43"/>
  <c r="K63" i="43"/>
  <c r="J63" i="43"/>
  <c r="I63" i="43"/>
  <c r="H63" i="43"/>
  <c r="S62" i="43"/>
  <c r="R62" i="43"/>
  <c r="M62" i="43"/>
  <c r="L62" i="43"/>
  <c r="K62" i="43"/>
  <c r="J62" i="43"/>
  <c r="I62" i="43"/>
  <c r="H62" i="43"/>
  <c r="M61" i="43"/>
  <c r="S61" i="43" s="1"/>
  <c r="L61" i="43"/>
  <c r="K61" i="43"/>
  <c r="J61" i="43"/>
  <c r="R61" i="43" s="1"/>
  <c r="I61" i="43"/>
  <c r="H61" i="43"/>
  <c r="M60" i="43"/>
  <c r="S60" i="43" s="1"/>
  <c r="L60" i="43"/>
  <c r="K60" i="43"/>
  <c r="J60" i="43"/>
  <c r="R60" i="43" s="1"/>
  <c r="I60" i="43"/>
  <c r="H60" i="43"/>
  <c r="S59" i="43"/>
  <c r="R59" i="43"/>
  <c r="M59" i="43"/>
  <c r="L59" i="43"/>
  <c r="K59" i="43"/>
  <c r="J59" i="43"/>
  <c r="I59" i="43"/>
  <c r="H59" i="43"/>
  <c r="S58" i="43"/>
  <c r="R58" i="43"/>
  <c r="M58" i="43"/>
  <c r="L58" i="43"/>
  <c r="K58" i="43"/>
  <c r="J58" i="43"/>
  <c r="I58" i="43"/>
  <c r="H58" i="43"/>
  <c r="S57" i="43"/>
  <c r="R57" i="43"/>
  <c r="M57" i="43"/>
  <c r="L57" i="43"/>
  <c r="K57" i="43"/>
  <c r="J57" i="43"/>
  <c r="I57" i="43"/>
  <c r="H57" i="43"/>
  <c r="S56" i="43"/>
  <c r="R56" i="43"/>
  <c r="M56" i="43"/>
  <c r="L56" i="43"/>
  <c r="K56" i="43"/>
  <c r="J56" i="43"/>
  <c r="I56" i="43"/>
  <c r="H56" i="43"/>
  <c r="S55" i="43"/>
  <c r="R55" i="43"/>
  <c r="M55" i="43"/>
  <c r="L55" i="43"/>
  <c r="K55" i="43"/>
  <c r="J55" i="43"/>
  <c r="I55" i="43"/>
  <c r="H55" i="43"/>
  <c r="S54" i="43"/>
  <c r="R54" i="43"/>
  <c r="M54" i="43"/>
  <c r="L54" i="43"/>
  <c r="K54" i="43"/>
  <c r="J54" i="43"/>
  <c r="I54" i="43"/>
  <c r="H54" i="43"/>
  <c r="S53" i="43"/>
  <c r="R53" i="43"/>
  <c r="M53" i="43"/>
  <c r="L53" i="43"/>
  <c r="K53" i="43"/>
  <c r="J53" i="43"/>
  <c r="I53" i="43"/>
  <c r="H53" i="43"/>
  <c r="S52" i="43"/>
  <c r="R52" i="43"/>
  <c r="M52" i="43"/>
  <c r="L52" i="43"/>
  <c r="K52" i="43"/>
  <c r="J52" i="43"/>
  <c r="I52" i="43"/>
  <c r="H52" i="43"/>
  <c r="S51" i="43"/>
  <c r="R51" i="43"/>
  <c r="M51" i="43"/>
  <c r="L51" i="43"/>
  <c r="K51" i="43"/>
  <c r="J51" i="43"/>
  <c r="I51" i="43"/>
  <c r="H51" i="43"/>
  <c r="S50" i="43"/>
  <c r="R50" i="43"/>
  <c r="M50" i="43"/>
  <c r="L50" i="43"/>
  <c r="K50" i="43"/>
  <c r="J50" i="43"/>
  <c r="I50" i="43"/>
  <c r="H50" i="43"/>
  <c r="S49" i="43"/>
  <c r="R49" i="43"/>
  <c r="M49" i="43"/>
  <c r="L49" i="43"/>
  <c r="K49" i="43"/>
  <c r="J49" i="43"/>
  <c r="I49" i="43"/>
  <c r="H49" i="43"/>
  <c r="S48" i="43"/>
  <c r="R48" i="43"/>
  <c r="M48" i="43"/>
  <c r="L48" i="43"/>
  <c r="K48" i="43"/>
  <c r="J48" i="43"/>
  <c r="I48" i="43"/>
  <c r="H48" i="43"/>
  <c r="S47" i="43"/>
  <c r="R47" i="43"/>
  <c r="M47" i="43"/>
  <c r="L47" i="43"/>
  <c r="K47" i="43"/>
  <c r="J47" i="43"/>
  <c r="I47" i="43"/>
  <c r="H47" i="43"/>
  <c r="S46" i="43"/>
  <c r="R46" i="43"/>
  <c r="M46" i="43"/>
  <c r="L46" i="43"/>
  <c r="K46" i="43"/>
  <c r="J46" i="43"/>
  <c r="I46" i="43"/>
  <c r="H46" i="43"/>
  <c r="S45" i="43"/>
  <c r="R45" i="43"/>
  <c r="M45" i="43"/>
  <c r="L45" i="43"/>
  <c r="K45" i="43"/>
  <c r="J45" i="43"/>
  <c r="I45" i="43"/>
  <c r="H45" i="43"/>
  <c r="S44" i="43"/>
  <c r="R44" i="43"/>
  <c r="M44" i="43"/>
  <c r="L44" i="43"/>
  <c r="K44" i="43"/>
  <c r="J44" i="43"/>
  <c r="I44" i="43"/>
  <c r="H44" i="43"/>
  <c r="S43" i="43"/>
  <c r="R43" i="43"/>
  <c r="M43" i="43"/>
  <c r="L43" i="43"/>
  <c r="K43" i="43"/>
  <c r="J43" i="43"/>
  <c r="I43" i="43"/>
  <c r="H43" i="43"/>
  <c r="S42" i="43"/>
  <c r="R42" i="43"/>
  <c r="M42" i="43"/>
  <c r="L42" i="43"/>
  <c r="K42" i="43"/>
  <c r="J42" i="43"/>
  <c r="I42" i="43"/>
  <c r="H42" i="43"/>
  <c r="S41" i="43"/>
  <c r="R41" i="43"/>
  <c r="M41" i="43"/>
  <c r="L41" i="43"/>
  <c r="K41" i="43"/>
  <c r="J41" i="43"/>
  <c r="I41" i="43"/>
  <c r="H41" i="43"/>
  <c r="S40" i="43"/>
  <c r="R40" i="43"/>
  <c r="M40" i="43"/>
  <c r="L40" i="43"/>
  <c r="K40" i="43"/>
  <c r="J40" i="43"/>
  <c r="I40" i="43"/>
  <c r="H40" i="43"/>
  <c r="S39" i="43"/>
  <c r="R39" i="43"/>
  <c r="M39" i="43"/>
  <c r="L39" i="43"/>
  <c r="K39" i="43"/>
  <c r="J39" i="43"/>
  <c r="I39" i="43"/>
  <c r="H39" i="43"/>
  <c r="S38" i="43"/>
  <c r="R38" i="43"/>
  <c r="M38" i="43"/>
  <c r="L38" i="43"/>
  <c r="K38" i="43"/>
  <c r="J38" i="43"/>
  <c r="I38" i="43"/>
  <c r="H38" i="43"/>
  <c r="S37" i="43"/>
  <c r="R37" i="43"/>
  <c r="M37" i="43"/>
  <c r="L37" i="43"/>
  <c r="K37" i="43"/>
  <c r="J37" i="43"/>
  <c r="I37" i="43"/>
  <c r="H37" i="43"/>
  <c r="S36" i="43"/>
  <c r="R36" i="43"/>
  <c r="M36" i="43"/>
  <c r="L36" i="43"/>
  <c r="K36" i="43"/>
  <c r="J36" i="43"/>
  <c r="I36" i="43"/>
  <c r="H36" i="43"/>
  <c r="S35" i="43"/>
  <c r="R35" i="43"/>
  <c r="M35" i="43"/>
  <c r="L35" i="43"/>
  <c r="K35" i="43"/>
  <c r="J35" i="43"/>
  <c r="I35" i="43"/>
  <c r="H35" i="43"/>
  <c r="S34" i="43"/>
  <c r="R34" i="43"/>
  <c r="M34" i="43"/>
  <c r="L34" i="43"/>
  <c r="K34" i="43"/>
  <c r="J34" i="43"/>
  <c r="I34" i="43"/>
  <c r="H34" i="43"/>
  <c r="S33" i="43"/>
  <c r="R33" i="43"/>
  <c r="M33" i="43"/>
  <c r="L33" i="43"/>
  <c r="K33" i="43"/>
  <c r="J33" i="43"/>
  <c r="I33" i="43"/>
  <c r="H33" i="43"/>
  <c r="S32" i="43"/>
  <c r="R32" i="43"/>
  <c r="M32" i="43"/>
  <c r="L32" i="43"/>
  <c r="K32" i="43"/>
  <c r="J32" i="43"/>
  <c r="I32" i="43"/>
  <c r="H32" i="43"/>
  <c r="S31" i="43"/>
  <c r="R31" i="43"/>
  <c r="M31" i="43"/>
  <c r="L31" i="43"/>
  <c r="K31" i="43"/>
  <c r="J31" i="43"/>
  <c r="I31" i="43"/>
  <c r="H31" i="43"/>
  <c r="S30" i="43"/>
  <c r="R30" i="43"/>
  <c r="M30" i="43"/>
  <c r="L30" i="43"/>
  <c r="K30" i="43"/>
  <c r="J30" i="43"/>
  <c r="I30" i="43"/>
  <c r="H30" i="43"/>
  <c r="S29" i="43"/>
  <c r="R29" i="43"/>
  <c r="M29" i="43"/>
  <c r="L29" i="43"/>
  <c r="K29" i="43"/>
  <c r="J29" i="43"/>
  <c r="I29" i="43"/>
  <c r="H29" i="43"/>
  <c r="S28" i="43"/>
  <c r="R28" i="43"/>
  <c r="M28" i="43"/>
  <c r="L28" i="43"/>
  <c r="K28" i="43"/>
  <c r="J28" i="43"/>
  <c r="I28" i="43"/>
  <c r="H28" i="43"/>
  <c r="S27" i="43"/>
  <c r="R27" i="43"/>
  <c r="M27" i="43"/>
  <c r="L27" i="43"/>
  <c r="K27" i="43"/>
  <c r="J27" i="43"/>
  <c r="I27" i="43"/>
  <c r="H27" i="43"/>
  <c r="S26" i="43"/>
  <c r="R26" i="43"/>
  <c r="M26" i="43"/>
  <c r="L26" i="43"/>
  <c r="K26" i="43"/>
  <c r="J26" i="43"/>
  <c r="I26" i="43"/>
  <c r="H26" i="43"/>
  <c r="S25" i="43"/>
  <c r="R25" i="43"/>
  <c r="M25" i="43"/>
  <c r="L25" i="43"/>
  <c r="K25" i="43"/>
  <c r="J25" i="43"/>
  <c r="I25" i="43"/>
  <c r="H25" i="43"/>
  <c r="S24" i="43"/>
  <c r="R24" i="43"/>
  <c r="M24" i="43"/>
  <c r="L24" i="43"/>
  <c r="K24" i="43"/>
  <c r="J24" i="43"/>
  <c r="I24" i="43"/>
  <c r="H24" i="43"/>
  <c r="S23" i="43"/>
  <c r="R23" i="43"/>
  <c r="M23" i="43"/>
  <c r="L23" i="43"/>
  <c r="K23" i="43"/>
  <c r="J23" i="43"/>
  <c r="I23" i="43"/>
  <c r="H23" i="43"/>
  <c r="S22" i="43"/>
  <c r="R22" i="43"/>
  <c r="M22" i="43"/>
  <c r="L22" i="43"/>
  <c r="K22" i="43"/>
  <c r="J22" i="43"/>
  <c r="I22" i="43"/>
  <c r="H22" i="43"/>
  <c r="S21" i="43"/>
  <c r="R21" i="43"/>
  <c r="M21" i="43"/>
  <c r="L21" i="43"/>
  <c r="K21" i="43"/>
  <c r="J21" i="43"/>
  <c r="I21" i="43"/>
  <c r="H21" i="43"/>
  <c r="S20" i="43"/>
  <c r="R20" i="43"/>
  <c r="M20" i="43"/>
  <c r="L20" i="43"/>
  <c r="K20" i="43"/>
  <c r="J20" i="43"/>
  <c r="I20" i="43"/>
  <c r="H20" i="43"/>
  <c r="S19" i="43"/>
  <c r="R19" i="43"/>
  <c r="M19" i="43"/>
  <c r="L19" i="43"/>
  <c r="K19" i="43"/>
  <c r="J19" i="43"/>
  <c r="I19" i="43"/>
  <c r="H19" i="43"/>
  <c r="S18" i="43"/>
  <c r="R18" i="43"/>
  <c r="M18" i="43"/>
  <c r="L18" i="43"/>
  <c r="K18" i="43"/>
  <c r="J18" i="43"/>
  <c r="I18" i="43"/>
  <c r="H18" i="43"/>
  <c r="S17" i="43"/>
  <c r="R17" i="43"/>
  <c r="M17" i="43"/>
  <c r="L17" i="43"/>
  <c r="K17" i="43"/>
  <c r="J17" i="43"/>
  <c r="I17" i="43"/>
  <c r="H17" i="43"/>
  <c r="I16" i="43"/>
  <c r="J16" i="43" s="1"/>
  <c r="R16" i="43" s="1"/>
  <c r="H16" i="43"/>
  <c r="I15" i="43"/>
  <c r="J15" i="43" s="1"/>
  <c r="R15" i="43" s="1"/>
  <c r="H15" i="43"/>
  <c r="I14" i="43"/>
  <c r="J14" i="43" s="1"/>
  <c r="R14" i="43" s="1"/>
  <c r="H14" i="43"/>
  <c r="I13" i="43"/>
  <c r="J13" i="43" s="1"/>
  <c r="R13" i="43" s="1"/>
  <c r="H13" i="43"/>
  <c r="I12" i="43"/>
  <c r="J12" i="43" s="1"/>
  <c r="R12" i="43" s="1"/>
  <c r="H12" i="43"/>
  <c r="I11" i="43"/>
  <c r="J11" i="43" s="1"/>
  <c r="R11" i="43" s="1"/>
  <c r="H11" i="43"/>
  <c r="I10" i="43"/>
  <c r="J10" i="43" s="1"/>
  <c r="R10" i="43" s="1"/>
  <c r="H10" i="43"/>
  <c r="I9" i="43"/>
  <c r="J9" i="43" s="1"/>
  <c r="R9" i="43" s="1"/>
  <c r="H9" i="43"/>
  <c r="I8" i="43"/>
  <c r="J8" i="43" s="1"/>
  <c r="R8" i="43" s="1"/>
  <c r="H8" i="43"/>
  <c r="I7" i="43"/>
  <c r="H7" i="43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M39" i="56" l="1"/>
  <c r="S39" i="56" s="1"/>
  <c r="L40" i="56"/>
  <c r="L8" i="44"/>
  <c r="M9" i="45"/>
  <c r="S9" i="45" s="1"/>
  <c r="L10" i="45"/>
  <c r="L21" i="57"/>
  <c r="M20" i="57"/>
  <c r="S20" i="57" s="1"/>
  <c r="L41" i="57"/>
  <c r="M40" i="57"/>
  <c r="S40" i="57" s="1"/>
  <c r="L20" i="56"/>
  <c r="M19" i="56"/>
  <c r="S19" i="56" s="1"/>
  <c r="M16" i="55"/>
  <c r="S16" i="55" s="1"/>
  <c r="L17" i="55"/>
  <c r="M16" i="54"/>
  <c r="S16" i="54" s="1"/>
  <c r="L17" i="54"/>
  <c r="L15" i="53"/>
  <c r="M14" i="53"/>
  <c r="S14" i="53" s="1"/>
  <c r="L15" i="52"/>
  <c r="M14" i="52"/>
  <c r="S14" i="52" s="1"/>
  <c r="M13" i="51"/>
  <c r="S13" i="51" s="1"/>
  <c r="L14" i="51"/>
  <c r="M13" i="50"/>
  <c r="S13" i="50" s="1"/>
  <c r="L14" i="50"/>
  <c r="M13" i="49"/>
  <c r="S13" i="49" s="1"/>
  <c r="L14" i="49"/>
  <c r="M13" i="48"/>
  <c r="S13" i="48" s="1"/>
  <c r="L14" i="48"/>
  <c r="M13" i="47"/>
  <c r="S13" i="47" s="1"/>
  <c r="L14" i="47"/>
  <c r="M12" i="46"/>
  <c r="S12" i="46" s="1"/>
  <c r="L13" i="46"/>
  <c r="M8" i="44"/>
  <c r="S8" i="44" s="1"/>
  <c r="L9" i="44"/>
  <c r="J7" i="43"/>
  <c r="R7" i="43" s="1"/>
  <c r="L7" i="43"/>
  <c r="M7" i="43" s="1"/>
  <c r="S7" i="43" s="1"/>
  <c r="L8" i="43"/>
  <c r="S112" i="42"/>
  <c r="R112" i="42"/>
  <c r="M112" i="42"/>
  <c r="L112" i="42"/>
  <c r="K112" i="42"/>
  <c r="J112" i="42"/>
  <c r="I112" i="42"/>
  <c r="H112" i="42"/>
  <c r="S111" i="42"/>
  <c r="R111" i="42"/>
  <c r="M111" i="42"/>
  <c r="L111" i="42"/>
  <c r="K111" i="42"/>
  <c r="J111" i="42"/>
  <c r="I111" i="42"/>
  <c r="H111" i="42"/>
  <c r="S110" i="42"/>
  <c r="R110" i="42"/>
  <c r="M110" i="42"/>
  <c r="L110" i="42"/>
  <c r="K110" i="42"/>
  <c r="J110" i="42"/>
  <c r="I110" i="42"/>
  <c r="H110" i="42"/>
  <c r="S109" i="42"/>
  <c r="R109" i="42"/>
  <c r="M109" i="42"/>
  <c r="L109" i="42"/>
  <c r="K109" i="42"/>
  <c r="J109" i="42"/>
  <c r="I109" i="42"/>
  <c r="H109" i="42"/>
  <c r="S108" i="42"/>
  <c r="R108" i="42"/>
  <c r="M108" i="42"/>
  <c r="L108" i="42"/>
  <c r="K108" i="42"/>
  <c r="J108" i="42"/>
  <c r="I108" i="42"/>
  <c r="H108" i="42"/>
  <c r="S107" i="42"/>
  <c r="R107" i="42"/>
  <c r="M107" i="42"/>
  <c r="L107" i="42"/>
  <c r="K107" i="42"/>
  <c r="J107" i="42"/>
  <c r="I107" i="42"/>
  <c r="H107" i="42"/>
  <c r="S106" i="42"/>
  <c r="R106" i="42"/>
  <c r="M106" i="42"/>
  <c r="L106" i="42"/>
  <c r="K106" i="42"/>
  <c r="J106" i="42"/>
  <c r="I106" i="42"/>
  <c r="H106" i="42"/>
  <c r="S105" i="42"/>
  <c r="R105" i="42"/>
  <c r="M105" i="42"/>
  <c r="L105" i="42"/>
  <c r="K105" i="42"/>
  <c r="J105" i="42"/>
  <c r="I105" i="42"/>
  <c r="H105" i="42"/>
  <c r="S104" i="42"/>
  <c r="R104" i="42"/>
  <c r="M104" i="42"/>
  <c r="L104" i="42"/>
  <c r="K104" i="42"/>
  <c r="J104" i="42"/>
  <c r="I104" i="42"/>
  <c r="H104" i="42"/>
  <c r="S103" i="42"/>
  <c r="R103" i="42"/>
  <c r="M103" i="42"/>
  <c r="L103" i="42"/>
  <c r="K103" i="42"/>
  <c r="J103" i="42"/>
  <c r="I103" i="42"/>
  <c r="H103" i="42"/>
  <c r="S102" i="42"/>
  <c r="R102" i="42"/>
  <c r="M102" i="42"/>
  <c r="L102" i="42"/>
  <c r="K102" i="42"/>
  <c r="J102" i="42"/>
  <c r="I102" i="42"/>
  <c r="H102" i="42"/>
  <c r="S101" i="42"/>
  <c r="R101" i="42"/>
  <c r="M101" i="42"/>
  <c r="L101" i="42"/>
  <c r="K101" i="42"/>
  <c r="J101" i="42"/>
  <c r="I101" i="42"/>
  <c r="H101" i="42"/>
  <c r="S100" i="42"/>
  <c r="R100" i="42"/>
  <c r="M100" i="42"/>
  <c r="L100" i="42"/>
  <c r="K100" i="42"/>
  <c r="J100" i="42"/>
  <c r="I100" i="42"/>
  <c r="H100" i="42"/>
  <c r="S99" i="42"/>
  <c r="R99" i="42"/>
  <c r="M99" i="42"/>
  <c r="L99" i="42"/>
  <c r="K99" i="42"/>
  <c r="J99" i="42"/>
  <c r="I99" i="42"/>
  <c r="H99" i="42"/>
  <c r="S98" i="42"/>
  <c r="R98" i="42"/>
  <c r="M98" i="42"/>
  <c r="L98" i="42"/>
  <c r="K98" i="42"/>
  <c r="J98" i="42"/>
  <c r="I98" i="42"/>
  <c r="H98" i="42"/>
  <c r="S97" i="42"/>
  <c r="R97" i="42"/>
  <c r="M97" i="42"/>
  <c r="L97" i="42"/>
  <c r="K97" i="42"/>
  <c r="J97" i="42"/>
  <c r="I97" i="42"/>
  <c r="H97" i="42"/>
  <c r="S96" i="42"/>
  <c r="R96" i="42"/>
  <c r="M96" i="42"/>
  <c r="L96" i="42"/>
  <c r="K96" i="42"/>
  <c r="J96" i="42"/>
  <c r="I96" i="42"/>
  <c r="H96" i="42"/>
  <c r="S95" i="42"/>
  <c r="R95" i="42"/>
  <c r="M95" i="42"/>
  <c r="L95" i="42"/>
  <c r="K95" i="42"/>
  <c r="J95" i="42"/>
  <c r="I95" i="42"/>
  <c r="H95" i="42"/>
  <c r="S94" i="42"/>
  <c r="R94" i="42"/>
  <c r="M94" i="42"/>
  <c r="L94" i="42"/>
  <c r="K94" i="42"/>
  <c r="J94" i="42"/>
  <c r="I94" i="42"/>
  <c r="H94" i="42"/>
  <c r="S93" i="42"/>
  <c r="R93" i="42"/>
  <c r="M93" i="42"/>
  <c r="L93" i="42"/>
  <c r="K93" i="42"/>
  <c r="J93" i="42"/>
  <c r="I93" i="42"/>
  <c r="H93" i="42"/>
  <c r="S92" i="42"/>
  <c r="R92" i="42"/>
  <c r="M92" i="42"/>
  <c r="L92" i="42"/>
  <c r="K92" i="42"/>
  <c r="J92" i="42"/>
  <c r="I92" i="42"/>
  <c r="H92" i="42"/>
  <c r="S91" i="42"/>
  <c r="R91" i="42"/>
  <c r="M91" i="42"/>
  <c r="L91" i="42"/>
  <c r="K91" i="42"/>
  <c r="J91" i="42"/>
  <c r="I91" i="42"/>
  <c r="H91" i="42"/>
  <c r="S90" i="42"/>
  <c r="R90" i="42"/>
  <c r="M90" i="42"/>
  <c r="L90" i="42"/>
  <c r="K90" i="42"/>
  <c r="J90" i="42"/>
  <c r="I90" i="42"/>
  <c r="H90" i="42"/>
  <c r="S89" i="42"/>
  <c r="R89" i="42"/>
  <c r="M89" i="42"/>
  <c r="L89" i="42"/>
  <c r="K89" i="42"/>
  <c r="J89" i="42"/>
  <c r="I89" i="42"/>
  <c r="H89" i="42"/>
  <c r="S88" i="42"/>
  <c r="R88" i="42"/>
  <c r="M88" i="42"/>
  <c r="L88" i="42"/>
  <c r="K88" i="42"/>
  <c r="J88" i="42"/>
  <c r="I88" i="42"/>
  <c r="H88" i="42"/>
  <c r="S87" i="42"/>
  <c r="R87" i="42"/>
  <c r="M87" i="42"/>
  <c r="L87" i="42"/>
  <c r="K87" i="42"/>
  <c r="J87" i="42"/>
  <c r="I87" i="42"/>
  <c r="H87" i="42"/>
  <c r="S86" i="42"/>
  <c r="R86" i="42"/>
  <c r="M86" i="42"/>
  <c r="L86" i="42"/>
  <c r="K86" i="42"/>
  <c r="J86" i="42"/>
  <c r="I86" i="42"/>
  <c r="H86" i="42"/>
  <c r="S85" i="42"/>
  <c r="R85" i="42"/>
  <c r="M85" i="42"/>
  <c r="L85" i="42"/>
  <c r="K85" i="42"/>
  <c r="J85" i="42"/>
  <c r="I85" i="42"/>
  <c r="H85" i="42"/>
  <c r="S84" i="42"/>
  <c r="R84" i="42"/>
  <c r="M84" i="42"/>
  <c r="L84" i="42"/>
  <c r="K84" i="42"/>
  <c r="J84" i="42"/>
  <c r="I84" i="42"/>
  <c r="H84" i="42"/>
  <c r="S83" i="42"/>
  <c r="R83" i="42"/>
  <c r="M83" i="42"/>
  <c r="L83" i="42"/>
  <c r="K83" i="42"/>
  <c r="J83" i="42"/>
  <c r="I83" i="42"/>
  <c r="H83" i="42"/>
  <c r="S82" i="42"/>
  <c r="R82" i="42"/>
  <c r="M82" i="42"/>
  <c r="L82" i="42"/>
  <c r="K82" i="42"/>
  <c r="J82" i="42"/>
  <c r="I82" i="42"/>
  <c r="H82" i="42"/>
  <c r="S81" i="42"/>
  <c r="R81" i="42"/>
  <c r="M81" i="42"/>
  <c r="L81" i="42"/>
  <c r="K81" i="42"/>
  <c r="J81" i="42"/>
  <c r="I81" i="42"/>
  <c r="H81" i="42"/>
  <c r="S80" i="42"/>
  <c r="R80" i="42"/>
  <c r="M80" i="42"/>
  <c r="L80" i="42"/>
  <c r="K80" i="42"/>
  <c r="J80" i="42"/>
  <c r="I80" i="42"/>
  <c r="H80" i="42"/>
  <c r="S79" i="42"/>
  <c r="R79" i="42"/>
  <c r="M79" i="42"/>
  <c r="L79" i="42"/>
  <c r="K79" i="42"/>
  <c r="J79" i="42"/>
  <c r="I79" i="42"/>
  <c r="H79" i="42"/>
  <c r="S78" i="42"/>
  <c r="R78" i="42"/>
  <c r="M78" i="42"/>
  <c r="L78" i="42"/>
  <c r="K78" i="42"/>
  <c r="J78" i="42"/>
  <c r="I78" i="42"/>
  <c r="H78" i="42"/>
  <c r="S77" i="42"/>
  <c r="R77" i="42"/>
  <c r="M77" i="42"/>
  <c r="L77" i="42"/>
  <c r="K77" i="42"/>
  <c r="J77" i="42"/>
  <c r="I77" i="42"/>
  <c r="H77" i="42"/>
  <c r="S76" i="42"/>
  <c r="R76" i="42"/>
  <c r="M76" i="42"/>
  <c r="L76" i="42"/>
  <c r="K76" i="42"/>
  <c r="J76" i="42"/>
  <c r="I76" i="42"/>
  <c r="H76" i="42"/>
  <c r="S75" i="42"/>
  <c r="R75" i="42"/>
  <c r="M75" i="42"/>
  <c r="L75" i="42"/>
  <c r="K75" i="42"/>
  <c r="J75" i="42"/>
  <c r="I75" i="42"/>
  <c r="H75" i="42"/>
  <c r="S74" i="42"/>
  <c r="R74" i="42"/>
  <c r="M74" i="42"/>
  <c r="L74" i="42"/>
  <c r="K74" i="42"/>
  <c r="J74" i="42"/>
  <c r="I74" i="42"/>
  <c r="H74" i="42"/>
  <c r="S73" i="42"/>
  <c r="R73" i="42"/>
  <c r="M73" i="42"/>
  <c r="L73" i="42"/>
  <c r="K73" i="42"/>
  <c r="J73" i="42"/>
  <c r="I73" i="42"/>
  <c r="H73" i="42"/>
  <c r="S72" i="42"/>
  <c r="R72" i="42"/>
  <c r="M72" i="42"/>
  <c r="L72" i="42"/>
  <c r="K72" i="42"/>
  <c r="J72" i="42"/>
  <c r="I72" i="42"/>
  <c r="H72" i="42"/>
  <c r="S71" i="42"/>
  <c r="R71" i="42"/>
  <c r="M71" i="42"/>
  <c r="L71" i="42"/>
  <c r="K71" i="42"/>
  <c r="J71" i="42"/>
  <c r="I71" i="42"/>
  <c r="H71" i="42"/>
  <c r="S70" i="42"/>
  <c r="R70" i="42"/>
  <c r="M70" i="42"/>
  <c r="L70" i="42"/>
  <c r="K70" i="42"/>
  <c r="J70" i="42"/>
  <c r="I70" i="42"/>
  <c r="H70" i="42"/>
  <c r="M69" i="42"/>
  <c r="S69" i="42" s="1"/>
  <c r="L69" i="42"/>
  <c r="K69" i="42"/>
  <c r="J69" i="42"/>
  <c r="R69" i="42" s="1"/>
  <c r="I69" i="42"/>
  <c r="H69" i="42"/>
  <c r="M68" i="42"/>
  <c r="S68" i="42" s="1"/>
  <c r="L68" i="42"/>
  <c r="K68" i="42"/>
  <c r="J68" i="42"/>
  <c r="R68" i="42" s="1"/>
  <c r="I68" i="42"/>
  <c r="H68" i="42"/>
  <c r="S67" i="42"/>
  <c r="R67" i="42"/>
  <c r="M67" i="42"/>
  <c r="L67" i="42"/>
  <c r="K67" i="42"/>
  <c r="J67" i="42"/>
  <c r="I67" i="42"/>
  <c r="H67" i="42"/>
  <c r="S66" i="42"/>
  <c r="R66" i="42"/>
  <c r="M66" i="42"/>
  <c r="L66" i="42"/>
  <c r="K66" i="42"/>
  <c r="J66" i="42"/>
  <c r="I66" i="42"/>
  <c r="H66" i="42"/>
  <c r="M65" i="42"/>
  <c r="S65" i="42" s="1"/>
  <c r="L65" i="42"/>
  <c r="K65" i="42"/>
  <c r="J65" i="42"/>
  <c r="R65" i="42" s="1"/>
  <c r="I65" i="42"/>
  <c r="H65" i="42"/>
  <c r="M64" i="42"/>
  <c r="S64" i="42" s="1"/>
  <c r="L64" i="42"/>
  <c r="K64" i="42"/>
  <c r="J64" i="42"/>
  <c r="R64" i="42" s="1"/>
  <c r="I64" i="42"/>
  <c r="H64" i="42"/>
  <c r="S63" i="42"/>
  <c r="R63" i="42"/>
  <c r="M63" i="42"/>
  <c r="L63" i="42"/>
  <c r="K63" i="42"/>
  <c r="J63" i="42"/>
  <c r="I63" i="42"/>
  <c r="H63" i="42"/>
  <c r="S62" i="42"/>
  <c r="R62" i="42"/>
  <c r="M62" i="42"/>
  <c r="L62" i="42"/>
  <c r="K62" i="42"/>
  <c r="J62" i="42"/>
  <c r="I62" i="42"/>
  <c r="H62" i="42"/>
  <c r="M61" i="42"/>
  <c r="S61" i="42" s="1"/>
  <c r="L61" i="42"/>
  <c r="K61" i="42"/>
  <c r="J61" i="42"/>
  <c r="R61" i="42" s="1"/>
  <c r="I61" i="42"/>
  <c r="H61" i="42"/>
  <c r="M60" i="42"/>
  <c r="S60" i="42" s="1"/>
  <c r="L60" i="42"/>
  <c r="K60" i="42"/>
  <c r="J60" i="42"/>
  <c r="R60" i="42" s="1"/>
  <c r="I60" i="42"/>
  <c r="H60" i="42"/>
  <c r="S59" i="42"/>
  <c r="R59" i="42"/>
  <c r="M59" i="42"/>
  <c r="L59" i="42"/>
  <c r="K59" i="42"/>
  <c r="J59" i="42"/>
  <c r="I59" i="42"/>
  <c r="H59" i="42"/>
  <c r="S58" i="42"/>
  <c r="R58" i="42"/>
  <c r="M58" i="42"/>
  <c r="L58" i="42"/>
  <c r="K58" i="42"/>
  <c r="J58" i="42"/>
  <c r="I58" i="42"/>
  <c r="H58" i="42"/>
  <c r="S57" i="42"/>
  <c r="R57" i="42"/>
  <c r="M57" i="42"/>
  <c r="L57" i="42"/>
  <c r="K57" i="42"/>
  <c r="J57" i="42"/>
  <c r="I57" i="42"/>
  <c r="H57" i="42"/>
  <c r="S56" i="42"/>
  <c r="R56" i="42"/>
  <c r="M56" i="42"/>
  <c r="L56" i="42"/>
  <c r="K56" i="42"/>
  <c r="J56" i="42"/>
  <c r="I56" i="42"/>
  <c r="H56" i="42"/>
  <c r="S55" i="42"/>
  <c r="R55" i="42"/>
  <c r="M55" i="42"/>
  <c r="L55" i="42"/>
  <c r="K55" i="42"/>
  <c r="J55" i="42"/>
  <c r="I55" i="42"/>
  <c r="H55" i="42"/>
  <c r="S54" i="42"/>
  <c r="R54" i="42"/>
  <c r="M54" i="42"/>
  <c r="L54" i="42"/>
  <c r="K54" i="42"/>
  <c r="J54" i="42"/>
  <c r="I54" i="42"/>
  <c r="H54" i="42"/>
  <c r="S53" i="42"/>
  <c r="R53" i="42"/>
  <c r="M53" i="42"/>
  <c r="L53" i="42"/>
  <c r="K53" i="42"/>
  <c r="J53" i="42"/>
  <c r="I53" i="42"/>
  <c r="H53" i="42"/>
  <c r="S52" i="42"/>
  <c r="R52" i="42"/>
  <c r="M52" i="42"/>
  <c r="L52" i="42"/>
  <c r="K52" i="42"/>
  <c r="J52" i="42"/>
  <c r="I52" i="42"/>
  <c r="H52" i="42"/>
  <c r="S51" i="42"/>
  <c r="R51" i="42"/>
  <c r="M51" i="42"/>
  <c r="L51" i="42"/>
  <c r="K51" i="42"/>
  <c r="J51" i="42"/>
  <c r="I51" i="42"/>
  <c r="H51" i="42"/>
  <c r="S50" i="42"/>
  <c r="R50" i="42"/>
  <c r="M50" i="42"/>
  <c r="L50" i="42"/>
  <c r="K50" i="42"/>
  <c r="J50" i="42"/>
  <c r="I50" i="42"/>
  <c r="H50" i="42"/>
  <c r="S49" i="42"/>
  <c r="R49" i="42"/>
  <c r="M49" i="42"/>
  <c r="L49" i="42"/>
  <c r="K49" i="42"/>
  <c r="J49" i="42"/>
  <c r="I49" i="42"/>
  <c r="H49" i="42"/>
  <c r="S48" i="42"/>
  <c r="R48" i="42"/>
  <c r="M48" i="42"/>
  <c r="L48" i="42"/>
  <c r="K48" i="42"/>
  <c r="J48" i="42"/>
  <c r="I48" i="42"/>
  <c r="H48" i="42"/>
  <c r="S47" i="42"/>
  <c r="R47" i="42"/>
  <c r="M47" i="42"/>
  <c r="L47" i="42"/>
  <c r="K47" i="42"/>
  <c r="J47" i="42"/>
  <c r="I47" i="42"/>
  <c r="H47" i="42"/>
  <c r="S46" i="42"/>
  <c r="R46" i="42"/>
  <c r="M46" i="42"/>
  <c r="L46" i="42"/>
  <c r="K46" i="42"/>
  <c r="J46" i="42"/>
  <c r="I46" i="42"/>
  <c r="H46" i="42"/>
  <c r="S45" i="42"/>
  <c r="R45" i="42"/>
  <c r="M45" i="42"/>
  <c r="L45" i="42"/>
  <c r="K45" i="42"/>
  <c r="J45" i="42"/>
  <c r="I45" i="42"/>
  <c r="H45" i="42"/>
  <c r="S44" i="42"/>
  <c r="R44" i="42"/>
  <c r="M44" i="42"/>
  <c r="L44" i="42"/>
  <c r="K44" i="42"/>
  <c r="J44" i="42"/>
  <c r="I44" i="42"/>
  <c r="H44" i="42"/>
  <c r="S43" i="42"/>
  <c r="R43" i="42"/>
  <c r="M43" i="42"/>
  <c r="L43" i="42"/>
  <c r="K43" i="42"/>
  <c r="J43" i="42"/>
  <c r="I43" i="42"/>
  <c r="H43" i="42"/>
  <c r="S42" i="42"/>
  <c r="R42" i="42"/>
  <c r="M42" i="42"/>
  <c r="L42" i="42"/>
  <c r="K42" i="42"/>
  <c r="J42" i="42"/>
  <c r="I42" i="42"/>
  <c r="H42" i="42"/>
  <c r="S41" i="42"/>
  <c r="R41" i="42"/>
  <c r="M41" i="42"/>
  <c r="L41" i="42"/>
  <c r="K41" i="42"/>
  <c r="J41" i="42"/>
  <c r="I41" i="42"/>
  <c r="H41" i="42"/>
  <c r="S40" i="42"/>
  <c r="R40" i="42"/>
  <c r="M40" i="42"/>
  <c r="L40" i="42"/>
  <c r="K40" i="42"/>
  <c r="J40" i="42"/>
  <c r="I40" i="42"/>
  <c r="H40" i="42"/>
  <c r="S39" i="42"/>
  <c r="R39" i="42"/>
  <c r="M39" i="42"/>
  <c r="L39" i="42"/>
  <c r="K39" i="42"/>
  <c r="J39" i="42"/>
  <c r="I39" i="42"/>
  <c r="H39" i="42"/>
  <c r="S38" i="42"/>
  <c r="R38" i="42"/>
  <c r="M38" i="42"/>
  <c r="L38" i="42"/>
  <c r="K38" i="42"/>
  <c r="J38" i="42"/>
  <c r="I38" i="42"/>
  <c r="H38" i="42"/>
  <c r="S37" i="42"/>
  <c r="R37" i="42"/>
  <c r="M37" i="42"/>
  <c r="L37" i="42"/>
  <c r="K37" i="42"/>
  <c r="J37" i="42"/>
  <c r="I37" i="42"/>
  <c r="H37" i="42"/>
  <c r="S36" i="42"/>
  <c r="R36" i="42"/>
  <c r="M36" i="42"/>
  <c r="L36" i="42"/>
  <c r="K36" i="42"/>
  <c r="J36" i="42"/>
  <c r="I36" i="42"/>
  <c r="H36" i="42"/>
  <c r="S35" i="42"/>
  <c r="R35" i="42"/>
  <c r="M35" i="42"/>
  <c r="L35" i="42"/>
  <c r="K35" i="42"/>
  <c r="J35" i="42"/>
  <c r="I35" i="42"/>
  <c r="H35" i="42"/>
  <c r="S34" i="42"/>
  <c r="R34" i="42"/>
  <c r="M34" i="42"/>
  <c r="L34" i="42"/>
  <c r="K34" i="42"/>
  <c r="J34" i="42"/>
  <c r="I34" i="42"/>
  <c r="H34" i="42"/>
  <c r="S33" i="42"/>
  <c r="R33" i="42"/>
  <c r="M33" i="42"/>
  <c r="L33" i="42"/>
  <c r="K33" i="42"/>
  <c r="J33" i="42"/>
  <c r="I33" i="42"/>
  <c r="H33" i="42"/>
  <c r="S32" i="42"/>
  <c r="R32" i="42"/>
  <c r="M32" i="42"/>
  <c r="L32" i="42"/>
  <c r="K32" i="42"/>
  <c r="J32" i="42"/>
  <c r="I32" i="42"/>
  <c r="H32" i="42"/>
  <c r="S31" i="42"/>
  <c r="R31" i="42"/>
  <c r="M31" i="42"/>
  <c r="L31" i="42"/>
  <c r="K31" i="42"/>
  <c r="J31" i="42"/>
  <c r="I31" i="42"/>
  <c r="H31" i="42"/>
  <c r="S30" i="42"/>
  <c r="R30" i="42"/>
  <c r="M30" i="42"/>
  <c r="L30" i="42"/>
  <c r="K30" i="42"/>
  <c r="J30" i="42"/>
  <c r="I30" i="42"/>
  <c r="H30" i="42"/>
  <c r="S29" i="42"/>
  <c r="R29" i="42"/>
  <c r="M29" i="42"/>
  <c r="L29" i="42"/>
  <c r="K29" i="42"/>
  <c r="J29" i="42"/>
  <c r="I29" i="42"/>
  <c r="H29" i="42"/>
  <c r="S28" i="42"/>
  <c r="R28" i="42"/>
  <c r="M28" i="42"/>
  <c r="L28" i="42"/>
  <c r="K28" i="42"/>
  <c r="J28" i="42"/>
  <c r="I28" i="42"/>
  <c r="H28" i="42"/>
  <c r="S27" i="42"/>
  <c r="R27" i="42"/>
  <c r="M27" i="42"/>
  <c r="L27" i="42"/>
  <c r="K27" i="42"/>
  <c r="J27" i="42"/>
  <c r="I27" i="42"/>
  <c r="H27" i="42"/>
  <c r="S26" i="42"/>
  <c r="R26" i="42"/>
  <c r="M26" i="42"/>
  <c r="L26" i="42"/>
  <c r="K26" i="42"/>
  <c r="J26" i="42"/>
  <c r="I26" i="42"/>
  <c r="H26" i="42"/>
  <c r="S25" i="42"/>
  <c r="R25" i="42"/>
  <c r="M25" i="42"/>
  <c r="L25" i="42"/>
  <c r="K25" i="42"/>
  <c r="J25" i="42"/>
  <c r="I25" i="42"/>
  <c r="H25" i="42"/>
  <c r="S24" i="42"/>
  <c r="R24" i="42"/>
  <c r="M24" i="42"/>
  <c r="L24" i="42"/>
  <c r="K24" i="42"/>
  <c r="J24" i="42"/>
  <c r="I24" i="42"/>
  <c r="H24" i="42"/>
  <c r="I23" i="42"/>
  <c r="J23" i="42" s="1"/>
  <c r="R23" i="42" s="1"/>
  <c r="H23" i="42"/>
  <c r="I22" i="42"/>
  <c r="J22" i="42" s="1"/>
  <c r="R22" i="42" s="1"/>
  <c r="H22" i="42"/>
  <c r="I21" i="42"/>
  <c r="J21" i="42" s="1"/>
  <c r="R21" i="42" s="1"/>
  <c r="H21" i="42"/>
  <c r="I20" i="42"/>
  <c r="J20" i="42" s="1"/>
  <c r="R20" i="42" s="1"/>
  <c r="H20" i="42"/>
  <c r="I19" i="42"/>
  <c r="J19" i="42" s="1"/>
  <c r="R19" i="42" s="1"/>
  <c r="H19" i="42"/>
  <c r="I18" i="42"/>
  <c r="J18" i="42" s="1"/>
  <c r="R18" i="42" s="1"/>
  <c r="H18" i="42"/>
  <c r="I17" i="42"/>
  <c r="J17" i="42" s="1"/>
  <c r="R17" i="42" s="1"/>
  <c r="H17" i="42"/>
  <c r="I16" i="42"/>
  <c r="J16" i="42" s="1"/>
  <c r="R16" i="42" s="1"/>
  <c r="H16" i="42"/>
  <c r="I15" i="42"/>
  <c r="J15" i="42" s="1"/>
  <c r="R15" i="42" s="1"/>
  <c r="H15" i="42"/>
  <c r="I14" i="42"/>
  <c r="H14" i="42"/>
  <c r="I13" i="42"/>
  <c r="J13" i="42" s="1"/>
  <c r="R13" i="42" s="1"/>
  <c r="H13" i="42"/>
  <c r="I12" i="42"/>
  <c r="H12" i="42"/>
  <c r="I11" i="42"/>
  <c r="J11" i="42" s="1"/>
  <c r="R11" i="42" s="1"/>
  <c r="H11" i="42"/>
  <c r="I10" i="42"/>
  <c r="H10" i="42"/>
  <c r="I9" i="42"/>
  <c r="J9" i="42" s="1"/>
  <c r="R9" i="42" s="1"/>
  <c r="H9" i="42"/>
  <c r="I8" i="42"/>
  <c r="H8" i="42"/>
  <c r="I7" i="42"/>
  <c r="J7" i="42" s="1"/>
  <c r="R7" i="42" s="1"/>
  <c r="H7" i="42"/>
  <c r="K7" i="42" s="1"/>
  <c r="K8" i="42" s="1"/>
  <c r="K9" i="42" s="1"/>
  <c r="L41" i="56" l="1"/>
  <c r="M40" i="56"/>
  <c r="S40" i="56" s="1"/>
  <c r="M10" i="45"/>
  <c r="S10" i="45" s="1"/>
  <c r="L11" i="45"/>
  <c r="M41" i="57"/>
  <c r="S41" i="57" s="1"/>
  <c r="L42" i="57"/>
  <c r="L22" i="57"/>
  <c r="M21" i="57"/>
  <c r="S21" i="57" s="1"/>
  <c r="M20" i="56"/>
  <c r="S20" i="56" s="1"/>
  <c r="L21" i="56"/>
  <c r="M17" i="55"/>
  <c r="S17" i="55" s="1"/>
  <c r="L18" i="55"/>
  <c r="M17" i="54"/>
  <c r="S17" i="54" s="1"/>
  <c r="L18" i="54"/>
  <c r="L16" i="53"/>
  <c r="M15" i="53"/>
  <c r="S15" i="53" s="1"/>
  <c r="M15" i="52"/>
  <c r="S15" i="52" s="1"/>
  <c r="L16" i="52"/>
  <c r="M14" i="51"/>
  <c r="S14" i="51" s="1"/>
  <c r="L15" i="51"/>
  <c r="M14" i="50"/>
  <c r="S14" i="50" s="1"/>
  <c r="L15" i="50"/>
  <c r="L15" i="49"/>
  <c r="M14" i="49"/>
  <c r="S14" i="49" s="1"/>
  <c r="M14" i="48"/>
  <c r="S14" i="48" s="1"/>
  <c r="L15" i="48"/>
  <c r="M14" i="47"/>
  <c r="S14" i="47" s="1"/>
  <c r="L15" i="47"/>
  <c r="L14" i="46"/>
  <c r="M13" i="46"/>
  <c r="S13" i="46" s="1"/>
  <c r="M9" i="44"/>
  <c r="S9" i="44" s="1"/>
  <c r="L10" i="44"/>
  <c r="M8" i="43"/>
  <c r="S8" i="43" s="1"/>
  <c r="L9" i="43"/>
  <c r="J14" i="42"/>
  <c r="R14" i="42" s="1"/>
  <c r="J12" i="42"/>
  <c r="R12" i="42" s="1"/>
  <c r="J10" i="42"/>
  <c r="R10" i="42" s="1"/>
  <c r="K10" i="42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J8" i="42"/>
  <c r="R8" i="42" s="1"/>
  <c r="L7" i="42"/>
  <c r="M11" i="45" l="1"/>
  <c r="S11" i="45" s="1"/>
  <c r="L12" i="45"/>
  <c r="L42" i="56"/>
  <c r="M41" i="56"/>
  <c r="S41" i="56" s="1"/>
  <c r="L43" i="57"/>
  <c r="M42" i="57"/>
  <c r="S42" i="57" s="1"/>
  <c r="L23" i="57"/>
  <c r="M23" i="57" s="1"/>
  <c r="S23" i="57" s="1"/>
  <c r="M22" i="57"/>
  <c r="S22" i="57" s="1"/>
  <c r="M21" i="56"/>
  <c r="S21" i="56" s="1"/>
  <c r="L22" i="56"/>
  <c r="M18" i="55"/>
  <c r="S18" i="55" s="1"/>
  <c r="L19" i="55"/>
  <c r="M18" i="54"/>
  <c r="S18" i="54" s="1"/>
  <c r="L19" i="54"/>
  <c r="M16" i="53"/>
  <c r="S16" i="53" s="1"/>
  <c r="L17" i="53"/>
  <c r="L17" i="52"/>
  <c r="M16" i="52"/>
  <c r="S16" i="52" s="1"/>
  <c r="L16" i="51"/>
  <c r="M15" i="51"/>
  <c r="S15" i="51" s="1"/>
  <c r="M15" i="50"/>
  <c r="S15" i="50" s="1"/>
  <c r="L16" i="50"/>
  <c r="M15" i="49"/>
  <c r="S15" i="49" s="1"/>
  <c r="L16" i="49"/>
  <c r="L16" i="48"/>
  <c r="M15" i="48"/>
  <c r="S15" i="48" s="1"/>
  <c r="M15" i="47"/>
  <c r="S15" i="47" s="1"/>
  <c r="L16" i="47"/>
  <c r="M14" i="46"/>
  <c r="S14" i="46" s="1"/>
  <c r="L15" i="46"/>
  <c r="M10" i="44"/>
  <c r="S10" i="44" s="1"/>
  <c r="L11" i="44"/>
  <c r="M9" i="43"/>
  <c r="S9" i="43" s="1"/>
  <c r="L10" i="43"/>
  <c r="M7" i="42"/>
  <c r="S7" i="42" s="1"/>
  <c r="L8" i="42"/>
  <c r="M11" i="44" l="1"/>
  <c r="S11" i="44" s="1"/>
  <c r="L12" i="44"/>
  <c r="M42" i="56"/>
  <c r="S42" i="56" s="1"/>
  <c r="L43" i="56"/>
  <c r="M22" i="56"/>
  <c r="S22" i="56" s="1"/>
  <c r="L23" i="56"/>
  <c r="M23" i="56" s="1"/>
  <c r="S23" i="56" s="1"/>
  <c r="M12" i="45"/>
  <c r="S12" i="45" s="1"/>
  <c r="L13" i="45"/>
  <c r="L44" i="57"/>
  <c r="M43" i="57"/>
  <c r="S43" i="57" s="1"/>
  <c r="M19" i="55"/>
  <c r="S19" i="55" s="1"/>
  <c r="L20" i="55"/>
  <c r="L20" i="54"/>
  <c r="M19" i="54"/>
  <c r="S19" i="54" s="1"/>
  <c r="L18" i="53"/>
  <c r="M17" i="53"/>
  <c r="S17" i="53" s="1"/>
  <c r="M17" i="52"/>
  <c r="S17" i="52" s="1"/>
  <c r="L18" i="52"/>
  <c r="M16" i="51"/>
  <c r="S16" i="51" s="1"/>
  <c r="L17" i="51"/>
  <c r="M16" i="50"/>
  <c r="S16" i="50" s="1"/>
  <c r="L17" i="50"/>
  <c r="L17" i="49"/>
  <c r="M16" i="49"/>
  <c r="S16" i="49" s="1"/>
  <c r="M16" i="48"/>
  <c r="S16" i="48" s="1"/>
  <c r="L17" i="48"/>
  <c r="M16" i="47"/>
  <c r="S16" i="47" s="1"/>
  <c r="L17" i="47"/>
  <c r="M15" i="46"/>
  <c r="S15" i="46" s="1"/>
  <c r="L16" i="46"/>
  <c r="M10" i="43"/>
  <c r="S10" i="43" s="1"/>
  <c r="L11" i="43"/>
  <c r="M8" i="42"/>
  <c r="S8" i="42" s="1"/>
  <c r="L9" i="42"/>
  <c r="M13" i="45" l="1"/>
  <c r="S13" i="45" s="1"/>
  <c r="L14" i="45"/>
  <c r="M43" i="56"/>
  <c r="S43" i="56" s="1"/>
  <c r="L44" i="56"/>
  <c r="M12" i="44"/>
  <c r="S12" i="44" s="1"/>
  <c r="L13" i="44"/>
  <c r="L45" i="57"/>
  <c r="M44" i="57"/>
  <c r="S44" i="57" s="1"/>
  <c r="M20" i="55"/>
  <c r="S20" i="55" s="1"/>
  <c r="L21" i="55"/>
  <c r="M20" i="54"/>
  <c r="S20" i="54" s="1"/>
  <c r="L21" i="54"/>
  <c r="M18" i="53"/>
  <c r="S18" i="53" s="1"/>
  <c r="L19" i="53"/>
  <c r="L19" i="52"/>
  <c r="M18" i="52"/>
  <c r="S18" i="52" s="1"/>
  <c r="M17" i="51"/>
  <c r="S17" i="51" s="1"/>
  <c r="L18" i="51"/>
  <c r="M17" i="50"/>
  <c r="S17" i="50" s="1"/>
  <c r="L18" i="50"/>
  <c r="L18" i="49"/>
  <c r="M17" i="49"/>
  <c r="S17" i="49" s="1"/>
  <c r="L18" i="48"/>
  <c r="M17" i="48"/>
  <c r="S17" i="48" s="1"/>
  <c r="M17" i="47"/>
  <c r="S17" i="47" s="1"/>
  <c r="L18" i="47"/>
  <c r="M16" i="46"/>
  <c r="S16" i="46" s="1"/>
  <c r="L17" i="46"/>
  <c r="L12" i="43"/>
  <c r="M11" i="43"/>
  <c r="S11" i="43" s="1"/>
  <c r="L10" i="42"/>
  <c r="M9" i="42"/>
  <c r="S9" i="42" s="1"/>
  <c r="M44" i="56" l="1"/>
  <c r="S44" i="56" s="1"/>
  <c r="L45" i="56"/>
  <c r="M13" i="44"/>
  <c r="S13" i="44" s="1"/>
  <c r="L14" i="44"/>
  <c r="M14" i="45"/>
  <c r="S14" i="45" s="1"/>
  <c r="L15" i="45"/>
  <c r="M45" i="57"/>
  <c r="S45" i="57" s="1"/>
  <c r="L46" i="57"/>
  <c r="M21" i="55"/>
  <c r="S21" i="55" s="1"/>
  <c r="L22" i="55"/>
  <c r="M22" i="55" s="1"/>
  <c r="S22" i="55" s="1"/>
  <c r="M21" i="54"/>
  <c r="S21" i="54" s="1"/>
  <c r="L22" i="54"/>
  <c r="L20" i="53"/>
  <c r="M19" i="53"/>
  <c r="S19" i="53" s="1"/>
  <c r="L20" i="52"/>
  <c r="M19" i="52"/>
  <c r="S19" i="52" s="1"/>
  <c r="M18" i="51"/>
  <c r="S18" i="51" s="1"/>
  <c r="L19" i="51"/>
  <c r="M18" i="50"/>
  <c r="S18" i="50" s="1"/>
  <c r="L19" i="50"/>
  <c r="M18" i="49"/>
  <c r="S18" i="49" s="1"/>
  <c r="L19" i="49"/>
  <c r="M18" i="48"/>
  <c r="S18" i="48" s="1"/>
  <c r="L19" i="48"/>
  <c r="M18" i="47"/>
  <c r="S18" i="47" s="1"/>
  <c r="L19" i="47"/>
  <c r="M17" i="46"/>
  <c r="S17" i="46" s="1"/>
  <c r="L18" i="46"/>
  <c r="M12" i="43"/>
  <c r="S12" i="43" s="1"/>
  <c r="L13" i="43"/>
  <c r="M10" i="42"/>
  <c r="S10" i="42" s="1"/>
  <c r="L11" i="42"/>
  <c r="M14" i="44" l="1"/>
  <c r="S14" i="44" s="1"/>
  <c r="L15" i="44"/>
  <c r="M15" i="45"/>
  <c r="S15" i="45" s="1"/>
  <c r="L16" i="45"/>
  <c r="L46" i="56"/>
  <c r="M45" i="56"/>
  <c r="S45" i="56" s="1"/>
  <c r="L47" i="57"/>
  <c r="M47" i="57" s="1"/>
  <c r="S47" i="57" s="1"/>
  <c r="M46" i="57"/>
  <c r="S46" i="57" s="1"/>
  <c r="M22" i="54"/>
  <c r="S22" i="54" s="1"/>
  <c r="L23" i="54"/>
  <c r="M20" i="53"/>
  <c r="S20" i="53" s="1"/>
  <c r="L21" i="53"/>
  <c r="M20" i="52"/>
  <c r="S20" i="52" s="1"/>
  <c r="L21" i="52"/>
  <c r="L20" i="51"/>
  <c r="M19" i="51"/>
  <c r="S19" i="51" s="1"/>
  <c r="L20" i="50"/>
  <c r="M19" i="50"/>
  <c r="S19" i="50" s="1"/>
  <c r="L20" i="49"/>
  <c r="M19" i="49"/>
  <c r="S19" i="49" s="1"/>
  <c r="L20" i="48"/>
  <c r="M19" i="48"/>
  <c r="S19" i="48" s="1"/>
  <c r="M19" i="47"/>
  <c r="S19" i="47" s="1"/>
  <c r="L20" i="47"/>
  <c r="M18" i="46"/>
  <c r="S18" i="46" s="1"/>
  <c r="L19" i="46"/>
  <c r="M13" i="43"/>
  <c r="S13" i="43" s="1"/>
  <c r="L14" i="43"/>
  <c r="L12" i="42"/>
  <c r="M11" i="42"/>
  <c r="S11" i="42" s="1"/>
  <c r="M16" i="45" l="1"/>
  <c r="S16" i="45" s="1"/>
  <c r="L17" i="45"/>
  <c r="M15" i="44"/>
  <c r="S15" i="44" s="1"/>
  <c r="L16" i="44"/>
  <c r="L47" i="56"/>
  <c r="M47" i="56" s="1"/>
  <c r="S47" i="56" s="1"/>
  <c r="M46" i="56"/>
  <c r="S46" i="56" s="1"/>
  <c r="L24" i="54"/>
  <c r="M23" i="54"/>
  <c r="S23" i="54" s="1"/>
  <c r="M21" i="53"/>
  <c r="S21" i="53" s="1"/>
  <c r="L22" i="53"/>
  <c r="L22" i="52"/>
  <c r="M21" i="52"/>
  <c r="S21" i="52" s="1"/>
  <c r="M20" i="51"/>
  <c r="S20" i="51" s="1"/>
  <c r="L21" i="51"/>
  <c r="M20" i="50"/>
  <c r="S20" i="50" s="1"/>
  <c r="L21" i="50"/>
  <c r="L21" i="49"/>
  <c r="M20" i="49"/>
  <c r="S20" i="49" s="1"/>
  <c r="L21" i="48"/>
  <c r="M20" i="48"/>
  <c r="S20" i="48" s="1"/>
  <c r="M20" i="47"/>
  <c r="S20" i="47" s="1"/>
  <c r="L21" i="47"/>
  <c r="M19" i="46"/>
  <c r="S19" i="46" s="1"/>
  <c r="L20" i="46"/>
  <c r="M14" i="43"/>
  <c r="S14" i="43" s="1"/>
  <c r="L15" i="43"/>
  <c r="M12" i="42"/>
  <c r="S12" i="42" s="1"/>
  <c r="L13" i="42"/>
  <c r="M16" i="44" l="1"/>
  <c r="S16" i="44" s="1"/>
  <c r="L17" i="44"/>
  <c r="M22" i="53"/>
  <c r="S22" i="53" s="1"/>
  <c r="L23" i="53"/>
  <c r="M17" i="45"/>
  <c r="S17" i="45" s="1"/>
  <c r="L18" i="45"/>
  <c r="M24" i="54"/>
  <c r="S24" i="54" s="1"/>
  <c r="L25" i="54"/>
  <c r="L23" i="52"/>
  <c r="M22" i="52"/>
  <c r="S22" i="52" s="1"/>
  <c r="L22" i="51"/>
  <c r="M21" i="51"/>
  <c r="S21" i="51" s="1"/>
  <c r="M21" i="50"/>
  <c r="S21" i="50" s="1"/>
  <c r="L22" i="50"/>
  <c r="M21" i="49"/>
  <c r="S21" i="49" s="1"/>
  <c r="L22" i="49"/>
  <c r="M21" i="48"/>
  <c r="S21" i="48" s="1"/>
  <c r="L22" i="48"/>
  <c r="M21" i="47"/>
  <c r="S21" i="47" s="1"/>
  <c r="L22" i="47"/>
  <c r="M20" i="46"/>
  <c r="S20" i="46" s="1"/>
  <c r="L21" i="46"/>
  <c r="M15" i="43"/>
  <c r="S15" i="43" s="1"/>
  <c r="L16" i="43"/>
  <c r="M16" i="43" s="1"/>
  <c r="S16" i="43" s="1"/>
  <c r="M13" i="42"/>
  <c r="S13" i="42" s="1"/>
  <c r="L14" i="42"/>
  <c r="L24" i="53" l="1"/>
  <c r="M23" i="53"/>
  <c r="S23" i="53" s="1"/>
  <c r="M22" i="50"/>
  <c r="S22" i="50" s="1"/>
  <c r="L23" i="50"/>
  <c r="M23" i="50" s="1"/>
  <c r="S23" i="50" s="1"/>
  <c r="M18" i="45"/>
  <c r="S18" i="45" s="1"/>
  <c r="L19" i="45"/>
  <c r="M17" i="44"/>
  <c r="S17" i="44" s="1"/>
  <c r="L18" i="44"/>
  <c r="M25" i="54"/>
  <c r="S25" i="54" s="1"/>
  <c r="L26" i="54"/>
  <c r="M26" i="54" s="1"/>
  <c r="S26" i="54" s="1"/>
  <c r="M23" i="52"/>
  <c r="S23" i="52" s="1"/>
  <c r="L24" i="52"/>
  <c r="L23" i="51"/>
  <c r="M22" i="51"/>
  <c r="S22" i="51" s="1"/>
  <c r="L23" i="49"/>
  <c r="M22" i="49"/>
  <c r="S22" i="49" s="1"/>
  <c r="L23" i="48"/>
  <c r="M22" i="48"/>
  <c r="S22" i="48" s="1"/>
  <c r="M22" i="47"/>
  <c r="S22" i="47" s="1"/>
  <c r="L23" i="47"/>
  <c r="L22" i="46"/>
  <c r="M21" i="46"/>
  <c r="S21" i="46" s="1"/>
  <c r="M14" i="42"/>
  <c r="S14" i="42" s="1"/>
  <c r="L15" i="42"/>
  <c r="M18" i="44" l="1"/>
  <c r="S18" i="44" s="1"/>
  <c r="L19" i="44"/>
  <c r="M19" i="45"/>
  <c r="S19" i="45" s="1"/>
  <c r="L20" i="45"/>
  <c r="M23" i="51"/>
  <c r="S23" i="51" s="1"/>
  <c r="L24" i="51"/>
  <c r="M24" i="53"/>
  <c r="S24" i="53" s="1"/>
  <c r="L25" i="53"/>
  <c r="L25" i="52"/>
  <c r="M24" i="52"/>
  <c r="S24" i="52" s="1"/>
  <c r="L24" i="49"/>
  <c r="M23" i="49"/>
  <c r="S23" i="49" s="1"/>
  <c r="M23" i="48"/>
  <c r="S23" i="48" s="1"/>
  <c r="L24" i="48"/>
  <c r="M24" i="48" s="1"/>
  <c r="S24" i="48" s="1"/>
  <c r="M23" i="47"/>
  <c r="S23" i="47" s="1"/>
  <c r="L24" i="47"/>
  <c r="L23" i="46"/>
  <c r="M22" i="46"/>
  <c r="S22" i="46" s="1"/>
  <c r="M15" i="42"/>
  <c r="S15" i="42" s="1"/>
  <c r="L16" i="42"/>
  <c r="M25" i="53" l="1"/>
  <c r="S25" i="53" s="1"/>
  <c r="L26" i="53"/>
  <c r="M26" i="53" s="1"/>
  <c r="S26" i="53" s="1"/>
  <c r="M24" i="51"/>
  <c r="S24" i="51" s="1"/>
  <c r="L25" i="51"/>
  <c r="M19" i="44"/>
  <c r="S19" i="44" s="1"/>
  <c r="L20" i="44"/>
  <c r="M20" i="44" s="1"/>
  <c r="S20" i="44" s="1"/>
  <c r="M20" i="45"/>
  <c r="S20" i="45" s="1"/>
  <c r="L21" i="45"/>
  <c r="L26" i="52"/>
  <c r="M25" i="52"/>
  <c r="S25" i="52" s="1"/>
  <c r="M24" i="49"/>
  <c r="S24" i="49" s="1"/>
  <c r="L25" i="49"/>
  <c r="M24" i="47"/>
  <c r="S24" i="47" s="1"/>
  <c r="L25" i="47"/>
  <c r="M23" i="46"/>
  <c r="S23" i="46" s="1"/>
  <c r="L24" i="46"/>
  <c r="M16" i="42"/>
  <c r="S16" i="42" s="1"/>
  <c r="L17" i="42"/>
  <c r="L26" i="51" l="1"/>
  <c r="M25" i="51"/>
  <c r="S25" i="51" s="1"/>
  <c r="M21" i="45"/>
  <c r="S21" i="45" s="1"/>
  <c r="L22" i="45"/>
  <c r="L27" i="52"/>
  <c r="M26" i="52"/>
  <c r="S26" i="52" s="1"/>
  <c r="L26" i="49"/>
  <c r="M25" i="49"/>
  <c r="S25" i="49" s="1"/>
  <c r="M25" i="47"/>
  <c r="S25" i="47" s="1"/>
  <c r="L26" i="47"/>
  <c r="M24" i="46"/>
  <c r="S24" i="46" s="1"/>
  <c r="L25" i="46"/>
  <c r="M17" i="42"/>
  <c r="S17" i="42" s="1"/>
  <c r="L18" i="42"/>
  <c r="M22" i="45" l="1"/>
  <c r="S22" i="45" s="1"/>
  <c r="L23" i="45"/>
  <c r="L27" i="51"/>
  <c r="M26" i="51"/>
  <c r="S26" i="51" s="1"/>
  <c r="M27" i="52"/>
  <c r="S27" i="52" s="1"/>
  <c r="L28" i="52"/>
  <c r="L27" i="49"/>
  <c r="M26" i="49"/>
  <c r="S26" i="49" s="1"/>
  <c r="M26" i="47"/>
  <c r="S26" i="47" s="1"/>
  <c r="L27" i="47"/>
  <c r="M25" i="46"/>
  <c r="S25" i="46" s="1"/>
  <c r="L26" i="46"/>
  <c r="M18" i="42"/>
  <c r="S18" i="42" s="1"/>
  <c r="L19" i="42"/>
  <c r="L28" i="51" l="1"/>
  <c r="M27" i="51"/>
  <c r="S27" i="51" s="1"/>
  <c r="M26" i="46"/>
  <c r="S26" i="46" s="1"/>
  <c r="L27" i="46"/>
  <c r="M23" i="45"/>
  <c r="S23" i="45" s="1"/>
  <c r="L24" i="45"/>
  <c r="M24" i="45" s="1"/>
  <c r="S24" i="45" s="1"/>
  <c r="L29" i="52"/>
  <c r="M28" i="52"/>
  <c r="S28" i="52" s="1"/>
  <c r="M27" i="49"/>
  <c r="S27" i="49" s="1"/>
  <c r="L28" i="49"/>
  <c r="M27" i="47"/>
  <c r="S27" i="47" s="1"/>
  <c r="L28" i="47"/>
  <c r="M19" i="42"/>
  <c r="S19" i="42" s="1"/>
  <c r="L20" i="42"/>
  <c r="M27" i="46" l="1"/>
  <c r="S27" i="46" s="1"/>
  <c r="L28" i="46"/>
  <c r="M28" i="51"/>
  <c r="S28" i="51" s="1"/>
  <c r="L29" i="51"/>
  <c r="L30" i="52"/>
  <c r="M29" i="52"/>
  <c r="S29" i="52" s="1"/>
  <c r="L29" i="49"/>
  <c r="M28" i="49"/>
  <c r="S28" i="49" s="1"/>
  <c r="M28" i="47"/>
  <c r="S28" i="47" s="1"/>
  <c r="L29" i="47"/>
  <c r="M20" i="42"/>
  <c r="S20" i="42" s="1"/>
  <c r="L21" i="42"/>
  <c r="L30" i="51" l="1"/>
  <c r="M29" i="51"/>
  <c r="S29" i="51" s="1"/>
  <c r="M28" i="46"/>
  <c r="S28" i="46" s="1"/>
  <c r="L29" i="46"/>
  <c r="L31" i="52"/>
  <c r="M30" i="52"/>
  <c r="S30" i="52" s="1"/>
  <c r="L30" i="49"/>
  <c r="M29" i="49"/>
  <c r="S29" i="49" s="1"/>
  <c r="M29" i="47"/>
  <c r="S29" i="47" s="1"/>
  <c r="L30" i="47"/>
  <c r="M30" i="47" s="1"/>
  <c r="S30" i="47" s="1"/>
  <c r="M21" i="42"/>
  <c r="S21" i="42" s="1"/>
  <c r="L22" i="42"/>
  <c r="M29" i="46" l="1"/>
  <c r="S29" i="46" s="1"/>
  <c r="L30" i="46"/>
  <c r="M30" i="46" s="1"/>
  <c r="S30" i="46" s="1"/>
  <c r="M30" i="51"/>
  <c r="S30" i="51" s="1"/>
  <c r="L31" i="51"/>
  <c r="M31" i="52"/>
  <c r="S31" i="52" s="1"/>
  <c r="L32" i="52"/>
  <c r="L31" i="49"/>
  <c r="M30" i="49"/>
  <c r="S30" i="49" s="1"/>
  <c r="M22" i="42"/>
  <c r="S22" i="42" s="1"/>
  <c r="L23" i="42"/>
  <c r="M23" i="42" s="1"/>
  <c r="S23" i="42" s="1"/>
  <c r="M31" i="51" l="1"/>
  <c r="S31" i="51" s="1"/>
  <c r="L32" i="51"/>
  <c r="L33" i="52"/>
  <c r="M33" i="52" s="1"/>
  <c r="S33" i="52" s="1"/>
  <c r="M32" i="52"/>
  <c r="S32" i="52" s="1"/>
  <c r="M31" i="49"/>
  <c r="S31" i="49" s="1"/>
  <c r="L32" i="49"/>
  <c r="S112" i="41"/>
  <c r="R112" i="41"/>
  <c r="M112" i="41"/>
  <c r="L112" i="41"/>
  <c r="K112" i="41"/>
  <c r="J112" i="41"/>
  <c r="I112" i="41"/>
  <c r="H112" i="41"/>
  <c r="S111" i="41"/>
  <c r="R111" i="41"/>
  <c r="M111" i="41"/>
  <c r="L111" i="41"/>
  <c r="K111" i="41"/>
  <c r="J111" i="41"/>
  <c r="I111" i="41"/>
  <c r="H111" i="41"/>
  <c r="S110" i="41"/>
  <c r="R110" i="41"/>
  <c r="M110" i="41"/>
  <c r="L110" i="41"/>
  <c r="K110" i="41"/>
  <c r="J110" i="41"/>
  <c r="I110" i="41"/>
  <c r="H110" i="41"/>
  <c r="S109" i="41"/>
  <c r="R109" i="41"/>
  <c r="M109" i="41"/>
  <c r="L109" i="41"/>
  <c r="K109" i="41"/>
  <c r="J109" i="41"/>
  <c r="I109" i="41"/>
  <c r="H109" i="41"/>
  <c r="S108" i="41"/>
  <c r="R108" i="41"/>
  <c r="M108" i="41"/>
  <c r="L108" i="41"/>
  <c r="K108" i="41"/>
  <c r="J108" i="41"/>
  <c r="I108" i="41"/>
  <c r="H108" i="41"/>
  <c r="S107" i="41"/>
  <c r="R107" i="41"/>
  <c r="M107" i="41"/>
  <c r="L107" i="41"/>
  <c r="K107" i="41"/>
  <c r="J107" i="41"/>
  <c r="I107" i="41"/>
  <c r="H107" i="41"/>
  <c r="S106" i="41"/>
  <c r="R106" i="41"/>
  <c r="M106" i="41"/>
  <c r="L106" i="41"/>
  <c r="K106" i="41"/>
  <c r="J106" i="41"/>
  <c r="I106" i="41"/>
  <c r="H106" i="41"/>
  <c r="S105" i="41"/>
  <c r="R105" i="41"/>
  <c r="M105" i="41"/>
  <c r="L105" i="41"/>
  <c r="K105" i="41"/>
  <c r="J105" i="41"/>
  <c r="I105" i="41"/>
  <c r="H105" i="41"/>
  <c r="S104" i="41"/>
  <c r="R104" i="41"/>
  <c r="M104" i="41"/>
  <c r="L104" i="41"/>
  <c r="K104" i="41"/>
  <c r="J104" i="41"/>
  <c r="I104" i="41"/>
  <c r="H104" i="41"/>
  <c r="S103" i="41"/>
  <c r="R103" i="41"/>
  <c r="M103" i="41"/>
  <c r="L103" i="41"/>
  <c r="K103" i="41"/>
  <c r="J103" i="41"/>
  <c r="I103" i="41"/>
  <c r="H103" i="41"/>
  <c r="S102" i="41"/>
  <c r="R102" i="41"/>
  <c r="M102" i="41"/>
  <c r="L102" i="41"/>
  <c r="K102" i="41"/>
  <c r="J102" i="41"/>
  <c r="I102" i="41"/>
  <c r="H102" i="41"/>
  <c r="S101" i="41"/>
  <c r="R101" i="41"/>
  <c r="M101" i="41"/>
  <c r="L101" i="41"/>
  <c r="K101" i="41"/>
  <c r="J101" i="41"/>
  <c r="I101" i="41"/>
  <c r="H101" i="41"/>
  <c r="S100" i="41"/>
  <c r="R100" i="41"/>
  <c r="M100" i="41"/>
  <c r="L100" i="41"/>
  <c r="K100" i="41"/>
  <c r="J100" i="41"/>
  <c r="I100" i="41"/>
  <c r="H100" i="41"/>
  <c r="S99" i="41"/>
  <c r="R99" i="41"/>
  <c r="M99" i="41"/>
  <c r="L99" i="41"/>
  <c r="K99" i="41"/>
  <c r="J99" i="41"/>
  <c r="I99" i="41"/>
  <c r="H99" i="41"/>
  <c r="S98" i="41"/>
  <c r="R98" i="41"/>
  <c r="M98" i="41"/>
  <c r="L98" i="41"/>
  <c r="K98" i="41"/>
  <c r="J98" i="41"/>
  <c r="I98" i="41"/>
  <c r="H98" i="41"/>
  <c r="S97" i="41"/>
  <c r="R97" i="41"/>
  <c r="M97" i="41"/>
  <c r="L97" i="41"/>
  <c r="K97" i="41"/>
  <c r="J97" i="41"/>
  <c r="I97" i="41"/>
  <c r="H97" i="41"/>
  <c r="S96" i="41"/>
  <c r="R96" i="41"/>
  <c r="M96" i="41"/>
  <c r="L96" i="41"/>
  <c r="K96" i="41"/>
  <c r="J96" i="41"/>
  <c r="I96" i="41"/>
  <c r="H96" i="41"/>
  <c r="S95" i="41"/>
  <c r="R95" i="41"/>
  <c r="M95" i="41"/>
  <c r="L95" i="41"/>
  <c r="K95" i="41"/>
  <c r="J95" i="41"/>
  <c r="I95" i="41"/>
  <c r="H95" i="41"/>
  <c r="S94" i="41"/>
  <c r="R94" i="41"/>
  <c r="M94" i="41"/>
  <c r="L94" i="41"/>
  <c r="K94" i="41"/>
  <c r="J94" i="41"/>
  <c r="I94" i="41"/>
  <c r="H94" i="41"/>
  <c r="S93" i="41"/>
  <c r="R93" i="41"/>
  <c r="M93" i="41"/>
  <c r="L93" i="41"/>
  <c r="K93" i="41"/>
  <c r="J93" i="41"/>
  <c r="I93" i="41"/>
  <c r="H93" i="41"/>
  <c r="S92" i="41"/>
  <c r="R92" i="41"/>
  <c r="M92" i="41"/>
  <c r="L92" i="41"/>
  <c r="K92" i="41"/>
  <c r="J92" i="41"/>
  <c r="I92" i="41"/>
  <c r="H92" i="41"/>
  <c r="S91" i="41"/>
  <c r="R91" i="41"/>
  <c r="M91" i="41"/>
  <c r="L91" i="41"/>
  <c r="K91" i="41"/>
  <c r="J91" i="41"/>
  <c r="I91" i="41"/>
  <c r="H91" i="41"/>
  <c r="S90" i="41"/>
  <c r="R90" i="41"/>
  <c r="M90" i="41"/>
  <c r="L90" i="41"/>
  <c r="K90" i="41"/>
  <c r="J90" i="41"/>
  <c r="I90" i="41"/>
  <c r="H90" i="41"/>
  <c r="S89" i="41"/>
  <c r="R89" i="41"/>
  <c r="M89" i="41"/>
  <c r="L89" i="41"/>
  <c r="K89" i="41"/>
  <c r="J89" i="41"/>
  <c r="I89" i="41"/>
  <c r="H89" i="41"/>
  <c r="S88" i="41"/>
  <c r="R88" i="41"/>
  <c r="M88" i="41"/>
  <c r="L88" i="41"/>
  <c r="K88" i="41"/>
  <c r="J88" i="41"/>
  <c r="I88" i="41"/>
  <c r="H88" i="41"/>
  <c r="S87" i="41"/>
  <c r="R87" i="41"/>
  <c r="M87" i="41"/>
  <c r="L87" i="41"/>
  <c r="K87" i="41"/>
  <c r="J87" i="41"/>
  <c r="I87" i="41"/>
  <c r="H87" i="41"/>
  <c r="S86" i="41"/>
  <c r="R86" i="41"/>
  <c r="M86" i="41"/>
  <c r="L86" i="41"/>
  <c r="K86" i="41"/>
  <c r="J86" i="41"/>
  <c r="I86" i="41"/>
  <c r="H86" i="41"/>
  <c r="S85" i="41"/>
  <c r="R85" i="41"/>
  <c r="M85" i="41"/>
  <c r="L85" i="41"/>
  <c r="K85" i="41"/>
  <c r="J85" i="41"/>
  <c r="I85" i="41"/>
  <c r="H85" i="41"/>
  <c r="S84" i="41"/>
  <c r="R84" i="41"/>
  <c r="M84" i="41"/>
  <c r="L84" i="41"/>
  <c r="K84" i="41"/>
  <c r="J84" i="41"/>
  <c r="I84" i="41"/>
  <c r="H84" i="41"/>
  <c r="S83" i="41"/>
  <c r="R83" i="41"/>
  <c r="M83" i="41"/>
  <c r="L83" i="41"/>
  <c r="K83" i="41"/>
  <c r="J83" i="41"/>
  <c r="I83" i="41"/>
  <c r="H83" i="41"/>
  <c r="S82" i="41"/>
  <c r="R82" i="41"/>
  <c r="M82" i="41"/>
  <c r="L82" i="41"/>
  <c r="K82" i="41"/>
  <c r="J82" i="41"/>
  <c r="I82" i="41"/>
  <c r="H82" i="41"/>
  <c r="S81" i="41"/>
  <c r="R81" i="41"/>
  <c r="M81" i="41"/>
  <c r="L81" i="41"/>
  <c r="K81" i="41"/>
  <c r="J81" i="41"/>
  <c r="I81" i="41"/>
  <c r="H81" i="41"/>
  <c r="S80" i="41"/>
  <c r="R80" i="41"/>
  <c r="M80" i="41"/>
  <c r="L80" i="41"/>
  <c r="K80" i="41"/>
  <c r="J80" i="41"/>
  <c r="I80" i="41"/>
  <c r="H80" i="41"/>
  <c r="S79" i="41"/>
  <c r="R79" i="41"/>
  <c r="M79" i="41"/>
  <c r="L79" i="41"/>
  <c r="K79" i="41"/>
  <c r="J79" i="41"/>
  <c r="I79" i="41"/>
  <c r="H79" i="41"/>
  <c r="S78" i="41"/>
  <c r="R78" i="41"/>
  <c r="M78" i="41"/>
  <c r="L78" i="41"/>
  <c r="K78" i="41"/>
  <c r="J78" i="41"/>
  <c r="I78" i="41"/>
  <c r="H78" i="41"/>
  <c r="S77" i="41"/>
  <c r="R77" i="41"/>
  <c r="M77" i="41"/>
  <c r="L77" i="41"/>
  <c r="K77" i="41"/>
  <c r="J77" i="41"/>
  <c r="I77" i="41"/>
  <c r="H77" i="41"/>
  <c r="S76" i="41"/>
  <c r="R76" i="41"/>
  <c r="M76" i="41"/>
  <c r="L76" i="41"/>
  <c r="K76" i="41"/>
  <c r="J76" i="41"/>
  <c r="I76" i="41"/>
  <c r="H76" i="41"/>
  <c r="S75" i="41"/>
  <c r="R75" i="41"/>
  <c r="M75" i="41"/>
  <c r="L75" i="41"/>
  <c r="K75" i="41"/>
  <c r="J75" i="41"/>
  <c r="I75" i="41"/>
  <c r="H75" i="41"/>
  <c r="S74" i="41"/>
  <c r="R74" i="41"/>
  <c r="M74" i="41"/>
  <c r="L74" i="41"/>
  <c r="K74" i="41"/>
  <c r="J74" i="41"/>
  <c r="I74" i="41"/>
  <c r="H74" i="41"/>
  <c r="S73" i="41"/>
  <c r="R73" i="41"/>
  <c r="M73" i="41"/>
  <c r="L73" i="41"/>
  <c r="K73" i="41"/>
  <c r="J73" i="41"/>
  <c r="I73" i="41"/>
  <c r="H73" i="41"/>
  <c r="S72" i="41"/>
  <c r="R72" i="41"/>
  <c r="M72" i="41"/>
  <c r="L72" i="41"/>
  <c r="K72" i="41"/>
  <c r="J72" i="41"/>
  <c r="I72" i="41"/>
  <c r="H72" i="41"/>
  <c r="S71" i="41"/>
  <c r="R71" i="41"/>
  <c r="M71" i="41"/>
  <c r="L71" i="41"/>
  <c r="K71" i="41"/>
  <c r="J71" i="41"/>
  <c r="I71" i="41"/>
  <c r="H71" i="41"/>
  <c r="S70" i="41"/>
  <c r="R70" i="41"/>
  <c r="M70" i="41"/>
  <c r="L70" i="41"/>
  <c r="K70" i="41"/>
  <c r="J70" i="41"/>
  <c r="I70" i="41"/>
  <c r="H70" i="41"/>
  <c r="M69" i="41"/>
  <c r="S69" i="41" s="1"/>
  <c r="L69" i="41"/>
  <c r="K69" i="41"/>
  <c r="J69" i="41"/>
  <c r="R69" i="41" s="1"/>
  <c r="I69" i="41"/>
  <c r="H69" i="41"/>
  <c r="M68" i="41"/>
  <c r="S68" i="41" s="1"/>
  <c r="L68" i="41"/>
  <c r="K68" i="41"/>
  <c r="J68" i="41"/>
  <c r="R68" i="41" s="1"/>
  <c r="I68" i="41"/>
  <c r="H68" i="41"/>
  <c r="S67" i="41"/>
  <c r="R67" i="41"/>
  <c r="M67" i="41"/>
  <c r="L67" i="41"/>
  <c r="K67" i="41"/>
  <c r="J67" i="41"/>
  <c r="I67" i="41"/>
  <c r="H67" i="41"/>
  <c r="S66" i="41"/>
  <c r="R66" i="41"/>
  <c r="M66" i="41"/>
  <c r="L66" i="41"/>
  <c r="K66" i="41"/>
  <c r="J66" i="41"/>
  <c r="I66" i="41"/>
  <c r="H66" i="41"/>
  <c r="M65" i="41"/>
  <c r="S65" i="41" s="1"/>
  <c r="L65" i="41"/>
  <c r="K65" i="41"/>
  <c r="J65" i="41"/>
  <c r="R65" i="41" s="1"/>
  <c r="I65" i="41"/>
  <c r="H65" i="41"/>
  <c r="M64" i="41"/>
  <c r="S64" i="41" s="1"/>
  <c r="L64" i="41"/>
  <c r="K64" i="41"/>
  <c r="J64" i="41"/>
  <c r="R64" i="41" s="1"/>
  <c r="I64" i="41"/>
  <c r="H64" i="41"/>
  <c r="S63" i="41"/>
  <c r="R63" i="41"/>
  <c r="M63" i="41"/>
  <c r="L63" i="41"/>
  <c r="K63" i="41"/>
  <c r="J63" i="41"/>
  <c r="I63" i="41"/>
  <c r="H63" i="41"/>
  <c r="S62" i="41"/>
  <c r="R62" i="41"/>
  <c r="M62" i="41"/>
  <c r="L62" i="41"/>
  <c r="K62" i="41"/>
  <c r="J62" i="41"/>
  <c r="I62" i="41"/>
  <c r="H62" i="41"/>
  <c r="M61" i="41"/>
  <c r="S61" i="41" s="1"/>
  <c r="L61" i="41"/>
  <c r="K61" i="41"/>
  <c r="J61" i="41"/>
  <c r="R61" i="41" s="1"/>
  <c r="I61" i="41"/>
  <c r="H61" i="41"/>
  <c r="M60" i="41"/>
  <c r="S60" i="41" s="1"/>
  <c r="L60" i="41"/>
  <c r="K60" i="41"/>
  <c r="J60" i="41"/>
  <c r="R60" i="41" s="1"/>
  <c r="I60" i="41"/>
  <c r="H60" i="41"/>
  <c r="S59" i="41"/>
  <c r="R59" i="41"/>
  <c r="M59" i="41"/>
  <c r="L59" i="41"/>
  <c r="K59" i="41"/>
  <c r="J59" i="41"/>
  <c r="I59" i="41"/>
  <c r="H59" i="41"/>
  <c r="S58" i="41"/>
  <c r="R58" i="41"/>
  <c r="M58" i="41"/>
  <c r="L58" i="41"/>
  <c r="K58" i="41"/>
  <c r="J58" i="41"/>
  <c r="I58" i="41"/>
  <c r="H58" i="41"/>
  <c r="S57" i="41"/>
  <c r="R57" i="41"/>
  <c r="M57" i="41"/>
  <c r="L57" i="41"/>
  <c r="K57" i="41"/>
  <c r="J57" i="41"/>
  <c r="I57" i="41"/>
  <c r="H57" i="41"/>
  <c r="S56" i="41"/>
  <c r="R56" i="41"/>
  <c r="M56" i="41"/>
  <c r="L56" i="41"/>
  <c r="K56" i="41"/>
  <c r="J56" i="41"/>
  <c r="I56" i="41"/>
  <c r="H56" i="41"/>
  <c r="S55" i="41"/>
  <c r="R55" i="41"/>
  <c r="M55" i="41"/>
  <c r="L55" i="41"/>
  <c r="K55" i="41"/>
  <c r="J55" i="41"/>
  <c r="I55" i="41"/>
  <c r="H55" i="41"/>
  <c r="S54" i="41"/>
  <c r="R54" i="41"/>
  <c r="M54" i="41"/>
  <c r="L54" i="41"/>
  <c r="K54" i="41"/>
  <c r="J54" i="41"/>
  <c r="I54" i="41"/>
  <c r="H54" i="41"/>
  <c r="S53" i="41"/>
  <c r="R53" i="41"/>
  <c r="M53" i="41"/>
  <c r="L53" i="41"/>
  <c r="K53" i="41"/>
  <c r="J53" i="41"/>
  <c r="I53" i="41"/>
  <c r="H53" i="41"/>
  <c r="S52" i="41"/>
  <c r="R52" i="41"/>
  <c r="M52" i="41"/>
  <c r="L52" i="41"/>
  <c r="K52" i="41"/>
  <c r="J52" i="41"/>
  <c r="I52" i="41"/>
  <c r="H52" i="41"/>
  <c r="S51" i="41"/>
  <c r="R51" i="41"/>
  <c r="M51" i="41"/>
  <c r="L51" i="41"/>
  <c r="K51" i="41"/>
  <c r="J51" i="41"/>
  <c r="I51" i="41"/>
  <c r="H51" i="41"/>
  <c r="S50" i="41"/>
  <c r="R50" i="41"/>
  <c r="M50" i="41"/>
  <c r="L50" i="41"/>
  <c r="K50" i="41"/>
  <c r="J50" i="41"/>
  <c r="I50" i="41"/>
  <c r="H50" i="41"/>
  <c r="S49" i="41"/>
  <c r="R49" i="41"/>
  <c r="M49" i="41"/>
  <c r="L49" i="41"/>
  <c r="K49" i="41"/>
  <c r="J49" i="41"/>
  <c r="I49" i="41"/>
  <c r="H49" i="41"/>
  <c r="S48" i="41"/>
  <c r="R48" i="41"/>
  <c r="M48" i="41"/>
  <c r="L48" i="41"/>
  <c r="K48" i="41"/>
  <c r="J48" i="41"/>
  <c r="I48" i="41"/>
  <c r="H48" i="41"/>
  <c r="S47" i="41"/>
  <c r="R47" i="41"/>
  <c r="M47" i="41"/>
  <c r="L47" i="41"/>
  <c r="K47" i="41"/>
  <c r="J47" i="41"/>
  <c r="I47" i="41"/>
  <c r="H47" i="41"/>
  <c r="S46" i="41"/>
  <c r="R46" i="41"/>
  <c r="M46" i="41"/>
  <c r="L46" i="41"/>
  <c r="K46" i="41"/>
  <c r="J46" i="41"/>
  <c r="I46" i="41"/>
  <c r="H46" i="41"/>
  <c r="S45" i="41"/>
  <c r="R45" i="41"/>
  <c r="M45" i="41"/>
  <c r="L45" i="41"/>
  <c r="K45" i="41"/>
  <c r="J45" i="41"/>
  <c r="I45" i="41"/>
  <c r="H45" i="41"/>
  <c r="S44" i="41"/>
  <c r="R44" i="41"/>
  <c r="M44" i="41"/>
  <c r="L44" i="41"/>
  <c r="K44" i="41"/>
  <c r="J44" i="41"/>
  <c r="I44" i="41"/>
  <c r="H44" i="41"/>
  <c r="S43" i="41"/>
  <c r="R43" i="41"/>
  <c r="M43" i="41"/>
  <c r="L43" i="41"/>
  <c r="K43" i="41"/>
  <c r="J43" i="41"/>
  <c r="I43" i="41"/>
  <c r="H43" i="41"/>
  <c r="S42" i="41"/>
  <c r="R42" i="41"/>
  <c r="M42" i="41"/>
  <c r="L42" i="41"/>
  <c r="K42" i="41"/>
  <c r="J42" i="41"/>
  <c r="I42" i="41"/>
  <c r="H42" i="41"/>
  <c r="S41" i="41"/>
  <c r="R41" i="41"/>
  <c r="M41" i="41"/>
  <c r="L41" i="41"/>
  <c r="K41" i="41"/>
  <c r="J41" i="41"/>
  <c r="I41" i="41"/>
  <c r="H41" i="41"/>
  <c r="S40" i="41"/>
  <c r="R40" i="41"/>
  <c r="M40" i="41"/>
  <c r="L40" i="41"/>
  <c r="K40" i="41"/>
  <c r="J40" i="41"/>
  <c r="I40" i="41"/>
  <c r="H40" i="41"/>
  <c r="S39" i="41"/>
  <c r="R39" i="41"/>
  <c r="M39" i="41"/>
  <c r="L39" i="41"/>
  <c r="K39" i="41"/>
  <c r="J39" i="41"/>
  <c r="I39" i="41"/>
  <c r="H39" i="41"/>
  <c r="S38" i="41"/>
  <c r="R38" i="41"/>
  <c r="M38" i="41"/>
  <c r="L38" i="41"/>
  <c r="K38" i="41"/>
  <c r="J38" i="41"/>
  <c r="I38" i="41"/>
  <c r="H38" i="41"/>
  <c r="S37" i="41"/>
  <c r="R37" i="41"/>
  <c r="M37" i="41"/>
  <c r="L37" i="41"/>
  <c r="K37" i="41"/>
  <c r="J37" i="41"/>
  <c r="I37" i="41"/>
  <c r="H37" i="41"/>
  <c r="S36" i="41"/>
  <c r="R36" i="41"/>
  <c r="M36" i="41"/>
  <c r="L36" i="41"/>
  <c r="K36" i="41"/>
  <c r="J36" i="41"/>
  <c r="I36" i="41"/>
  <c r="H36" i="41"/>
  <c r="S35" i="41"/>
  <c r="R35" i="41"/>
  <c r="M35" i="41"/>
  <c r="L35" i="41"/>
  <c r="K35" i="41"/>
  <c r="J35" i="41"/>
  <c r="I35" i="41"/>
  <c r="H35" i="41"/>
  <c r="S34" i="41"/>
  <c r="R34" i="41"/>
  <c r="M34" i="41"/>
  <c r="L34" i="41"/>
  <c r="K34" i="41"/>
  <c r="J34" i="41"/>
  <c r="I34" i="41"/>
  <c r="H34" i="41"/>
  <c r="S33" i="41"/>
  <c r="R33" i="41"/>
  <c r="M33" i="41"/>
  <c r="L33" i="41"/>
  <c r="K33" i="41"/>
  <c r="J33" i="41"/>
  <c r="I33" i="41"/>
  <c r="H33" i="41"/>
  <c r="S32" i="41"/>
  <c r="R32" i="41"/>
  <c r="M32" i="41"/>
  <c r="L32" i="41"/>
  <c r="K32" i="41"/>
  <c r="J32" i="41"/>
  <c r="I32" i="41"/>
  <c r="H32" i="41"/>
  <c r="S31" i="41"/>
  <c r="R31" i="41"/>
  <c r="M31" i="41"/>
  <c r="L31" i="41"/>
  <c r="K31" i="41"/>
  <c r="J31" i="41"/>
  <c r="I31" i="41"/>
  <c r="H31" i="41"/>
  <c r="S30" i="41"/>
  <c r="R30" i="41"/>
  <c r="M30" i="41"/>
  <c r="L30" i="41"/>
  <c r="K30" i="41"/>
  <c r="J30" i="41"/>
  <c r="I30" i="41"/>
  <c r="H30" i="41"/>
  <c r="S29" i="41"/>
  <c r="R29" i="41"/>
  <c r="M29" i="41"/>
  <c r="L29" i="41"/>
  <c r="K29" i="41"/>
  <c r="J29" i="41"/>
  <c r="I29" i="41"/>
  <c r="H29" i="41"/>
  <c r="S28" i="41"/>
  <c r="R28" i="41"/>
  <c r="M28" i="41"/>
  <c r="L28" i="41"/>
  <c r="K28" i="41"/>
  <c r="J28" i="41"/>
  <c r="I28" i="41"/>
  <c r="H28" i="41"/>
  <c r="S27" i="41"/>
  <c r="R27" i="41"/>
  <c r="M27" i="41"/>
  <c r="L27" i="41"/>
  <c r="K27" i="41"/>
  <c r="J27" i="41"/>
  <c r="I27" i="41"/>
  <c r="H27" i="41"/>
  <c r="S26" i="41"/>
  <c r="R26" i="41"/>
  <c r="M26" i="41"/>
  <c r="L26" i="41"/>
  <c r="K26" i="41"/>
  <c r="J26" i="41"/>
  <c r="I26" i="41"/>
  <c r="H26" i="41"/>
  <c r="S25" i="41"/>
  <c r="R25" i="41"/>
  <c r="M25" i="41"/>
  <c r="L25" i="41"/>
  <c r="K25" i="41"/>
  <c r="J25" i="41"/>
  <c r="I25" i="41"/>
  <c r="H25" i="41"/>
  <c r="S24" i="41"/>
  <c r="R24" i="41"/>
  <c r="M24" i="41"/>
  <c r="L24" i="41"/>
  <c r="K24" i="41"/>
  <c r="J24" i="41"/>
  <c r="I24" i="41"/>
  <c r="H24" i="41"/>
  <c r="I23" i="41"/>
  <c r="H23" i="41"/>
  <c r="I22" i="41"/>
  <c r="H22" i="41"/>
  <c r="I21" i="41"/>
  <c r="H21" i="41"/>
  <c r="I20" i="41"/>
  <c r="H20" i="41"/>
  <c r="I19" i="41"/>
  <c r="H19" i="41"/>
  <c r="I18" i="41"/>
  <c r="H18" i="41"/>
  <c r="I17" i="41"/>
  <c r="H17" i="41"/>
  <c r="I16" i="41"/>
  <c r="J16" i="41" s="1"/>
  <c r="R16" i="41" s="1"/>
  <c r="H16" i="41"/>
  <c r="I15" i="41"/>
  <c r="J15" i="41" s="1"/>
  <c r="R15" i="41" s="1"/>
  <c r="H15" i="41"/>
  <c r="I14" i="41"/>
  <c r="J14" i="41" s="1"/>
  <c r="R14" i="41" s="1"/>
  <c r="H14" i="41"/>
  <c r="I13" i="41"/>
  <c r="J13" i="41" s="1"/>
  <c r="R13" i="41" s="1"/>
  <c r="H13" i="41"/>
  <c r="I12" i="41"/>
  <c r="J12" i="41" s="1"/>
  <c r="R12" i="41" s="1"/>
  <c r="H12" i="41"/>
  <c r="I11" i="41"/>
  <c r="J11" i="41" s="1"/>
  <c r="R11" i="41" s="1"/>
  <c r="H11" i="41"/>
  <c r="I10" i="41"/>
  <c r="J10" i="41" s="1"/>
  <c r="R10" i="41" s="1"/>
  <c r="H10" i="41"/>
  <c r="I9" i="41"/>
  <c r="J9" i="41" s="1"/>
  <c r="R9" i="41" s="1"/>
  <c r="H9" i="41"/>
  <c r="I8" i="41"/>
  <c r="J8" i="41" s="1"/>
  <c r="R8" i="41" s="1"/>
  <c r="H8" i="41"/>
  <c r="I7" i="41"/>
  <c r="L7" i="41" s="1"/>
  <c r="H7" i="41"/>
  <c r="K7" i="41" s="1"/>
  <c r="K8" i="41" s="1"/>
  <c r="K9" i="41" s="1"/>
  <c r="K10" i="41" s="1"/>
  <c r="K11" i="41" s="1"/>
  <c r="M32" i="51" l="1"/>
  <c r="S32" i="51" s="1"/>
  <c r="L33" i="51"/>
  <c r="M33" i="51" s="1"/>
  <c r="S33" i="51" s="1"/>
  <c r="L33" i="49"/>
  <c r="M32" i="49"/>
  <c r="S32" i="49" s="1"/>
  <c r="J23" i="41"/>
  <c r="R23" i="41" s="1"/>
  <c r="J22" i="41"/>
  <c r="R22" i="41" s="1"/>
  <c r="J21" i="41"/>
  <c r="R21" i="41" s="1"/>
  <c r="J20" i="41"/>
  <c r="R20" i="41" s="1"/>
  <c r="J19" i="41"/>
  <c r="R19" i="41" s="1"/>
  <c r="J18" i="41"/>
  <c r="R18" i="41" s="1"/>
  <c r="J17" i="41"/>
  <c r="R17" i="41" s="1"/>
  <c r="K12" i="4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M7" i="41"/>
  <c r="S7" i="41" s="1"/>
  <c r="L8" i="41"/>
  <c r="J7" i="41"/>
  <c r="R7" i="41" s="1"/>
  <c r="H8" i="31"/>
  <c r="J8" i="31" s="1"/>
  <c r="I8" i="31"/>
  <c r="H9" i="31"/>
  <c r="I9" i="31"/>
  <c r="J9" i="31"/>
  <c r="L34" i="49" l="1"/>
  <c r="M33" i="49"/>
  <c r="S33" i="49" s="1"/>
  <c r="M8" i="41"/>
  <c r="S8" i="41" s="1"/>
  <c r="L9" i="41"/>
  <c r="S112" i="40"/>
  <c r="R112" i="40"/>
  <c r="M112" i="40"/>
  <c r="L112" i="40"/>
  <c r="K112" i="40"/>
  <c r="J112" i="40"/>
  <c r="I112" i="40"/>
  <c r="H112" i="40"/>
  <c r="S111" i="40"/>
  <c r="R111" i="40"/>
  <c r="M111" i="40"/>
  <c r="L111" i="40"/>
  <c r="K111" i="40"/>
  <c r="J111" i="40"/>
  <c r="I111" i="40"/>
  <c r="H111" i="40"/>
  <c r="S110" i="40"/>
  <c r="R110" i="40"/>
  <c r="M110" i="40"/>
  <c r="L110" i="40"/>
  <c r="K110" i="40"/>
  <c r="J110" i="40"/>
  <c r="I110" i="40"/>
  <c r="H110" i="40"/>
  <c r="S109" i="40"/>
  <c r="R109" i="40"/>
  <c r="M109" i="40"/>
  <c r="L109" i="40"/>
  <c r="K109" i="40"/>
  <c r="J109" i="40"/>
  <c r="I109" i="40"/>
  <c r="H109" i="40"/>
  <c r="S108" i="40"/>
  <c r="R108" i="40"/>
  <c r="M108" i="40"/>
  <c r="L108" i="40"/>
  <c r="K108" i="40"/>
  <c r="J108" i="40"/>
  <c r="I108" i="40"/>
  <c r="H108" i="40"/>
  <c r="S107" i="40"/>
  <c r="R107" i="40"/>
  <c r="M107" i="40"/>
  <c r="L107" i="40"/>
  <c r="K107" i="40"/>
  <c r="J107" i="40"/>
  <c r="I107" i="40"/>
  <c r="H107" i="40"/>
  <c r="S106" i="40"/>
  <c r="R106" i="40"/>
  <c r="M106" i="40"/>
  <c r="L106" i="40"/>
  <c r="K106" i="40"/>
  <c r="J106" i="40"/>
  <c r="I106" i="40"/>
  <c r="H106" i="40"/>
  <c r="S105" i="40"/>
  <c r="R105" i="40"/>
  <c r="M105" i="40"/>
  <c r="L105" i="40"/>
  <c r="K105" i="40"/>
  <c r="J105" i="40"/>
  <c r="I105" i="40"/>
  <c r="H105" i="40"/>
  <c r="S104" i="40"/>
  <c r="R104" i="40"/>
  <c r="M104" i="40"/>
  <c r="L104" i="40"/>
  <c r="K104" i="40"/>
  <c r="J104" i="40"/>
  <c r="I104" i="40"/>
  <c r="H104" i="40"/>
  <c r="S103" i="40"/>
  <c r="R103" i="40"/>
  <c r="M103" i="40"/>
  <c r="L103" i="40"/>
  <c r="K103" i="40"/>
  <c r="J103" i="40"/>
  <c r="I103" i="40"/>
  <c r="H103" i="40"/>
  <c r="S102" i="40"/>
  <c r="R102" i="40"/>
  <c r="M102" i="40"/>
  <c r="L102" i="40"/>
  <c r="K102" i="40"/>
  <c r="J102" i="40"/>
  <c r="I102" i="40"/>
  <c r="H102" i="40"/>
  <c r="S101" i="40"/>
  <c r="R101" i="40"/>
  <c r="M101" i="40"/>
  <c r="L101" i="40"/>
  <c r="K101" i="40"/>
  <c r="J101" i="40"/>
  <c r="I101" i="40"/>
  <c r="H101" i="40"/>
  <c r="S100" i="40"/>
  <c r="R100" i="40"/>
  <c r="M100" i="40"/>
  <c r="L100" i="40"/>
  <c r="K100" i="40"/>
  <c r="J100" i="40"/>
  <c r="I100" i="40"/>
  <c r="H100" i="40"/>
  <c r="S99" i="40"/>
  <c r="R99" i="40"/>
  <c r="M99" i="40"/>
  <c r="L99" i="40"/>
  <c r="K99" i="40"/>
  <c r="J99" i="40"/>
  <c r="I99" i="40"/>
  <c r="H99" i="40"/>
  <c r="S98" i="40"/>
  <c r="R98" i="40"/>
  <c r="M98" i="40"/>
  <c r="L98" i="40"/>
  <c r="K98" i="40"/>
  <c r="J98" i="40"/>
  <c r="I98" i="40"/>
  <c r="H98" i="40"/>
  <c r="S97" i="40"/>
  <c r="R97" i="40"/>
  <c r="M97" i="40"/>
  <c r="L97" i="40"/>
  <c r="K97" i="40"/>
  <c r="J97" i="40"/>
  <c r="I97" i="40"/>
  <c r="H97" i="40"/>
  <c r="S96" i="40"/>
  <c r="R96" i="40"/>
  <c r="M96" i="40"/>
  <c r="L96" i="40"/>
  <c r="K96" i="40"/>
  <c r="J96" i="40"/>
  <c r="I96" i="40"/>
  <c r="H96" i="40"/>
  <c r="S95" i="40"/>
  <c r="R95" i="40"/>
  <c r="M95" i="40"/>
  <c r="L95" i="40"/>
  <c r="K95" i="40"/>
  <c r="J95" i="40"/>
  <c r="I95" i="40"/>
  <c r="H95" i="40"/>
  <c r="S94" i="40"/>
  <c r="R94" i="40"/>
  <c r="M94" i="40"/>
  <c r="L94" i="40"/>
  <c r="K94" i="40"/>
  <c r="J94" i="40"/>
  <c r="I94" i="40"/>
  <c r="H94" i="40"/>
  <c r="S93" i="40"/>
  <c r="R93" i="40"/>
  <c r="M93" i="40"/>
  <c r="L93" i="40"/>
  <c r="K93" i="40"/>
  <c r="J93" i="40"/>
  <c r="I93" i="40"/>
  <c r="H93" i="40"/>
  <c r="S92" i="40"/>
  <c r="R92" i="40"/>
  <c r="M92" i="40"/>
  <c r="L92" i="40"/>
  <c r="K92" i="40"/>
  <c r="J92" i="40"/>
  <c r="I92" i="40"/>
  <c r="H92" i="40"/>
  <c r="S91" i="40"/>
  <c r="R91" i="40"/>
  <c r="M91" i="40"/>
  <c r="L91" i="40"/>
  <c r="K91" i="40"/>
  <c r="J91" i="40"/>
  <c r="I91" i="40"/>
  <c r="H91" i="40"/>
  <c r="S90" i="40"/>
  <c r="R90" i="40"/>
  <c r="M90" i="40"/>
  <c r="L90" i="40"/>
  <c r="K90" i="40"/>
  <c r="J90" i="40"/>
  <c r="I90" i="40"/>
  <c r="H90" i="40"/>
  <c r="S89" i="40"/>
  <c r="R89" i="40"/>
  <c r="M89" i="40"/>
  <c r="L89" i="40"/>
  <c r="K89" i="40"/>
  <c r="J89" i="40"/>
  <c r="I89" i="40"/>
  <c r="H89" i="40"/>
  <c r="S88" i="40"/>
  <c r="R88" i="40"/>
  <c r="M88" i="40"/>
  <c r="L88" i="40"/>
  <c r="K88" i="40"/>
  <c r="J88" i="40"/>
  <c r="I88" i="40"/>
  <c r="H88" i="40"/>
  <c r="S87" i="40"/>
  <c r="R87" i="40"/>
  <c r="M87" i="40"/>
  <c r="L87" i="40"/>
  <c r="K87" i="40"/>
  <c r="J87" i="40"/>
  <c r="I87" i="40"/>
  <c r="H87" i="40"/>
  <c r="S86" i="40"/>
  <c r="R86" i="40"/>
  <c r="M86" i="40"/>
  <c r="L86" i="40"/>
  <c r="K86" i="40"/>
  <c r="J86" i="40"/>
  <c r="I86" i="40"/>
  <c r="H86" i="40"/>
  <c r="S85" i="40"/>
  <c r="R85" i="40"/>
  <c r="M85" i="40"/>
  <c r="L85" i="40"/>
  <c r="K85" i="40"/>
  <c r="J85" i="40"/>
  <c r="I85" i="40"/>
  <c r="H85" i="40"/>
  <c r="S84" i="40"/>
  <c r="R84" i="40"/>
  <c r="M84" i="40"/>
  <c r="L84" i="40"/>
  <c r="K84" i="40"/>
  <c r="J84" i="40"/>
  <c r="I84" i="40"/>
  <c r="H84" i="40"/>
  <c r="S83" i="40"/>
  <c r="R83" i="40"/>
  <c r="M83" i="40"/>
  <c r="L83" i="40"/>
  <c r="K83" i="40"/>
  <c r="J83" i="40"/>
  <c r="I83" i="40"/>
  <c r="H83" i="40"/>
  <c r="S82" i="40"/>
  <c r="R82" i="40"/>
  <c r="M82" i="40"/>
  <c r="L82" i="40"/>
  <c r="K82" i="40"/>
  <c r="J82" i="40"/>
  <c r="I82" i="40"/>
  <c r="H82" i="40"/>
  <c r="S81" i="40"/>
  <c r="R81" i="40"/>
  <c r="M81" i="40"/>
  <c r="L81" i="40"/>
  <c r="K81" i="40"/>
  <c r="J81" i="40"/>
  <c r="I81" i="40"/>
  <c r="H81" i="40"/>
  <c r="S80" i="40"/>
  <c r="R80" i="40"/>
  <c r="M80" i="40"/>
  <c r="L80" i="40"/>
  <c r="K80" i="40"/>
  <c r="J80" i="40"/>
  <c r="I80" i="40"/>
  <c r="H80" i="40"/>
  <c r="S79" i="40"/>
  <c r="R79" i="40"/>
  <c r="M79" i="40"/>
  <c r="L79" i="40"/>
  <c r="K79" i="40"/>
  <c r="J79" i="40"/>
  <c r="I79" i="40"/>
  <c r="H79" i="40"/>
  <c r="S78" i="40"/>
  <c r="R78" i="40"/>
  <c r="M78" i="40"/>
  <c r="L78" i="40"/>
  <c r="K78" i="40"/>
  <c r="J78" i="40"/>
  <c r="I78" i="40"/>
  <c r="H78" i="40"/>
  <c r="S77" i="40"/>
  <c r="R77" i="40"/>
  <c r="M77" i="40"/>
  <c r="L77" i="40"/>
  <c r="K77" i="40"/>
  <c r="J77" i="40"/>
  <c r="I77" i="40"/>
  <c r="H77" i="40"/>
  <c r="S76" i="40"/>
  <c r="R76" i="40"/>
  <c r="M76" i="40"/>
  <c r="L76" i="40"/>
  <c r="K76" i="40"/>
  <c r="J76" i="40"/>
  <c r="I76" i="40"/>
  <c r="H76" i="40"/>
  <c r="S75" i="40"/>
  <c r="R75" i="40"/>
  <c r="M75" i="40"/>
  <c r="L75" i="40"/>
  <c r="K75" i="40"/>
  <c r="J75" i="40"/>
  <c r="I75" i="40"/>
  <c r="H75" i="40"/>
  <c r="S74" i="40"/>
  <c r="R74" i="40"/>
  <c r="M74" i="40"/>
  <c r="L74" i="40"/>
  <c r="K74" i="40"/>
  <c r="J74" i="40"/>
  <c r="I74" i="40"/>
  <c r="H74" i="40"/>
  <c r="S73" i="40"/>
  <c r="R73" i="40"/>
  <c r="M73" i="40"/>
  <c r="L73" i="40"/>
  <c r="K73" i="40"/>
  <c r="J73" i="40"/>
  <c r="I73" i="40"/>
  <c r="H73" i="40"/>
  <c r="S72" i="40"/>
  <c r="R72" i="40"/>
  <c r="M72" i="40"/>
  <c r="L72" i="40"/>
  <c r="K72" i="40"/>
  <c r="J72" i="40"/>
  <c r="I72" i="40"/>
  <c r="H72" i="40"/>
  <c r="S71" i="40"/>
  <c r="R71" i="40"/>
  <c r="M71" i="40"/>
  <c r="L71" i="40"/>
  <c r="K71" i="40"/>
  <c r="J71" i="40"/>
  <c r="I71" i="40"/>
  <c r="H71" i="40"/>
  <c r="S70" i="40"/>
  <c r="R70" i="40"/>
  <c r="M70" i="40"/>
  <c r="L70" i="40"/>
  <c r="K70" i="40"/>
  <c r="J70" i="40"/>
  <c r="I70" i="40"/>
  <c r="H70" i="40"/>
  <c r="S69" i="40"/>
  <c r="R69" i="40"/>
  <c r="M69" i="40"/>
  <c r="L69" i="40"/>
  <c r="K69" i="40"/>
  <c r="J69" i="40"/>
  <c r="I69" i="40"/>
  <c r="H69" i="40"/>
  <c r="S68" i="40"/>
  <c r="R68" i="40"/>
  <c r="M68" i="40"/>
  <c r="L68" i="40"/>
  <c r="K68" i="40"/>
  <c r="J68" i="40"/>
  <c r="I68" i="40"/>
  <c r="H68" i="40"/>
  <c r="S67" i="40"/>
  <c r="R67" i="40"/>
  <c r="M67" i="40"/>
  <c r="L67" i="40"/>
  <c r="K67" i="40"/>
  <c r="J67" i="40"/>
  <c r="I67" i="40"/>
  <c r="H67" i="40"/>
  <c r="S66" i="40"/>
  <c r="R66" i="40"/>
  <c r="M66" i="40"/>
  <c r="L66" i="40"/>
  <c r="K66" i="40"/>
  <c r="J66" i="40"/>
  <c r="I66" i="40"/>
  <c r="H66" i="40"/>
  <c r="S65" i="40"/>
  <c r="R65" i="40"/>
  <c r="M65" i="40"/>
  <c r="L65" i="40"/>
  <c r="K65" i="40"/>
  <c r="J65" i="40"/>
  <c r="I65" i="40"/>
  <c r="H65" i="40"/>
  <c r="S64" i="40"/>
  <c r="R64" i="40"/>
  <c r="M64" i="40"/>
  <c r="L64" i="40"/>
  <c r="K64" i="40"/>
  <c r="J64" i="40"/>
  <c r="I64" i="40"/>
  <c r="H64" i="40"/>
  <c r="S63" i="40"/>
  <c r="R63" i="40"/>
  <c r="M63" i="40"/>
  <c r="L63" i="40"/>
  <c r="K63" i="40"/>
  <c r="J63" i="40"/>
  <c r="I63" i="40"/>
  <c r="H63" i="40"/>
  <c r="S62" i="40"/>
  <c r="R62" i="40"/>
  <c r="M62" i="40"/>
  <c r="L62" i="40"/>
  <c r="K62" i="40"/>
  <c r="J62" i="40"/>
  <c r="I62" i="40"/>
  <c r="H62" i="40"/>
  <c r="S61" i="40"/>
  <c r="R61" i="40"/>
  <c r="M61" i="40"/>
  <c r="L61" i="40"/>
  <c r="K61" i="40"/>
  <c r="J61" i="40"/>
  <c r="I61" i="40"/>
  <c r="H61" i="40"/>
  <c r="S60" i="40"/>
  <c r="R60" i="40"/>
  <c r="M60" i="40"/>
  <c r="L60" i="40"/>
  <c r="K60" i="40"/>
  <c r="J60" i="40"/>
  <c r="I60" i="40"/>
  <c r="H60" i="40"/>
  <c r="S59" i="40"/>
  <c r="R59" i="40"/>
  <c r="M59" i="40"/>
  <c r="L59" i="40"/>
  <c r="K59" i="40"/>
  <c r="J59" i="40"/>
  <c r="I59" i="40"/>
  <c r="H59" i="40"/>
  <c r="S58" i="40"/>
  <c r="R58" i="40"/>
  <c r="M58" i="40"/>
  <c r="L58" i="40"/>
  <c r="K58" i="40"/>
  <c r="J58" i="40"/>
  <c r="I58" i="40"/>
  <c r="H58" i="40"/>
  <c r="S57" i="40"/>
  <c r="R57" i="40"/>
  <c r="M57" i="40"/>
  <c r="L57" i="40"/>
  <c r="K57" i="40"/>
  <c r="J57" i="40"/>
  <c r="I57" i="40"/>
  <c r="H57" i="40"/>
  <c r="S56" i="40"/>
  <c r="R56" i="40"/>
  <c r="M56" i="40"/>
  <c r="L56" i="40"/>
  <c r="K56" i="40"/>
  <c r="J56" i="40"/>
  <c r="I56" i="40"/>
  <c r="H56" i="40"/>
  <c r="S55" i="40"/>
  <c r="R55" i="40"/>
  <c r="M55" i="40"/>
  <c r="L55" i="40"/>
  <c r="K55" i="40"/>
  <c r="J55" i="40"/>
  <c r="I55" i="40"/>
  <c r="H55" i="40"/>
  <c r="S54" i="40"/>
  <c r="R54" i="40"/>
  <c r="M54" i="40"/>
  <c r="L54" i="40"/>
  <c r="K54" i="40"/>
  <c r="J54" i="40"/>
  <c r="I54" i="40"/>
  <c r="H54" i="40"/>
  <c r="S53" i="40"/>
  <c r="R53" i="40"/>
  <c r="M53" i="40"/>
  <c r="L53" i="40"/>
  <c r="K53" i="40"/>
  <c r="J53" i="40"/>
  <c r="I53" i="40"/>
  <c r="H53" i="40"/>
  <c r="S52" i="40"/>
  <c r="R52" i="40"/>
  <c r="M52" i="40"/>
  <c r="L52" i="40"/>
  <c r="K52" i="40"/>
  <c r="J52" i="40"/>
  <c r="I52" i="40"/>
  <c r="H52" i="40"/>
  <c r="S51" i="40"/>
  <c r="R51" i="40"/>
  <c r="M51" i="40"/>
  <c r="L51" i="40"/>
  <c r="K51" i="40"/>
  <c r="J51" i="40"/>
  <c r="I51" i="40"/>
  <c r="H51" i="40"/>
  <c r="S50" i="40"/>
  <c r="R50" i="40"/>
  <c r="M50" i="40"/>
  <c r="L50" i="40"/>
  <c r="K50" i="40"/>
  <c r="J50" i="40"/>
  <c r="I50" i="40"/>
  <c r="H50" i="40"/>
  <c r="S49" i="40"/>
  <c r="R49" i="40"/>
  <c r="M49" i="40"/>
  <c r="L49" i="40"/>
  <c r="K49" i="40"/>
  <c r="J49" i="40"/>
  <c r="I49" i="40"/>
  <c r="H49" i="40"/>
  <c r="S48" i="40"/>
  <c r="R48" i="40"/>
  <c r="M48" i="40"/>
  <c r="L48" i="40"/>
  <c r="K48" i="40"/>
  <c r="J48" i="40"/>
  <c r="I48" i="40"/>
  <c r="H48" i="40"/>
  <c r="S47" i="40"/>
  <c r="R47" i="40"/>
  <c r="M47" i="40"/>
  <c r="L47" i="40"/>
  <c r="K47" i="40"/>
  <c r="J47" i="40"/>
  <c r="I47" i="40"/>
  <c r="H47" i="40"/>
  <c r="S46" i="40"/>
  <c r="R46" i="40"/>
  <c r="M46" i="40"/>
  <c r="L46" i="40"/>
  <c r="K46" i="40"/>
  <c r="J46" i="40"/>
  <c r="I46" i="40"/>
  <c r="H46" i="40"/>
  <c r="S45" i="40"/>
  <c r="R45" i="40"/>
  <c r="M45" i="40"/>
  <c r="L45" i="40"/>
  <c r="K45" i="40"/>
  <c r="J45" i="40"/>
  <c r="I45" i="40"/>
  <c r="H45" i="40"/>
  <c r="S44" i="40"/>
  <c r="R44" i="40"/>
  <c r="M44" i="40"/>
  <c r="L44" i="40"/>
  <c r="K44" i="40"/>
  <c r="J44" i="40"/>
  <c r="I44" i="40"/>
  <c r="H44" i="40"/>
  <c r="S43" i="40"/>
  <c r="R43" i="40"/>
  <c r="M43" i="40"/>
  <c r="L43" i="40"/>
  <c r="K43" i="40"/>
  <c r="J43" i="40"/>
  <c r="I43" i="40"/>
  <c r="H43" i="40"/>
  <c r="S42" i="40"/>
  <c r="R42" i="40"/>
  <c r="M42" i="40"/>
  <c r="L42" i="40"/>
  <c r="K42" i="40"/>
  <c r="J42" i="40"/>
  <c r="I42" i="40"/>
  <c r="H42" i="40"/>
  <c r="S41" i="40"/>
  <c r="R41" i="40"/>
  <c r="M41" i="40"/>
  <c r="L41" i="40"/>
  <c r="K41" i="40"/>
  <c r="J41" i="40"/>
  <c r="I41" i="40"/>
  <c r="H41" i="40"/>
  <c r="S40" i="40"/>
  <c r="R40" i="40"/>
  <c r="M40" i="40"/>
  <c r="L40" i="40"/>
  <c r="K40" i="40"/>
  <c r="J40" i="40"/>
  <c r="I40" i="40"/>
  <c r="H40" i="40"/>
  <c r="S39" i="40"/>
  <c r="R39" i="40"/>
  <c r="M39" i="40"/>
  <c r="L39" i="40"/>
  <c r="K39" i="40"/>
  <c r="J39" i="40"/>
  <c r="I39" i="40"/>
  <c r="H39" i="40"/>
  <c r="S38" i="40"/>
  <c r="R38" i="40"/>
  <c r="M38" i="40"/>
  <c r="L38" i="40"/>
  <c r="K38" i="40"/>
  <c r="J38" i="40"/>
  <c r="I38" i="40"/>
  <c r="H38" i="40"/>
  <c r="S37" i="40"/>
  <c r="R37" i="40"/>
  <c r="M37" i="40"/>
  <c r="L37" i="40"/>
  <c r="K37" i="40"/>
  <c r="J37" i="40"/>
  <c r="I37" i="40"/>
  <c r="H37" i="40"/>
  <c r="S36" i="40"/>
  <c r="R36" i="40"/>
  <c r="M36" i="40"/>
  <c r="L36" i="40"/>
  <c r="K36" i="40"/>
  <c r="J36" i="40"/>
  <c r="I36" i="40"/>
  <c r="H36" i="40"/>
  <c r="S35" i="40"/>
  <c r="R35" i="40"/>
  <c r="M35" i="40"/>
  <c r="L35" i="40"/>
  <c r="K35" i="40"/>
  <c r="J35" i="40"/>
  <c r="I35" i="40"/>
  <c r="H35" i="40"/>
  <c r="S34" i="40"/>
  <c r="R34" i="40"/>
  <c r="M34" i="40"/>
  <c r="L34" i="40"/>
  <c r="K34" i="40"/>
  <c r="J34" i="40"/>
  <c r="I34" i="40"/>
  <c r="H34" i="40"/>
  <c r="S33" i="40"/>
  <c r="R33" i="40"/>
  <c r="M33" i="40"/>
  <c r="L33" i="40"/>
  <c r="K33" i="40"/>
  <c r="J33" i="40"/>
  <c r="I33" i="40"/>
  <c r="H33" i="40"/>
  <c r="S32" i="40"/>
  <c r="R32" i="40"/>
  <c r="M32" i="40"/>
  <c r="L32" i="40"/>
  <c r="K32" i="40"/>
  <c r="J32" i="40"/>
  <c r="I32" i="40"/>
  <c r="H32" i="40"/>
  <c r="S31" i="40"/>
  <c r="R31" i="40"/>
  <c r="M31" i="40"/>
  <c r="L31" i="40"/>
  <c r="K31" i="40"/>
  <c r="J31" i="40"/>
  <c r="I31" i="40"/>
  <c r="H31" i="40"/>
  <c r="S30" i="40"/>
  <c r="R30" i="40"/>
  <c r="M30" i="40"/>
  <c r="L30" i="40"/>
  <c r="K30" i="40"/>
  <c r="J30" i="40"/>
  <c r="I30" i="40"/>
  <c r="H30" i="40"/>
  <c r="S29" i="40"/>
  <c r="R29" i="40"/>
  <c r="M29" i="40"/>
  <c r="L29" i="40"/>
  <c r="K29" i="40"/>
  <c r="J29" i="40"/>
  <c r="I29" i="40"/>
  <c r="H29" i="40"/>
  <c r="S28" i="40"/>
  <c r="R28" i="40"/>
  <c r="M28" i="40"/>
  <c r="L28" i="40"/>
  <c r="K28" i="40"/>
  <c r="J28" i="40"/>
  <c r="I28" i="40"/>
  <c r="H28" i="40"/>
  <c r="S27" i="40"/>
  <c r="R27" i="40"/>
  <c r="M27" i="40"/>
  <c r="L27" i="40"/>
  <c r="K27" i="40"/>
  <c r="J27" i="40"/>
  <c r="I27" i="40"/>
  <c r="H27" i="40"/>
  <c r="S26" i="40"/>
  <c r="R26" i="40"/>
  <c r="M26" i="40"/>
  <c r="L26" i="40"/>
  <c r="K26" i="40"/>
  <c r="J26" i="40"/>
  <c r="I26" i="40"/>
  <c r="H26" i="40"/>
  <c r="S25" i="40"/>
  <c r="R25" i="40"/>
  <c r="M25" i="40"/>
  <c r="L25" i="40"/>
  <c r="K25" i="40"/>
  <c r="J25" i="40"/>
  <c r="I25" i="40"/>
  <c r="H25" i="40"/>
  <c r="S24" i="40"/>
  <c r="R24" i="40"/>
  <c r="M24" i="40"/>
  <c r="L24" i="40"/>
  <c r="K24" i="40"/>
  <c r="J24" i="40"/>
  <c r="I24" i="40"/>
  <c r="H24" i="40"/>
  <c r="S23" i="40"/>
  <c r="R23" i="40"/>
  <c r="M23" i="40"/>
  <c r="L23" i="40"/>
  <c r="K23" i="40"/>
  <c r="J23" i="40"/>
  <c r="I23" i="40"/>
  <c r="H23" i="40"/>
  <c r="I22" i="40"/>
  <c r="J22" i="40" s="1"/>
  <c r="R22" i="40" s="1"/>
  <c r="H22" i="40"/>
  <c r="I21" i="40"/>
  <c r="J21" i="40" s="1"/>
  <c r="R21" i="40" s="1"/>
  <c r="H21" i="40"/>
  <c r="I20" i="40"/>
  <c r="H20" i="40"/>
  <c r="I19" i="40"/>
  <c r="H19" i="40"/>
  <c r="I18" i="40"/>
  <c r="J18" i="40" s="1"/>
  <c r="R18" i="40" s="1"/>
  <c r="H18" i="40"/>
  <c r="I17" i="40"/>
  <c r="J17" i="40" s="1"/>
  <c r="R17" i="40" s="1"/>
  <c r="H17" i="40"/>
  <c r="I16" i="40"/>
  <c r="H16" i="40"/>
  <c r="I15" i="40"/>
  <c r="H15" i="40"/>
  <c r="I14" i="40"/>
  <c r="J14" i="40" s="1"/>
  <c r="R14" i="40" s="1"/>
  <c r="H14" i="40"/>
  <c r="I13" i="40"/>
  <c r="J13" i="40" s="1"/>
  <c r="R13" i="40" s="1"/>
  <c r="H13" i="40"/>
  <c r="I12" i="40"/>
  <c r="H12" i="40"/>
  <c r="I11" i="40"/>
  <c r="H11" i="40"/>
  <c r="I10" i="40"/>
  <c r="J10" i="40" s="1"/>
  <c r="R10" i="40" s="1"/>
  <c r="H10" i="40"/>
  <c r="I9" i="40"/>
  <c r="H9" i="40"/>
  <c r="I8" i="40"/>
  <c r="H8" i="40"/>
  <c r="I7" i="40"/>
  <c r="H7" i="40"/>
  <c r="K7" i="40" s="1"/>
  <c r="M34" i="49" l="1"/>
  <c r="S34" i="49" s="1"/>
  <c r="L35" i="49"/>
  <c r="M9" i="41"/>
  <c r="S9" i="41" s="1"/>
  <c r="L10" i="41"/>
  <c r="K8" i="40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J9" i="40"/>
  <c r="R9" i="40" s="1"/>
  <c r="J7" i="40"/>
  <c r="R7" i="40" s="1"/>
  <c r="L7" i="40"/>
  <c r="M7" i="40" s="1"/>
  <c r="S7" i="40" s="1"/>
  <c r="J11" i="40"/>
  <c r="R11" i="40" s="1"/>
  <c r="J15" i="40"/>
  <c r="R15" i="40" s="1"/>
  <c r="J19" i="40"/>
  <c r="R19" i="40" s="1"/>
  <c r="J8" i="40"/>
  <c r="R8" i="40" s="1"/>
  <c r="J12" i="40"/>
  <c r="R12" i="40" s="1"/>
  <c r="J16" i="40"/>
  <c r="R16" i="40" s="1"/>
  <c r="J20" i="40"/>
  <c r="R20" i="40" s="1"/>
  <c r="L8" i="40"/>
  <c r="L36" i="49" l="1"/>
  <c r="M35" i="49"/>
  <c r="S35" i="49" s="1"/>
  <c r="M10" i="41"/>
  <c r="S10" i="41" s="1"/>
  <c r="L11" i="41"/>
  <c r="M8" i="40"/>
  <c r="S8" i="40" s="1"/>
  <c r="L9" i="40"/>
  <c r="M36" i="49" l="1"/>
  <c r="S36" i="49" s="1"/>
  <c r="L37" i="49"/>
  <c r="M11" i="41"/>
  <c r="S11" i="41" s="1"/>
  <c r="L12" i="41"/>
  <c r="M9" i="40"/>
  <c r="S9" i="40" s="1"/>
  <c r="L10" i="40"/>
  <c r="L38" i="49" l="1"/>
  <c r="M37" i="49"/>
  <c r="S37" i="49" s="1"/>
  <c r="M12" i="41"/>
  <c r="S12" i="41" s="1"/>
  <c r="L13" i="41"/>
  <c r="M10" i="40"/>
  <c r="S10" i="40" s="1"/>
  <c r="L11" i="40"/>
  <c r="L39" i="49" l="1"/>
  <c r="M38" i="49"/>
  <c r="S38" i="49" s="1"/>
  <c r="M13" i="41"/>
  <c r="S13" i="41" s="1"/>
  <c r="L14" i="41"/>
  <c r="L12" i="40"/>
  <c r="M11" i="40"/>
  <c r="S11" i="40" s="1"/>
  <c r="L40" i="49" l="1"/>
  <c r="M39" i="49"/>
  <c r="S39" i="49" s="1"/>
  <c r="M14" i="41"/>
  <c r="S14" i="41" s="1"/>
  <c r="L15" i="41"/>
  <c r="M12" i="40"/>
  <c r="S12" i="40" s="1"/>
  <c r="L13" i="40"/>
  <c r="S112" i="39"/>
  <c r="R112" i="39"/>
  <c r="M112" i="39"/>
  <c r="L112" i="39"/>
  <c r="K112" i="39"/>
  <c r="J112" i="39"/>
  <c r="I112" i="39"/>
  <c r="H112" i="39"/>
  <c r="S111" i="39"/>
  <c r="R111" i="39"/>
  <c r="M111" i="39"/>
  <c r="L111" i="39"/>
  <c r="K111" i="39"/>
  <c r="J111" i="39"/>
  <c r="I111" i="39"/>
  <c r="H111" i="39"/>
  <c r="S110" i="39"/>
  <c r="R110" i="39"/>
  <c r="M110" i="39"/>
  <c r="L110" i="39"/>
  <c r="K110" i="39"/>
  <c r="J110" i="39"/>
  <c r="I110" i="39"/>
  <c r="H110" i="39"/>
  <c r="S109" i="39"/>
  <c r="R109" i="39"/>
  <c r="M109" i="39"/>
  <c r="L109" i="39"/>
  <c r="K109" i="39"/>
  <c r="J109" i="39"/>
  <c r="I109" i="39"/>
  <c r="H109" i="39"/>
  <c r="S108" i="39"/>
  <c r="R108" i="39"/>
  <c r="M108" i="39"/>
  <c r="L108" i="39"/>
  <c r="K108" i="39"/>
  <c r="J108" i="39"/>
  <c r="I108" i="39"/>
  <c r="H108" i="39"/>
  <c r="S107" i="39"/>
  <c r="R107" i="39"/>
  <c r="M107" i="39"/>
  <c r="L107" i="39"/>
  <c r="K107" i="39"/>
  <c r="J107" i="39"/>
  <c r="I107" i="39"/>
  <c r="H107" i="39"/>
  <c r="S106" i="39"/>
  <c r="R106" i="39"/>
  <c r="M106" i="39"/>
  <c r="L106" i="39"/>
  <c r="K106" i="39"/>
  <c r="J106" i="39"/>
  <c r="I106" i="39"/>
  <c r="H106" i="39"/>
  <c r="S105" i="39"/>
  <c r="R105" i="39"/>
  <c r="M105" i="39"/>
  <c r="L105" i="39"/>
  <c r="K105" i="39"/>
  <c r="J105" i="39"/>
  <c r="I105" i="39"/>
  <c r="H105" i="39"/>
  <c r="S104" i="39"/>
  <c r="R104" i="39"/>
  <c r="M104" i="39"/>
  <c r="L104" i="39"/>
  <c r="K104" i="39"/>
  <c r="J104" i="39"/>
  <c r="I104" i="39"/>
  <c r="H104" i="39"/>
  <c r="S103" i="39"/>
  <c r="R103" i="39"/>
  <c r="M103" i="39"/>
  <c r="L103" i="39"/>
  <c r="K103" i="39"/>
  <c r="J103" i="39"/>
  <c r="I103" i="39"/>
  <c r="H103" i="39"/>
  <c r="S102" i="39"/>
  <c r="R102" i="39"/>
  <c r="M102" i="39"/>
  <c r="L102" i="39"/>
  <c r="K102" i="39"/>
  <c r="J102" i="39"/>
  <c r="I102" i="39"/>
  <c r="H102" i="39"/>
  <c r="S101" i="39"/>
  <c r="R101" i="39"/>
  <c r="M101" i="39"/>
  <c r="L101" i="39"/>
  <c r="K101" i="39"/>
  <c r="J101" i="39"/>
  <c r="I101" i="39"/>
  <c r="H101" i="39"/>
  <c r="S100" i="39"/>
  <c r="R100" i="39"/>
  <c r="M100" i="39"/>
  <c r="L100" i="39"/>
  <c r="K100" i="39"/>
  <c r="J100" i="39"/>
  <c r="I100" i="39"/>
  <c r="H100" i="39"/>
  <c r="S99" i="39"/>
  <c r="R99" i="39"/>
  <c r="M99" i="39"/>
  <c r="L99" i="39"/>
  <c r="K99" i="39"/>
  <c r="J99" i="39"/>
  <c r="I99" i="39"/>
  <c r="H99" i="39"/>
  <c r="S98" i="39"/>
  <c r="R98" i="39"/>
  <c r="M98" i="39"/>
  <c r="L98" i="39"/>
  <c r="K98" i="39"/>
  <c r="J98" i="39"/>
  <c r="I98" i="39"/>
  <c r="H98" i="39"/>
  <c r="S97" i="39"/>
  <c r="R97" i="39"/>
  <c r="M97" i="39"/>
  <c r="L97" i="39"/>
  <c r="K97" i="39"/>
  <c r="J97" i="39"/>
  <c r="I97" i="39"/>
  <c r="H97" i="39"/>
  <c r="S96" i="39"/>
  <c r="R96" i="39"/>
  <c r="M96" i="39"/>
  <c r="L96" i="39"/>
  <c r="K96" i="39"/>
  <c r="J96" i="39"/>
  <c r="I96" i="39"/>
  <c r="H96" i="39"/>
  <c r="S95" i="39"/>
  <c r="R95" i="39"/>
  <c r="M95" i="39"/>
  <c r="L95" i="39"/>
  <c r="K95" i="39"/>
  <c r="J95" i="39"/>
  <c r="I95" i="39"/>
  <c r="H95" i="39"/>
  <c r="S94" i="39"/>
  <c r="R94" i="39"/>
  <c r="M94" i="39"/>
  <c r="L94" i="39"/>
  <c r="K94" i="39"/>
  <c r="J94" i="39"/>
  <c r="I94" i="39"/>
  <c r="H94" i="39"/>
  <c r="S93" i="39"/>
  <c r="R93" i="39"/>
  <c r="M93" i="39"/>
  <c r="L93" i="39"/>
  <c r="K93" i="39"/>
  <c r="J93" i="39"/>
  <c r="I93" i="39"/>
  <c r="H93" i="39"/>
  <c r="S92" i="39"/>
  <c r="R92" i="39"/>
  <c r="M92" i="39"/>
  <c r="L92" i="39"/>
  <c r="K92" i="39"/>
  <c r="J92" i="39"/>
  <c r="I92" i="39"/>
  <c r="H92" i="39"/>
  <c r="S91" i="39"/>
  <c r="R91" i="39"/>
  <c r="M91" i="39"/>
  <c r="L91" i="39"/>
  <c r="K91" i="39"/>
  <c r="J91" i="39"/>
  <c r="I91" i="39"/>
  <c r="H91" i="39"/>
  <c r="S90" i="39"/>
  <c r="R90" i="39"/>
  <c r="M90" i="39"/>
  <c r="L90" i="39"/>
  <c r="K90" i="39"/>
  <c r="J90" i="39"/>
  <c r="I90" i="39"/>
  <c r="H90" i="39"/>
  <c r="S89" i="39"/>
  <c r="R89" i="39"/>
  <c r="M89" i="39"/>
  <c r="L89" i="39"/>
  <c r="K89" i="39"/>
  <c r="J89" i="39"/>
  <c r="I89" i="39"/>
  <c r="H89" i="39"/>
  <c r="S88" i="39"/>
  <c r="R88" i="39"/>
  <c r="M88" i="39"/>
  <c r="L88" i="39"/>
  <c r="K88" i="39"/>
  <c r="J88" i="39"/>
  <c r="I88" i="39"/>
  <c r="H88" i="39"/>
  <c r="S87" i="39"/>
  <c r="R87" i="39"/>
  <c r="M87" i="39"/>
  <c r="L87" i="39"/>
  <c r="K87" i="39"/>
  <c r="J87" i="39"/>
  <c r="I87" i="39"/>
  <c r="H87" i="39"/>
  <c r="S86" i="39"/>
  <c r="R86" i="39"/>
  <c r="M86" i="39"/>
  <c r="L86" i="39"/>
  <c r="K86" i="39"/>
  <c r="J86" i="39"/>
  <c r="I86" i="39"/>
  <c r="H86" i="39"/>
  <c r="S85" i="39"/>
  <c r="R85" i="39"/>
  <c r="M85" i="39"/>
  <c r="L85" i="39"/>
  <c r="K85" i="39"/>
  <c r="J85" i="39"/>
  <c r="I85" i="39"/>
  <c r="H85" i="39"/>
  <c r="S84" i="39"/>
  <c r="R84" i="39"/>
  <c r="M84" i="39"/>
  <c r="L84" i="39"/>
  <c r="K84" i="39"/>
  <c r="J84" i="39"/>
  <c r="I84" i="39"/>
  <c r="H84" i="39"/>
  <c r="S83" i="39"/>
  <c r="R83" i="39"/>
  <c r="M83" i="39"/>
  <c r="L83" i="39"/>
  <c r="K83" i="39"/>
  <c r="J83" i="39"/>
  <c r="I83" i="39"/>
  <c r="H83" i="39"/>
  <c r="S82" i="39"/>
  <c r="R82" i="39"/>
  <c r="M82" i="39"/>
  <c r="L82" i="39"/>
  <c r="K82" i="39"/>
  <c r="J82" i="39"/>
  <c r="I82" i="39"/>
  <c r="H82" i="39"/>
  <c r="S81" i="39"/>
  <c r="R81" i="39"/>
  <c r="M81" i="39"/>
  <c r="L81" i="39"/>
  <c r="K81" i="39"/>
  <c r="J81" i="39"/>
  <c r="I81" i="39"/>
  <c r="H81" i="39"/>
  <c r="S80" i="39"/>
  <c r="R80" i="39"/>
  <c r="M80" i="39"/>
  <c r="L80" i="39"/>
  <c r="K80" i="39"/>
  <c r="J80" i="39"/>
  <c r="I80" i="39"/>
  <c r="H80" i="39"/>
  <c r="S79" i="39"/>
  <c r="R79" i="39"/>
  <c r="M79" i="39"/>
  <c r="L79" i="39"/>
  <c r="K79" i="39"/>
  <c r="J79" i="39"/>
  <c r="I79" i="39"/>
  <c r="H79" i="39"/>
  <c r="S78" i="39"/>
  <c r="R78" i="39"/>
  <c r="M78" i="39"/>
  <c r="L78" i="39"/>
  <c r="K78" i="39"/>
  <c r="J78" i="39"/>
  <c r="I78" i="39"/>
  <c r="H78" i="39"/>
  <c r="S77" i="39"/>
  <c r="R77" i="39"/>
  <c r="M77" i="39"/>
  <c r="L77" i="39"/>
  <c r="K77" i="39"/>
  <c r="J77" i="39"/>
  <c r="I77" i="39"/>
  <c r="H77" i="39"/>
  <c r="S76" i="39"/>
  <c r="R76" i="39"/>
  <c r="M76" i="39"/>
  <c r="L76" i="39"/>
  <c r="K76" i="39"/>
  <c r="J76" i="39"/>
  <c r="I76" i="39"/>
  <c r="H76" i="39"/>
  <c r="S75" i="39"/>
  <c r="R75" i="39"/>
  <c r="M75" i="39"/>
  <c r="L75" i="39"/>
  <c r="K75" i="39"/>
  <c r="J75" i="39"/>
  <c r="I75" i="39"/>
  <c r="H75" i="39"/>
  <c r="S74" i="39"/>
  <c r="R74" i="39"/>
  <c r="M74" i="39"/>
  <c r="L74" i="39"/>
  <c r="K74" i="39"/>
  <c r="J74" i="39"/>
  <c r="I74" i="39"/>
  <c r="H74" i="39"/>
  <c r="S73" i="39"/>
  <c r="R73" i="39"/>
  <c r="M73" i="39"/>
  <c r="L73" i="39"/>
  <c r="K73" i="39"/>
  <c r="J73" i="39"/>
  <c r="I73" i="39"/>
  <c r="H73" i="39"/>
  <c r="S72" i="39"/>
  <c r="R72" i="39"/>
  <c r="M72" i="39"/>
  <c r="L72" i="39"/>
  <c r="K72" i="39"/>
  <c r="J72" i="39"/>
  <c r="I72" i="39"/>
  <c r="H72" i="39"/>
  <c r="S71" i="39"/>
  <c r="R71" i="39"/>
  <c r="M71" i="39"/>
  <c r="L71" i="39"/>
  <c r="K71" i="39"/>
  <c r="J71" i="39"/>
  <c r="I71" i="39"/>
  <c r="H71" i="39"/>
  <c r="S70" i="39"/>
  <c r="R70" i="39"/>
  <c r="M70" i="39"/>
  <c r="L70" i="39"/>
  <c r="K70" i="39"/>
  <c r="J70" i="39"/>
  <c r="I70" i="39"/>
  <c r="H70" i="39"/>
  <c r="S69" i="39"/>
  <c r="R69" i="39"/>
  <c r="M69" i="39"/>
  <c r="L69" i="39"/>
  <c r="K69" i="39"/>
  <c r="J69" i="39"/>
  <c r="I69" i="39"/>
  <c r="H69" i="39"/>
  <c r="S68" i="39"/>
  <c r="R68" i="39"/>
  <c r="M68" i="39"/>
  <c r="L68" i="39"/>
  <c r="K68" i="39"/>
  <c r="J68" i="39"/>
  <c r="I68" i="39"/>
  <c r="H68" i="39"/>
  <c r="S67" i="39"/>
  <c r="R67" i="39"/>
  <c r="M67" i="39"/>
  <c r="L67" i="39"/>
  <c r="K67" i="39"/>
  <c r="J67" i="39"/>
  <c r="I67" i="39"/>
  <c r="H67" i="39"/>
  <c r="S66" i="39"/>
  <c r="R66" i="39"/>
  <c r="M66" i="39"/>
  <c r="L66" i="39"/>
  <c r="K66" i="39"/>
  <c r="J66" i="39"/>
  <c r="I66" i="39"/>
  <c r="H66" i="39"/>
  <c r="S65" i="39"/>
  <c r="R65" i="39"/>
  <c r="M65" i="39"/>
  <c r="L65" i="39"/>
  <c r="K65" i="39"/>
  <c r="J65" i="39"/>
  <c r="I65" i="39"/>
  <c r="H65" i="39"/>
  <c r="S64" i="39"/>
  <c r="R64" i="39"/>
  <c r="M64" i="39"/>
  <c r="L64" i="39"/>
  <c r="K64" i="39"/>
  <c r="J64" i="39"/>
  <c r="I64" i="39"/>
  <c r="H64" i="39"/>
  <c r="S63" i="39"/>
  <c r="R63" i="39"/>
  <c r="M63" i="39"/>
  <c r="L63" i="39"/>
  <c r="K63" i="39"/>
  <c r="J63" i="39"/>
  <c r="I63" i="39"/>
  <c r="H63" i="39"/>
  <c r="S62" i="39"/>
  <c r="R62" i="39"/>
  <c r="M62" i="39"/>
  <c r="L62" i="39"/>
  <c r="K62" i="39"/>
  <c r="J62" i="39"/>
  <c r="I62" i="39"/>
  <c r="H62" i="39"/>
  <c r="S61" i="39"/>
  <c r="R61" i="39"/>
  <c r="M61" i="39"/>
  <c r="L61" i="39"/>
  <c r="K61" i="39"/>
  <c r="J61" i="39"/>
  <c r="I61" i="39"/>
  <c r="H61" i="39"/>
  <c r="S60" i="39"/>
  <c r="R60" i="39"/>
  <c r="M60" i="39"/>
  <c r="L60" i="39"/>
  <c r="K60" i="39"/>
  <c r="J60" i="39"/>
  <c r="I60" i="39"/>
  <c r="H60" i="39"/>
  <c r="S59" i="39"/>
  <c r="R59" i="39"/>
  <c r="M59" i="39"/>
  <c r="L59" i="39"/>
  <c r="K59" i="39"/>
  <c r="J59" i="39"/>
  <c r="I59" i="39"/>
  <c r="H59" i="39"/>
  <c r="S58" i="39"/>
  <c r="R58" i="39"/>
  <c r="M58" i="39"/>
  <c r="L58" i="39"/>
  <c r="K58" i="39"/>
  <c r="J58" i="39"/>
  <c r="I58" i="39"/>
  <c r="H58" i="39"/>
  <c r="S57" i="39"/>
  <c r="R57" i="39"/>
  <c r="M57" i="39"/>
  <c r="L57" i="39"/>
  <c r="K57" i="39"/>
  <c r="J57" i="39"/>
  <c r="I57" i="39"/>
  <c r="H57" i="39"/>
  <c r="S56" i="39"/>
  <c r="R56" i="39"/>
  <c r="M56" i="39"/>
  <c r="L56" i="39"/>
  <c r="K56" i="39"/>
  <c r="J56" i="39"/>
  <c r="I56" i="39"/>
  <c r="H56" i="39"/>
  <c r="S55" i="39"/>
  <c r="R55" i="39"/>
  <c r="M55" i="39"/>
  <c r="L55" i="39"/>
  <c r="K55" i="39"/>
  <c r="J55" i="39"/>
  <c r="I55" i="39"/>
  <c r="H55" i="39"/>
  <c r="S54" i="39"/>
  <c r="R54" i="39"/>
  <c r="M54" i="39"/>
  <c r="L54" i="39"/>
  <c r="K54" i="39"/>
  <c r="J54" i="39"/>
  <c r="I54" i="39"/>
  <c r="H54" i="39"/>
  <c r="S53" i="39"/>
  <c r="R53" i="39"/>
  <c r="M53" i="39"/>
  <c r="L53" i="39"/>
  <c r="K53" i="39"/>
  <c r="J53" i="39"/>
  <c r="I53" i="39"/>
  <c r="H53" i="39"/>
  <c r="S52" i="39"/>
  <c r="R52" i="39"/>
  <c r="M52" i="39"/>
  <c r="L52" i="39"/>
  <c r="K52" i="39"/>
  <c r="J52" i="39"/>
  <c r="I52" i="39"/>
  <c r="H52" i="39"/>
  <c r="S51" i="39"/>
  <c r="R51" i="39"/>
  <c r="M51" i="39"/>
  <c r="L51" i="39"/>
  <c r="K51" i="39"/>
  <c r="J51" i="39"/>
  <c r="I51" i="39"/>
  <c r="H51" i="39"/>
  <c r="S50" i="39"/>
  <c r="R50" i="39"/>
  <c r="M50" i="39"/>
  <c r="L50" i="39"/>
  <c r="K50" i="39"/>
  <c r="J50" i="39"/>
  <c r="I50" i="39"/>
  <c r="H50" i="39"/>
  <c r="S49" i="39"/>
  <c r="R49" i="39"/>
  <c r="M49" i="39"/>
  <c r="L49" i="39"/>
  <c r="K49" i="39"/>
  <c r="J49" i="39"/>
  <c r="I49" i="39"/>
  <c r="H49" i="39"/>
  <c r="S48" i="39"/>
  <c r="R48" i="39"/>
  <c r="M48" i="39"/>
  <c r="L48" i="39"/>
  <c r="K48" i="39"/>
  <c r="J48" i="39"/>
  <c r="I48" i="39"/>
  <c r="H48" i="39"/>
  <c r="S47" i="39"/>
  <c r="R47" i="39"/>
  <c r="M47" i="39"/>
  <c r="L47" i="39"/>
  <c r="K47" i="39"/>
  <c r="J47" i="39"/>
  <c r="I47" i="39"/>
  <c r="H47" i="39"/>
  <c r="S46" i="39"/>
  <c r="R46" i="39"/>
  <c r="M46" i="39"/>
  <c r="L46" i="39"/>
  <c r="K46" i="39"/>
  <c r="J46" i="39"/>
  <c r="I46" i="39"/>
  <c r="H46" i="39"/>
  <c r="S45" i="39"/>
  <c r="R45" i="39"/>
  <c r="M45" i="39"/>
  <c r="L45" i="39"/>
  <c r="K45" i="39"/>
  <c r="J45" i="39"/>
  <c r="I45" i="39"/>
  <c r="H45" i="39"/>
  <c r="S44" i="39"/>
  <c r="R44" i="39"/>
  <c r="M44" i="39"/>
  <c r="L44" i="39"/>
  <c r="K44" i="39"/>
  <c r="J44" i="39"/>
  <c r="I44" i="39"/>
  <c r="H44" i="39"/>
  <c r="S43" i="39"/>
  <c r="R43" i="39"/>
  <c r="M43" i="39"/>
  <c r="L43" i="39"/>
  <c r="K43" i="39"/>
  <c r="J43" i="39"/>
  <c r="I43" i="39"/>
  <c r="H43" i="39"/>
  <c r="S42" i="39"/>
  <c r="R42" i="39"/>
  <c r="M42" i="39"/>
  <c r="L42" i="39"/>
  <c r="K42" i="39"/>
  <c r="J42" i="39"/>
  <c r="I42" i="39"/>
  <c r="H42" i="39"/>
  <c r="S41" i="39"/>
  <c r="R41" i="39"/>
  <c r="M41" i="39"/>
  <c r="L41" i="39"/>
  <c r="K41" i="39"/>
  <c r="J41" i="39"/>
  <c r="I41" i="39"/>
  <c r="H41" i="39"/>
  <c r="S40" i="39"/>
  <c r="R40" i="39"/>
  <c r="M40" i="39"/>
  <c r="L40" i="39"/>
  <c r="K40" i="39"/>
  <c r="J40" i="39"/>
  <c r="I40" i="39"/>
  <c r="H40" i="39"/>
  <c r="S39" i="39"/>
  <c r="R39" i="39"/>
  <c r="M39" i="39"/>
  <c r="L39" i="39"/>
  <c r="K39" i="39"/>
  <c r="J39" i="39"/>
  <c r="I39" i="39"/>
  <c r="H39" i="39"/>
  <c r="S38" i="39"/>
  <c r="R38" i="39"/>
  <c r="M38" i="39"/>
  <c r="L38" i="39"/>
  <c r="K38" i="39"/>
  <c r="J38" i="39"/>
  <c r="I38" i="39"/>
  <c r="H38" i="39"/>
  <c r="S37" i="39"/>
  <c r="R37" i="39"/>
  <c r="M37" i="39"/>
  <c r="L37" i="39"/>
  <c r="K37" i="39"/>
  <c r="J37" i="39"/>
  <c r="I37" i="39"/>
  <c r="H37" i="39"/>
  <c r="S36" i="39"/>
  <c r="R36" i="39"/>
  <c r="M36" i="39"/>
  <c r="L36" i="39"/>
  <c r="K36" i="39"/>
  <c r="J36" i="39"/>
  <c r="I36" i="39"/>
  <c r="H36" i="39"/>
  <c r="S35" i="39"/>
  <c r="R35" i="39"/>
  <c r="M35" i="39"/>
  <c r="L35" i="39"/>
  <c r="K35" i="39"/>
  <c r="J35" i="39"/>
  <c r="I35" i="39"/>
  <c r="H35" i="39"/>
  <c r="S34" i="39"/>
  <c r="R34" i="39"/>
  <c r="M34" i="39"/>
  <c r="L34" i="39"/>
  <c r="K34" i="39"/>
  <c r="J34" i="39"/>
  <c r="I34" i="39"/>
  <c r="H34" i="39"/>
  <c r="S33" i="39"/>
  <c r="R33" i="39"/>
  <c r="M33" i="39"/>
  <c r="L33" i="39"/>
  <c r="K33" i="39"/>
  <c r="J33" i="39"/>
  <c r="I33" i="39"/>
  <c r="H33" i="39"/>
  <c r="S32" i="39"/>
  <c r="R32" i="39"/>
  <c r="M32" i="39"/>
  <c r="L32" i="39"/>
  <c r="K32" i="39"/>
  <c r="J32" i="39"/>
  <c r="I32" i="39"/>
  <c r="H32" i="39"/>
  <c r="S31" i="39"/>
  <c r="R31" i="39"/>
  <c r="M31" i="39"/>
  <c r="L31" i="39"/>
  <c r="K31" i="39"/>
  <c r="J31" i="39"/>
  <c r="I31" i="39"/>
  <c r="H31" i="39"/>
  <c r="S30" i="39"/>
  <c r="R30" i="39"/>
  <c r="M30" i="39"/>
  <c r="L30" i="39"/>
  <c r="K30" i="39"/>
  <c r="J30" i="39"/>
  <c r="I30" i="39"/>
  <c r="H30" i="39"/>
  <c r="S29" i="39"/>
  <c r="R29" i="39"/>
  <c r="M29" i="39"/>
  <c r="L29" i="39"/>
  <c r="K29" i="39"/>
  <c r="J29" i="39"/>
  <c r="I29" i="39"/>
  <c r="H29" i="39"/>
  <c r="S28" i="39"/>
  <c r="R28" i="39"/>
  <c r="M28" i="39"/>
  <c r="L28" i="39"/>
  <c r="K28" i="39"/>
  <c r="J28" i="39"/>
  <c r="I28" i="39"/>
  <c r="H28" i="39"/>
  <c r="S27" i="39"/>
  <c r="R27" i="39"/>
  <c r="M27" i="39"/>
  <c r="L27" i="39"/>
  <c r="K27" i="39"/>
  <c r="J27" i="39"/>
  <c r="I27" i="39"/>
  <c r="H27" i="39"/>
  <c r="S26" i="39"/>
  <c r="R26" i="39"/>
  <c r="M26" i="39"/>
  <c r="L26" i="39"/>
  <c r="K26" i="39"/>
  <c r="J26" i="39"/>
  <c r="I26" i="39"/>
  <c r="H26" i="39"/>
  <c r="S25" i="39"/>
  <c r="R25" i="39"/>
  <c r="M25" i="39"/>
  <c r="L25" i="39"/>
  <c r="K25" i="39"/>
  <c r="J25" i="39"/>
  <c r="I25" i="39"/>
  <c r="H25" i="39"/>
  <c r="S24" i="39"/>
  <c r="R24" i="39"/>
  <c r="M24" i="39"/>
  <c r="L24" i="39"/>
  <c r="K24" i="39"/>
  <c r="J24" i="39"/>
  <c r="I24" i="39"/>
  <c r="H24" i="39"/>
  <c r="S23" i="39"/>
  <c r="R23" i="39"/>
  <c r="M23" i="39"/>
  <c r="L23" i="39"/>
  <c r="K23" i="39"/>
  <c r="J23" i="39"/>
  <c r="I23" i="39"/>
  <c r="H23" i="39"/>
  <c r="I22" i="39"/>
  <c r="J22" i="39" s="1"/>
  <c r="R22" i="39" s="1"/>
  <c r="H22" i="39"/>
  <c r="I21" i="39"/>
  <c r="J21" i="39" s="1"/>
  <c r="R21" i="39" s="1"/>
  <c r="H21" i="39"/>
  <c r="I20" i="39"/>
  <c r="J20" i="39" s="1"/>
  <c r="R20" i="39" s="1"/>
  <c r="H20" i="39"/>
  <c r="J19" i="39"/>
  <c r="R19" i="39" s="1"/>
  <c r="I19" i="39"/>
  <c r="H19" i="39"/>
  <c r="I18" i="39"/>
  <c r="J18" i="39" s="1"/>
  <c r="R18" i="39" s="1"/>
  <c r="H18" i="39"/>
  <c r="I17" i="39"/>
  <c r="J17" i="39" s="1"/>
  <c r="R17" i="39" s="1"/>
  <c r="H17" i="39"/>
  <c r="I16" i="39"/>
  <c r="J16" i="39" s="1"/>
  <c r="R16" i="39" s="1"/>
  <c r="H16" i="39"/>
  <c r="J15" i="39"/>
  <c r="R15" i="39" s="1"/>
  <c r="I15" i="39"/>
  <c r="H15" i="39"/>
  <c r="I14" i="39"/>
  <c r="J14" i="39" s="1"/>
  <c r="R14" i="39" s="1"/>
  <c r="H14" i="39"/>
  <c r="I13" i="39"/>
  <c r="J13" i="39" s="1"/>
  <c r="R13" i="39" s="1"/>
  <c r="H13" i="39"/>
  <c r="I12" i="39"/>
  <c r="H12" i="39"/>
  <c r="I11" i="39"/>
  <c r="J11" i="39" s="1"/>
  <c r="R11" i="39" s="1"/>
  <c r="H11" i="39"/>
  <c r="I10" i="39"/>
  <c r="J10" i="39" s="1"/>
  <c r="R10" i="39" s="1"/>
  <c r="H10" i="39"/>
  <c r="I9" i="39"/>
  <c r="J9" i="39" s="1"/>
  <c r="R9" i="39" s="1"/>
  <c r="H9" i="39"/>
  <c r="I8" i="39"/>
  <c r="H8" i="39"/>
  <c r="I7" i="39"/>
  <c r="L7" i="39" s="1"/>
  <c r="H7" i="39"/>
  <c r="K7" i="39" s="1"/>
  <c r="J12" i="39" l="1"/>
  <c r="R12" i="39" s="1"/>
  <c r="M40" i="49"/>
  <c r="S40" i="49" s="1"/>
  <c r="L41" i="49"/>
  <c r="M41" i="49" s="1"/>
  <c r="S41" i="49" s="1"/>
  <c r="M15" i="41"/>
  <c r="S15" i="41" s="1"/>
  <c r="L16" i="41"/>
  <c r="M13" i="40"/>
  <c r="S13" i="40" s="1"/>
  <c r="L14" i="40"/>
  <c r="K8" i="39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J8" i="39"/>
  <c r="R8" i="39" s="1"/>
  <c r="M7" i="39"/>
  <c r="S7" i="39" s="1"/>
  <c r="L8" i="39"/>
  <c r="J7" i="39"/>
  <c r="R7" i="39" s="1"/>
  <c r="S112" i="38"/>
  <c r="R112" i="38"/>
  <c r="M112" i="38"/>
  <c r="L112" i="38"/>
  <c r="K112" i="38"/>
  <c r="J112" i="38"/>
  <c r="I112" i="38"/>
  <c r="H112" i="38"/>
  <c r="S111" i="38"/>
  <c r="R111" i="38"/>
  <c r="M111" i="38"/>
  <c r="L111" i="38"/>
  <c r="K111" i="38"/>
  <c r="J111" i="38"/>
  <c r="I111" i="38"/>
  <c r="H111" i="38"/>
  <c r="S110" i="38"/>
  <c r="R110" i="38"/>
  <c r="M110" i="38"/>
  <c r="L110" i="38"/>
  <c r="K110" i="38"/>
  <c r="J110" i="38"/>
  <c r="I110" i="38"/>
  <c r="H110" i="38"/>
  <c r="S109" i="38"/>
  <c r="R109" i="38"/>
  <c r="M109" i="38"/>
  <c r="L109" i="38"/>
  <c r="K109" i="38"/>
  <c r="J109" i="38"/>
  <c r="I109" i="38"/>
  <c r="H109" i="38"/>
  <c r="S108" i="38"/>
  <c r="R108" i="38"/>
  <c r="M108" i="38"/>
  <c r="L108" i="38"/>
  <c r="K108" i="38"/>
  <c r="J108" i="38"/>
  <c r="I108" i="38"/>
  <c r="H108" i="38"/>
  <c r="S107" i="38"/>
  <c r="R107" i="38"/>
  <c r="M107" i="38"/>
  <c r="L107" i="38"/>
  <c r="K107" i="38"/>
  <c r="J107" i="38"/>
  <c r="I107" i="38"/>
  <c r="H107" i="38"/>
  <c r="S106" i="38"/>
  <c r="R106" i="38"/>
  <c r="M106" i="38"/>
  <c r="L106" i="38"/>
  <c r="K106" i="38"/>
  <c r="J106" i="38"/>
  <c r="I106" i="38"/>
  <c r="H106" i="38"/>
  <c r="S105" i="38"/>
  <c r="R105" i="38"/>
  <c r="M105" i="38"/>
  <c r="L105" i="38"/>
  <c r="K105" i="38"/>
  <c r="J105" i="38"/>
  <c r="I105" i="38"/>
  <c r="H105" i="38"/>
  <c r="S104" i="38"/>
  <c r="R104" i="38"/>
  <c r="M104" i="38"/>
  <c r="L104" i="38"/>
  <c r="K104" i="38"/>
  <c r="J104" i="38"/>
  <c r="I104" i="38"/>
  <c r="H104" i="38"/>
  <c r="S103" i="38"/>
  <c r="R103" i="38"/>
  <c r="M103" i="38"/>
  <c r="L103" i="38"/>
  <c r="K103" i="38"/>
  <c r="J103" i="38"/>
  <c r="I103" i="38"/>
  <c r="H103" i="38"/>
  <c r="S102" i="38"/>
  <c r="R102" i="38"/>
  <c r="M102" i="38"/>
  <c r="L102" i="38"/>
  <c r="K102" i="38"/>
  <c r="J102" i="38"/>
  <c r="I102" i="38"/>
  <c r="H102" i="38"/>
  <c r="S101" i="38"/>
  <c r="R101" i="38"/>
  <c r="M101" i="38"/>
  <c r="L101" i="38"/>
  <c r="K101" i="38"/>
  <c r="J101" i="38"/>
  <c r="I101" i="38"/>
  <c r="H101" i="38"/>
  <c r="S100" i="38"/>
  <c r="R100" i="38"/>
  <c r="M100" i="38"/>
  <c r="L100" i="38"/>
  <c r="K100" i="38"/>
  <c r="J100" i="38"/>
  <c r="I100" i="38"/>
  <c r="H100" i="38"/>
  <c r="S99" i="38"/>
  <c r="R99" i="38"/>
  <c r="M99" i="38"/>
  <c r="L99" i="38"/>
  <c r="K99" i="38"/>
  <c r="J99" i="38"/>
  <c r="I99" i="38"/>
  <c r="H99" i="38"/>
  <c r="S98" i="38"/>
  <c r="R98" i="38"/>
  <c r="M98" i="38"/>
  <c r="L98" i="38"/>
  <c r="K98" i="38"/>
  <c r="J98" i="38"/>
  <c r="I98" i="38"/>
  <c r="H98" i="38"/>
  <c r="S97" i="38"/>
  <c r="R97" i="38"/>
  <c r="M97" i="38"/>
  <c r="L97" i="38"/>
  <c r="K97" i="38"/>
  <c r="J97" i="38"/>
  <c r="I97" i="38"/>
  <c r="H97" i="38"/>
  <c r="S96" i="38"/>
  <c r="R96" i="38"/>
  <c r="M96" i="38"/>
  <c r="L96" i="38"/>
  <c r="K96" i="38"/>
  <c r="J96" i="38"/>
  <c r="I96" i="38"/>
  <c r="H96" i="38"/>
  <c r="S95" i="38"/>
  <c r="R95" i="38"/>
  <c r="M95" i="38"/>
  <c r="L95" i="38"/>
  <c r="K95" i="38"/>
  <c r="J95" i="38"/>
  <c r="I95" i="38"/>
  <c r="H95" i="38"/>
  <c r="S94" i="38"/>
  <c r="R94" i="38"/>
  <c r="M94" i="38"/>
  <c r="L94" i="38"/>
  <c r="K94" i="38"/>
  <c r="J94" i="38"/>
  <c r="I94" i="38"/>
  <c r="H94" i="38"/>
  <c r="S93" i="38"/>
  <c r="R93" i="38"/>
  <c r="M93" i="38"/>
  <c r="L93" i="38"/>
  <c r="K93" i="38"/>
  <c r="J93" i="38"/>
  <c r="I93" i="38"/>
  <c r="H93" i="38"/>
  <c r="S92" i="38"/>
  <c r="R92" i="38"/>
  <c r="M92" i="38"/>
  <c r="L92" i="38"/>
  <c r="K92" i="38"/>
  <c r="J92" i="38"/>
  <c r="I92" i="38"/>
  <c r="H92" i="38"/>
  <c r="S91" i="38"/>
  <c r="R91" i="38"/>
  <c r="M91" i="38"/>
  <c r="L91" i="38"/>
  <c r="K91" i="38"/>
  <c r="J91" i="38"/>
  <c r="I91" i="38"/>
  <c r="H91" i="38"/>
  <c r="S90" i="38"/>
  <c r="R90" i="38"/>
  <c r="M90" i="38"/>
  <c r="L90" i="38"/>
  <c r="K90" i="38"/>
  <c r="J90" i="38"/>
  <c r="I90" i="38"/>
  <c r="H90" i="38"/>
  <c r="S89" i="38"/>
  <c r="R89" i="38"/>
  <c r="M89" i="38"/>
  <c r="L89" i="38"/>
  <c r="K89" i="38"/>
  <c r="J89" i="38"/>
  <c r="I89" i="38"/>
  <c r="H89" i="38"/>
  <c r="S88" i="38"/>
  <c r="R88" i="38"/>
  <c r="M88" i="38"/>
  <c r="L88" i="38"/>
  <c r="K88" i="38"/>
  <c r="J88" i="38"/>
  <c r="I88" i="38"/>
  <c r="H88" i="38"/>
  <c r="S87" i="38"/>
  <c r="R87" i="38"/>
  <c r="M87" i="38"/>
  <c r="L87" i="38"/>
  <c r="K87" i="38"/>
  <c r="J87" i="38"/>
  <c r="I87" i="38"/>
  <c r="H87" i="38"/>
  <c r="S86" i="38"/>
  <c r="R86" i="38"/>
  <c r="M86" i="38"/>
  <c r="L86" i="38"/>
  <c r="K86" i="38"/>
  <c r="J86" i="38"/>
  <c r="I86" i="38"/>
  <c r="H86" i="38"/>
  <c r="S85" i="38"/>
  <c r="R85" i="38"/>
  <c r="M85" i="38"/>
  <c r="L85" i="38"/>
  <c r="K85" i="38"/>
  <c r="J85" i="38"/>
  <c r="I85" i="38"/>
  <c r="H85" i="38"/>
  <c r="S84" i="38"/>
  <c r="R84" i="38"/>
  <c r="M84" i="38"/>
  <c r="L84" i="38"/>
  <c r="K84" i="38"/>
  <c r="J84" i="38"/>
  <c r="I84" i="38"/>
  <c r="H84" i="38"/>
  <c r="S83" i="38"/>
  <c r="R83" i="38"/>
  <c r="M83" i="38"/>
  <c r="L83" i="38"/>
  <c r="K83" i="38"/>
  <c r="J83" i="38"/>
  <c r="I83" i="38"/>
  <c r="H83" i="38"/>
  <c r="S82" i="38"/>
  <c r="R82" i="38"/>
  <c r="M82" i="38"/>
  <c r="L82" i="38"/>
  <c r="K82" i="38"/>
  <c r="J82" i="38"/>
  <c r="I82" i="38"/>
  <c r="H82" i="38"/>
  <c r="S81" i="38"/>
  <c r="R81" i="38"/>
  <c r="M81" i="38"/>
  <c r="L81" i="38"/>
  <c r="K81" i="38"/>
  <c r="J81" i="38"/>
  <c r="I81" i="38"/>
  <c r="H81" i="38"/>
  <c r="S80" i="38"/>
  <c r="R80" i="38"/>
  <c r="M80" i="38"/>
  <c r="L80" i="38"/>
  <c r="K80" i="38"/>
  <c r="J80" i="38"/>
  <c r="I80" i="38"/>
  <c r="H80" i="38"/>
  <c r="S79" i="38"/>
  <c r="R79" i="38"/>
  <c r="M79" i="38"/>
  <c r="L79" i="38"/>
  <c r="K79" i="38"/>
  <c r="J79" i="38"/>
  <c r="I79" i="38"/>
  <c r="H79" i="38"/>
  <c r="S78" i="38"/>
  <c r="R78" i="38"/>
  <c r="M78" i="38"/>
  <c r="L78" i="38"/>
  <c r="K78" i="38"/>
  <c r="J78" i="38"/>
  <c r="I78" i="38"/>
  <c r="H78" i="38"/>
  <c r="S77" i="38"/>
  <c r="R77" i="38"/>
  <c r="M77" i="38"/>
  <c r="L77" i="38"/>
  <c r="K77" i="38"/>
  <c r="J77" i="38"/>
  <c r="I77" i="38"/>
  <c r="H77" i="38"/>
  <c r="S76" i="38"/>
  <c r="R76" i="38"/>
  <c r="M76" i="38"/>
  <c r="L76" i="38"/>
  <c r="K76" i="38"/>
  <c r="J76" i="38"/>
  <c r="I76" i="38"/>
  <c r="H76" i="38"/>
  <c r="S75" i="38"/>
  <c r="R75" i="38"/>
  <c r="M75" i="38"/>
  <c r="L75" i="38"/>
  <c r="K75" i="38"/>
  <c r="J75" i="38"/>
  <c r="I75" i="38"/>
  <c r="H75" i="38"/>
  <c r="S74" i="38"/>
  <c r="R74" i="38"/>
  <c r="M74" i="38"/>
  <c r="L74" i="38"/>
  <c r="K74" i="38"/>
  <c r="J74" i="38"/>
  <c r="I74" i="38"/>
  <c r="H74" i="38"/>
  <c r="S73" i="38"/>
  <c r="R73" i="38"/>
  <c r="M73" i="38"/>
  <c r="L73" i="38"/>
  <c r="K73" i="38"/>
  <c r="J73" i="38"/>
  <c r="I73" i="38"/>
  <c r="H73" i="38"/>
  <c r="S72" i="38"/>
  <c r="R72" i="38"/>
  <c r="M72" i="38"/>
  <c r="L72" i="38"/>
  <c r="K72" i="38"/>
  <c r="J72" i="38"/>
  <c r="I72" i="38"/>
  <c r="H72" i="38"/>
  <c r="S71" i="38"/>
  <c r="R71" i="38"/>
  <c r="M71" i="38"/>
  <c r="L71" i="38"/>
  <c r="K71" i="38"/>
  <c r="J71" i="38"/>
  <c r="I71" i="38"/>
  <c r="H71" i="38"/>
  <c r="S70" i="38"/>
  <c r="R70" i="38"/>
  <c r="M70" i="38"/>
  <c r="L70" i="38"/>
  <c r="K70" i="38"/>
  <c r="J70" i="38"/>
  <c r="I70" i="38"/>
  <c r="H70" i="38"/>
  <c r="S69" i="38"/>
  <c r="R69" i="38"/>
  <c r="M69" i="38"/>
  <c r="L69" i="38"/>
  <c r="K69" i="38"/>
  <c r="J69" i="38"/>
  <c r="I69" i="38"/>
  <c r="H69" i="38"/>
  <c r="S68" i="38"/>
  <c r="R68" i="38"/>
  <c r="M68" i="38"/>
  <c r="L68" i="38"/>
  <c r="K68" i="38"/>
  <c r="J68" i="38"/>
  <c r="I68" i="38"/>
  <c r="H68" i="38"/>
  <c r="S67" i="38"/>
  <c r="R67" i="38"/>
  <c r="M67" i="38"/>
  <c r="L67" i="38"/>
  <c r="K67" i="38"/>
  <c r="J67" i="38"/>
  <c r="I67" i="38"/>
  <c r="H67" i="38"/>
  <c r="S66" i="38"/>
  <c r="R66" i="38"/>
  <c r="M66" i="38"/>
  <c r="L66" i="38"/>
  <c r="K66" i="38"/>
  <c r="J66" i="38"/>
  <c r="I66" i="38"/>
  <c r="H66" i="38"/>
  <c r="S65" i="38"/>
  <c r="R65" i="38"/>
  <c r="M65" i="38"/>
  <c r="L65" i="38"/>
  <c r="K65" i="38"/>
  <c r="J65" i="38"/>
  <c r="I65" i="38"/>
  <c r="H65" i="38"/>
  <c r="S64" i="38"/>
  <c r="R64" i="38"/>
  <c r="M64" i="38"/>
  <c r="L64" i="38"/>
  <c r="K64" i="38"/>
  <c r="J64" i="38"/>
  <c r="I64" i="38"/>
  <c r="H64" i="38"/>
  <c r="S63" i="38"/>
  <c r="R63" i="38"/>
  <c r="M63" i="38"/>
  <c r="L63" i="38"/>
  <c r="K63" i="38"/>
  <c r="J63" i="38"/>
  <c r="I63" i="38"/>
  <c r="H63" i="38"/>
  <c r="S62" i="38"/>
  <c r="R62" i="38"/>
  <c r="M62" i="38"/>
  <c r="L62" i="38"/>
  <c r="K62" i="38"/>
  <c r="J62" i="38"/>
  <c r="I62" i="38"/>
  <c r="H62" i="38"/>
  <c r="S61" i="38"/>
  <c r="R61" i="38"/>
  <c r="M61" i="38"/>
  <c r="L61" i="38"/>
  <c r="K61" i="38"/>
  <c r="J61" i="38"/>
  <c r="I61" i="38"/>
  <c r="H61" i="38"/>
  <c r="S60" i="38"/>
  <c r="R60" i="38"/>
  <c r="M60" i="38"/>
  <c r="L60" i="38"/>
  <c r="K60" i="38"/>
  <c r="J60" i="38"/>
  <c r="I60" i="38"/>
  <c r="H60" i="38"/>
  <c r="S59" i="38"/>
  <c r="R59" i="38"/>
  <c r="M59" i="38"/>
  <c r="L59" i="38"/>
  <c r="K59" i="38"/>
  <c r="J59" i="38"/>
  <c r="I59" i="38"/>
  <c r="H59" i="38"/>
  <c r="S58" i="38"/>
  <c r="R58" i="38"/>
  <c r="M58" i="38"/>
  <c r="L58" i="38"/>
  <c r="K58" i="38"/>
  <c r="J58" i="38"/>
  <c r="I58" i="38"/>
  <c r="H58" i="38"/>
  <c r="S57" i="38"/>
  <c r="R57" i="38"/>
  <c r="M57" i="38"/>
  <c r="L57" i="38"/>
  <c r="K57" i="38"/>
  <c r="J57" i="38"/>
  <c r="I57" i="38"/>
  <c r="H57" i="38"/>
  <c r="S56" i="38"/>
  <c r="R56" i="38"/>
  <c r="M56" i="38"/>
  <c r="L56" i="38"/>
  <c r="K56" i="38"/>
  <c r="J56" i="38"/>
  <c r="I56" i="38"/>
  <c r="H56" i="38"/>
  <c r="S55" i="38"/>
  <c r="R55" i="38"/>
  <c r="M55" i="38"/>
  <c r="L55" i="38"/>
  <c r="K55" i="38"/>
  <c r="J55" i="38"/>
  <c r="I55" i="38"/>
  <c r="H55" i="38"/>
  <c r="S54" i="38"/>
  <c r="R54" i="38"/>
  <c r="M54" i="38"/>
  <c r="L54" i="38"/>
  <c r="K54" i="38"/>
  <c r="J54" i="38"/>
  <c r="I54" i="38"/>
  <c r="H54" i="38"/>
  <c r="S53" i="38"/>
  <c r="R53" i="38"/>
  <c r="M53" i="38"/>
  <c r="L53" i="38"/>
  <c r="K53" i="38"/>
  <c r="J53" i="38"/>
  <c r="I53" i="38"/>
  <c r="H53" i="38"/>
  <c r="S52" i="38"/>
  <c r="R52" i="38"/>
  <c r="M52" i="38"/>
  <c r="L52" i="38"/>
  <c r="K52" i="38"/>
  <c r="J52" i="38"/>
  <c r="I52" i="38"/>
  <c r="H52" i="38"/>
  <c r="S51" i="38"/>
  <c r="R51" i="38"/>
  <c r="M51" i="38"/>
  <c r="L51" i="38"/>
  <c r="K51" i="38"/>
  <c r="J51" i="38"/>
  <c r="I51" i="38"/>
  <c r="H51" i="38"/>
  <c r="S50" i="38"/>
  <c r="R50" i="38"/>
  <c r="M50" i="38"/>
  <c r="L50" i="38"/>
  <c r="K50" i="38"/>
  <c r="J50" i="38"/>
  <c r="I50" i="38"/>
  <c r="H50" i="38"/>
  <c r="S49" i="38"/>
  <c r="R49" i="38"/>
  <c r="M49" i="38"/>
  <c r="L49" i="38"/>
  <c r="K49" i="38"/>
  <c r="J49" i="38"/>
  <c r="I49" i="38"/>
  <c r="H49" i="38"/>
  <c r="S48" i="38"/>
  <c r="R48" i="38"/>
  <c r="M48" i="38"/>
  <c r="L48" i="38"/>
  <c r="K48" i="38"/>
  <c r="J48" i="38"/>
  <c r="I48" i="38"/>
  <c r="H48" i="38"/>
  <c r="S47" i="38"/>
  <c r="R47" i="38"/>
  <c r="M47" i="38"/>
  <c r="L47" i="38"/>
  <c r="K47" i="38"/>
  <c r="J47" i="38"/>
  <c r="I47" i="38"/>
  <c r="H47" i="38"/>
  <c r="S46" i="38"/>
  <c r="R46" i="38"/>
  <c r="M46" i="38"/>
  <c r="L46" i="38"/>
  <c r="K46" i="38"/>
  <c r="J46" i="38"/>
  <c r="I46" i="38"/>
  <c r="H46" i="38"/>
  <c r="S45" i="38"/>
  <c r="R45" i="38"/>
  <c r="M45" i="38"/>
  <c r="L45" i="38"/>
  <c r="K45" i="38"/>
  <c r="J45" i="38"/>
  <c r="I45" i="38"/>
  <c r="H45" i="38"/>
  <c r="S44" i="38"/>
  <c r="R44" i="38"/>
  <c r="M44" i="38"/>
  <c r="L44" i="38"/>
  <c r="K44" i="38"/>
  <c r="J44" i="38"/>
  <c r="I44" i="38"/>
  <c r="H44" i="38"/>
  <c r="S43" i="38"/>
  <c r="R43" i="38"/>
  <c r="M43" i="38"/>
  <c r="L43" i="38"/>
  <c r="K43" i="38"/>
  <c r="J43" i="38"/>
  <c r="I43" i="38"/>
  <c r="H43" i="38"/>
  <c r="S42" i="38"/>
  <c r="R42" i="38"/>
  <c r="M42" i="38"/>
  <c r="L42" i="38"/>
  <c r="K42" i="38"/>
  <c r="J42" i="38"/>
  <c r="I42" i="38"/>
  <c r="H42" i="38"/>
  <c r="S41" i="38"/>
  <c r="R41" i="38"/>
  <c r="M41" i="38"/>
  <c r="L41" i="38"/>
  <c r="K41" i="38"/>
  <c r="J41" i="38"/>
  <c r="I41" i="38"/>
  <c r="H41" i="38"/>
  <c r="S40" i="38"/>
  <c r="R40" i="38"/>
  <c r="M40" i="38"/>
  <c r="L40" i="38"/>
  <c r="K40" i="38"/>
  <c r="J40" i="38"/>
  <c r="I40" i="38"/>
  <c r="H40" i="38"/>
  <c r="S39" i="38"/>
  <c r="R39" i="38"/>
  <c r="M39" i="38"/>
  <c r="L39" i="38"/>
  <c r="K39" i="38"/>
  <c r="J39" i="38"/>
  <c r="I39" i="38"/>
  <c r="H39" i="38"/>
  <c r="S38" i="38"/>
  <c r="R38" i="38"/>
  <c r="M38" i="38"/>
  <c r="L38" i="38"/>
  <c r="K38" i="38"/>
  <c r="J38" i="38"/>
  <c r="I38" i="38"/>
  <c r="H38" i="38"/>
  <c r="S37" i="38"/>
  <c r="R37" i="38"/>
  <c r="M37" i="38"/>
  <c r="L37" i="38"/>
  <c r="K37" i="38"/>
  <c r="J37" i="38"/>
  <c r="I37" i="38"/>
  <c r="H37" i="38"/>
  <c r="S36" i="38"/>
  <c r="R36" i="38"/>
  <c r="M36" i="38"/>
  <c r="L36" i="38"/>
  <c r="K36" i="38"/>
  <c r="J36" i="38"/>
  <c r="I36" i="38"/>
  <c r="H36" i="38"/>
  <c r="S35" i="38"/>
  <c r="R35" i="38"/>
  <c r="M35" i="38"/>
  <c r="L35" i="38"/>
  <c r="K35" i="38"/>
  <c r="J35" i="38"/>
  <c r="I35" i="38"/>
  <c r="H35" i="38"/>
  <c r="S34" i="38"/>
  <c r="R34" i="38"/>
  <c r="M34" i="38"/>
  <c r="L34" i="38"/>
  <c r="K34" i="38"/>
  <c r="J34" i="38"/>
  <c r="I34" i="38"/>
  <c r="H34" i="38"/>
  <c r="S33" i="38"/>
  <c r="R33" i="38"/>
  <c r="M33" i="38"/>
  <c r="L33" i="38"/>
  <c r="K33" i="38"/>
  <c r="J33" i="38"/>
  <c r="I33" i="38"/>
  <c r="H33" i="38"/>
  <c r="S32" i="38"/>
  <c r="R32" i="38"/>
  <c r="M32" i="38"/>
  <c r="L32" i="38"/>
  <c r="K32" i="38"/>
  <c r="J32" i="38"/>
  <c r="I32" i="38"/>
  <c r="H32" i="38"/>
  <c r="S31" i="38"/>
  <c r="R31" i="38"/>
  <c r="M31" i="38"/>
  <c r="L31" i="38"/>
  <c r="K31" i="38"/>
  <c r="J31" i="38"/>
  <c r="I31" i="38"/>
  <c r="H31" i="38"/>
  <c r="S30" i="38"/>
  <c r="R30" i="38"/>
  <c r="M30" i="38"/>
  <c r="L30" i="38"/>
  <c r="K30" i="38"/>
  <c r="J30" i="38"/>
  <c r="I30" i="38"/>
  <c r="H30" i="38"/>
  <c r="S29" i="38"/>
  <c r="R29" i="38"/>
  <c r="M29" i="38"/>
  <c r="L29" i="38"/>
  <c r="K29" i="38"/>
  <c r="J29" i="38"/>
  <c r="I29" i="38"/>
  <c r="H29" i="38"/>
  <c r="S28" i="38"/>
  <c r="R28" i="38"/>
  <c r="M28" i="38"/>
  <c r="L28" i="38"/>
  <c r="K28" i="38"/>
  <c r="J28" i="38"/>
  <c r="I28" i="38"/>
  <c r="H28" i="38"/>
  <c r="S27" i="38"/>
  <c r="R27" i="38"/>
  <c r="M27" i="38"/>
  <c r="L27" i="38"/>
  <c r="K27" i="38"/>
  <c r="J27" i="38"/>
  <c r="I27" i="38"/>
  <c r="H27" i="38"/>
  <c r="S26" i="38"/>
  <c r="R26" i="38"/>
  <c r="M26" i="38"/>
  <c r="L26" i="38"/>
  <c r="K26" i="38"/>
  <c r="J26" i="38"/>
  <c r="I26" i="38"/>
  <c r="H26" i="38"/>
  <c r="S25" i="38"/>
  <c r="R25" i="38"/>
  <c r="M25" i="38"/>
  <c r="L25" i="38"/>
  <c r="K25" i="38"/>
  <c r="J25" i="38"/>
  <c r="I25" i="38"/>
  <c r="H25" i="38"/>
  <c r="S24" i="38"/>
  <c r="R24" i="38"/>
  <c r="M24" i="38"/>
  <c r="L24" i="38"/>
  <c r="K24" i="38"/>
  <c r="J24" i="38"/>
  <c r="I24" i="38"/>
  <c r="H24" i="38"/>
  <c r="S23" i="38"/>
  <c r="R23" i="38"/>
  <c r="M23" i="38"/>
  <c r="L23" i="38"/>
  <c r="K23" i="38"/>
  <c r="J23" i="38"/>
  <c r="I23" i="38"/>
  <c r="H23" i="38"/>
  <c r="R22" i="38"/>
  <c r="J22" i="38"/>
  <c r="I22" i="38"/>
  <c r="H22" i="38"/>
  <c r="J21" i="38"/>
  <c r="R21" i="38" s="1"/>
  <c r="I21" i="38"/>
  <c r="H21" i="38"/>
  <c r="R20" i="38"/>
  <c r="J20" i="38"/>
  <c r="I20" i="38"/>
  <c r="H20" i="38"/>
  <c r="J19" i="38"/>
  <c r="R19" i="38" s="1"/>
  <c r="I19" i="38"/>
  <c r="H19" i="38"/>
  <c r="J18" i="38"/>
  <c r="R18" i="38" s="1"/>
  <c r="I18" i="38"/>
  <c r="H18" i="38"/>
  <c r="J17" i="38"/>
  <c r="R17" i="38" s="1"/>
  <c r="I17" i="38"/>
  <c r="H17" i="38"/>
  <c r="J16" i="38"/>
  <c r="R16" i="38" s="1"/>
  <c r="I16" i="38"/>
  <c r="H16" i="38"/>
  <c r="J15" i="38"/>
  <c r="R15" i="38" s="1"/>
  <c r="I15" i="38"/>
  <c r="H15" i="38"/>
  <c r="J14" i="38"/>
  <c r="R14" i="38" s="1"/>
  <c r="I14" i="38"/>
  <c r="H14" i="38"/>
  <c r="I13" i="38"/>
  <c r="J13" i="38" s="1"/>
  <c r="R13" i="38" s="1"/>
  <c r="H13" i="38"/>
  <c r="I12" i="38"/>
  <c r="H12" i="38"/>
  <c r="I11" i="38"/>
  <c r="J11" i="38" s="1"/>
  <c r="R11" i="38" s="1"/>
  <c r="H11" i="38"/>
  <c r="I10" i="38"/>
  <c r="J10" i="38" s="1"/>
  <c r="R10" i="38" s="1"/>
  <c r="H10" i="38"/>
  <c r="I9" i="38"/>
  <c r="J9" i="38" s="1"/>
  <c r="R9" i="38" s="1"/>
  <c r="H9" i="38"/>
  <c r="I8" i="38"/>
  <c r="H8" i="38"/>
  <c r="L7" i="38"/>
  <c r="K7" i="38"/>
  <c r="I7" i="38"/>
  <c r="J7" i="38" s="1"/>
  <c r="R7" i="38" s="1"/>
  <c r="H7" i="38"/>
  <c r="S112" i="37"/>
  <c r="R112" i="37"/>
  <c r="M112" i="37"/>
  <c r="L112" i="37"/>
  <c r="K112" i="37"/>
  <c r="J112" i="37"/>
  <c r="I112" i="37"/>
  <c r="H112" i="37"/>
  <c r="S111" i="37"/>
  <c r="R111" i="37"/>
  <c r="M111" i="37"/>
  <c r="L111" i="37"/>
  <c r="K111" i="37"/>
  <c r="J111" i="37"/>
  <c r="I111" i="37"/>
  <c r="H111" i="37"/>
  <c r="S110" i="37"/>
  <c r="R110" i="37"/>
  <c r="M110" i="37"/>
  <c r="L110" i="37"/>
  <c r="K110" i="37"/>
  <c r="J110" i="37"/>
  <c r="I110" i="37"/>
  <c r="H110" i="37"/>
  <c r="S109" i="37"/>
  <c r="R109" i="37"/>
  <c r="M109" i="37"/>
  <c r="L109" i="37"/>
  <c r="K109" i="37"/>
  <c r="J109" i="37"/>
  <c r="I109" i="37"/>
  <c r="H109" i="37"/>
  <c r="S108" i="37"/>
  <c r="R108" i="37"/>
  <c r="M108" i="37"/>
  <c r="L108" i="37"/>
  <c r="K108" i="37"/>
  <c r="J108" i="37"/>
  <c r="I108" i="37"/>
  <c r="H108" i="37"/>
  <c r="S107" i="37"/>
  <c r="R107" i="37"/>
  <c r="M107" i="37"/>
  <c r="L107" i="37"/>
  <c r="K107" i="37"/>
  <c r="J107" i="37"/>
  <c r="I107" i="37"/>
  <c r="H107" i="37"/>
  <c r="S106" i="37"/>
  <c r="R106" i="37"/>
  <c r="M106" i="37"/>
  <c r="L106" i="37"/>
  <c r="K106" i="37"/>
  <c r="J106" i="37"/>
  <c r="I106" i="37"/>
  <c r="H106" i="37"/>
  <c r="S105" i="37"/>
  <c r="R105" i="37"/>
  <c r="M105" i="37"/>
  <c r="L105" i="37"/>
  <c r="K105" i="37"/>
  <c r="J105" i="37"/>
  <c r="I105" i="37"/>
  <c r="H105" i="37"/>
  <c r="S104" i="37"/>
  <c r="R104" i="37"/>
  <c r="M104" i="37"/>
  <c r="L104" i="37"/>
  <c r="K104" i="37"/>
  <c r="J104" i="37"/>
  <c r="I104" i="37"/>
  <c r="H104" i="37"/>
  <c r="S103" i="37"/>
  <c r="R103" i="37"/>
  <c r="M103" i="37"/>
  <c r="L103" i="37"/>
  <c r="K103" i="37"/>
  <c r="J103" i="37"/>
  <c r="I103" i="37"/>
  <c r="H103" i="37"/>
  <c r="S102" i="37"/>
  <c r="R102" i="37"/>
  <c r="M102" i="37"/>
  <c r="L102" i="37"/>
  <c r="K102" i="37"/>
  <c r="J102" i="37"/>
  <c r="I102" i="37"/>
  <c r="H102" i="37"/>
  <c r="S101" i="37"/>
  <c r="R101" i="37"/>
  <c r="M101" i="37"/>
  <c r="L101" i="37"/>
  <c r="K101" i="37"/>
  <c r="J101" i="37"/>
  <c r="I101" i="37"/>
  <c r="H101" i="37"/>
  <c r="S100" i="37"/>
  <c r="R100" i="37"/>
  <c r="M100" i="37"/>
  <c r="L100" i="37"/>
  <c r="K100" i="37"/>
  <c r="J100" i="37"/>
  <c r="I100" i="37"/>
  <c r="H100" i="37"/>
  <c r="S99" i="37"/>
  <c r="R99" i="37"/>
  <c r="M99" i="37"/>
  <c r="L99" i="37"/>
  <c r="K99" i="37"/>
  <c r="J99" i="37"/>
  <c r="I99" i="37"/>
  <c r="H99" i="37"/>
  <c r="S98" i="37"/>
  <c r="R98" i="37"/>
  <c r="M98" i="37"/>
  <c r="L98" i="37"/>
  <c r="K98" i="37"/>
  <c r="J98" i="37"/>
  <c r="I98" i="37"/>
  <c r="H98" i="37"/>
  <c r="S97" i="37"/>
  <c r="R97" i="37"/>
  <c r="M97" i="37"/>
  <c r="L97" i="37"/>
  <c r="K97" i="37"/>
  <c r="J97" i="37"/>
  <c r="I97" i="37"/>
  <c r="H97" i="37"/>
  <c r="S96" i="37"/>
  <c r="R96" i="37"/>
  <c r="M96" i="37"/>
  <c r="L96" i="37"/>
  <c r="K96" i="37"/>
  <c r="J96" i="37"/>
  <c r="I96" i="37"/>
  <c r="H96" i="37"/>
  <c r="S95" i="37"/>
  <c r="R95" i="37"/>
  <c r="M95" i="37"/>
  <c r="L95" i="37"/>
  <c r="K95" i="37"/>
  <c r="J95" i="37"/>
  <c r="I95" i="37"/>
  <c r="H95" i="37"/>
  <c r="S94" i="37"/>
  <c r="R94" i="37"/>
  <c r="M94" i="37"/>
  <c r="L94" i="37"/>
  <c r="K94" i="37"/>
  <c r="J94" i="37"/>
  <c r="I94" i="37"/>
  <c r="H94" i="37"/>
  <c r="S93" i="37"/>
  <c r="R93" i="37"/>
  <c r="M93" i="37"/>
  <c r="L93" i="37"/>
  <c r="K93" i="37"/>
  <c r="J93" i="37"/>
  <c r="I93" i="37"/>
  <c r="H93" i="37"/>
  <c r="S92" i="37"/>
  <c r="R92" i="37"/>
  <c r="M92" i="37"/>
  <c r="L92" i="37"/>
  <c r="K92" i="37"/>
  <c r="J92" i="37"/>
  <c r="I92" i="37"/>
  <c r="H92" i="37"/>
  <c r="S91" i="37"/>
  <c r="R91" i="37"/>
  <c r="M91" i="37"/>
  <c r="L91" i="37"/>
  <c r="K91" i="37"/>
  <c r="J91" i="37"/>
  <c r="I91" i="37"/>
  <c r="H91" i="37"/>
  <c r="S90" i="37"/>
  <c r="R90" i="37"/>
  <c r="M90" i="37"/>
  <c r="L90" i="37"/>
  <c r="K90" i="37"/>
  <c r="J90" i="37"/>
  <c r="I90" i="37"/>
  <c r="H90" i="37"/>
  <c r="S89" i="37"/>
  <c r="R89" i="37"/>
  <c r="M89" i="37"/>
  <c r="L89" i="37"/>
  <c r="K89" i="37"/>
  <c r="J89" i="37"/>
  <c r="I89" i="37"/>
  <c r="H89" i="37"/>
  <c r="S88" i="37"/>
  <c r="R88" i="37"/>
  <c r="M88" i="37"/>
  <c r="L88" i="37"/>
  <c r="K88" i="37"/>
  <c r="J88" i="37"/>
  <c r="I88" i="37"/>
  <c r="H88" i="37"/>
  <c r="S87" i="37"/>
  <c r="R87" i="37"/>
  <c r="M87" i="37"/>
  <c r="L87" i="37"/>
  <c r="K87" i="37"/>
  <c r="J87" i="37"/>
  <c r="I87" i="37"/>
  <c r="H87" i="37"/>
  <c r="S86" i="37"/>
  <c r="R86" i="37"/>
  <c r="M86" i="37"/>
  <c r="L86" i="37"/>
  <c r="K86" i="37"/>
  <c r="J86" i="37"/>
  <c r="I86" i="37"/>
  <c r="H86" i="37"/>
  <c r="S85" i="37"/>
  <c r="R85" i="37"/>
  <c r="M85" i="37"/>
  <c r="L85" i="37"/>
  <c r="K85" i="37"/>
  <c r="J85" i="37"/>
  <c r="I85" i="37"/>
  <c r="H85" i="37"/>
  <c r="S84" i="37"/>
  <c r="R84" i="37"/>
  <c r="M84" i="37"/>
  <c r="L84" i="37"/>
  <c r="K84" i="37"/>
  <c r="J84" i="37"/>
  <c r="I84" i="37"/>
  <c r="H84" i="37"/>
  <c r="S83" i="37"/>
  <c r="R83" i="37"/>
  <c r="M83" i="37"/>
  <c r="L83" i="37"/>
  <c r="K83" i="37"/>
  <c r="J83" i="37"/>
  <c r="I83" i="37"/>
  <c r="H83" i="37"/>
  <c r="S82" i="37"/>
  <c r="R82" i="37"/>
  <c r="M82" i="37"/>
  <c r="L82" i="37"/>
  <c r="K82" i="37"/>
  <c r="J82" i="37"/>
  <c r="I82" i="37"/>
  <c r="H82" i="37"/>
  <c r="S81" i="37"/>
  <c r="R81" i="37"/>
  <c r="M81" i="37"/>
  <c r="L81" i="37"/>
  <c r="K81" i="37"/>
  <c r="J81" i="37"/>
  <c r="I81" i="37"/>
  <c r="H81" i="37"/>
  <c r="S80" i="37"/>
  <c r="R80" i="37"/>
  <c r="M80" i="37"/>
  <c r="L80" i="37"/>
  <c r="K80" i="37"/>
  <c r="J80" i="37"/>
  <c r="I80" i="37"/>
  <c r="H80" i="37"/>
  <c r="S79" i="37"/>
  <c r="R79" i="37"/>
  <c r="M79" i="37"/>
  <c r="L79" i="37"/>
  <c r="K79" i="37"/>
  <c r="J79" i="37"/>
  <c r="I79" i="37"/>
  <c r="H79" i="37"/>
  <c r="S78" i="37"/>
  <c r="R78" i="37"/>
  <c r="M78" i="37"/>
  <c r="L78" i="37"/>
  <c r="K78" i="37"/>
  <c r="J78" i="37"/>
  <c r="I78" i="37"/>
  <c r="H78" i="37"/>
  <c r="S77" i="37"/>
  <c r="R77" i="37"/>
  <c r="M77" i="37"/>
  <c r="L77" i="37"/>
  <c r="K77" i="37"/>
  <c r="J77" i="37"/>
  <c r="I77" i="37"/>
  <c r="H77" i="37"/>
  <c r="S76" i="37"/>
  <c r="R76" i="37"/>
  <c r="M76" i="37"/>
  <c r="L76" i="37"/>
  <c r="K76" i="37"/>
  <c r="J76" i="37"/>
  <c r="I76" i="37"/>
  <c r="H76" i="37"/>
  <c r="S75" i="37"/>
  <c r="R75" i="37"/>
  <c r="M75" i="37"/>
  <c r="L75" i="37"/>
  <c r="K75" i="37"/>
  <c r="J75" i="37"/>
  <c r="I75" i="37"/>
  <c r="H75" i="37"/>
  <c r="S74" i="37"/>
  <c r="R74" i="37"/>
  <c r="M74" i="37"/>
  <c r="L74" i="37"/>
  <c r="K74" i="37"/>
  <c r="J74" i="37"/>
  <c r="I74" i="37"/>
  <c r="H74" i="37"/>
  <c r="S73" i="37"/>
  <c r="R73" i="37"/>
  <c r="M73" i="37"/>
  <c r="L73" i="37"/>
  <c r="K73" i="37"/>
  <c r="J73" i="37"/>
  <c r="I73" i="37"/>
  <c r="H73" i="37"/>
  <c r="S72" i="37"/>
  <c r="R72" i="37"/>
  <c r="M72" i="37"/>
  <c r="L72" i="37"/>
  <c r="K72" i="37"/>
  <c r="J72" i="37"/>
  <c r="I72" i="37"/>
  <c r="H72" i="37"/>
  <c r="S71" i="37"/>
  <c r="R71" i="37"/>
  <c r="M71" i="37"/>
  <c r="L71" i="37"/>
  <c r="K71" i="37"/>
  <c r="J71" i="37"/>
  <c r="I71" i="37"/>
  <c r="H71" i="37"/>
  <c r="S70" i="37"/>
  <c r="R70" i="37"/>
  <c r="M70" i="37"/>
  <c r="L70" i="37"/>
  <c r="K70" i="37"/>
  <c r="J70" i="37"/>
  <c r="I70" i="37"/>
  <c r="H70" i="37"/>
  <c r="S69" i="37"/>
  <c r="R69" i="37"/>
  <c r="M69" i="37"/>
  <c r="L69" i="37"/>
  <c r="K69" i="37"/>
  <c r="J69" i="37"/>
  <c r="I69" i="37"/>
  <c r="H69" i="37"/>
  <c r="S68" i="37"/>
  <c r="R68" i="37"/>
  <c r="M68" i="37"/>
  <c r="L68" i="37"/>
  <c r="K68" i="37"/>
  <c r="J68" i="37"/>
  <c r="I68" i="37"/>
  <c r="H68" i="37"/>
  <c r="S67" i="37"/>
  <c r="R67" i="37"/>
  <c r="M67" i="37"/>
  <c r="L67" i="37"/>
  <c r="K67" i="37"/>
  <c r="J67" i="37"/>
  <c r="I67" i="37"/>
  <c r="H67" i="37"/>
  <c r="S66" i="37"/>
  <c r="R66" i="37"/>
  <c r="M66" i="37"/>
  <c r="L66" i="37"/>
  <c r="K66" i="37"/>
  <c r="J66" i="37"/>
  <c r="I66" i="37"/>
  <c r="H66" i="37"/>
  <c r="S65" i="37"/>
  <c r="R65" i="37"/>
  <c r="M65" i="37"/>
  <c r="L65" i="37"/>
  <c r="K65" i="37"/>
  <c r="J65" i="37"/>
  <c r="I65" i="37"/>
  <c r="H65" i="37"/>
  <c r="S64" i="37"/>
  <c r="R64" i="37"/>
  <c r="M64" i="37"/>
  <c r="L64" i="37"/>
  <c r="K64" i="37"/>
  <c r="J64" i="37"/>
  <c r="I64" i="37"/>
  <c r="H64" i="37"/>
  <c r="S63" i="37"/>
  <c r="R63" i="37"/>
  <c r="M63" i="37"/>
  <c r="L63" i="37"/>
  <c r="K63" i="37"/>
  <c r="J63" i="37"/>
  <c r="I63" i="37"/>
  <c r="H63" i="37"/>
  <c r="S62" i="37"/>
  <c r="R62" i="37"/>
  <c r="M62" i="37"/>
  <c r="L62" i="37"/>
  <c r="K62" i="37"/>
  <c r="J62" i="37"/>
  <c r="I62" i="37"/>
  <c r="H62" i="37"/>
  <c r="S61" i="37"/>
  <c r="R61" i="37"/>
  <c r="M61" i="37"/>
  <c r="L61" i="37"/>
  <c r="K61" i="37"/>
  <c r="J61" i="37"/>
  <c r="I61" i="37"/>
  <c r="H61" i="37"/>
  <c r="S60" i="37"/>
  <c r="R60" i="37"/>
  <c r="M60" i="37"/>
  <c r="L60" i="37"/>
  <c r="K60" i="37"/>
  <c r="J60" i="37"/>
  <c r="I60" i="37"/>
  <c r="H60" i="37"/>
  <c r="S59" i="37"/>
  <c r="R59" i="37"/>
  <c r="M59" i="37"/>
  <c r="L59" i="37"/>
  <c r="K59" i="37"/>
  <c r="J59" i="37"/>
  <c r="I59" i="37"/>
  <c r="H59" i="37"/>
  <c r="S58" i="37"/>
  <c r="R58" i="37"/>
  <c r="M58" i="37"/>
  <c r="L58" i="37"/>
  <c r="K58" i="37"/>
  <c r="J58" i="37"/>
  <c r="I58" i="37"/>
  <c r="H58" i="37"/>
  <c r="S57" i="37"/>
  <c r="R57" i="37"/>
  <c r="M57" i="37"/>
  <c r="L57" i="37"/>
  <c r="K57" i="37"/>
  <c r="J57" i="37"/>
  <c r="I57" i="37"/>
  <c r="H57" i="37"/>
  <c r="S56" i="37"/>
  <c r="R56" i="37"/>
  <c r="M56" i="37"/>
  <c r="L56" i="37"/>
  <c r="K56" i="37"/>
  <c r="J56" i="37"/>
  <c r="I56" i="37"/>
  <c r="H56" i="37"/>
  <c r="S55" i="37"/>
  <c r="R55" i="37"/>
  <c r="M55" i="37"/>
  <c r="L55" i="37"/>
  <c r="K55" i="37"/>
  <c r="J55" i="37"/>
  <c r="I55" i="37"/>
  <c r="H55" i="37"/>
  <c r="S54" i="37"/>
  <c r="R54" i="37"/>
  <c r="M54" i="37"/>
  <c r="L54" i="37"/>
  <c r="K54" i="37"/>
  <c r="J54" i="37"/>
  <c r="I54" i="37"/>
  <c r="H54" i="37"/>
  <c r="S53" i="37"/>
  <c r="R53" i="37"/>
  <c r="M53" i="37"/>
  <c r="L53" i="37"/>
  <c r="K53" i="37"/>
  <c r="J53" i="37"/>
  <c r="I53" i="37"/>
  <c r="H53" i="37"/>
  <c r="S52" i="37"/>
  <c r="R52" i="37"/>
  <c r="M52" i="37"/>
  <c r="L52" i="37"/>
  <c r="K52" i="37"/>
  <c r="J52" i="37"/>
  <c r="I52" i="37"/>
  <c r="H52" i="37"/>
  <c r="S51" i="37"/>
  <c r="R51" i="37"/>
  <c r="M51" i="37"/>
  <c r="L51" i="37"/>
  <c r="K51" i="37"/>
  <c r="J51" i="37"/>
  <c r="I51" i="37"/>
  <c r="H51" i="37"/>
  <c r="S50" i="37"/>
  <c r="R50" i="37"/>
  <c r="M50" i="37"/>
  <c r="L50" i="37"/>
  <c r="K50" i="37"/>
  <c r="J50" i="37"/>
  <c r="I50" i="37"/>
  <c r="H50" i="37"/>
  <c r="S49" i="37"/>
  <c r="R49" i="37"/>
  <c r="M49" i="37"/>
  <c r="L49" i="37"/>
  <c r="K49" i="37"/>
  <c r="J49" i="37"/>
  <c r="I49" i="37"/>
  <c r="H49" i="37"/>
  <c r="S48" i="37"/>
  <c r="R48" i="37"/>
  <c r="M48" i="37"/>
  <c r="L48" i="37"/>
  <c r="K48" i="37"/>
  <c r="J48" i="37"/>
  <c r="I48" i="37"/>
  <c r="H48" i="37"/>
  <c r="S47" i="37"/>
  <c r="R47" i="37"/>
  <c r="M47" i="37"/>
  <c r="L47" i="37"/>
  <c r="K47" i="37"/>
  <c r="J47" i="37"/>
  <c r="I47" i="37"/>
  <c r="H47" i="37"/>
  <c r="S46" i="37"/>
  <c r="R46" i="37"/>
  <c r="M46" i="37"/>
  <c r="L46" i="37"/>
  <c r="K46" i="37"/>
  <c r="J46" i="37"/>
  <c r="I46" i="37"/>
  <c r="H46" i="37"/>
  <c r="S45" i="37"/>
  <c r="R45" i="37"/>
  <c r="M45" i="37"/>
  <c r="L45" i="37"/>
  <c r="K45" i="37"/>
  <c r="J45" i="37"/>
  <c r="I45" i="37"/>
  <c r="H45" i="37"/>
  <c r="S44" i="37"/>
  <c r="R44" i="37"/>
  <c r="M44" i="37"/>
  <c r="L44" i="37"/>
  <c r="K44" i="37"/>
  <c r="J44" i="37"/>
  <c r="I44" i="37"/>
  <c r="H44" i="37"/>
  <c r="S43" i="37"/>
  <c r="R43" i="37"/>
  <c r="M43" i="37"/>
  <c r="L43" i="37"/>
  <c r="K43" i="37"/>
  <c r="J43" i="37"/>
  <c r="I43" i="37"/>
  <c r="H43" i="37"/>
  <c r="S42" i="37"/>
  <c r="R42" i="37"/>
  <c r="M42" i="37"/>
  <c r="L42" i="37"/>
  <c r="K42" i="37"/>
  <c r="J42" i="37"/>
  <c r="I42" i="37"/>
  <c r="H42" i="37"/>
  <c r="S41" i="37"/>
  <c r="R41" i="37"/>
  <c r="M41" i="37"/>
  <c r="L41" i="37"/>
  <c r="K41" i="37"/>
  <c r="J41" i="37"/>
  <c r="I41" i="37"/>
  <c r="H41" i="37"/>
  <c r="S40" i="37"/>
  <c r="R40" i="37"/>
  <c r="M40" i="37"/>
  <c r="L40" i="37"/>
  <c r="K40" i="37"/>
  <c r="J40" i="37"/>
  <c r="I40" i="37"/>
  <c r="H40" i="37"/>
  <c r="S39" i="37"/>
  <c r="R39" i="37"/>
  <c r="M39" i="37"/>
  <c r="L39" i="37"/>
  <c r="K39" i="37"/>
  <c r="J39" i="37"/>
  <c r="I39" i="37"/>
  <c r="H39" i="37"/>
  <c r="S38" i="37"/>
  <c r="R38" i="37"/>
  <c r="M38" i="37"/>
  <c r="L38" i="37"/>
  <c r="K38" i="37"/>
  <c r="J38" i="37"/>
  <c r="I38" i="37"/>
  <c r="H38" i="37"/>
  <c r="S37" i="37"/>
  <c r="R37" i="37"/>
  <c r="M37" i="37"/>
  <c r="L37" i="37"/>
  <c r="K37" i="37"/>
  <c r="J37" i="37"/>
  <c r="I37" i="37"/>
  <c r="H37" i="37"/>
  <c r="S36" i="37"/>
  <c r="R36" i="37"/>
  <c r="M36" i="37"/>
  <c r="L36" i="37"/>
  <c r="K36" i="37"/>
  <c r="J36" i="37"/>
  <c r="I36" i="37"/>
  <c r="H36" i="37"/>
  <c r="S35" i="37"/>
  <c r="R35" i="37"/>
  <c r="M35" i="37"/>
  <c r="L35" i="37"/>
  <c r="K35" i="37"/>
  <c r="J35" i="37"/>
  <c r="I35" i="37"/>
  <c r="H35" i="37"/>
  <c r="S34" i="37"/>
  <c r="R34" i="37"/>
  <c r="M34" i="37"/>
  <c r="L34" i="37"/>
  <c r="K34" i="37"/>
  <c r="J34" i="37"/>
  <c r="I34" i="37"/>
  <c r="H34" i="37"/>
  <c r="S33" i="37"/>
  <c r="R33" i="37"/>
  <c r="M33" i="37"/>
  <c r="L33" i="37"/>
  <c r="K33" i="37"/>
  <c r="J33" i="37"/>
  <c r="I33" i="37"/>
  <c r="H33" i="37"/>
  <c r="S32" i="37"/>
  <c r="R32" i="37"/>
  <c r="M32" i="37"/>
  <c r="L32" i="37"/>
  <c r="K32" i="37"/>
  <c r="J32" i="37"/>
  <c r="I32" i="37"/>
  <c r="H32" i="37"/>
  <c r="S31" i="37"/>
  <c r="R31" i="37"/>
  <c r="M31" i="37"/>
  <c r="L31" i="37"/>
  <c r="K31" i="37"/>
  <c r="J31" i="37"/>
  <c r="I31" i="37"/>
  <c r="H31" i="37"/>
  <c r="S30" i="37"/>
  <c r="R30" i="37"/>
  <c r="M30" i="37"/>
  <c r="L30" i="37"/>
  <c r="K30" i="37"/>
  <c r="J30" i="37"/>
  <c r="I30" i="37"/>
  <c r="H30" i="37"/>
  <c r="S29" i="37"/>
  <c r="R29" i="37"/>
  <c r="M29" i="37"/>
  <c r="L29" i="37"/>
  <c r="K29" i="37"/>
  <c r="J29" i="37"/>
  <c r="I29" i="37"/>
  <c r="H29" i="37"/>
  <c r="S28" i="37"/>
  <c r="R28" i="37"/>
  <c r="M28" i="37"/>
  <c r="L28" i="37"/>
  <c r="K28" i="37"/>
  <c r="J28" i="37"/>
  <c r="I28" i="37"/>
  <c r="H28" i="37"/>
  <c r="S27" i="37"/>
  <c r="R27" i="37"/>
  <c r="M27" i="37"/>
  <c r="L27" i="37"/>
  <c r="K27" i="37"/>
  <c r="J27" i="37"/>
  <c r="I27" i="37"/>
  <c r="H27" i="37"/>
  <c r="S26" i="37"/>
  <c r="R26" i="37"/>
  <c r="M26" i="37"/>
  <c r="L26" i="37"/>
  <c r="K26" i="37"/>
  <c r="J26" i="37"/>
  <c r="I26" i="37"/>
  <c r="H26" i="37"/>
  <c r="S25" i="37"/>
  <c r="R25" i="37"/>
  <c r="M25" i="37"/>
  <c r="L25" i="37"/>
  <c r="K25" i="37"/>
  <c r="J25" i="37"/>
  <c r="I25" i="37"/>
  <c r="H25" i="37"/>
  <c r="S24" i="37"/>
  <c r="R24" i="37"/>
  <c r="M24" i="37"/>
  <c r="L24" i="37"/>
  <c r="K24" i="37"/>
  <c r="J24" i="37"/>
  <c r="I24" i="37"/>
  <c r="H24" i="37"/>
  <c r="S23" i="37"/>
  <c r="R23" i="37"/>
  <c r="M23" i="37"/>
  <c r="L23" i="37"/>
  <c r="K23" i="37"/>
  <c r="J23" i="37"/>
  <c r="I23" i="37"/>
  <c r="H23" i="37"/>
  <c r="I22" i="37"/>
  <c r="H22" i="37"/>
  <c r="I21" i="37"/>
  <c r="H21" i="37"/>
  <c r="I20" i="37"/>
  <c r="J20" i="37" s="1"/>
  <c r="R20" i="37" s="1"/>
  <c r="H20" i="37"/>
  <c r="I19" i="37"/>
  <c r="H19" i="37"/>
  <c r="I18" i="37"/>
  <c r="H18" i="37"/>
  <c r="I17" i="37"/>
  <c r="H17" i="37"/>
  <c r="I16" i="37"/>
  <c r="J16" i="37" s="1"/>
  <c r="R16" i="37" s="1"/>
  <c r="H16" i="37"/>
  <c r="J15" i="37"/>
  <c r="R15" i="37" s="1"/>
  <c r="I15" i="37"/>
  <c r="H15" i="37"/>
  <c r="I14" i="37"/>
  <c r="H14" i="37"/>
  <c r="I13" i="37"/>
  <c r="J13" i="37" s="1"/>
  <c r="R13" i="37" s="1"/>
  <c r="H13" i="37"/>
  <c r="J12" i="37"/>
  <c r="R12" i="37" s="1"/>
  <c r="I12" i="37"/>
  <c r="H12" i="37"/>
  <c r="I11" i="37"/>
  <c r="H11" i="37"/>
  <c r="I10" i="37"/>
  <c r="H10" i="37"/>
  <c r="I9" i="37"/>
  <c r="H9" i="37"/>
  <c r="I8" i="37"/>
  <c r="H8" i="37"/>
  <c r="I7" i="37"/>
  <c r="L7" i="37" s="1"/>
  <c r="H7" i="37"/>
  <c r="K7" i="37" s="1"/>
  <c r="K8" i="37" s="1"/>
  <c r="K9" i="37" s="1"/>
  <c r="K10" i="37" s="1"/>
  <c r="K11" i="37" s="1"/>
  <c r="K12" i="37" s="1"/>
  <c r="K13" i="37" s="1"/>
  <c r="K14" i="37" s="1"/>
  <c r="K15" i="37" s="1"/>
  <c r="K16" i="37" l="1"/>
  <c r="K17" i="37" s="1"/>
  <c r="K18" i="37" s="1"/>
  <c r="K19" i="37" s="1"/>
  <c r="K20" i="37" s="1"/>
  <c r="K21" i="37" s="1"/>
  <c r="K22" i="37" s="1"/>
  <c r="J9" i="37"/>
  <c r="R9" i="37" s="1"/>
  <c r="J11" i="37"/>
  <c r="R11" i="37" s="1"/>
  <c r="J14" i="37"/>
  <c r="R14" i="37" s="1"/>
  <c r="J18" i="37"/>
  <c r="R18" i="37" s="1"/>
  <c r="J21" i="37"/>
  <c r="R21" i="37" s="1"/>
  <c r="J8" i="37"/>
  <c r="R8" i="37" s="1"/>
  <c r="J10" i="37"/>
  <c r="R10" i="37" s="1"/>
  <c r="J17" i="37"/>
  <c r="R17" i="37" s="1"/>
  <c r="J22" i="37"/>
  <c r="R22" i="37" s="1"/>
  <c r="K8" i="38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J8" i="38"/>
  <c r="R8" i="38" s="1"/>
  <c r="M16" i="41"/>
  <c r="S16" i="41" s="1"/>
  <c r="L17" i="41"/>
  <c r="M14" i="40"/>
  <c r="S14" i="40" s="1"/>
  <c r="L15" i="40"/>
  <c r="L9" i="39"/>
  <c r="M8" i="39"/>
  <c r="S8" i="39" s="1"/>
  <c r="J12" i="38"/>
  <c r="R12" i="38" s="1"/>
  <c r="M7" i="38"/>
  <c r="S7" i="38" s="1"/>
  <c r="L8" i="38"/>
  <c r="J19" i="37"/>
  <c r="R19" i="37" s="1"/>
  <c r="M7" i="37"/>
  <c r="S7" i="37" s="1"/>
  <c r="L8" i="37"/>
  <c r="J7" i="37"/>
  <c r="R7" i="37" s="1"/>
  <c r="S112" i="36"/>
  <c r="R112" i="36"/>
  <c r="M112" i="36"/>
  <c r="L112" i="36"/>
  <c r="K112" i="36"/>
  <c r="J112" i="36"/>
  <c r="I112" i="36"/>
  <c r="H112" i="36"/>
  <c r="S111" i="36"/>
  <c r="R111" i="36"/>
  <c r="M111" i="36"/>
  <c r="L111" i="36"/>
  <c r="K111" i="36"/>
  <c r="J111" i="36"/>
  <c r="I111" i="36"/>
  <c r="H111" i="36"/>
  <c r="S110" i="36"/>
  <c r="R110" i="36"/>
  <c r="M110" i="36"/>
  <c r="L110" i="36"/>
  <c r="K110" i="36"/>
  <c r="J110" i="36"/>
  <c r="I110" i="36"/>
  <c r="H110" i="36"/>
  <c r="S109" i="36"/>
  <c r="R109" i="36"/>
  <c r="M109" i="36"/>
  <c r="L109" i="36"/>
  <c r="K109" i="36"/>
  <c r="J109" i="36"/>
  <c r="I109" i="36"/>
  <c r="H109" i="36"/>
  <c r="S108" i="36"/>
  <c r="R108" i="36"/>
  <c r="M108" i="36"/>
  <c r="L108" i="36"/>
  <c r="K108" i="36"/>
  <c r="J108" i="36"/>
  <c r="I108" i="36"/>
  <c r="H108" i="36"/>
  <c r="S107" i="36"/>
  <c r="R107" i="36"/>
  <c r="M107" i="36"/>
  <c r="L107" i="36"/>
  <c r="K107" i="36"/>
  <c r="J107" i="36"/>
  <c r="I107" i="36"/>
  <c r="H107" i="36"/>
  <c r="S106" i="36"/>
  <c r="R106" i="36"/>
  <c r="M106" i="36"/>
  <c r="L106" i="36"/>
  <c r="K106" i="36"/>
  <c r="J106" i="36"/>
  <c r="I106" i="36"/>
  <c r="H106" i="36"/>
  <c r="S105" i="36"/>
  <c r="R105" i="36"/>
  <c r="M105" i="36"/>
  <c r="L105" i="36"/>
  <c r="K105" i="36"/>
  <c r="J105" i="36"/>
  <c r="I105" i="36"/>
  <c r="H105" i="36"/>
  <c r="S104" i="36"/>
  <c r="R104" i="36"/>
  <c r="M104" i="36"/>
  <c r="L104" i="36"/>
  <c r="K104" i="36"/>
  <c r="J104" i="36"/>
  <c r="I104" i="36"/>
  <c r="H104" i="36"/>
  <c r="S103" i="36"/>
  <c r="R103" i="36"/>
  <c r="M103" i="36"/>
  <c r="L103" i="36"/>
  <c r="K103" i="36"/>
  <c r="J103" i="36"/>
  <c r="I103" i="36"/>
  <c r="H103" i="36"/>
  <c r="S102" i="36"/>
  <c r="R102" i="36"/>
  <c r="M102" i="36"/>
  <c r="L102" i="36"/>
  <c r="K102" i="36"/>
  <c r="J102" i="36"/>
  <c r="I102" i="36"/>
  <c r="H102" i="36"/>
  <c r="S101" i="36"/>
  <c r="R101" i="36"/>
  <c r="M101" i="36"/>
  <c r="L101" i="36"/>
  <c r="K101" i="36"/>
  <c r="J101" i="36"/>
  <c r="I101" i="36"/>
  <c r="H101" i="36"/>
  <c r="S100" i="36"/>
  <c r="R100" i="36"/>
  <c r="M100" i="36"/>
  <c r="L100" i="36"/>
  <c r="K100" i="36"/>
  <c r="J100" i="36"/>
  <c r="I100" i="36"/>
  <c r="H100" i="36"/>
  <c r="S99" i="36"/>
  <c r="R99" i="36"/>
  <c r="M99" i="36"/>
  <c r="L99" i="36"/>
  <c r="K99" i="36"/>
  <c r="J99" i="36"/>
  <c r="I99" i="36"/>
  <c r="H99" i="36"/>
  <c r="S98" i="36"/>
  <c r="R98" i="36"/>
  <c r="M98" i="36"/>
  <c r="L98" i="36"/>
  <c r="K98" i="36"/>
  <c r="J98" i="36"/>
  <c r="I98" i="36"/>
  <c r="H98" i="36"/>
  <c r="S97" i="36"/>
  <c r="R97" i="36"/>
  <c r="M97" i="36"/>
  <c r="L97" i="36"/>
  <c r="K97" i="36"/>
  <c r="J97" i="36"/>
  <c r="I97" i="36"/>
  <c r="H97" i="36"/>
  <c r="S96" i="36"/>
  <c r="R96" i="36"/>
  <c r="M96" i="36"/>
  <c r="L96" i="36"/>
  <c r="K96" i="36"/>
  <c r="J96" i="36"/>
  <c r="I96" i="36"/>
  <c r="H96" i="36"/>
  <c r="S95" i="36"/>
  <c r="R95" i="36"/>
  <c r="M95" i="36"/>
  <c r="L95" i="36"/>
  <c r="K95" i="36"/>
  <c r="J95" i="36"/>
  <c r="I95" i="36"/>
  <c r="H95" i="36"/>
  <c r="S94" i="36"/>
  <c r="R94" i="36"/>
  <c r="M94" i="36"/>
  <c r="L94" i="36"/>
  <c r="K94" i="36"/>
  <c r="J94" i="36"/>
  <c r="I94" i="36"/>
  <c r="H94" i="36"/>
  <c r="S93" i="36"/>
  <c r="R93" i="36"/>
  <c r="M93" i="36"/>
  <c r="L93" i="36"/>
  <c r="K93" i="36"/>
  <c r="J93" i="36"/>
  <c r="I93" i="36"/>
  <c r="H93" i="36"/>
  <c r="S92" i="36"/>
  <c r="R92" i="36"/>
  <c r="M92" i="36"/>
  <c r="L92" i="36"/>
  <c r="K92" i="36"/>
  <c r="J92" i="36"/>
  <c r="I92" i="36"/>
  <c r="H92" i="36"/>
  <c r="S91" i="36"/>
  <c r="R91" i="36"/>
  <c r="M91" i="36"/>
  <c r="L91" i="36"/>
  <c r="K91" i="36"/>
  <c r="J91" i="36"/>
  <c r="I91" i="36"/>
  <c r="H91" i="36"/>
  <c r="S90" i="36"/>
  <c r="R90" i="36"/>
  <c r="M90" i="36"/>
  <c r="L90" i="36"/>
  <c r="K90" i="36"/>
  <c r="J90" i="36"/>
  <c r="I90" i="36"/>
  <c r="H90" i="36"/>
  <c r="S89" i="36"/>
  <c r="R89" i="36"/>
  <c r="M89" i="36"/>
  <c r="L89" i="36"/>
  <c r="K89" i="36"/>
  <c r="J89" i="36"/>
  <c r="I89" i="36"/>
  <c r="H89" i="36"/>
  <c r="S88" i="36"/>
  <c r="R88" i="36"/>
  <c r="M88" i="36"/>
  <c r="L88" i="36"/>
  <c r="K88" i="36"/>
  <c r="J88" i="36"/>
  <c r="I88" i="36"/>
  <c r="H88" i="36"/>
  <c r="S87" i="36"/>
  <c r="R87" i="36"/>
  <c r="M87" i="36"/>
  <c r="L87" i="36"/>
  <c r="K87" i="36"/>
  <c r="J87" i="36"/>
  <c r="I87" i="36"/>
  <c r="H87" i="36"/>
  <c r="S86" i="36"/>
  <c r="R86" i="36"/>
  <c r="M86" i="36"/>
  <c r="L86" i="36"/>
  <c r="K86" i="36"/>
  <c r="J86" i="36"/>
  <c r="I86" i="36"/>
  <c r="H86" i="36"/>
  <c r="S85" i="36"/>
  <c r="R85" i="36"/>
  <c r="M85" i="36"/>
  <c r="L85" i="36"/>
  <c r="K85" i="36"/>
  <c r="J85" i="36"/>
  <c r="I85" i="36"/>
  <c r="H85" i="36"/>
  <c r="S84" i="36"/>
  <c r="R84" i="36"/>
  <c r="M84" i="36"/>
  <c r="L84" i="36"/>
  <c r="K84" i="36"/>
  <c r="J84" i="36"/>
  <c r="I84" i="36"/>
  <c r="H84" i="36"/>
  <c r="S83" i="36"/>
  <c r="R83" i="36"/>
  <c r="M83" i="36"/>
  <c r="L83" i="36"/>
  <c r="K83" i="36"/>
  <c r="J83" i="36"/>
  <c r="I83" i="36"/>
  <c r="H83" i="36"/>
  <c r="S82" i="36"/>
  <c r="R82" i="36"/>
  <c r="M82" i="36"/>
  <c r="L82" i="36"/>
  <c r="K82" i="36"/>
  <c r="J82" i="36"/>
  <c r="I82" i="36"/>
  <c r="H82" i="36"/>
  <c r="S81" i="36"/>
  <c r="R81" i="36"/>
  <c r="M81" i="36"/>
  <c r="L81" i="36"/>
  <c r="K81" i="36"/>
  <c r="J81" i="36"/>
  <c r="I81" i="36"/>
  <c r="H81" i="36"/>
  <c r="S80" i="36"/>
  <c r="R80" i="36"/>
  <c r="M80" i="36"/>
  <c r="L80" i="36"/>
  <c r="K80" i="36"/>
  <c r="J80" i="36"/>
  <c r="I80" i="36"/>
  <c r="H80" i="36"/>
  <c r="S79" i="36"/>
  <c r="R79" i="36"/>
  <c r="M79" i="36"/>
  <c r="L79" i="36"/>
  <c r="K79" i="36"/>
  <c r="J79" i="36"/>
  <c r="I79" i="36"/>
  <c r="H79" i="36"/>
  <c r="S78" i="36"/>
  <c r="R78" i="36"/>
  <c r="M78" i="36"/>
  <c r="L78" i="36"/>
  <c r="K78" i="36"/>
  <c r="J78" i="36"/>
  <c r="I78" i="36"/>
  <c r="H78" i="36"/>
  <c r="S77" i="36"/>
  <c r="R77" i="36"/>
  <c r="M77" i="36"/>
  <c r="L77" i="36"/>
  <c r="K77" i="36"/>
  <c r="J77" i="36"/>
  <c r="I77" i="36"/>
  <c r="H77" i="36"/>
  <c r="S76" i="36"/>
  <c r="R76" i="36"/>
  <c r="M76" i="36"/>
  <c r="L76" i="36"/>
  <c r="K76" i="36"/>
  <c r="J76" i="36"/>
  <c r="I76" i="36"/>
  <c r="H76" i="36"/>
  <c r="S75" i="36"/>
  <c r="R75" i="36"/>
  <c r="M75" i="36"/>
  <c r="L75" i="36"/>
  <c r="K75" i="36"/>
  <c r="J75" i="36"/>
  <c r="I75" i="36"/>
  <c r="H75" i="36"/>
  <c r="S74" i="36"/>
  <c r="R74" i="36"/>
  <c r="M74" i="36"/>
  <c r="L74" i="36"/>
  <c r="K74" i="36"/>
  <c r="J74" i="36"/>
  <c r="I74" i="36"/>
  <c r="H74" i="36"/>
  <c r="S73" i="36"/>
  <c r="R73" i="36"/>
  <c r="M73" i="36"/>
  <c r="L73" i="36"/>
  <c r="K73" i="36"/>
  <c r="J73" i="36"/>
  <c r="I73" i="36"/>
  <c r="H73" i="36"/>
  <c r="S72" i="36"/>
  <c r="R72" i="36"/>
  <c r="M72" i="36"/>
  <c r="L72" i="36"/>
  <c r="K72" i="36"/>
  <c r="J72" i="36"/>
  <c r="I72" i="36"/>
  <c r="H72" i="36"/>
  <c r="S71" i="36"/>
  <c r="R71" i="36"/>
  <c r="M71" i="36"/>
  <c r="L71" i="36"/>
  <c r="K71" i="36"/>
  <c r="J71" i="36"/>
  <c r="I71" i="36"/>
  <c r="H71" i="36"/>
  <c r="S70" i="36"/>
  <c r="R70" i="36"/>
  <c r="M70" i="36"/>
  <c r="L70" i="36"/>
  <c r="K70" i="36"/>
  <c r="J70" i="36"/>
  <c r="I70" i="36"/>
  <c r="H70" i="36"/>
  <c r="S69" i="36"/>
  <c r="R69" i="36"/>
  <c r="M69" i="36"/>
  <c r="L69" i="36"/>
  <c r="K69" i="36"/>
  <c r="J69" i="36"/>
  <c r="I69" i="36"/>
  <c r="H69" i="36"/>
  <c r="S68" i="36"/>
  <c r="R68" i="36"/>
  <c r="M68" i="36"/>
  <c r="L68" i="36"/>
  <c r="K68" i="36"/>
  <c r="J68" i="36"/>
  <c r="I68" i="36"/>
  <c r="H68" i="36"/>
  <c r="S67" i="36"/>
  <c r="R67" i="36"/>
  <c r="M67" i="36"/>
  <c r="L67" i="36"/>
  <c r="K67" i="36"/>
  <c r="J67" i="36"/>
  <c r="I67" i="36"/>
  <c r="H67" i="36"/>
  <c r="S66" i="36"/>
  <c r="R66" i="36"/>
  <c r="M66" i="36"/>
  <c r="L66" i="36"/>
  <c r="K66" i="36"/>
  <c r="J66" i="36"/>
  <c r="I66" i="36"/>
  <c r="H66" i="36"/>
  <c r="S65" i="36"/>
  <c r="R65" i="36"/>
  <c r="M65" i="36"/>
  <c r="L65" i="36"/>
  <c r="K65" i="36"/>
  <c r="J65" i="36"/>
  <c r="I65" i="36"/>
  <c r="H65" i="36"/>
  <c r="S64" i="36"/>
  <c r="R64" i="36"/>
  <c r="M64" i="36"/>
  <c r="L64" i="36"/>
  <c r="K64" i="36"/>
  <c r="J64" i="36"/>
  <c r="I64" i="36"/>
  <c r="H64" i="36"/>
  <c r="S63" i="36"/>
  <c r="R63" i="36"/>
  <c r="M63" i="36"/>
  <c r="L63" i="36"/>
  <c r="K63" i="36"/>
  <c r="J63" i="36"/>
  <c r="I63" i="36"/>
  <c r="H63" i="36"/>
  <c r="S62" i="36"/>
  <c r="R62" i="36"/>
  <c r="M62" i="36"/>
  <c r="L62" i="36"/>
  <c r="K62" i="36"/>
  <c r="J62" i="36"/>
  <c r="I62" i="36"/>
  <c r="H62" i="36"/>
  <c r="S61" i="36"/>
  <c r="R61" i="36"/>
  <c r="M61" i="36"/>
  <c r="L61" i="36"/>
  <c r="K61" i="36"/>
  <c r="J61" i="36"/>
  <c r="I61" i="36"/>
  <c r="H61" i="36"/>
  <c r="S60" i="36"/>
  <c r="R60" i="36"/>
  <c r="M60" i="36"/>
  <c r="L60" i="36"/>
  <c r="K60" i="36"/>
  <c r="J60" i="36"/>
  <c r="I60" i="36"/>
  <c r="H60" i="36"/>
  <c r="S59" i="36"/>
  <c r="R59" i="36"/>
  <c r="M59" i="36"/>
  <c r="L59" i="36"/>
  <c r="K59" i="36"/>
  <c r="J59" i="36"/>
  <c r="I59" i="36"/>
  <c r="H59" i="36"/>
  <c r="S58" i="36"/>
  <c r="R58" i="36"/>
  <c r="M58" i="36"/>
  <c r="L58" i="36"/>
  <c r="K58" i="36"/>
  <c r="J58" i="36"/>
  <c r="I58" i="36"/>
  <c r="H58" i="36"/>
  <c r="S57" i="36"/>
  <c r="R57" i="36"/>
  <c r="M57" i="36"/>
  <c r="L57" i="36"/>
  <c r="K57" i="36"/>
  <c r="J57" i="36"/>
  <c r="I57" i="36"/>
  <c r="H57" i="36"/>
  <c r="S56" i="36"/>
  <c r="R56" i="36"/>
  <c r="M56" i="36"/>
  <c r="L56" i="36"/>
  <c r="K56" i="36"/>
  <c r="J56" i="36"/>
  <c r="I56" i="36"/>
  <c r="H56" i="36"/>
  <c r="S55" i="36"/>
  <c r="R55" i="36"/>
  <c r="M55" i="36"/>
  <c r="L55" i="36"/>
  <c r="K55" i="36"/>
  <c r="J55" i="36"/>
  <c r="I55" i="36"/>
  <c r="H55" i="36"/>
  <c r="S54" i="36"/>
  <c r="R54" i="36"/>
  <c r="M54" i="36"/>
  <c r="L54" i="36"/>
  <c r="K54" i="36"/>
  <c r="J54" i="36"/>
  <c r="I54" i="36"/>
  <c r="H54" i="36"/>
  <c r="S53" i="36"/>
  <c r="R53" i="36"/>
  <c r="M53" i="36"/>
  <c r="L53" i="36"/>
  <c r="K53" i="36"/>
  <c r="J53" i="36"/>
  <c r="I53" i="36"/>
  <c r="H53" i="36"/>
  <c r="S52" i="36"/>
  <c r="R52" i="36"/>
  <c r="M52" i="36"/>
  <c r="L52" i="36"/>
  <c r="K52" i="36"/>
  <c r="J52" i="36"/>
  <c r="I52" i="36"/>
  <c r="H52" i="36"/>
  <c r="S51" i="36"/>
  <c r="R51" i="36"/>
  <c r="M51" i="36"/>
  <c r="L51" i="36"/>
  <c r="K51" i="36"/>
  <c r="J51" i="36"/>
  <c r="I51" i="36"/>
  <c r="H51" i="36"/>
  <c r="S50" i="36"/>
  <c r="R50" i="36"/>
  <c r="M50" i="36"/>
  <c r="L50" i="36"/>
  <c r="K50" i="36"/>
  <c r="J50" i="36"/>
  <c r="I50" i="36"/>
  <c r="H50" i="36"/>
  <c r="S49" i="36"/>
  <c r="R49" i="36"/>
  <c r="M49" i="36"/>
  <c r="L49" i="36"/>
  <c r="K49" i="36"/>
  <c r="J49" i="36"/>
  <c r="I49" i="36"/>
  <c r="H49" i="36"/>
  <c r="S48" i="36"/>
  <c r="R48" i="36"/>
  <c r="M48" i="36"/>
  <c r="L48" i="36"/>
  <c r="K48" i="36"/>
  <c r="J48" i="36"/>
  <c r="I48" i="36"/>
  <c r="H48" i="36"/>
  <c r="S47" i="36"/>
  <c r="R47" i="36"/>
  <c r="M47" i="36"/>
  <c r="L47" i="36"/>
  <c r="K47" i="36"/>
  <c r="J47" i="36"/>
  <c r="I47" i="36"/>
  <c r="H47" i="36"/>
  <c r="S46" i="36"/>
  <c r="R46" i="36"/>
  <c r="M46" i="36"/>
  <c r="L46" i="36"/>
  <c r="K46" i="36"/>
  <c r="J46" i="36"/>
  <c r="I46" i="36"/>
  <c r="H46" i="36"/>
  <c r="S45" i="36"/>
  <c r="R45" i="36"/>
  <c r="M45" i="36"/>
  <c r="L45" i="36"/>
  <c r="K45" i="36"/>
  <c r="J45" i="36"/>
  <c r="I45" i="36"/>
  <c r="H45" i="36"/>
  <c r="S44" i="36"/>
  <c r="R44" i="36"/>
  <c r="M44" i="36"/>
  <c r="L44" i="36"/>
  <c r="K44" i="36"/>
  <c r="J44" i="36"/>
  <c r="I44" i="36"/>
  <c r="H44" i="36"/>
  <c r="S43" i="36"/>
  <c r="R43" i="36"/>
  <c r="M43" i="36"/>
  <c r="L43" i="36"/>
  <c r="K43" i="36"/>
  <c r="J43" i="36"/>
  <c r="I43" i="36"/>
  <c r="H43" i="36"/>
  <c r="S42" i="36"/>
  <c r="R42" i="36"/>
  <c r="M42" i="36"/>
  <c r="L42" i="36"/>
  <c r="K42" i="36"/>
  <c r="J42" i="36"/>
  <c r="I42" i="36"/>
  <c r="H42" i="36"/>
  <c r="S41" i="36"/>
  <c r="R41" i="36"/>
  <c r="M41" i="36"/>
  <c r="L41" i="36"/>
  <c r="K41" i="36"/>
  <c r="J41" i="36"/>
  <c r="I41" i="36"/>
  <c r="H41" i="36"/>
  <c r="S40" i="36"/>
  <c r="R40" i="36"/>
  <c r="M40" i="36"/>
  <c r="L40" i="36"/>
  <c r="K40" i="36"/>
  <c r="J40" i="36"/>
  <c r="I40" i="36"/>
  <c r="H40" i="36"/>
  <c r="S39" i="36"/>
  <c r="R39" i="36"/>
  <c r="M39" i="36"/>
  <c r="L39" i="36"/>
  <c r="K39" i="36"/>
  <c r="J39" i="36"/>
  <c r="I39" i="36"/>
  <c r="H39" i="36"/>
  <c r="S38" i="36"/>
  <c r="R38" i="36"/>
  <c r="M38" i="36"/>
  <c r="L38" i="36"/>
  <c r="K38" i="36"/>
  <c r="J38" i="36"/>
  <c r="I38" i="36"/>
  <c r="H38" i="36"/>
  <c r="S37" i="36"/>
  <c r="R37" i="36"/>
  <c r="M37" i="36"/>
  <c r="L37" i="36"/>
  <c r="K37" i="36"/>
  <c r="J37" i="36"/>
  <c r="I37" i="36"/>
  <c r="H37" i="36"/>
  <c r="S36" i="36"/>
  <c r="R36" i="36"/>
  <c r="M36" i="36"/>
  <c r="L36" i="36"/>
  <c r="K36" i="36"/>
  <c r="J36" i="36"/>
  <c r="I36" i="36"/>
  <c r="H36" i="36"/>
  <c r="S35" i="36"/>
  <c r="R35" i="36"/>
  <c r="M35" i="36"/>
  <c r="L35" i="36"/>
  <c r="K35" i="36"/>
  <c r="J35" i="36"/>
  <c r="I35" i="36"/>
  <c r="H35" i="36"/>
  <c r="S34" i="36"/>
  <c r="R34" i="36"/>
  <c r="M34" i="36"/>
  <c r="L34" i="36"/>
  <c r="K34" i="36"/>
  <c r="J34" i="36"/>
  <c r="I34" i="36"/>
  <c r="H34" i="36"/>
  <c r="S33" i="36"/>
  <c r="R33" i="36"/>
  <c r="M33" i="36"/>
  <c r="L33" i="36"/>
  <c r="K33" i="36"/>
  <c r="J33" i="36"/>
  <c r="I33" i="36"/>
  <c r="H33" i="36"/>
  <c r="S32" i="36"/>
  <c r="R32" i="36"/>
  <c r="M32" i="36"/>
  <c r="L32" i="36"/>
  <c r="K32" i="36"/>
  <c r="J32" i="36"/>
  <c r="I32" i="36"/>
  <c r="H32" i="36"/>
  <c r="S31" i="36"/>
  <c r="R31" i="36"/>
  <c r="M31" i="36"/>
  <c r="L31" i="36"/>
  <c r="K31" i="36"/>
  <c r="J31" i="36"/>
  <c r="I31" i="36"/>
  <c r="H31" i="36"/>
  <c r="S30" i="36"/>
  <c r="R30" i="36"/>
  <c r="M30" i="36"/>
  <c r="L30" i="36"/>
  <c r="K30" i="36"/>
  <c r="J30" i="36"/>
  <c r="I30" i="36"/>
  <c r="H30" i="36"/>
  <c r="S29" i="36"/>
  <c r="R29" i="36"/>
  <c r="M29" i="36"/>
  <c r="L29" i="36"/>
  <c r="K29" i="36"/>
  <c r="J29" i="36"/>
  <c r="I29" i="36"/>
  <c r="H29" i="36"/>
  <c r="S28" i="36"/>
  <c r="R28" i="36"/>
  <c r="M28" i="36"/>
  <c r="L28" i="36"/>
  <c r="K28" i="36"/>
  <c r="J28" i="36"/>
  <c r="I28" i="36"/>
  <c r="H28" i="36"/>
  <c r="S27" i="36"/>
  <c r="R27" i="36"/>
  <c r="M27" i="36"/>
  <c r="L27" i="36"/>
  <c r="K27" i="36"/>
  <c r="J27" i="36"/>
  <c r="I27" i="36"/>
  <c r="H27" i="36"/>
  <c r="S26" i="36"/>
  <c r="R26" i="36"/>
  <c r="M26" i="36"/>
  <c r="L26" i="36"/>
  <c r="K26" i="36"/>
  <c r="J26" i="36"/>
  <c r="I26" i="36"/>
  <c r="H26" i="36"/>
  <c r="S25" i="36"/>
  <c r="R25" i="36"/>
  <c r="M25" i="36"/>
  <c r="L25" i="36"/>
  <c r="K25" i="36"/>
  <c r="J25" i="36"/>
  <c r="I25" i="36"/>
  <c r="H25" i="36"/>
  <c r="S24" i="36"/>
  <c r="R24" i="36"/>
  <c r="M24" i="36"/>
  <c r="L24" i="36"/>
  <c r="K24" i="36"/>
  <c r="J24" i="36"/>
  <c r="I24" i="36"/>
  <c r="H24" i="36"/>
  <c r="S23" i="36"/>
  <c r="R23" i="36"/>
  <c r="M23" i="36"/>
  <c r="L23" i="36"/>
  <c r="K23" i="36"/>
  <c r="J23" i="36"/>
  <c r="I23" i="36"/>
  <c r="H23" i="36"/>
  <c r="S22" i="36"/>
  <c r="R22" i="36"/>
  <c r="M22" i="36"/>
  <c r="L22" i="36"/>
  <c r="K22" i="36"/>
  <c r="J22" i="36"/>
  <c r="I22" i="36"/>
  <c r="H22" i="36"/>
  <c r="S21" i="36"/>
  <c r="R21" i="36"/>
  <c r="M21" i="36"/>
  <c r="L21" i="36"/>
  <c r="K21" i="36"/>
  <c r="J21" i="36"/>
  <c r="I21" i="36"/>
  <c r="H21" i="36"/>
  <c r="S20" i="36"/>
  <c r="R20" i="36"/>
  <c r="M20" i="36"/>
  <c r="L20" i="36"/>
  <c r="K20" i="36"/>
  <c r="J20" i="36"/>
  <c r="I20" i="36"/>
  <c r="H20" i="36"/>
  <c r="S19" i="36"/>
  <c r="R19" i="36"/>
  <c r="M19" i="36"/>
  <c r="L19" i="36"/>
  <c r="K19" i="36"/>
  <c r="J19" i="36"/>
  <c r="I19" i="36"/>
  <c r="H19" i="36"/>
  <c r="I18" i="36"/>
  <c r="J18" i="36" s="1"/>
  <c r="R18" i="36" s="1"/>
  <c r="H18" i="36"/>
  <c r="I17" i="36"/>
  <c r="H17" i="36"/>
  <c r="I16" i="36"/>
  <c r="H16" i="36"/>
  <c r="I15" i="36"/>
  <c r="J15" i="36" s="1"/>
  <c r="R15" i="36" s="1"/>
  <c r="H15" i="36"/>
  <c r="I14" i="36"/>
  <c r="H14" i="36"/>
  <c r="I13" i="36"/>
  <c r="H13" i="36"/>
  <c r="I12" i="36"/>
  <c r="H12" i="36"/>
  <c r="I11" i="36"/>
  <c r="H11" i="36"/>
  <c r="I10" i="36"/>
  <c r="H10" i="36"/>
  <c r="I9" i="36"/>
  <c r="H9" i="36"/>
  <c r="I8" i="36"/>
  <c r="H8" i="36"/>
  <c r="K7" i="36"/>
  <c r="K8" i="36" s="1"/>
  <c r="I7" i="36"/>
  <c r="J7" i="36" s="1"/>
  <c r="R7" i="36" s="1"/>
  <c r="H7" i="36"/>
  <c r="S112" i="35"/>
  <c r="R112" i="35"/>
  <c r="M112" i="35"/>
  <c r="L112" i="35"/>
  <c r="K112" i="35"/>
  <c r="J112" i="35"/>
  <c r="I112" i="35"/>
  <c r="H112" i="35"/>
  <c r="S111" i="35"/>
  <c r="R111" i="35"/>
  <c r="M111" i="35"/>
  <c r="L111" i="35"/>
  <c r="K111" i="35"/>
  <c r="J111" i="35"/>
  <c r="I111" i="35"/>
  <c r="H111" i="35"/>
  <c r="S110" i="35"/>
  <c r="R110" i="35"/>
  <c r="M110" i="35"/>
  <c r="L110" i="35"/>
  <c r="K110" i="35"/>
  <c r="J110" i="35"/>
  <c r="I110" i="35"/>
  <c r="H110" i="35"/>
  <c r="S109" i="35"/>
  <c r="R109" i="35"/>
  <c r="M109" i="35"/>
  <c r="L109" i="35"/>
  <c r="K109" i="35"/>
  <c r="J109" i="35"/>
  <c r="I109" i="35"/>
  <c r="H109" i="35"/>
  <c r="S108" i="35"/>
  <c r="R108" i="35"/>
  <c r="M108" i="35"/>
  <c r="L108" i="35"/>
  <c r="K108" i="35"/>
  <c r="J108" i="35"/>
  <c r="I108" i="35"/>
  <c r="H108" i="35"/>
  <c r="S107" i="35"/>
  <c r="R107" i="35"/>
  <c r="M107" i="35"/>
  <c r="L107" i="35"/>
  <c r="K107" i="35"/>
  <c r="J107" i="35"/>
  <c r="I107" i="35"/>
  <c r="H107" i="35"/>
  <c r="S106" i="35"/>
  <c r="R106" i="35"/>
  <c r="M106" i="35"/>
  <c r="L106" i="35"/>
  <c r="K106" i="35"/>
  <c r="J106" i="35"/>
  <c r="I106" i="35"/>
  <c r="H106" i="35"/>
  <c r="S105" i="35"/>
  <c r="R105" i="35"/>
  <c r="M105" i="35"/>
  <c r="L105" i="35"/>
  <c r="K105" i="35"/>
  <c r="J105" i="35"/>
  <c r="I105" i="35"/>
  <c r="H105" i="35"/>
  <c r="S104" i="35"/>
  <c r="R104" i="35"/>
  <c r="M104" i="35"/>
  <c r="L104" i="35"/>
  <c r="K104" i="35"/>
  <c r="J104" i="35"/>
  <c r="I104" i="35"/>
  <c r="H104" i="35"/>
  <c r="S103" i="35"/>
  <c r="R103" i="35"/>
  <c r="M103" i="35"/>
  <c r="L103" i="35"/>
  <c r="K103" i="35"/>
  <c r="J103" i="35"/>
  <c r="I103" i="35"/>
  <c r="H103" i="35"/>
  <c r="S102" i="35"/>
  <c r="R102" i="35"/>
  <c r="M102" i="35"/>
  <c r="L102" i="35"/>
  <c r="K102" i="35"/>
  <c r="J102" i="35"/>
  <c r="I102" i="35"/>
  <c r="H102" i="35"/>
  <c r="S101" i="35"/>
  <c r="R101" i="35"/>
  <c r="M101" i="35"/>
  <c r="L101" i="35"/>
  <c r="K101" i="35"/>
  <c r="J101" i="35"/>
  <c r="I101" i="35"/>
  <c r="H101" i="35"/>
  <c r="S100" i="35"/>
  <c r="R100" i="35"/>
  <c r="M100" i="35"/>
  <c r="L100" i="35"/>
  <c r="K100" i="35"/>
  <c r="J100" i="35"/>
  <c r="I100" i="35"/>
  <c r="H100" i="35"/>
  <c r="S99" i="35"/>
  <c r="R99" i="35"/>
  <c r="M99" i="35"/>
  <c r="L99" i="35"/>
  <c r="K99" i="35"/>
  <c r="J99" i="35"/>
  <c r="I99" i="35"/>
  <c r="H99" i="35"/>
  <c r="S98" i="35"/>
  <c r="R98" i="35"/>
  <c r="M98" i="35"/>
  <c r="L98" i="35"/>
  <c r="K98" i="35"/>
  <c r="J98" i="35"/>
  <c r="I98" i="35"/>
  <c r="H98" i="35"/>
  <c r="S97" i="35"/>
  <c r="R97" i="35"/>
  <c r="M97" i="35"/>
  <c r="L97" i="35"/>
  <c r="K97" i="35"/>
  <c r="J97" i="35"/>
  <c r="I97" i="35"/>
  <c r="H97" i="35"/>
  <c r="S96" i="35"/>
  <c r="R96" i="35"/>
  <c r="M96" i="35"/>
  <c r="L96" i="35"/>
  <c r="K96" i="35"/>
  <c r="J96" i="35"/>
  <c r="I96" i="35"/>
  <c r="H96" i="35"/>
  <c r="S95" i="35"/>
  <c r="R95" i="35"/>
  <c r="M95" i="35"/>
  <c r="L95" i="35"/>
  <c r="K95" i="35"/>
  <c r="J95" i="35"/>
  <c r="I95" i="35"/>
  <c r="H95" i="35"/>
  <c r="S94" i="35"/>
  <c r="R94" i="35"/>
  <c r="M94" i="35"/>
  <c r="L94" i="35"/>
  <c r="K94" i="35"/>
  <c r="J94" i="35"/>
  <c r="I94" i="35"/>
  <c r="H94" i="35"/>
  <c r="S93" i="35"/>
  <c r="R93" i="35"/>
  <c r="M93" i="35"/>
  <c r="L93" i="35"/>
  <c r="K93" i="35"/>
  <c r="J93" i="35"/>
  <c r="I93" i="35"/>
  <c r="H93" i="35"/>
  <c r="S92" i="35"/>
  <c r="R92" i="35"/>
  <c r="M92" i="35"/>
  <c r="L92" i="35"/>
  <c r="K92" i="35"/>
  <c r="J92" i="35"/>
  <c r="I92" i="35"/>
  <c r="H92" i="35"/>
  <c r="S91" i="35"/>
  <c r="R91" i="35"/>
  <c r="M91" i="35"/>
  <c r="L91" i="35"/>
  <c r="K91" i="35"/>
  <c r="J91" i="35"/>
  <c r="I91" i="35"/>
  <c r="H91" i="35"/>
  <c r="S90" i="35"/>
  <c r="R90" i="35"/>
  <c r="M90" i="35"/>
  <c r="L90" i="35"/>
  <c r="K90" i="35"/>
  <c r="J90" i="35"/>
  <c r="I90" i="35"/>
  <c r="H90" i="35"/>
  <c r="S89" i="35"/>
  <c r="R89" i="35"/>
  <c r="M89" i="35"/>
  <c r="L89" i="35"/>
  <c r="K89" i="35"/>
  <c r="J89" i="35"/>
  <c r="I89" i="35"/>
  <c r="H89" i="35"/>
  <c r="S88" i="35"/>
  <c r="R88" i="35"/>
  <c r="M88" i="35"/>
  <c r="L88" i="35"/>
  <c r="K88" i="35"/>
  <c r="J88" i="35"/>
  <c r="I88" i="35"/>
  <c r="H88" i="35"/>
  <c r="S87" i="35"/>
  <c r="R87" i="35"/>
  <c r="M87" i="35"/>
  <c r="L87" i="35"/>
  <c r="K87" i="35"/>
  <c r="J87" i="35"/>
  <c r="I87" i="35"/>
  <c r="H87" i="35"/>
  <c r="S86" i="35"/>
  <c r="R86" i="35"/>
  <c r="M86" i="35"/>
  <c r="L86" i="35"/>
  <c r="K86" i="35"/>
  <c r="J86" i="35"/>
  <c r="I86" i="35"/>
  <c r="H86" i="35"/>
  <c r="S85" i="35"/>
  <c r="R85" i="35"/>
  <c r="M85" i="35"/>
  <c r="L85" i="35"/>
  <c r="K85" i="35"/>
  <c r="J85" i="35"/>
  <c r="I85" i="35"/>
  <c r="H85" i="35"/>
  <c r="S84" i="35"/>
  <c r="R84" i="35"/>
  <c r="M84" i="35"/>
  <c r="L84" i="35"/>
  <c r="K84" i="35"/>
  <c r="J84" i="35"/>
  <c r="I84" i="35"/>
  <c r="H84" i="35"/>
  <c r="S83" i="35"/>
  <c r="R83" i="35"/>
  <c r="M83" i="35"/>
  <c r="L83" i="35"/>
  <c r="K83" i="35"/>
  <c r="J83" i="35"/>
  <c r="I83" i="35"/>
  <c r="H83" i="35"/>
  <c r="S82" i="35"/>
  <c r="R82" i="35"/>
  <c r="M82" i="35"/>
  <c r="L82" i="35"/>
  <c r="K82" i="35"/>
  <c r="J82" i="35"/>
  <c r="I82" i="35"/>
  <c r="H82" i="35"/>
  <c r="S81" i="35"/>
  <c r="R81" i="35"/>
  <c r="M81" i="35"/>
  <c r="L81" i="35"/>
  <c r="K81" i="35"/>
  <c r="J81" i="35"/>
  <c r="I81" i="35"/>
  <c r="H81" i="35"/>
  <c r="S80" i="35"/>
  <c r="R80" i="35"/>
  <c r="M80" i="35"/>
  <c r="L80" i="35"/>
  <c r="K80" i="35"/>
  <c r="J80" i="35"/>
  <c r="I80" i="35"/>
  <c r="H80" i="35"/>
  <c r="S79" i="35"/>
  <c r="R79" i="35"/>
  <c r="M79" i="35"/>
  <c r="L79" i="35"/>
  <c r="K79" i="35"/>
  <c r="J79" i="35"/>
  <c r="I79" i="35"/>
  <c r="H79" i="35"/>
  <c r="S78" i="35"/>
  <c r="R78" i="35"/>
  <c r="M78" i="35"/>
  <c r="L78" i="35"/>
  <c r="K78" i="35"/>
  <c r="J78" i="35"/>
  <c r="I78" i="35"/>
  <c r="H78" i="35"/>
  <c r="S77" i="35"/>
  <c r="R77" i="35"/>
  <c r="M77" i="35"/>
  <c r="L77" i="35"/>
  <c r="K77" i="35"/>
  <c r="J77" i="35"/>
  <c r="I77" i="35"/>
  <c r="H77" i="35"/>
  <c r="S76" i="35"/>
  <c r="R76" i="35"/>
  <c r="M76" i="35"/>
  <c r="L76" i="35"/>
  <c r="K76" i="35"/>
  <c r="J76" i="35"/>
  <c r="I76" i="35"/>
  <c r="H76" i="35"/>
  <c r="S75" i="35"/>
  <c r="R75" i="35"/>
  <c r="M75" i="35"/>
  <c r="L75" i="35"/>
  <c r="K75" i="35"/>
  <c r="J75" i="35"/>
  <c r="I75" i="35"/>
  <c r="H75" i="35"/>
  <c r="S74" i="35"/>
  <c r="R74" i="35"/>
  <c r="M74" i="35"/>
  <c r="L74" i="35"/>
  <c r="K74" i="35"/>
  <c r="J74" i="35"/>
  <c r="I74" i="35"/>
  <c r="H74" i="35"/>
  <c r="S73" i="35"/>
  <c r="R73" i="35"/>
  <c r="M73" i="35"/>
  <c r="L73" i="35"/>
  <c r="K73" i="35"/>
  <c r="J73" i="35"/>
  <c r="I73" i="35"/>
  <c r="H73" i="35"/>
  <c r="S72" i="35"/>
  <c r="R72" i="35"/>
  <c r="M72" i="35"/>
  <c r="L72" i="35"/>
  <c r="K72" i="35"/>
  <c r="J72" i="35"/>
  <c r="I72" i="35"/>
  <c r="H72" i="35"/>
  <c r="S71" i="35"/>
  <c r="R71" i="35"/>
  <c r="M71" i="35"/>
  <c r="L71" i="35"/>
  <c r="K71" i="35"/>
  <c r="J71" i="35"/>
  <c r="I71" i="35"/>
  <c r="H71" i="35"/>
  <c r="S70" i="35"/>
  <c r="R70" i="35"/>
  <c r="M70" i="35"/>
  <c r="L70" i="35"/>
  <c r="K70" i="35"/>
  <c r="J70" i="35"/>
  <c r="I70" i="35"/>
  <c r="H70" i="35"/>
  <c r="S69" i="35"/>
  <c r="R69" i="35"/>
  <c r="M69" i="35"/>
  <c r="L69" i="35"/>
  <c r="K69" i="35"/>
  <c r="J69" i="35"/>
  <c r="I69" i="35"/>
  <c r="H69" i="35"/>
  <c r="S68" i="35"/>
  <c r="R68" i="35"/>
  <c r="M68" i="35"/>
  <c r="L68" i="35"/>
  <c r="K68" i="35"/>
  <c r="J68" i="35"/>
  <c r="I68" i="35"/>
  <c r="H68" i="35"/>
  <c r="S67" i="35"/>
  <c r="R67" i="35"/>
  <c r="M67" i="35"/>
  <c r="L67" i="35"/>
  <c r="K67" i="35"/>
  <c r="J67" i="35"/>
  <c r="I67" i="35"/>
  <c r="H67" i="35"/>
  <c r="S66" i="35"/>
  <c r="R66" i="35"/>
  <c r="M66" i="35"/>
  <c r="L66" i="35"/>
  <c r="K66" i="35"/>
  <c r="J66" i="35"/>
  <c r="I66" i="35"/>
  <c r="H66" i="35"/>
  <c r="S65" i="35"/>
  <c r="R65" i="35"/>
  <c r="M65" i="35"/>
  <c r="L65" i="35"/>
  <c r="K65" i="35"/>
  <c r="J65" i="35"/>
  <c r="I65" i="35"/>
  <c r="H65" i="35"/>
  <c r="S64" i="35"/>
  <c r="R64" i="35"/>
  <c r="M64" i="35"/>
  <c r="L64" i="35"/>
  <c r="K64" i="35"/>
  <c r="J64" i="35"/>
  <c r="I64" i="35"/>
  <c r="H64" i="35"/>
  <c r="S63" i="35"/>
  <c r="R63" i="35"/>
  <c r="M63" i="35"/>
  <c r="L63" i="35"/>
  <c r="K63" i="35"/>
  <c r="J63" i="35"/>
  <c r="I63" i="35"/>
  <c r="H63" i="35"/>
  <c r="S62" i="35"/>
  <c r="R62" i="35"/>
  <c r="M62" i="35"/>
  <c r="L62" i="35"/>
  <c r="K62" i="35"/>
  <c r="J62" i="35"/>
  <c r="I62" i="35"/>
  <c r="H62" i="35"/>
  <c r="S61" i="35"/>
  <c r="R61" i="35"/>
  <c r="M61" i="35"/>
  <c r="L61" i="35"/>
  <c r="K61" i="35"/>
  <c r="J61" i="35"/>
  <c r="I61" i="35"/>
  <c r="H61" i="35"/>
  <c r="S60" i="35"/>
  <c r="R60" i="35"/>
  <c r="M60" i="35"/>
  <c r="L60" i="35"/>
  <c r="K60" i="35"/>
  <c r="J60" i="35"/>
  <c r="I60" i="35"/>
  <c r="H60" i="35"/>
  <c r="S59" i="35"/>
  <c r="R59" i="35"/>
  <c r="M59" i="35"/>
  <c r="L59" i="35"/>
  <c r="K59" i="35"/>
  <c r="J59" i="35"/>
  <c r="I59" i="35"/>
  <c r="H59" i="35"/>
  <c r="S58" i="35"/>
  <c r="R58" i="35"/>
  <c r="M58" i="35"/>
  <c r="L58" i="35"/>
  <c r="K58" i="35"/>
  <c r="J58" i="35"/>
  <c r="I58" i="35"/>
  <c r="H58" i="35"/>
  <c r="S57" i="35"/>
  <c r="R57" i="35"/>
  <c r="M57" i="35"/>
  <c r="L57" i="35"/>
  <c r="K57" i="35"/>
  <c r="J57" i="35"/>
  <c r="I57" i="35"/>
  <c r="H57" i="35"/>
  <c r="S56" i="35"/>
  <c r="R56" i="35"/>
  <c r="M56" i="35"/>
  <c r="L56" i="35"/>
  <c r="K56" i="35"/>
  <c r="J56" i="35"/>
  <c r="I56" i="35"/>
  <c r="H56" i="35"/>
  <c r="S55" i="35"/>
  <c r="R55" i="35"/>
  <c r="M55" i="35"/>
  <c r="L55" i="35"/>
  <c r="K55" i="35"/>
  <c r="J55" i="35"/>
  <c r="I55" i="35"/>
  <c r="H55" i="35"/>
  <c r="S54" i="35"/>
  <c r="R54" i="35"/>
  <c r="M54" i="35"/>
  <c r="L54" i="35"/>
  <c r="K54" i="35"/>
  <c r="J54" i="35"/>
  <c r="I54" i="35"/>
  <c r="H54" i="35"/>
  <c r="S53" i="35"/>
  <c r="R53" i="35"/>
  <c r="M53" i="35"/>
  <c r="L53" i="35"/>
  <c r="K53" i="35"/>
  <c r="J53" i="35"/>
  <c r="I53" i="35"/>
  <c r="H53" i="35"/>
  <c r="S52" i="35"/>
  <c r="R52" i="35"/>
  <c r="M52" i="35"/>
  <c r="L52" i="35"/>
  <c r="K52" i="35"/>
  <c r="J52" i="35"/>
  <c r="I52" i="35"/>
  <c r="H52" i="35"/>
  <c r="S51" i="35"/>
  <c r="R51" i="35"/>
  <c r="M51" i="35"/>
  <c r="L51" i="35"/>
  <c r="K51" i="35"/>
  <c r="J51" i="35"/>
  <c r="I51" i="35"/>
  <c r="H51" i="35"/>
  <c r="S50" i="35"/>
  <c r="R50" i="35"/>
  <c r="M50" i="35"/>
  <c r="L50" i="35"/>
  <c r="K50" i="35"/>
  <c r="J50" i="35"/>
  <c r="I50" i="35"/>
  <c r="H50" i="35"/>
  <c r="S49" i="35"/>
  <c r="R49" i="35"/>
  <c r="M49" i="35"/>
  <c r="L49" i="35"/>
  <c r="K49" i="35"/>
  <c r="J49" i="35"/>
  <c r="I49" i="35"/>
  <c r="H49" i="35"/>
  <c r="S48" i="35"/>
  <c r="R48" i="35"/>
  <c r="M48" i="35"/>
  <c r="L48" i="35"/>
  <c r="K48" i="35"/>
  <c r="J48" i="35"/>
  <c r="I48" i="35"/>
  <c r="H48" i="35"/>
  <c r="S47" i="35"/>
  <c r="R47" i="35"/>
  <c r="M47" i="35"/>
  <c r="L47" i="35"/>
  <c r="K47" i="35"/>
  <c r="J47" i="35"/>
  <c r="I47" i="35"/>
  <c r="H47" i="35"/>
  <c r="S46" i="35"/>
  <c r="R46" i="35"/>
  <c r="M46" i="35"/>
  <c r="L46" i="35"/>
  <c r="K46" i="35"/>
  <c r="J46" i="35"/>
  <c r="I46" i="35"/>
  <c r="H46" i="35"/>
  <c r="S45" i="35"/>
  <c r="R45" i="35"/>
  <c r="M45" i="35"/>
  <c r="L45" i="35"/>
  <c r="K45" i="35"/>
  <c r="J45" i="35"/>
  <c r="I45" i="35"/>
  <c r="H45" i="35"/>
  <c r="S44" i="35"/>
  <c r="R44" i="35"/>
  <c r="M44" i="35"/>
  <c r="L44" i="35"/>
  <c r="K44" i="35"/>
  <c r="J44" i="35"/>
  <c r="I44" i="35"/>
  <c r="H44" i="35"/>
  <c r="S43" i="35"/>
  <c r="R43" i="35"/>
  <c r="M43" i="35"/>
  <c r="L43" i="35"/>
  <c r="K43" i="35"/>
  <c r="J43" i="35"/>
  <c r="I43" i="35"/>
  <c r="H43" i="35"/>
  <c r="S42" i="35"/>
  <c r="R42" i="35"/>
  <c r="M42" i="35"/>
  <c r="L42" i="35"/>
  <c r="K42" i="35"/>
  <c r="J42" i="35"/>
  <c r="I42" i="35"/>
  <c r="H42" i="35"/>
  <c r="S41" i="35"/>
  <c r="R41" i="35"/>
  <c r="M41" i="35"/>
  <c r="L41" i="35"/>
  <c r="K41" i="35"/>
  <c r="J41" i="35"/>
  <c r="I41" i="35"/>
  <c r="H41" i="35"/>
  <c r="S40" i="35"/>
  <c r="R40" i="35"/>
  <c r="M40" i="35"/>
  <c r="L40" i="35"/>
  <c r="K40" i="35"/>
  <c r="J40" i="35"/>
  <c r="I40" i="35"/>
  <c r="H40" i="35"/>
  <c r="S39" i="35"/>
  <c r="R39" i="35"/>
  <c r="M39" i="35"/>
  <c r="L39" i="35"/>
  <c r="K39" i="35"/>
  <c r="J39" i="35"/>
  <c r="I39" i="35"/>
  <c r="H39" i="35"/>
  <c r="S38" i="35"/>
  <c r="R38" i="35"/>
  <c r="M38" i="35"/>
  <c r="L38" i="35"/>
  <c r="K38" i="35"/>
  <c r="J38" i="35"/>
  <c r="I38" i="35"/>
  <c r="H38" i="35"/>
  <c r="S37" i="35"/>
  <c r="R37" i="35"/>
  <c r="M37" i="35"/>
  <c r="L37" i="35"/>
  <c r="K37" i="35"/>
  <c r="J37" i="35"/>
  <c r="I37" i="35"/>
  <c r="H37" i="35"/>
  <c r="S36" i="35"/>
  <c r="R36" i="35"/>
  <c r="M36" i="35"/>
  <c r="L36" i="35"/>
  <c r="K36" i="35"/>
  <c r="J36" i="35"/>
  <c r="I36" i="35"/>
  <c r="H36" i="35"/>
  <c r="S35" i="35"/>
  <c r="R35" i="35"/>
  <c r="M35" i="35"/>
  <c r="L35" i="35"/>
  <c r="K35" i="35"/>
  <c r="J35" i="35"/>
  <c r="I35" i="35"/>
  <c r="H35" i="35"/>
  <c r="S34" i="35"/>
  <c r="R34" i="35"/>
  <c r="M34" i="35"/>
  <c r="L34" i="35"/>
  <c r="K34" i="35"/>
  <c r="J34" i="35"/>
  <c r="I34" i="35"/>
  <c r="H34" i="35"/>
  <c r="S33" i="35"/>
  <c r="R33" i="35"/>
  <c r="M33" i="35"/>
  <c r="L33" i="35"/>
  <c r="K33" i="35"/>
  <c r="J33" i="35"/>
  <c r="I33" i="35"/>
  <c r="H33" i="35"/>
  <c r="S32" i="35"/>
  <c r="R32" i="35"/>
  <c r="M32" i="35"/>
  <c r="L32" i="35"/>
  <c r="K32" i="35"/>
  <c r="J32" i="35"/>
  <c r="I32" i="35"/>
  <c r="H32" i="35"/>
  <c r="S31" i="35"/>
  <c r="R31" i="35"/>
  <c r="M31" i="35"/>
  <c r="L31" i="35"/>
  <c r="K31" i="35"/>
  <c r="J31" i="35"/>
  <c r="I31" i="35"/>
  <c r="H31" i="35"/>
  <c r="S30" i="35"/>
  <c r="R30" i="35"/>
  <c r="M30" i="35"/>
  <c r="L30" i="35"/>
  <c r="K30" i="35"/>
  <c r="J30" i="35"/>
  <c r="I30" i="35"/>
  <c r="H30" i="35"/>
  <c r="S29" i="35"/>
  <c r="R29" i="35"/>
  <c r="M29" i="35"/>
  <c r="L29" i="35"/>
  <c r="K29" i="35"/>
  <c r="J29" i="35"/>
  <c r="I29" i="35"/>
  <c r="H29" i="35"/>
  <c r="S28" i="35"/>
  <c r="R28" i="35"/>
  <c r="M28" i="35"/>
  <c r="L28" i="35"/>
  <c r="K28" i="35"/>
  <c r="J28" i="35"/>
  <c r="I28" i="35"/>
  <c r="H28" i="35"/>
  <c r="S27" i="35"/>
  <c r="R27" i="35"/>
  <c r="M27" i="35"/>
  <c r="L27" i="35"/>
  <c r="K27" i="35"/>
  <c r="J27" i="35"/>
  <c r="I27" i="35"/>
  <c r="H27" i="35"/>
  <c r="S26" i="35"/>
  <c r="R26" i="35"/>
  <c r="M26" i="35"/>
  <c r="L26" i="35"/>
  <c r="K26" i="35"/>
  <c r="J26" i="35"/>
  <c r="I26" i="35"/>
  <c r="H26" i="35"/>
  <c r="S25" i="35"/>
  <c r="R25" i="35"/>
  <c r="M25" i="35"/>
  <c r="L25" i="35"/>
  <c r="K25" i="35"/>
  <c r="J25" i="35"/>
  <c r="I25" i="35"/>
  <c r="H25" i="35"/>
  <c r="S24" i="35"/>
  <c r="R24" i="35"/>
  <c r="M24" i="35"/>
  <c r="L24" i="35"/>
  <c r="K24" i="35"/>
  <c r="J24" i="35"/>
  <c r="I24" i="35"/>
  <c r="H24" i="35"/>
  <c r="I23" i="35"/>
  <c r="J23" i="35" s="1"/>
  <c r="R23" i="35" s="1"/>
  <c r="H23" i="35"/>
  <c r="I22" i="35"/>
  <c r="J22" i="35" s="1"/>
  <c r="R22" i="35" s="1"/>
  <c r="H22" i="35"/>
  <c r="I21" i="35"/>
  <c r="J21" i="35" s="1"/>
  <c r="R21" i="35" s="1"/>
  <c r="H21" i="35"/>
  <c r="I20" i="35"/>
  <c r="J20" i="35" s="1"/>
  <c r="R20" i="35" s="1"/>
  <c r="H20" i="35"/>
  <c r="I19" i="35"/>
  <c r="J19" i="35" s="1"/>
  <c r="R19" i="35" s="1"/>
  <c r="H19" i="35"/>
  <c r="I18" i="35"/>
  <c r="J18" i="35" s="1"/>
  <c r="R18" i="35" s="1"/>
  <c r="H18" i="35"/>
  <c r="I17" i="35"/>
  <c r="J17" i="35" s="1"/>
  <c r="R17" i="35" s="1"/>
  <c r="H17" i="35"/>
  <c r="I16" i="35"/>
  <c r="J16" i="35" s="1"/>
  <c r="R16" i="35" s="1"/>
  <c r="H16" i="35"/>
  <c r="I15" i="35"/>
  <c r="J15" i="35" s="1"/>
  <c r="R15" i="35" s="1"/>
  <c r="H15" i="35"/>
  <c r="I14" i="35"/>
  <c r="J14" i="35" s="1"/>
  <c r="R14" i="35" s="1"/>
  <c r="H14" i="35"/>
  <c r="I13" i="35"/>
  <c r="J13" i="35" s="1"/>
  <c r="R13" i="35" s="1"/>
  <c r="H13" i="35"/>
  <c r="I12" i="35"/>
  <c r="J12" i="35" s="1"/>
  <c r="R12" i="35" s="1"/>
  <c r="H12" i="35"/>
  <c r="I11" i="35"/>
  <c r="J11" i="35" s="1"/>
  <c r="R11" i="35" s="1"/>
  <c r="H11" i="35"/>
  <c r="I10" i="35"/>
  <c r="H10" i="35"/>
  <c r="I9" i="35"/>
  <c r="H9" i="35"/>
  <c r="I8" i="35"/>
  <c r="H8" i="35"/>
  <c r="I7" i="35"/>
  <c r="H7" i="35"/>
  <c r="K7" i="35" s="1"/>
  <c r="S112" i="34"/>
  <c r="R112" i="34"/>
  <c r="M112" i="34"/>
  <c r="L112" i="34"/>
  <c r="K112" i="34"/>
  <c r="J112" i="34"/>
  <c r="I112" i="34"/>
  <c r="H112" i="34"/>
  <c r="S111" i="34"/>
  <c r="R111" i="34"/>
  <c r="M111" i="34"/>
  <c r="L111" i="34"/>
  <c r="K111" i="34"/>
  <c r="J111" i="34"/>
  <c r="I111" i="34"/>
  <c r="H111" i="34"/>
  <c r="S110" i="34"/>
  <c r="R110" i="34"/>
  <c r="M110" i="34"/>
  <c r="L110" i="34"/>
  <c r="K110" i="34"/>
  <c r="J110" i="34"/>
  <c r="I110" i="34"/>
  <c r="H110" i="34"/>
  <c r="S109" i="34"/>
  <c r="R109" i="34"/>
  <c r="M109" i="34"/>
  <c r="L109" i="34"/>
  <c r="K109" i="34"/>
  <c r="J109" i="34"/>
  <c r="I109" i="34"/>
  <c r="H109" i="34"/>
  <c r="S108" i="34"/>
  <c r="R108" i="34"/>
  <c r="M108" i="34"/>
  <c r="L108" i="34"/>
  <c r="K108" i="34"/>
  <c r="J108" i="34"/>
  <c r="I108" i="34"/>
  <c r="H108" i="34"/>
  <c r="S107" i="34"/>
  <c r="R107" i="34"/>
  <c r="M107" i="34"/>
  <c r="L107" i="34"/>
  <c r="K107" i="34"/>
  <c r="J107" i="34"/>
  <c r="I107" i="34"/>
  <c r="H107" i="34"/>
  <c r="S106" i="34"/>
  <c r="R106" i="34"/>
  <c r="M106" i="34"/>
  <c r="L106" i="34"/>
  <c r="K106" i="34"/>
  <c r="J106" i="34"/>
  <c r="I106" i="34"/>
  <c r="H106" i="34"/>
  <c r="S105" i="34"/>
  <c r="R105" i="34"/>
  <c r="M105" i="34"/>
  <c r="L105" i="34"/>
  <c r="K105" i="34"/>
  <c r="J105" i="34"/>
  <c r="I105" i="34"/>
  <c r="H105" i="34"/>
  <c r="S104" i="34"/>
  <c r="R104" i="34"/>
  <c r="M104" i="34"/>
  <c r="L104" i="34"/>
  <c r="K104" i="34"/>
  <c r="J104" i="34"/>
  <c r="I104" i="34"/>
  <c r="H104" i="34"/>
  <c r="S103" i="34"/>
  <c r="R103" i="34"/>
  <c r="M103" i="34"/>
  <c r="L103" i="34"/>
  <c r="K103" i="34"/>
  <c r="J103" i="34"/>
  <c r="I103" i="34"/>
  <c r="H103" i="34"/>
  <c r="S102" i="34"/>
  <c r="R102" i="34"/>
  <c r="M102" i="34"/>
  <c r="L102" i="34"/>
  <c r="K102" i="34"/>
  <c r="J102" i="34"/>
  <c r="I102" i="34"/>
  <c r="H102" i="34"/>
  <c r="S101" i="34"/>
  <c r="R101" i="34"/>
  <c r="M101" i="34"/>
  <c r="L101" i="34"/>
  <c r="K101" i="34"/>
  <c r="J101" i="34"/>
  <c r="I101" i="34"/>
  <c r="H101" i="34"/>
  <c r="S100" i="34"/>
  <c r="R100" i="34"/>
  <c r="M100" i="34"/>
  <c r="L100" i="34"/>
  <c r="K100" i="34"/>
  <c r="J100" i="34"/>
  <c r="I100" i="34"/>
  <c r="H100" i="34"/>
  <c r="S99" i="34"/>
  <c r="R99" i="34"/>
  <c r="M99" i="34"/>
  <c r="L99" i="34"/>
  <c r="K99" i="34"/>
  <c r="J99" i="34"/>
  <c r="I99" i="34"/>
  <c r="H99" i="34"/>
  <c r="S98" i="34"/>
  <c r="R98" i="34"/>
  <c r="M98" i="34"/>
  <c r="L98" i="34"/>
  <c r="K98" i="34"/>
  <c r="J98" i="34"/>
  <c r="I98" i="34"/>
  <c r="H98" i="34"/>
  <c r="S97" i="34"/>
  <c r="R97" i="34"/>
  <c r="M97" i="34"/>
  <c r="L97" i="34"/>
  <c r="K97" i="34"/>
  <c r="J97" i="34"/>
  <c r="I97" i="34"/>
  <c r="H97" i="34"/>
  <c r="S96" i="34"/>
  <c r="R96" i="34"/>
  <c r="M96" i="34"/>
  <c r="L96" i="34"/>
  <c r="K96" i="34"/>
  <c r="J96" i="34"/>
  <c r="I96" i="34"/>
  <c r="H96" i="34"/>
  <c r="S95" i="34"/>
  <c r="R95" i="34"/>
  <c r="M95" i="34"/>
  <c r="L95" i="34"/>
  <c r="K95" i="34"/>
  <c r="J95" i="34"/>
  <c r="I95" i="34"/>
  <c r="H95" i="34"/>
  <c r="S94" i="34"/>
  <c r="R94" i="34"/>
  <c r="M94" i="34"/>
  <c r="L94" i="34"/>
  <c r="K94" i="34"/>
  <c r="J94" i="34"/>
  <c r="I94" i="34"/>
  <c r="H94" i="34"/>
  <c r="S93" i="34"/>
  <c r="R93" i="34"/>
  <c r="M93" i="34"/>
  <c r="L93" i="34"/>
  <c r="K93" i="34"/>
  <c r="J93" i="34"/>
  <c r="I93" i="34"/>
  <c r="H93" i="34"/>
  <c r="S92" i="34"/>
  <c r="R92" i="34"/>
  <c r="M92" i="34"/>
  <c r="L92" i="34"/>
  <c r="K92" i="34"/>
  <c r="J92" i="34"/>
  <c r="I92" i="34"/>
  <c r="H92" i="34"/>
  <c r="S91" i="34"/>
  <c r="R91" i="34"/>
  <c r="M91" i="34"/>
  <c r="L91" i="34"/>
  <c r="K91" i="34"/>
  <c r="J91" i="34"/>
  <c r="I91" i="34"/>
  <c r="H91" i="34"/>
  <c r="S90" i="34"/>
  <c r="R90" i="34"/>
  <c r="M90" i="34"/>
  <c r="L90" i="34"/>
  <c r="K90" i="34"/>
  <c r="J90" i="34"/>
  <c r="I90" i="34"/>
  <c r="H90" i="34"/>
  <c r="S89" i="34"/>
  <c r="R89" i="34"/>
  <c r="M89" i="34"/>
  <c r="L89" i="34"/>
  <c r="K89" i="34"/>
  <c r="J89" i="34"/>
  <c r="I89" i="34"/>
  <c r="H89" i="34"/>
  <c r="S88" i="34"/>
  <c r="R88" i="34"/>
  <c r="M88" i="34"/>
  <c r="L88" i="34"/>
  <c r="K88" i="34"/>
  <c r="J88" i="34"/>
  <c r="I88" i="34"/>
  <c r="H88" i="34"/>
  <c r="S87" i="34"/>
  <c r="R87" i="34"/>
  <c r="M87" i="34"/>
  <c r="L87" i="34"/>
  <c r="K87" i="34"/>
  <c r="J87" i="34"/>
  <c r="I87" i="34"/>
  <c r="H87" i="34"/>
  <c r="S86" i="34"/>
  <c r="R86" i="34"/>
  <c r="M86" i="34"/>
  <c r="L86" i="34"/>
  <c r="K86" i="34"/>
  <c r="J86" i="34"/>
  <c r="I86" i="34"/>
  <c r="H86" i="34"/>
  <c r="S85" i="34"/>
  <c r="R85" i="34"/>
  <c r="M85" i="34"/>
  <c r="L85" i="34"/>
  <c r="K85" i="34"/>
  <c r="J85" i="34"/>
  <c r="I85" i="34"/>
  <c r="H85" i="34"/>
  <c r="S84" i="34"/>
  <c r="R84" i="34"/>
  <c r="M84" i="34"/>
  <c r="L84" i="34"/>
  <c r="K84" i="34"/>
  <c r="J84" i="34"/>
  <c r="I84" i="34"/>
  <c r="H84" i="34"/>
  <c r="S83" i="34"/>
  <c r="R83" i="34"/>
  <c r="M83" i="34"/>
  <c r="L83" i="34"/>
  <c r="K83" i="34"/>
  <c r="J83" i="34"/>
  <c r="I83" i="34"/>
  <c r="H83" i="34"/>
  <c r="S82" i="34"/>
  <c r="R82" i="34"/>
  <c r="M82" i="34"/>
  <c r="L82" i="34"/>
  <c r="K82" i="34"/>
  <c r="J82" i="34"/>
  <c r="I82" i="34"/>
  <c r="H82" i="34"/>
  <c r="S81" i="34"/>
  <c r="R81" i="34"/>
  <c r="M81" i="34"/>
  <c r="L81" i="34"/>
  <c r="K81" i="34"/>
  <c r="J81" i="34"/>
  <c r="I81" i="34"/>
  <c r="H81" i="34"/>
  <c r="S80" i="34"/>
  <c r="R80" i="34"/>
  <c r="M80" i="34"/>
  <c r="L80" i="34"/>
  <c r="K80" i="34"/>
  <c r="J80" i="34"/>
  <c r="I80" i="34"/>
  <c r="H80" i="34"/>
  <c r="S79" i="34"/>
  <c r="R79" i="34"/>
  <c r="M79" i="34"/>
  <c r="L79" i="34"/>
  <c r="K79" i="34"/>
  <c r="J79" i="34"/>
  <c r="I79" i="34"/>
  <c r="H79" i="34"/>
  <c r="S78" i="34"/>
  <c r="R78" i="34"/>
  <c r="M78" i="34"/>
  <c r="L78" i="34"/>
  <c r="K78" i="34"/>
  <c r="J78" i="34"/>
  <c r="I78" i="34"/>
  <c r="H78" i="34"/>
  <c r="S77" i="34"/>
  <c r="R77" i="34"/>
  <c r="M77" i="34"/>
  <c r="L77" i="34"/>
  <c r="K77" i="34"/>
  <c r="J77" i="34"/>
  <c r="I77" i="34"/>
  <c r="H77" i="34"/>
  <c r="S76" i="34"/>
  <c r="R76" i="34"/>
  <c r="M76" i="34"/>
  <c r="L76" i="34"/>
  <c r="K76" i="34"/>
  <c r="J76" i="34"/>
  <c r="I76" i="34"/>
  <c r="H76" i="34"/>
  <c r="S75" i="34"/>
  <c r="R75" i="34"/>
  <c r="M75" i="34"/>
  <c r="L75" i="34"/>
  <c r="K75" i="34"/>
  <c r="J75" i="34"/>
  <c r="I75" i="34"/>
  <c r="H75" i="34"/>
  <c r="S74" i="34"/>
  <c r="R74" i="34"/>
  <c r="M74" i="34"/>
  <c r="L74" i="34"/>
  <c r="K74" i="34"/>
  <c r="J74" i="34"/>
  <c r="I74" i="34"/>
  <c r="H74" i="34"/>
  <c r="S73" i="34"/>
  <c r="R73" i="34"/>
  <c r="M73" i="34"/>
  <c r="L73" i="34"/>
  <c r="K73" i="34"/>
  <c r="J73" i="34"/>
  <c r="I73" i="34"/>
  <c r="H73" i="34"/>
  <c r="S72" i="34"/>
  <c r="R72" i="34"/>
  <c r="M72" i="34"/>
  <c r="L72" i="34"/>
  <c r="K72" i="34"/>
  <c r="J72" i="34"/>
  <c r="I72" i="34"/>
  <c r="H72" i="34"/>
  <c r="S71" i="34"/>
  <c r="R71" i="34"/>
  <c r="M71" i="34"/>
  <c r="L71" i="34"/>
  <c r="K71" i="34"/>
  <c r="J71" i="34"/>
  <c r="I71" i="34"/>
  <c r="H71" i="34"/>
  <c r="S70" i="34"/>
  <c r="R70" i="34"/>
  <c r="M70" i="34"/>
  <c r="L70" i="34"/>
  <c r="K70" i="34"/>
  <c r="J70" i="34"/>
  <c r="I70" i="34"/>
  <c r="H70" i="34"/>
  <c r="S69" i="34"/>
  <c r="R69" i="34"/>
  <c r="M69" i="34"/>
  <c r="L69" i="34"/>
  <c r="K69" i="34"/>
  <c r="J69" i="34"/>
  <c r="I69" i="34"/>
  <c r="H69" i="34"/>
  <c r="S68" i="34"/>
  <c r="R68" i="34"/>
  <c r="M68" i="34"/>
  <c r="L68" i="34"/>
  <c r="K68" i="34"/>
  <c r="J68" i="34"/>
  <c r="I68" i="34"/>
  <c r="H68" i="34"/>
  <c r="S67" i="34"/>
  <c r="R67" i="34"/>
  <c r="M67" i="34"/>
  <c r="L67" i="34"/>
  <c r="K67" i="34"/>
  <c r="J67" i="34"/>
  <c r="I67" i="34"/>
  <c r="H67" i="34"/>
  <c r="S66" i="34"/>
  <c r="R66" i="34"/>
  <c r="M66" i="34"/>
  <c r="L66" i="34"/>
  <c r="K66" i="34"/>
  <c r="J66" i="34"/>
  <c r="I66" i="34"/>
  <c r="H66" i="34"/>
  <c r="S65" i="34"/>
  <c r="R65" i="34"/>
  <c r="M65" i="34"/>
  <c r="L65" i="34"/>
  <c r="K65" i="34"/>
  <c r="J65" i="34"/>
  <c r="I65" i="34"/>
  <c r="H65" i="34"/>
  <c r="S64" i="34"/>
  <c r="R64" i="34"/>
  <c r="M64" i="34"/>
  <c r="L64" i="34"/>
  <c r="K64" i="34"/>
  <c r="J64" i="34"/>
  <c r="I64" i="34"/>
  <c r="H64" i="34"/>
  <c r="S63" i="34"/>
  <c r="R63" i="34"/>
  <c r="M63" i="34"/>
  <c r="L63" i="34"/>
  <c r="K63" i="34"/>
  <c r="J63" i="34"/>
  <c r="I63" i="34"/>
  <c r="H63" i="34"/>
  <c r="S62" i="34"/>
  <c r="R62" i="34"/>
  <c r="M62" i="34"/>
  <c r="L62" i="34"/>
  <c r="K62" i="34"/>
  <c r="J62" i="34"/>
  <c r="I62" i="34"/>
  <c r="H62" i="34"/>
  <c r="S61" i="34"/>
  <c r="R61" i="34"/>
  <c r="M61" i="34"/>
  <c r="L61" i="34"/>
  <c r="K61" i="34"/>
  <c r="J61" i="34"/>
  <c r="I61" i="34"/>
  <c r="H61" i="34"/>
  <c r="S60" i="34"/>
  <c r="R60" i="34"/>
  <c r="M60" i="34"/>
  <c r="L60" i="34"/>
  <c r="K60" i="34"/>
  <c r="J60" i="34"/>
  <c r="I60" i="34"/>
  <c r="H60" i="34"/>
  <c r="S59" i="34"/>
  <c r="R59" i="34"/>
  <c r="M59" i="34"/>
  <c r="L59" i="34"/>
  <c r="K59" i="34"/>
  <c r="J59" i="34"/>
  <c r="I59" i="34"/>
  <c r="H59" i="34"/>
  <c r="S58" i="34"/>
  <c r="R58" i="34"/>
  <c r="M58" i="34"/>
  <c r="L58" i="34"/>
  <c r="K58" i="34"/>
  <c r="J58" i="34"/>
  <c r="I58" i="34"/>
  <c r="H58" i="34"/>
  <c r="S57" i="34"/>
  <c r="R57" i="34"/>
  <c r="M57" i="34"/>
  <c r="L57" i="34"/>
  <c r="K57" i="34"/>
  <c r="J57" i="34"/>
  <c r="I57" i="34"/>
  <c r="H57" i="34"/>
  <c r="S56" i="34"/>
  <c r="R56" i="34"/>
  <c r="M56" i="34"/>
  <c r="L56" i="34"/>
  <c r="K56" i="34"/>
  <c r="J56" i="34"/>
  <c r="I56" i="34"/>
  <c r="H56" i="34"/>
  <c r="S55" i="34"/>
  <c r="R55" i="34"/>
  <c r="M55" i="34"/>
  <c r="L55" i="34"/>
  <c r="K55" i="34"/>
  <c r="J55" i="34"/>
  <c r="I55" i="34"/>
  <c r="H55" i="34"/>
  <c r="S54" i="34"/>
  <c r="R54" i="34"/>
  <c r="M54" i="34"/>
  <c r="L54" i="34"/>
  <c r="K54" i="34"/>
  <c r="J54" i="34"/>
  <c r="I54" i="34"/>
  <c r="H54" i="34"/>
  <c r="S53" i="34"/>
  <c r="R53" i="34"/>
  <c r="M53" i="34"/>
  <c r="L53" i="34"/>
  <c r="K53" i="34"/>
  <c r="J53" i="34"/>
  <c r="I53" i="34"/>
  <c r="H53" i="34"/>
  <c r="S52" i="34"/>
  <c r="R52" i="34"/>
  <c r="M52" i="34"/>
  <c r="L52" i="34"/>
  <c r="K52" i="34"/>
  <c r="J52" i="34"/>
  <c r="I52" i="34"/>
  <c r="H52" i="34"/>
  <c r="S51" i="34"/>
  <c r="R51" i="34"/>
  <c r="M51" i="34"/>
  <c r="L51" i="34"/>
  <c r="K51" i="34"/>
  <c r="J51" i="34"/>
  <c r="I51" i="34"/>
  <c r="H51" i="34"/>
  <c r="S50" i="34"/>
  <c r="R50" i="34"/>
  <c r="M50" i="34"/>
  <c r="L50" i="34"/>
  <c r="K50" i="34"/>
  <c r="J50" i="34"/>
  <c r="I50" i="34"/>
  <c r="H50" i="34"/>
  <c r="S49" i="34"/>
  <c r="R49" i="34"/>
  <c r="M49" i="34"/>
  <c r="L49" i="34"/>
  <c r="K49" i="34"/>
  <c r="J49" i="34"/>
  <c r="I49" i="34"/>
  <c r="H49" i="34"/>
  <c r="S48" i="34"/>
  <c r="R48" i="34"/>
  <c r="M48" i="34"/>
  <c r="L48" i="34"/>
  <c r="K48" i="34"/>
  <c r="J48" i="34"/>
  <c r="I48" i="34"/>
  <c r="H48" i="34"/>
  <c r="S47" i="34"/>
  <c r="R47" i="34"/>
  <c r="M47" i="34"/>
  <c r="L47" i="34"/>
  <c r="K47" i="34"/>
  <c r="J47" i="34"/>
  <c r="I47" i="34"/>
  <c r="H47" i="34"/>
  <c r="S46" i="34"/>
  <c r="R46" i="34"/>
  <c r="M46" i="34"/>
  <c r="L46" i="34"/>
  <c r="K46" i="34"/>
  <c r="J46" i="34"/>
  <c r="I46" i="34"/>
  <c r="H46" i="34"/>
  <c r="S45" i="34"/>
  <c r="R45" i="34"/>
  <c r="M45" i="34"/>
  <c r="L45" i="34"/>
  <c r="K45" i="34"/>
  <c r="J45" i="34"/>
  <c r="I45" i="34"/>
  <c r="H45" i="34"/>
  <c r="S44" i="34"/>
  <c r="R44" i="34"/>
  <c r="M44" i="34"/>
  <c r="L44" i="34"/>
  <c r="K44" i="34"/>
  <c r="J44" i="34"/>
  <c r="I44" i="34"/>
  <c r="H44" i="34"/>
  <c r="S43" i="34"/>
  <c r="R43" i="34"/>
  <c r="M43" i="34"/>
  <c r="L43" i="34"/>
  <c r="K43" i="34"/>
  <c r="J43" i="34"/>
  <c r="I43" i="34"/>
  <c r="H43" i="34"/>
  <c r="S42" i="34"/>
  <c r="R42" i="34"/>
  <c r="M42" i="34"/>
  <c r="L42" i="34"/>
  <c r="K42" i="34"/>
  <c r="J42" i="34"/>
  <c r="I42" i="34"/>
  <c r="H42" i="34"/>
  <c r="I41" i="34"/>
  <c r="H41" i="34"/>
  <c r="J41" i="34" s="1"/>
  <c r="R41" i="34" s="1"/>
  <c r="I40" i="34"/>
  <c r="H40" i="34"/>
  <c r="J40" i="34" s="1"/>
  <c r="R40" i="34" s="1"/>
  <c r="I39" i="34"/>
  <c r="H39" i="34"/>
  <c r="J39" i="34" s="1"/>
  <c r="R39" i="34" s="1"/>
  <c r="I38" i="34"/>
  <c r="H38" i="34"/>
  <c r="J38" i="34" s="1"/>
  <c r="R38" i="34" s="1"/>
  <c r="J37" i="34"/>
  <c r="R37" i="34" s="1"/>
  <c r="I37" i="34"/>
  <c r="H37" i="34"/>
  <c r="I36" i="34"/>
  <c r="H36" i="34"/>
  <c r="J36" i="34" s="1"/>
  <c r="R36" i="34" s="1"/>
  <c r="I35" i="34"/>
  <c r="H35" i="34"/>
  <c r="J35" i="34" s="1"/>
  <c r="R35" i="34" s="1"/>
  <c r="J34" i="34"/>
  <c r="R34" i="34" s="1"/>
  <c r="I34" i="34"/>
  <c r="H34" i="34"/>
  <c r="I33" i="34"/>
  <c r="H33" i="34"/>
  <c r="J33" i="34" s="1"/>
  <c r="R33" i="34" s="1"/>
  <c r="I32" i="34"/>
  <c r="H32" i="34"/>
  <c r="J32" i="34" s="1"/>
  <c r="R32" i="34" s="1"/>
  <c r="I31" i="34"/>
  <c r="H31" i="34"/>
  <c r="J31" i="34" s="1"/>
  <c r="R31" i="34" s="1"/>
  <c r="I30" i="34"/>
  <c r="H30" i="34"/>
  <c r="J30" i="34" s="1"/>
  <c r="R30" i="34" s="1"/>
  <c r="J29" i="34"/>
  <c r="R29" i="34" s="1"/>
  <c r="I29" i="34"/>
  <c r="H29" i="34"/>
  <c r="J28" i="34"/>
  <c r="R28" i="34" s="1"/>
  <c r="I28" i="34"/>
  <c r="H28" i="34"/>
  <c r="I27" i="34"/>
  <c r="H27" i="34"/>
  <c r="J27" i="34" s="1"/>
  <c r="R27" i="34" s="1"/>
  <c r="J26" i="34"/>
  <c r="R26" i="34" s="1"/>
  <c r="I26" i="34"/>
  <c r="H26" i="34"/>
  <c r="I25" i="34"/>
  <c r="H25" i="34"/>
  <c r="J25" i="34" s="1"/>
  <c r="R25" i="34" s="1"/>
  <c r="I24" i="34"/>
  <c r="H24" i="34"/>
  <c r="J24" i="34" s="1"/>
  <c r="R24" i="34" s="1"/>
  <c r="I23" i="34"/>
  <c r="H23" i="34"/>
  <c r="J23" i="34" s="1"/>
  <c r="R23" i="34" s="1"/>
  <c r="I22" i="34"/>
  <c r="H22" i="34"/>
  <c r="I21" i="34"/>
  <c r="H21" i="34"/>
  <c r="J20" i="34"/>
  <c r="R20" i="34" s="1"/>
  <c r="I20" i="34"/>
  <c r="H20" i="34"/>
  <c r="I19" i="34"/>
  <c r="H19" i="34"/>
  <c r="J19" i="34" s="1"/>
  <c r="R19" i="34" s="1"/>
  <c r="I18" i="34"/>
  <c r="J18" i="34" s="1"/>
  <c r="R18" i="34" s="1"/>
  <c r="H18" i="34"/>
  <c r="I17" i="34"/>
  <c r="H17" i="34"/>
  <c r="I16" i="34"/>
  <c r="H16" i="34"/>
  <c r="I15" i="34"/>
  <c r="H15" i="34"/>
  <c r="J15" i="34" s="1"/>
  <c r="R15" i="34" s="1"/>
  <c r="I14" i="34"/>
  <c r="H14" i="34"/>
  <c r="I13" i="34"/>
  <c r="H13" i="34"/>
  <c r="I12" i="34"/>
  <c r="J12" i="34" s="1"/>
  <c r="R12" i="34" s="1"/>
  <c r="H12" i="34"/>
  <c r="I11" i="34"/>
  <c r="H11" i="34"/>
  <c r="J11" i="34" s="1"/>
  <c r="R11" i="34" s="1"/>
  <c r="I10" i="34"/>
  <c r="H10" i="34"/>
  <c r="I9" i="34"/>
  <c r="H9" i="34"/>
  <c r="I8" i="34"/>
  <c r="H8" i="34"/>
  <c r="I7" i="34"/>
  <c r="L7" i="34" s="1"/>
  <c r="H7" i="34"/>
  <c r="K7" i="34" s="1"/>
  <c r="K8" i="34" s="1"/>
  <c r="K9" i="34" s="1"/>
  <c r="K10" i="34" s="1"/>
  <c r="K11" i="34" s="1"/>
  <c r="K12" i="34" s="1"/>
  <c r="K13" i="34" s="1"/>
  <c r="K14" i="34" s="1"/>
  <c r="K15" i="34" s="1"/>
  <c r="J9" i="34" l="1"/>
  <c r="R9" i="34" s="1"/>
  <c r="J7" i="35"/>
  <c r="R7" i="35" s="1"/>
  <c r="K9" i="36"/>
  <c r="K10" i="36" s="1"/>
  <c r="K11" i="36" s="1"/>
  <c r="K12" i="36" s="1"/>
  <c r="K13" i="36" s="1"/>
  <c r="K14" i="36" s="1"/>
  <c r="K15" i="36" s="1"/>
  <c r="J22" i="34"/>
  <c r="R22" i="34" s="1"/>
  <c r="J10" i="36"/>
  <c r="R10" i="36" s="1"/>
  <c r="L18" i="41"/>
  <c r="M17" i="41"/>
  <c r="S17" i="41" s="1"/>
  <c r="J9" i="36"/>
  <c r="R9" i="36" s="1"/>
  <c r="J8" i="34"/>
  <c r="R8" i="34" s="1"/>
  <c r="J10" i="34"/>
  <c r="R10" i="34" s="1"/>
  <c r="J14" i="34"/>
  <c r="R14" i="34" s="1"/>
  <c r="J16" i="34"/>
  <c r="R16" i="34" s="1"/>
  <c r="J21" i="34"/>
  <c r="R21" i="34" s="1"/>
  <c r="L16" i="40"/>
  <c r="M15" i="40"/>
  <c r="S15" i="40" s="1"/>
  <c r="L10" i="39"/>
  <c r="M9" i="39"/>
  <c r="S9" i="39" s="1"/>
  <c r="M8" i="38"/>
  <c r="S8" i="38" s="1"/>
  <c r="L9" i="38"/>
  <c r="L9" i="37"/>
  <c r="M8" i="37"/>
  <c r="S8" i="37" s="1"/>
  <c r="J16" i="36"/>
  <c r="R16" i="36" s="1"/>
  <c r="J17" i="36"/>
  <c r="R17" i="36" s="1"/>
  <c r="J14" i="36"/>
  <c r="R14" i="36" s="1"/>
  <c r="J13" i="36"/>
  <c r="R13" i="36" s="1"/>
  <c r="J12" i="36"/>
  <c r="R12" i="36" s="1"/>
  <c r="J11" i="36"/>
  <c r="R11" i="36" s="1"/>
  <c r="J8" i="36"/>
  <c r="R8" i="36" s="1"/>
  <c r="L7" i="36"/>
  <c r="J8" i="35"/>
  <c r="R8" i="35" s="1"/>
  <c r="K8" i="35"/>
  <c r="K9" i="35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J10" i="35"/>
  <c r="R10" i="35" s="1"/>
  <c r="J9" i="35"/>
  <c r="R9" i="35" s="1"/>
  <c r="L7" i="35"/>
  <c r="J17" i="34"/>
  <c r="R17" i="34" s="1"/>
  <c r="J13" i="34"/>
  <c r="R13" i="34" s="1"/>
  <c r="J7" i="34"/>
  <c r="R7" i="34" s="1"/>
  <c r="K16" i="34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M7" i="34"/>
  <c r="S7" i="34" s="1"/>
  <c r="L8" i="34"/>
  <c r="K16" i="36" l="1"/>
  <c r="K17" i="36" s="1"/>
  <c r="K18" i="36" s="1"/>
  <c r="M18" i="41"/>
  <c r="S18" i="41" s="1"/>
  <c r="L19" i="41"/>
  <c r="M16" i="40"/>
  <c r="S16" i="40" s="1"/>
  <c r="L17" i="40"/>
  <c r="L11" i="39"/>
  <c r="M10" i="39"/>
  <c r="S10" i="39" s="1"/>
  <c r="M9" i="38"/>
  <c r="S9" i="38" s="1"/>
  <c r="L10" i="38"/>
  <c r="L10" i="37"/>
  <c r="M9" i="37"/>
  <c r="S9" i="37" s="1"/>
  <c r="M7" i="36"/>
  <c r="S7" i="36" s="1"/>
  <c r="L8" i="36"/>
  <c r="M7" i="35"/>
  <c r="S7" i="35" s="1"/>
  <c r="L8" i="35"/>
  <c r="L9" i="34"/>
  <c r="M8" i="34"/>
  <c r="S8" i="34" s="1"/>
  <c r="M10" i="37" l="1"/>
  <c r="S10" i="37" s="1"/>
  <c r="L11" i="37"/>
  <c r="M19" i="41"/>
  <c r="S19" i="41" s="1"/>
  <c r="L20" i="41"/>
  <c r="M17" i="40"/>
  <c r="S17" i="40" s="1"/>
  <c r="L18" i="40"/>
  <c r="L12" i="39"/>
  <c r="M11" i="39"/>
  <c r="S11" i="39" s="1"/>
  <c r="M10" i="38"/>
  <c r="S10" i="38" s="1"/>
  <c r="L11" i="38"/>
  <c r="M8" i="36"/>
  <c r="S8" i="36" s="1"/>
  <c r="L9" i="36"/>
  <c r="M8" i="35"/>
  <c r="S8" i="35" s="1"/>
  <c r="L9" i="35"/>
  <c r="M9" i="34"/>
  <c r="S9" i="34" s="1"/>
  <c r="L10" i="34"/>
  <c r="M11" i="37" l="1"/>
  <c r="S11" i="37" s="1"/>
  <c r="L12" i="37"/>
  <c r="M20" i="41"/>
  <c r="S20" i="41" s="1"/>
  <c r="L21" i="41"/>
  <c r="M18" i="40"/>
  <c r="S18" i="40" s="1"/>
  <c r="L19" i="40"/>
  <c r="L13" i="39"/>
  <c r="M12" i="39"/>
  <c r="S12" i="39" s="1"/>
  <c r="M11" i="38"/>
  <c r="S11" i="38" s="1"/>
  <c r="L12" i="38"/>
  <c r="M9" i="36"/>
  <c r="S9" i="36" s="1"/>
  <c r="L10" i="36"/>
  <c r="M9" i="35"/>
  <c r="S9" i="35" s="1"/>
  <c r="L10" i="35"/>
  <c r="M10" i="34"/>
  <c r="S10" i="34" s="1"/>
  <c r="L11" i="34"/>
  <c r="M13" i="39" l="1"/>
  <c r="S13" i="39" s="1"/>
  <c r="L14" i="39"/>
  <c r="M12" i="37"/>
  <c r="S12" i="37" s="1"/>
  <c r="L13" i="37"/>
  <c r="M10" i="36"/>
  <c r="S10" i="36" s="1"/>
  <c r="L11" i="36"/>
  <c r="M21" i="41"/>
  <c r="S21" i="41" s="1"/>
  <c r="L22" i="41"/>
  <c r="M19" i="40"/>
  <c r="S19" i="40" s="1"/>
  <c r="L20" i="40"/>
  <c r="M12" i="38"/>
  <c r="S12" i="38" s="1"/>
  <c r="L13" i="38"/>
  <c r="M10" i="35"/>
  <c r="S10" i="35" s="1"/>
  <c r="L11" i="35"/>
  <c r="L12" i="34"/>
  <c r="M11" i="34"/>
  <c r="S11" i="34" s="1"/>
  <c r="M22" i="41" l="1"/>
  <c r="S22" i="41" s="1"/>
  <c r="L23" i="41"/>
  <c r="M23" i="41" s="1"/>
  <c r="S23" i="41" s="1"/>
  <c r="M13" i="37"/>
  <c r="S13" i="37" s="1"/>
  <c r="L14" i="37"/>
  <c r="L12" i="36"/>
  <c r="M11" i="36"/>
  <c r="S11" i="36" s="1"/>
  <c r="L15" i="39"/>
  <c r="M14" i="39"/>
  <c r="S14" i="39" s="1"/>
  <c r="M20" i="40"/>
  <c r="S20" i="40" s="1"/>
  <c r="L21" i="40"/>
  <c r="M13" i="38"/>
  <c r="S13" i="38" s="1"/>
  <c r="L14" i="38"/>
  <c r="M11" i="35"/>
  <c r="S11" i="35" s="1"/>
  <c r="L12" i="35"/>
  <c r="M12" i="34"/>
  <c r="S12" i="34" s="1"/>
  <c r="L13" i="34"/>
  <c r="M14" i="37" l="1"/>
  <c r="S14" i="37" s="1"/>
  <c r="L15" i="37"/>
  <c r="M15" i="39"/>
  <c r="S15" i="39" s="1"/>
  <c r="L16" i="39"/>
  <c r="M12" i="36"/>
  <c r="S12" i="36" s="1"/>
  <c r="L13" i="36"/>
  <c r="M21" i="40"/>
  <c r="S21" i="40" s="1"/>
  <c r="L22" i="40"/>
  <c r="M22" i="40" s="1"/>
  <c r="S22" i="40" s="1"/>
  <c r="M14" i="38"/>
  <c r="S14" i="38" s="1"/>
  <c r="L15" i="38"/>
  <c r="M12" i="35"/>
  <c r="S12" i="35" s="1"/>
  <c r="L13" i="35"/>
  <c r="L14" i="34"/>
  <c r="M13" i="34"/>
  <c r="S13" i="34" s="1"/>
  <c r="M16" i="39" l="1"/>
  <c r="S16" i="39" s="1"/>
  <c r="L17" i="39"/>
  <c r="L14" i="36"/>
  <c r="M13" i="36"/>
  <c r="S13" i="36" s="1"/>
  <c r="L16" i="37"/>
  <c r="M15" i="37"/>
  <c r="S15" i="37" s="1"/>
  <c r="M15" i="38"/>
  <c r="S15" i="38" s="1"/>
  <c r="L16" i="38"/>
  <c r="M13" i="35"/>
  <c r="S13" i="35" s="1"/>
  <c r="L14" i="35"/>
  <c r="M14" i="34"/>
  <c r="S14" i="34" s="1"/>
  <c r="L15" i="34"/>
  <c r="M14" i="36" l="1"/>
  <c r="S14" i="36" s="1"/>
  <c r="L15" i="36"/>
  <c r="M17" i="39"/>
  <c r="S17" i="39" s="1"/>
  <c r="L18" i="39"/>
  <c r="M16" i="37"/>
  <c r="S16" i="37" s="1"/>
  <c r="L17" i="37"/>
  <c r="M16" i="38"/>
  <c r="S16" i="38" s="1"/>
  <c r="L17" i="38"/>
  <c r="M14" i="35"/>
  <c r="S14" i="35" s="1"/>
  <c r="L15" i="35"/>
  <c r="M15" i="34"/>
  <c r="S15" i="34" s="1"/>
  <c r="L16" i="34"/>
  <c r="M18" i="39" l="1"/>
  <c r="S18" i="39" s="1"/>
  <c r="L19" i="39"/>
  <c r="M17" i="37"/>
  <c r="S17" i="37" s="1"/>
  <c r="L18" i="37"/>
  <c r="L16" i="36"/>
  <c r="M15" i="36"/>
  <c r="S15" i="36" s="1"/>
  <c r="M17" i="38"/>
  <c r="S17" i="38" s="1"/>
  <c r="L18" i="38"/>
  <c r="M15" i="35"/>
  <c r="S15" i="35" s="1"/>
  <c r="L16" i="35"/>
  <c r="M16" i="34"/>
  <c r="S16" i="34" s="1"/>
  <c r="L17" i="34"/>
  <c r="M18" i="37" l="1"/>
  <c r="S18" i="37" s="1"/>
  <c r="L19" i="37"/>
  <c r="M19" i="39"/>
  <c r="S19" i="39" s="1"/>
  <c r="L20" i="39"/>
  <c r="M16" i="36"/>
  <c r="S16" i="36" s="1"/>
  <c r="L17" i="36"/>
  <c r="M18" i="38"/>
  <c r="S18" i="38" s="1"/>
  <c r="L19" i="38"/>
  <c r="M16" i="35"/>
  <c r="S16" i="35" s="1"/>
  <c r="L17" i="35"/>
  <c r="M17" i="34"/>
  <c r="S17" i="34" s="1"/>
  <c r="L18" i="34"/>
  <c r="M20" i="39" l="1"/>
  <c r="S20" i="39" s="1"/>
  <c r="L21" i="39"/>
  <c r="L18" i="36"/>
  <c r="M18" i="36" s="1"/>
  <c r="S18" i="36" s="1"/>
  <c r="M17" i="36"/>
  <c r="S17" i="36" s="1"/>
  <c r="L20" i="37"/>
  <c r="M19" i="37"/>
  <c r="S19" i="37" s="1"/>
  <c r="M19" i="38"/>
  <c r="S19" i="38" s="1"/>
  <c r="L20" i="38"/>
  <c r="M17" i="35"/>
  <c r="S17" i="35" s="1"/>
  <c r="L18" i="35"/>
  <c r="M18" i="34"/>
  <c r="S18" i="34" s="1"/>
  <c r="L19" i="34"/>
  <c r="M21" i="39" l="1"/>
  <c r="S21" i="39" s="1"/>
  <c r="L22" i="39"/>
  <c r="M22" i="39" s="1"/>
  <c r="S22" i="39" s="1"/>
  <c r="M20" i="37"/>
  <c r="S20" i="37" s="1"/>
  <c r="L21" i="37"/>
  <c r="M20" i="38"/>
  <c r="S20" i="38" s="1"/>
  <c r="L21" i="38"/>
  <c r="M18" i="35"/>
  <c r="S18" i="35" s="1"/>
  <c r="L19" i="35"/>
  <c r="M19" i="34"/>
  <c r="S19" i="34" s="1"/>
  <c r="L20" i="34"/>
  <c r="M21" i="37" l="1"/>
  <c r="S21" i="37" s="1"/>
  <c r="L22" i="37"/>
  <c r="M22" i="37" s="1"/>
  <c r="S22" i="37" s="1"/>
  <c r="M21" i="38"/>
  <c r="S21" i="38" s="1"/>
  <c r="L22" i="38"/>
  <c r="M22" i="38" s="1"/>
  <c r="S22" i="38" s="1"/>
  <c r="M19" i="35"/>
  <c r="S19" i="35" s="1"/>
  <c r="L20" i="35"/>
  <c r="L21" i="34"/>
  <c r="M20" i="34"/>
  <c r="S20" i="34" s="1"/>
  <c r="M20" i="35" l="1"/>
  <c r="S20" i="35" s="1"/>
  <c r="L21" i="35"/>
  <c r="L22" i="34"/>
  <c r="M21" i="34"/>
  <c r="S21" i="34" s="1"/>
  <c r="M21" i="35" l="1"/>
  <c r="S21" i="35" s="1"/>
  <c r="L22" i="35"/>
  <c r="M22" i="34"/>
  <c r="S22" i="34" s="1"/>
  <c r="L23" i="34"/>
  <c r="M22" i="35" l="1"/>
  <c r="S22" i="35" s="1"/>
  <c r="L23" i="35"/>
  <c r="M23" i="35" s="1"/>
  <c r="S23" i="35" s="1"/>
  <c r="M23" i="34"/>
  <c r="S23" i="34" s="1"/>
  <c r="L24" i="34"/>
  <c r="M24" i="34" l="1"/>
  <c r="S24" i="34" s="1"/>
  <c r="L25" i="34"/>
  <c r="M25" i="34" l="1"/>
  <c r="S25" i="34" s="1"/>
  <c r="L26" i="34"/>
  <c r="L27" i="34" l="1"/>
  <c r="M26" i="34"/>
  <c r="S26" i="34" s="1"/>
  <c r="M27" i="34" l="1"/>
  <c r="S27" i="34" s="1"/>
  <c r="L28" i="34"/>
  <c r="M28" i="34" l="1"/>
  <c r="S28" i="34" s="1"/>
  <c r="L29" i="34"/>
  <c r="M29" i="34" l="1"/>
  <c r="S29" i="34" s="1"/>
  <c r="L30" i="34"/>
  <c r="L31" i="34" l="1"/>
  <c r="M30" i="34"/>
  <c r="S30" i="34" s="1"/>
  <c r="L32" i="34" l="1"/>
  <c r="M31" i="34"/>
  <c r="S31" i="34" s="1"/>
  <c r="M32" i="34" l="1"/>
  <c r="S32" i="34" s="1"/>
  <c r="L33" i="34"/>
  <c r="M33" i="34" l="1"/>
  <c r="S33" i="34" s="1"/>
  <c r="L34" i="34"/>
  <c r="M34" i="34" l="1"/>
  <c r="S34" i="34" s="1"/>
  <c r="L35" i="34"/>
  <c r="M35" i="34" l="1"/>
  <c r="S35" i="34" s="1"/>
  <c r="L36" i="34"/>
  <c r="M36" i="34" l="1"/>
  <c r="S36" i="34" s="1"/>
  <c r="L37" i="34"/>
  <c r="L38" i="34" l="1"/>
  <c r="M37" i="34"/>
  <c r="S37" i="34" s="1"/>
  <c r="M38" i="34" l="1"/>
  <c r="S38" i="34" s="1"/>
  <c r="L39" i="34"/>
  <c r="M39" i="34" l="1"/>
  <c r="S39" i="34" s="1"/>
  <c r="L40" i="34"/>
  <c r="M40" i="34" l="1"/>
  <c r="S40" i="34" s="1"/>
  <c r="L41" i="34"/>
  <c r="M41" i="34" s="1"/>
  <c r="S41" i="34" s="1"/>
  <c r="S112" i="33" l="1"/>
  <c r="R112" i="33"/>
  <c r="M112" i="33"/>
  <c r="L112" i="33"/>
  <c r="K112" i="33"/>
  <c r="J112" i="33"/>
  <c r="I112" i="33"/>
  <c r="H112" i="33"/>
  <c r="S111" i="33"/>
  <c r="R111" i="33"/>
  <c r="M111" i="33"/>
  <c r="L111" i="33"/>
  <c r="K111" i="33"/>
  <c r="J111" i="33"/>
  <c r="I111" i="33"/>
  <c r="H111" i="33"/>
  <c r="S110" i="33"/>
  <c r="R110" i="33"/>
  <c r="M110" i="33"/>
  <c r="L110" i="33"/>
  <c r="K110" i="33"/>
  <c r="J110" i="33"/>
  <c r="I110" i="33"/>
  <c r="H110" i="33"/>
  <c r="S109" i="33"/>
  <c r="R109" i="33"/>
  <c r="M109" i="33"/>
  <c r="L109" i="33"/>
  <c r="K109" i="33"/>
  <c r="J109" i="33"/>
  <c r="I109" i="33"/>
  <c r="H109" i="33"/>
  <c r="S108" i="33"/>
  <c r="R108" i="33"/>
  <c r="M108" i="33"/>
  <c r="L108" i="33"/>
  <c r="K108" i="33"/>
  <c r="J108" i="33"/>
  <c r="I108" i="33"/>
  <c r="H108" i="33"/>
  <c r="S107" i="33"/>
  <c r="R107" i="33"/>
  <c r="M107" i="33"/>
  <c r="L107" i="33"/>
  <c r="K107" i="33"/>
  <c r="J107" i="33"/>
  <c r="I107" i="33"/>
  <c r="H107" i="33"/>
  <c r="S106" i="33"/>
  <c r="R106" i="33"/>
  <c r="M106" i="33"/>
  <c r="L106" i="33"/>
  <c r="K106" i="33"/>
  <c r="J106" i="33"/>
  <c r="I106" i="33"/>
  <c r="H106" i="33"/>
  <c r="S105" i="33"/>
  <c r="R105" i="33"/>
  <c r="M105" i="33"/>
  <c r="L105" i="33"/>
  <c r="K105" i="33"/>
  <c r="J105" i="33"/>
  <c r="I105" i="33"/>
  <c r="H105" i="33"/>
  <c r="S104" i="33"/>
  <c r="R104" i="33"/>
  <c r="M104" i="33"/>
  <c r="L104" i="33"/>
  <c r="K104" i="33"/>
  <c r="J104" i="33"/>
  <c r="I104" i="33"/>
  <c r="H104" i="33"/>
  <c r="S103" i="33"/>
  <c r="R103" i="33"/>
  <c r="M103" i="33"/>
  <c r="L103" i="33"/>
  <c r="K103" i="33"/>
  <c r="J103" i="33"/>
  <c r="I103" i="33"/>
  <c r="H103" i="33"/>
  <c r="S102" i="33"/>
  <c r="R102" i="33"/>
  <c r="M102" i="33"/>
  <c r="L102" i="33"/>
  <c r="K102" i="33"/>
  <c r="J102" i="33"/>
  <c r="I102" i="33"/>
  <c r="H102" i="33"/>
  <c r="S101" i="33"/>
  <c r="R101" i="33"/>
  <c r="M101" i="33"/>
  <c r="L101" i="33"/>
  <c r="K101" i="33"/>
  <c r="J101" i="33"/>
  <c r="I101" i="33"/>
  <c r="H101" i="33"/>
  <c r="S100" i="33"/>
  <c r="R100" i="33"/>
  <c r="M100" i="33"/>
  <c r="L100" i="33"/>
  <c r="K100" i="33"/>
  <c r="J100" i="33"/>
  <c r="I100" i="33"/>
  <c r="H100" i="33"/>
  <c r="S99" i="33"/>
  <c r="R99" i="33"/>
  <c r="M99" i="33"/>
  <c r="L99" i="33"/>
  <c r="K99" i="33"/>
  <c r="J99" i="33"/>
  <c r="I99" i="33"/>
  <c r="H99" i="33"/>
  <c r="S98" i="33"/>
  <c r="R98" i="33"/>
  <c r="M98" i="33"/>
  <c r="L98" i="33"/>
  <c r="K98" i="33"/>
  <c r="J98" i="33"/>
  <c r="I98" i="33"/>
  <c r="H98" i="33"/>
  <c r="S97" i="33"/>
  <c r="R97" i="33"/>
  <c r="M97" i="33"/>
  <c r="L97" i="33"/>
  <c r="K97" i="33"/>
  <c r="J97" i="33"/>
  <c r="I97" i="33"/>
  <c r="H97" i="33"/>
  <c r="S96" i="33"/>
  <c r="R96" i="33"/>
  <c r="M96" i="33"/>
  <c r="L96" i="33"/>
  <c r="K96" i="33"/>
  <c r="J96" i="33"/>
  <c r="I96" i="33"/>
  <c r="H96" i="33"/>
  <c r="S95" i="33"/>
  <c r="R95" i="33"/>
  <c r="M95" i="33"/>
  <c r="L95" i="33"/>
  <c r="K95" i="33"/>
  <c r="J95" i="33"/>
  <c r="I95" i="33"/>
  <c r="H95" i="33"/>
  <c r="S94" i="33"/>
  <c r="R94" i="33"/>
  <c r="M94" i="33"/>
  <c r="L94" i="33"/>
  <c r="K94" i="33"/>
  <c r="J94" i="33"/>
  <c r="I94" i="33"/>
  <c r="H94" i="33"/>
  <c r="S93" i="33"/>
  <c r="R93" i="33"/>
  <c r="M93" i="33"/>
  <c r="L93" i="33"/>
  <c r="K93" i="33"/>
  <c r="J93" i="33"/>
  <c r="I93" i="33"/>
  <c r="H93" i="33"/>
  <c r="S92" i="33"/>
  <c r="R92" i="33"/>
  <c r="M92" i="33"/>
  <c r="L92" i="33"/>
  <c r="K92" i="33"/>
  <c r="J92" i="33"/>
  <c r="I92" i="33"/>
  <c r="H92" i="33"/>
  <c r="S91" i="33"/>
  <c r="R91" i="33"/>
  <c r="M91" i="33"/>
  <c r="L91" i="33"/>
  <c r="K91" i="33"/>
  <c r="J91" i="33"/>
  <c r="I91" i="33"/>
  <c r="H91" i="33"/>
  <c r="S90" i="33"/>
  <c r="R90" i="33"/>
  <c r="M90" i="33"/>
  <c r="L90" i="33"/>
  <c r="K90" i="33"/>
  <c r="J90" i="33"/>
  <c r="I90" i="33"/>
  <c r="H90" i="33"/>
  <c r="S89" i="33"/>
  <c r="R89" i="33"/>
  <c r="M89" i="33"/>
  <c r="L89" i="33"/>
  <c r="K89" i="33"/>
  <c r="J89" i="33"/>
  <c r="I89" i="33"/>
  <c r="H89" i="33"/>
  <c r="S88" i="33"/>
  <c r="R88" i="33"/>
  <c r="M88" i="33"/>
  <c r="L88" i="33"/>
  <c r="K88" i="33"/>
  <c r="J88" i="33"/>
  <c r="I88" i="33"/>
  <c r="H88" i="33"/>
  <c r="S87" i="33"/>
  <c r="R87" i="33"/>
  <c r="M87" i="33"/>
  <c r="L87" i="33"/>
  <c r="K87" i="33"/>
  <c r="J87" i="33"/>
  <c r="I87" i="33"/>
  <c r="H87" i="33"/>
  <c r="S86" i="33"/>
  <c r="R86" i="33"/>
  <c r="M86" i="33"/>
  <c r="L86" i="33"/>
  <c r="K86" i="33"/>
  <c r="J86" i="33"/>
  <c r="I86" i="33"/>
  <c r="H86" i="33"/>
  <c r="S85" i="33"/>
  <c r="R85" i="33"/>
  <c r="M85" i="33"/>
  <c r="L85" i="33"/>
  <c r="K85" i="33"/>
  <c r="J85" i="33"/>
  <c r="I85" i="33"/>
  <c r="H85" i="33"/>
  <c r="S84" i="33"/>
  <c r="R84" i="33"/>
  <c r="M84" i="33"/>
  <c r="L84" i="33"/>
  <c r="K84" i="33"/>
  <c r="J84" i="33"/>
  <c r="I84" i="33"/>
  <c r="H84" i="33"/>
  <c r="S83" i="33"/>
  <c r="R83" i="33"/>
  <c r="M83" i="33"/>
  <c r="L83" i="33"/>
  <c r="K83" i="33"/>
  <c r="J83" i="33"/>
  <c r="I83" i="33"/>
  <c r="H83" i="33"/>
  <c r="S82" i="33"/>
  <c r="R82" i="33"/>
  <c r="M82" i="33"/>
  <c r="L82" i="33"/>
  <c r="K82" i="33"/>
  <c r="J82" i="33"/>
  <c r="I82" i="33"/>
  <c r="H82" i="33"/>
  <c r="S81" i="33"/>
  <c r="R81" i="33"/>
  <c r="M81" i="33"/>
  <c r="L81" i="33"/>
  <c r="K81" i="33"/>
  <c r="J81" i="33"/>
  <c r="I81" i="33"/>
  <c r="H81" i="33"/>
  <c r="S80" i="33"/>
  <c r="R80" i="33"/>
  <c r="M80" i="33"/>
  <c r="L80" i="33"/>
  <c r="K80" i="33"/>
  <c r="J80" i="33"/>
  <c r="I80" i="33"/>
  <c r="H80" i="33"/>
  <c r="S79" i="33"/>
  <c r="R79" i="33"/>
  <c r="M79" i="33"/>
  <c r="L79" i="33"/>
  <c r="K79" i="33"/>
  <c r="J79" i="33"/>
  <c r="I79" i="33"/>
  <c r="H79" i="33"/>
  <c r="S78" i="33"/>
  <c r="R78" i="33"/>
  <c r="M78" i="33"/>
  <c r="L78" i="33"/>
  <c r="K78" i="33"/>
  <c r="J78" i="33"/>
  <c r="I78" i="33"/>
  <c r="H78" i="33"/>
  <c r="S77" i="33"/>
  <c r="R77" i="33"/>
  <c r="M77" i="33"/>
  <c r="L77" i="33"/>
  <c r="K77" i="33"/>
  <c r="J77" i="33"/>
  <c r="I77" i="33"/>
  <c r="H77" i="33"/>
  <c r="S76" i="33"/>
  <c r="R76" i="33"/>
  <c r="M76" i="33"/>
  <c r="L76" i="33"/>
  <c r="K76" i="33"/>
  <c r="J76" i="33"/>
  <c r="I76" i="33"/>
  <c r="H76" i="33"/>
  <c r="S75" i="33"/>
  <c r="R75" i="33"/>
  <c r="M75" i="33"/>
  <c r="L75" i="33"/>
  <c r="K75" i="33"/>
  <c r="J75" i="33"/>
  <c r="I75" i="33"/>
  <c r="H75" i="33"/>
  <c r="S74" i="33"/>
  <c r="R74" i="33"/>
  <c r="M74" i="33"/>
  <c r="L74" i="33"/>
  <c r="K74" i="33"/>
  <c r="J74" i="33"/>
  <c r="I74" i="33"/>
  <c r="H74" i="33"/>
  <c r="S73" i="33"/>
  <c r="R73" i="33"/>
  <c r="M73" i="33"/>
  <c r="L73" i="33"/>
  <c r="K73" i="33"/>
  <c r="J73" i="33"/>
  <c r="I73" i="33"/>
  <c r="H73" i="33"/>
  <c r="S72" i="33"/>
  <c r="R72" i="33"/>
  <c r="M72" i="33"/>
  <c r="L72" i="33"/>
  <c r="K72" i="33"/>
  <c r="J72" i="33"/>
  <c r="I72" i="33"/>
  <c r="H72" i="33"/>
  <c r="S71" i="33"/>
  <c r="R71" i="33"/>
  <c r="M71" i="33"/>
  <c r="L71" i="33"/>
  <c r="K71" i="33"/>
  <c r="J71" i="33"/>
  <c r="I71" i="33"/>
  <c r="H71" i="33"/>
  <c r="S70" i="33"/>
  <c r="R70" i="33"/>
  <c r="M70" i="33"/>
  <c r="L70" i="33"/>
  <c r="K70" i="33"/>
  <c r="J70" i="33"/>
  <c r="I70" i="33"/>
  <c r="H70" i="33"/>
  <c r="S69" i="33"/>
  <c r="R69" i="33"/>
  <c r="M69" i="33"/>
  <c r="L69" i="33"/>
  <c r="K69" i="33"/>
  <c r="J69" i="33"/>
  <c r="I69" i="33"/>
  <c r="H69" i="33"/>
  <c r="S68" i="33"/>
  <c r="R68" i="33"/>
  <c r="M68" i="33"/>
  <c r="L68" i="33"/>
  <c r="K68" i="33"/>
  <c r="J68" i="33"/>
  <c r="I68" i="33"/>
  <c r="H68" i="33"/>
  <c r="S67" i="33"/>
  <c r="R67" i="33"/>
  <c r="M67" i="33"/>
  <c r="L67" i="33"/>
  <c r="K67" i="33"/>
  <c r="J67" i="33"/>
  <c r="I67" i="33"/>
  <c r="H67" i="33"/>
  <c r="S66" i="33"/>
  <c r="R66" i="33"/>
  <c r="M66" i="33"/>
  <c r="L66" i="33"/>
  <c r="K66" i="33"/>
  <c r="J66" i="33"/>
  <c r="I66" i="33"/>
  <c r="H66" i="33"/>
  <c r="S65" i="33"/>
  <c r="R65" i="33"/>
  <c r="M65" i="33"/>
  <c r="L65" i="33"/>
  <c r="K65" i="33"/>
  <c r="J65" i="33"/>
  <c r="I65" i="33"/>
  <c r="H65" i="33"/>
  <c r="S64" i="33"/>
  <c r="R64" i="33"/>
  <c r="M64" i="33"/>
  <c r="L64" i="33"/>
  <c r="K64" i="33"/>
  <c r="J64" i="33"/>
  <c r="I64" i="33"/>
  <c r="H64" i="33"/>
  <c r="S63" i="33"/>
  <c r="R63" i="33"/>
  <c r="M63" i="33"/>
  <c r="L63" i="33"/>
  <c r="K63" i="33"/>
  <c r="J63" i="33"/>
  <c r="I63" i="33"/>
  <c r="H63" i="33"/>
  <c r="S62" i="33"/>
  <c r="R62" i="33"/>
  <c r="M62" i="33"/>
  <c r="L62" i="33"/>
  <c r="K62" i="33"/>
  <c r="J62" i="33"/>
  <c r="I62" i="33"/>
  <c r="H62" i="33"/>
  <c r="S61" i="33"/>
  <c r="R61" i="33"/>
  <c r="M61" i="33"/>
  <c r="L61" i="33"/>
  <c r="K61" i="33"/>
  <c r="J61" i="33"/>
  <c r="I61" i="33"/>
  <c r="H61" i="33"/>
  <c r="S60" i="33"/>
  <c r="R60" i="33"/>
  <c r="M60" i="33"/>
  <c r="L60" i="33"/>
  <c r="K60" i="33"/>
  <c r="J60" i="33"/>
  <c r="I60" i="33"/>
  <c r="H60" i="33"/>
  <c r="S59" i="33"/>
  <c r="R59" i="33"/>
  <c r="M59" i="33"/>
  <c r="L59" i="33"/>
  <c r="K59" i="33"/>
  <c r="J59" i="33"/>
  <c r="I59" i="33"/>
  <c r="H59" i="33"/>
  <c r="S58" i="33"/>
  <c r="R58" i="33"/>
  <c r="M58" i="33"/>
  <c r="L58" i="33"/>
  <c r="K58" i="33"/>
  <c r="J58" i="33"/>
  <c r="I58" i="33"/>
  <c r="H58" i="33"/>
  <c r="S57" i="33"/>
  <c r="R57" i="33"/>
  <c r="M57" i="33"/>
  <c r="L57" i="33"/>
  <c r="K57" i="33"/>
  <c r="J57" i="33"/>
  <c r="I57" i="33"/>
  <c r="H57" i="33"/>
  <c r="S56" i="33"/>
  <c r="R56" i="33"/>
  <c r="M56" i="33"/>
  <c r="L56" i="33"/>
  <c r="K56" i="33"/>
  <c r="J56" i="33"/>
  <c r="I56" i="33"/>
  <c r="H56" i="33"/>
  <c r="S55" i="33"/>
  <c r="R55" i="33"/>
  <c r="M55" i="33"/>
  <c r="L55" i="33"/>
  <c r="K55" i="33"/>
  <c r="J55" i="33"/>
  <c r="I55" i="33"/>
  <c r="H55" i="33"/>
  <c r="S54" i="33"/>
  <c r="R54" i="33"/>
  <c r="M54" i="33"/>
  <c r="L54" i="33"/>
  <c r="K54" i="33"/>
  <c r="J54" i="33"/>
  <c r="I54" i="33"/>
  <c r="H54" i="33"/>
  <c r="S53" i="33"/>
  <c r="R53" i="33"/>
  <c r="M53" i="33"/>
  <c r="L53" i="33"/>
  <c r="K53" i="33"/>
  <c r="J53" i="33"/>
  <c r="I53" i="33"/>
  <c r="H53" i="33"/>
  <c r="S52" i="33"/>
  <c r="R52" i="33"/>
  <c r="M52" i="33"/>
  <c r="L52" i="33"/>
  <c r="K52" i="33"/>
  <c r="J52" i="33"/>
  <c r="I52" i="33"/>
  <c r="H52" i="33"/>
  <c r="S51" i="33"/>
  <c r="R51" i="33"/>
  <c r="M51" i="33"/>
  <c r="L51" i="33"/>
  <c r="K51" i="33"/>
  <c r="J51" i="33"/>
  <c r="I51" i="33"/>
  <c r="H51" i="33"/>
  <c r="S50" i="33"/>
  <c r="R50" i="33"/>
  <c r="M50" i="33"/>
  <c r="L50" i="33"/>
  <c r="K50" i="33"/>
  <c r="J50" i="33"/>
  <c r="I50" i="33"/>
  <c r="H50" i="33"/>
  <c r="S49" i="33"/>
  <c r="R49" i="33"/>
  <c r="M49" i="33"/>
  <c r="L49" i="33"/>
  <c r="K49" i="33"/>
  <c r="J49" i="33"/>
  <c r="I49" i="33"/>
  <c r="H49" i="33"/>
  <c r="S48" i="33"/>
  <c r="R48" i="33"/>
  <c r="M48" i="33"/>
  <c r="L48" i="33"/>
  <c r="K48" i="33"/>
  <c r="J48" i="33"/>
  <c r="I48" i="33"/>
  <c r="H48" i="33"/>
  <c r="S47" i="33"/>
  <c r="R47" i="33"/>
  <c r="M47" i="33"/>
  <c r="L47" i="33"/>
  <c r="K47" i="33"/>
  <c r="J47" i="33"/>
  <c r="I47" i="33"/>
  <c r="H47" i="33"/>
  <c r="S46" i="33"/>
  <c r="R46" i="33"/>
  <c r="M46" i="33"/>
  <c r="L46" i="33"/>
  <c r="K46" i="33"/>
  <c r="J46" i="33"/>
  <c r="I46" i="33"/>
  <c r="H46" i="33"/>
  <c r="S45" i="33"/>
  <c r="R45" i="33"/>
  <c r="M45" i="33"/>
  <c r="L45" i="33"/>
  <c r="K45" i="33"/>
  <c r="J45" i="33"/>
  <c r="I45" i="33"/>
  <c r="H45" i="33"/>
  <c r="I44" i="33"/>
  <c r="L44" i="33" s="1"/>
  <c r="H44" i="33"/>
  <c r="K44" i="33" s="1"/>
  <c r="S43" i="33"/>
  <c r="R43" i="33"/>
  <c r="M43" i="33"/>
  <c r="L43" i="33"/>
  <c r="K43" i="33"/>
  <c r="J43" i="33"/>
  <c r="I43" i="33"/>
  <c r="H43" i="33"/>
  <c r="S42" i="33"/>
  <c r="R42" i="33"/>
  <c r="M42" i="33"/>
  <c r="L42" i="33"/>
  <c r="K42" i="33"/>
  <c r="J42" i="33"/>
  <c r="I42" i="33"/>
  <c r="H42" i="33"/>
  <c r="I41" i="33"/>
  <c r="H41" i="33"/>
  <c r="I40" i="33"/>
  <c r="H40" i="33"/>
  <c r="I39" i="33"/>
  <c r="H39" i="33"/>
  <c r="I38" i="33"/>
  <c r="J38" i="33" s="1"/>
  <c r="R38" i="33" s="1"/>
  <c r="H38" i="33"/>
  <c r="I37" i="33"/>
  <c r="H37" i="33"/>
  <c r="I36" i="33"/>
  <c r="H36" i="33"/>
  <c r="I35" i="33"/>
  <c r="J35" i="33" s="1"/>
  <c r="R35" i="33" s="1"/>
  <c r="H35" i="33"/>
  <c r="I34" i="33"/>
  <c r="H34" i="33"/>
  <c r="I33" i="33"/>
  <c r="H33" i="33"/>
  <c r="I32" i="33"/>
  <c r="H32" i="33"/>
  <c r="I31" i="33"/>
  <c r="J31" i="33" s="1"/>
  <c r="R31" i="33" s="1"/>
  <c r="H31" i="33"/>
  <c r="I30" i="33"/>
  <c r="H30" i="33"/>
  <c r="I29" i="33"/>
  <c r="H29" i="33"/>
  <c r="I28" i="33"/>
  <c r="H28" i="33"/>
  <c r="I27" i="33"/>
  <c r="H27" i="33"/>
  <c r="I26" i="33"/>
  <c r="J26" i="33" s="1"/>
  <c r="R26" i="33" s="1"/>
  <c r="H26" i="33"/>
  <c r="I25" i="33"/>
  <c r="H25" i="33"/>
  <c r="J24" i="33"/>
  <c r="R24" i="33" s="1"/>
  <c r="I24" i="33"/>
  <c r="H24" i="33"/>
  <c r="I23" i="33"/>
  <c r="H23" i="33"/>
  <c r="I22" i="33"/>
  <c r="H22" i="33"/>
  <c r="I21" i="33"/>
  <c r="H21" i="33"/>
  <c r="I20" i="33"/>
  <c r="H20" i="33"/>
  <c r="I19" i="33"/>
  <c r="H19" i="33"/>
  <c r="I18" i="33"/>
  <c r="J18" i="33" s="1"/>
  <c r="R18" i="33" s="1"/>
  <c r="H18" i="33"/>
  <c r="I17" i="33"/>
  <c r="H17" i="33"/>
  <c r="I16" i="33"/>
  <c r="H16" i="33"/>
  <c r="I15" i="33"/>
  <c r="H15" i="33"/>
  <c r="I14" i="33"/>
  <c r="H14" i="33"/>
  <c r="I13" i="33"/>
  <c r="H13" i="33"/>
  <c r="J13" i="33" s="1"/>
  <c r="R13" i="33" s="1"/>
  <c r="I12" i="33"/>
  <c r="J12" i="33" s="1"/>
  <c r="R12" i="33" s="1"/>
  <c r="H12" i="33"/>
  <c r="I11" i="33"/>
  <c r="J11" i="33" s="1"/>
  <c r="R11" i="33" s="1"/>
  <c r="H11" i="33"/>
  <c r="I10" i="33"/>
  <c r="J10" i="33" s="1"/>
  <c r="R10" i="33" s="1"/>
  <c r="H10" i="33"/>
  <c r="I9" i="33"/>
  <c r="H9" i="33"/>
  <c r="I8" i="33"/>
  <c r="H8" i="33"/>
  <c r="I7" i="33"/>
  <c r="H7" i="33"/>
  <c r="K7" i="33" s="1"/>
  <c r="K8" i="33" s="1"/>
  <c r="K9" i="33" s="1"/>
  <c r="K10" i="33" s="1"/>
  <c r="K11" i="33" s="1"/>
  <c r="K12" i="33" s="1"/>
  <c r="J7" i="33" l="1"/>
  <c r="R7" i="33" s="1"/>
  <c r="J37" i="33"/>
  <c r="R37" i="33" s="1"/>
  <c r="J9" i="33"/>
  <c r="R9" i="33" s="1"/>
  <c r="J17" i="33"/>
  <c r="R17" i="33" s="1"/>
  <c r="J33" i="33"/>
  <c r="R33" i="33" s="1"/>
  <c r="J14" i="33"/>
  <c r="R14" i="33" s="1"/>
  <c r="J16" i="33"/>
  <c r="R16" i="33" s="1"/>
  <c r="J21" i="33"/>
  <c r="R21" i="33" s="1"/>
  <c r="J40" i="33"/>
  <c r="R40" i="33" s="1"/>
  <c r="J41" i="33"/>
  <c r="R41" i="33" s="1"/>
  <c r="M44" i="33"/>
  <c r="S44" i="33" s="1"/>
  <c r="J44" i="33"/>
  <c r="R44" i="33" s="1"/>
  <c r="J39" i="33"/>
  <c r="R39" i="33" s="1"/>
  <c r="J36" i="33"/>
  <c r="R36" i="33" s="1"/>
  <c r="J34" i="33"/>
  <c r="R34" i="33" s="1"/>
  <c r="J32" i="33"/>
  <c r="R32" i="33" s="1"/>
  <c r="J30" i="33"/>
  <c r="R30" i="33" s="1"/>
  <c r="J29" i="33"/>
  <c r="R29" i="33" s="1"/>
  <c r="J28" i="33"/>
  <c r="R28" i="33" s="1"/>
  <c r="J27" i="33"/>
  <c r="R27" i="33" s="1"/>
  <c r="J25" i="33"/>
  <c r="R25" i="33" s="1"/>
  <c r="J23" i="33"/>
  <c r="R23" i="33" s="1"/>
  <c r="J22" i="33"/>
  <c r="R22" i="33" s="1"/>
  <c r="J20" i="33"/>
  <c r="R20" i="33" s="1"/>
  <c r="J19" i="33"/>
  <c r="R19" i="33" s="1"/>
  <c r="J15" i="33"/>
  <c r="R15" i="33" s="1"/>
  <c r="K13" i="33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J8" i="33"/>
  <c r="R8" i="33" s="1"/>
  <c r="L7" i="33"/>
  <c r="M7" i="33" s="1"/>
  <c r="S7" i="33" s="1"/>
  <c r="S112" i="32"/>
  <c r="R112" i="32"/>
  <c r="M112" i="32"/>
  <c r="L112" i="32"/>
  <c r="K112" i="32"/>
  <c r="J112" i="32"/>
  <c r="I112" i="32"/>
  <c r="H112" i="32"/>
  <c r="S111" i="32"/>
  <c r="R111" i="32"/>
  <c r="M111" i="32"/>
  <c r="L111" i="32"/>
  <c r="K111" i="32"/>
  <c r="J111" i="32"/>
  <c r="I111" i="32"/>
  <c r="H111" i="32"/>
  <c r="S110" i="32"/>
  <c r="R110" i="32"/>
  <c r="M110" i="32"/>
  <c r="L110" i="32"/>
  <c r="K110" i="32"/>
  <c r="J110" i="32"/>
  <c r="I110" i="32"/>
  <c r="H110" i="32"/>
  <c r="S109" i="32"/>
  <c r="R109" i="32"/>
  <c r="M109" i="32"/>
  <c r="L109" i="32"/>
  <c r="K109" i="32"/>
  <c r="J109" i="32"/>
  <c r="I109" i="32"/>
  <c r="H109" i="32"/>
  <c r="S108" i="32"/>
  <c r="R108" i="32"/>
  <c r="M108" i="32"/>
  <c r="L108" i="32"/>
  <c r="K108" i="32"/>
  <c r="J108" i="32"/>
  <c r="I108" i="32"/>
  <c r="H108" i="32"/>
  <c r="S107" i="32"/>
  <c r="R107" i="32"/>
  <c r="M107" i="32"/>
  <c r="L107" i="32"/>
  <c r="K107" i="32"/>
  <c r="J107" i="32"/>
  <c r="I107" i="32"/>
  <c r="H107" i="32"/>
  <c r="S106" i="32"/>
  <c r="R106" i="32"/>
  <c r="M106" i="32"/>
  <c r="L106" i="32"/>
  <c r="K106" i="32"/>
  <c r="J106" i="32"/>
  <c r="I106" i="32"/>
  <c r="H106" i="32"/>
  <c r="S105" i="32"/>
  <c r="R105" i="32"/>
  <c r="M105" i="32"/>
  <c r="L105" i="32"/>
  <c r="K105" i="32"/>
  <c r="J105" i="32"/>
  <c r="I105" i="32"/>
  <c r="H105" i="32"/>
  <c r="S104" i="32"/>
  <c r="R104" i="32"/>
  <c r="M104" i="32"/>
  <c r="L104" i="32"/>
  <c r="K104" i="32"/>
  <c r="J104" i="32"/>
  <c r="I104" i="32"/>
  <c r="H104" i="32"/>
  <c r="S103" i="32"/>
  <c r="R103" i="32"/>
  <c r="M103" i="32"/>
  <c r="L103" i="32"/>
  <c r="K103" i="32"/>
  <c r="J103" i="32"/>
  <c r="I103" i="32"/>
  <c r="H103" i="32"/>
  <c r="S102" i="32"/>
  <c r="R102" i="32"/>
  <c r="M102" i="32"/>
  <c r="L102" i="32"/>
  <c r="K102" i="32"/>
  <c r="J102" i="32"/>
  <c r="I102" i="32"/>
  <c r="H102" i="32"/>
  <c r="S101" i="32"/>
  <c r="R101" i="32"/>
  <c r="M101" i="32"/>
  <c r="L101" i="32"/>
  <c r="K101" i="32"/>
  <c r="J101" i="32"/>
  <c r="I101" i="32"/>
  <c r="H101" i="32"/>
  <c r="S100" i="32"/>
  <c r="R100" i="32"/>
  <c r="M100" i="32"/>
  <c r="L100" i="32"/>
  <c r="K100" i="32"/>
  <c r="J100" i="32"/>
  <c r="I100" i="32"/>
  <c r="H100" i="32"/>
  <c r="S99" i="32"/>
  <c r="R99" i="32"/>
  <c r="M99" i="32"/>
  <c r="L99" i="32"/>
  <c r="K99" i="32"/>
  <c r="J99" i="32"/>
  <c r="I99" i="32"/>
  <c r="H99" i="32"/>
  <c r="S98" i="32"/>
  <c r="R98" i="32"/>
  <c r="M98" i="32"/>
  <c r="L98" i="32"/>
  <c r="K98" i="32"/>
  <c r="J98" i="32"/>
  <c r="I98" i="32"/>
  <c r="H98" i="32"/>
  <c r="S97" i="32"/>
  <c r="R97" i="32"/>
  <c r="M97" i="32"/>
  <c r="L97" i="32"/>
  <c r="K97" i="32"/>
  <c r="J97" i="32"/>
  <c r="I97" i="32"/>
  <c r="H97" i="32"/>
  <c r="S96" i="32"/>
  <c r="R96" i="32"/>
  <c r="M96" i="32"/>
  <c r="L96" i="32"/>
  <c r="K96" i="32"/>
  <c r="J96" i="32"/>
  <c r="I96" i="32"/>
  <c r="H96" i="32"/>
  <c r="S95" i="32"/>
  <c r="R95" i="32"/>
  <c r="M95" i="32"/>
  <c r="L95" i="32"/>
  <c r="K95" i="32"/>
  <c r="J95" i="32"/>
  <c r="I95" i="32"/>
  <c r="H95" i="32"/>
  <c r="S94" i="32"/>
  <c r="R94" i="32"/>
  <c r="M94" i="32"/>
  <c r="L94" i="32"/>
  <c r="K94" i="32"/>
  <c r="J94" i="32"/>
  <c r="I94" i="32"/>
  <c r="H94" i="32"/>
  <c r="S93" i="32"/>
  <c r="R93" i="32"/>
  <c r="M93" i="32"/>
  <c r="L93" i="32"/>
  <c r="K93" i="32"/>
  <c r="J93" i="32"/>
  <c r="I93" i="32"/>
  <c r="H93" i="32"/>
  <c r="S92" i="32"/>
  <c r="R92" i="32"/>
  <c r="M92" i="32"/>
  <c r="L92" i="32"/>
  <c r="K92" i="32"/>
  <c r="J92" i="32"/>
  <c r="I92" i="32"/>
  <c r="H92" i="32"/>
  <c r="S91" i="32"/>
  <c r="R91" i="32"/>
  <c r="M91" i="32"/>
  <c r="L91" i="32"/>
  <c r="K91" i="32"/>
  <c r="J91" i="32"/>
  <c r="I91" i="32"/>
  <c r="H91" i="32"/>
  <c r="S90" i="32"/>
  <c r="R90" i="32"/>
  <c r="M90" i="32"/>
  <c r="L90" i="32"/>
  <c r="K90" i="32"/>
  <c r="J90" i="32"/>
  <c r="I90" i="32"/>
  <c r="H90" i="32"/>
  <c r="S89" i="32"/>
  <c r="R89" i="32"/>
  <c r="M89" i="32"/>
  <c r="L89" i="32"/>
  <c r="K89" i="32"/>
  <c r="J89" i="32"/>
  <c r="I89" i="32"/>
  <c r="H89" i="32"/>
  <c r="S88" i="32"/>
  <c r="R88" i="32"/>
  <c r="M88" i="32"/>
  <c r="L88" i="32"/>
  <c r="K88" i="32"/>
  <c r="J88" i="32"/>
  <c r="I88" i="32"/>
  <c r="H88" i="32"/>
  <c r="S87" i="32"/>
  <c r="R87" i="32"/>
  <c r="M87" i="32"/>
  <c r="L87" i="32"/>
  <c r="K87" i="32"/>
  <c r="J87" i="32"/>
  <c r="I87" i="32"/>
  <c r="H87" i="32"/>
  <c r="S86" i="32"/>
  <c r="R86" i="32"/>
  <c r="M86" i="32"/>
  <c r="L86" i="32"/>
  <c r="K86" i="32"/>
  <c r="J86" i="32"/>
  <c r="I86" i="32"/>
  <c r="H86" i="32"/>
  <c r="S85" i="32"/>
  <c r="R85" i="32"/>
  <c r="M85" i="32"/>
  <c r="L85" i="32"/>
  <c r="K85" i="32"/>
  <c r="J85" i="32"/>
  <c r="I85" i="32"/>
  <c r="H85" i="32"/>
  <c r="S84" i="32"/>
  <c r="R84" i="32"/>
  <c r="M84" i="32"/>
  <c r="L84" i="32"/>
  <c r="K84" i="32"/>
  <c r="J84" i="32"/>
  <c r="I84" i="32"/>
  <c r="H84" i="32"/>
  <c r="S83" i="32"/>
  <c r="R83" i="32"/>
  <c r="M83" i="32"/>
  <c r="L83" i="32"/>
  <c r="K83" i="32"/>
  <c r="J83" i="32"/>
  <c r="I83" i="32"/>
  <c r="H83" i="32"/>
  <c r="S82" i="32"/>
  <c r="R82" i="32"/>
  <c r="M82" i="32"/>
  <c r="L82" i="32"/>
  <c r="K82" i="32"/>
  <c r="J82" i="32"/>
  <c r="I82" i="32"/>
  <c r="H82" i="32"/>
  <c r="S81" i="32"/>
  <c r="R81" i="32"/>
  <c r="M81" i="32"/>
  <c r="L81" i="32"/>
  <c r="K81" i="32"/>
  <c r="J81" i="32"/>
  <c r="I81" i="32"/>
  <c r="H81" i="32"/>
  <c r="S80" i="32"/>
  <c r="R80" i="32"/>
  <c r="M80" i="32"/>
  <c r="L80" i="32"/>
  <c r="K80" i="32"/>
  <c r="J80" i="32"/>
  <c r="I80" i="32"/>
  <c r="H80" i="32"/>
  <c r="S79" i="32"/>
  <c r="R79" i="32"/>
  <c r="M79" i="32"/>
  <c r="L79" i="32"/>
  <c r="K79" i="32"/>
  <c r="J79" i="32"/>
  <c r="I79" i="32"/>
  <c r="H79" i="32"/>
  <c r="S78" i="32"/>
  <c r="R78" i="32"/>
  <c r="M78" i="32"/>
  <c r="L78" i="32"/>
  <c r="K78" i="32"/>
  <c r="J78" i="32"/>
  <c r="I78" i="32"/>
  <c r="H78" i="32"/>
  <c r="S77" i="32"/>
  <c r="R77" i="32"/>
  <c r="M77" i="32"/>
  <c r="L77" i="32"/>
  <c r="K77" i="32"/>
  <c r="J77" i="32"/>
  <c r="I77" i="32"/>
  <c r="H77" i="32"/>
  <c r="S76" i="32"/>
  <c r="R76" i="32"/>
  <c r="M76" i="32"/>
  <c r="L76" i="32"/>
  <c r="K76" i="32"/>
  <c r="J76" i="32"/>
  <c r="I76" i="32"/>
  <c r="H76" i="32"/>
  <c r="S75" i="32"/>
  <c r="R75" i="32"/>
  <c r="M75" i="32"/>
  <c r="L75" i="32"/>
  <c r="K75" i="32"/>
  <c r="J75" i="32"/>
  <c r="I75" i="32"/>
  <c r="H75" i="32"/>
  <c r="S74" i="32"/>
  <c r="R74" i="32"/>
  <c r="M74" i="32"/>
  <c r="L74" i="32"/>
  <c r="K74" i="32"/>
  <c r="J74" i="32"/>
  <c r="I74" i="32"/>
  <c r="H74" i="32"/>
  <c r="S73" i="32"/>
  <c r="R73" i="32"/>
  <c r="M73" i="32"/>
  <c r="L73" i="32"/>
  <c r="K73" i="32"/>
  <c r="J73" i="32"/>
  <c r="I73" i="32"/>
  <c r="H73" i="32"/>
  <c r="S72" i="32"/>
  <c r="R72" i="32"/>
  <c r="M72" i="32"/>
  <c r="L72" i="32"/>
  <c r="K72" i="32"/>
  <c r="J72" i="32"/>
  <c r="I72" i="32"/>
  <c r="H72" i="32"/>
  <c r="S71" i="32"/>
  <c r="R71" i="32"/>
  <c r="M71" i="32"/>
  <c r="L71" i="32"/>
  <c r="K71" i="32"/>
  <c r="J71" i="32"/>
  <c r="I71" i="32"/>
  <c r="H71" i="32"/>
  <c r="S70" i="32"/>
  <c r="R70" i="32"/>
  <c r="M70" i="32"/>
  <c r="L70" i="32"/>
  <c r="K70" i="32"/>
  <c r="J70" i="32"/>
  <c r="I70" i="32"/>
  <c r="H70" i="32"/>
  <c r="I69" i="32"/>
  <c r="J69" i="32" s="1"/>
  <c r="R69" i="32" s="1"/>
  <c r="H69" i="32"/>
  <c r="I68" i="32"/>
  <c r="J68" i="32" s="1"/>
  <c r="R68" i="32" s="1"/>
  <c r="H68" i="32"/>
  <c r="S67" i="32"/>
  <c r="R67" i="32"/>
  <c r="M67" i="32"/>
  <c r="L67" i="32"/>
  <c r="L68" i="32" s="1"/>
  <c r="K67" i="32"/>
  <c r="K68" i="32" s="1"/>
  <c r="K69" i="32" s="1"/>
  <c r="J67" i="32"/>
  <c r="I67" i="32"/>
  <c r="H67" i="32"/>
  <c r="S66" i="32"/>
  <c r="R66" i="32"/>
  <c r="M66" i="32"/>
  <c r="L66" i="32"/>
  <c r="K66" i="32"/>
  <c r="J66" i="32"/>
  <c r="I66" i="32"/>
  <c r="H66" i="32"/>
  <c r="I65" i="32"/>
  <c r="J65" i="32" s="1"/>
  <c r="R65" i="32" s="1"/>
  <c r="H65" i="32"/>
  <c r="K64" i="32"/>
  <c r="K65" i="32" s="1"/>
  <c r="I64" i="32"/>
  <c r="J64" i="32" s="1"/>
  <c r="R64" i="32" s="1"/>
  <c r="H64" i="32"/>
  <c r="S63" i="32"/>
  <c r="R63" i="32"/>
  <c r="M63" i="32"/>
  <c r="L63" i="32"/>
  <c r="L64" i="32" s="1"/>
  <c r="K63" i="32"/>
  <c r="J63" i="32"/>
  <c r="I63" i="32"/>
  <c r="H63" i="32"/>
  <c r="S62" i="32"/>
  <c r="R62" i="32"/>
  <c r="M62" i="32"/>
  <c r="L62" i="32"/>
  <c r="K62" i="32"/>
  <c r="J62" i="32"/>
  <c r="I62" i="32"/>
  <c r="H62" i="32"/>
  <c r="I61" i="32"/>
  <c r="J61" i="32" s="1"/>
  <c r="R61" i="32" s="1"/>
  <c r="H61" i="32"/>
  <c r="K60" i="32"/>
  <c r="K61" i="32" s="1"/>
  <c r="I60" i="32"/>
  <c r="J60" i="32" s="1"/>
  <c r="R60" i="32" s="1"/>
  <c r="H60" i="32"/>
  <c r="S59" i="32"/>
  <c r="R59" i="32"/>
  <c r="M59" i="32"/>
  <c r="L59" i="32"/>
  <c r="L60" i="32" s="1"/>
  <c r="K59" i="32"/>
  <c r="J59" i="32"/>
  <c r="I59" i="32"/>
  <c r="H59" i="32"/>
  <c r="S58" i="32"/>
  <c r="R58" i="32"/>
  <c r="M58" i="32"/>
  <c r="L58" i="32"/>
  <c r="K58" i="32"/>
  <c r="J58" i="32"/>
  <c r="I58" i="32"/>
  <c r="H58" i="32"/>
  <c r="S57" i="32"/>
  <c r="R57" i="32"/>
  <c r="M57" i="32"/>
  <c r="L57" i="32"/>
  <c r="K57" i="32"/>
  <c r="J57" i="32"/>
  <c r="I57" i="32"/>
  <c r="H57" i="32"/>
  <c r="S56" i="32"/>
  <c r="R56" i="32"/>
  <c r="M56" i="32"/>
  <c r="L56" i="32"/>
  <c r="K56" i="32"/>
  <c r="J56" i="32"/>
  <c r="I56" i="32"/>
  <c r="H56" i="32"/>
  <c r="S55" i="32"/>
  <c r="R55" i="32"/>
  <c r="M55" i="32"/>
  <c r="L55" i="32"/>
  <c r="K55" i="32"/>
  <c r="J55" i="32"/>
  <c r="I55" i="32"/>
  <c r="H55" i="32"/>
  <c r="I54" i="32"/>
  <c r="H54" i="32"/>
  <c r="I53" i="32"/>
  <c r="H53" i="32"/>
  <c r="I52" i="32"/>
  <c r="H52" i="32"/>
  <c r="I51" i="32"/>
  <c r="H51" i="32"/>
  <c r="I50" i="32"/>
  <c r="H50" i="32"/>
  <c r="I49" i="32"/>
  <c r="H49" i="32"/>
  <c r="I48" i="32"/>
  <c r="H48" i="32"/>
  <c r="I47" i="32"/>
  <c r="H47" i="32"/>
  <c r="I46" i="32"/>
  <c r="J46" i="32" s="1"/>
  <c r="R46" i="32" s="1"/>
  <c r="H46" i="32"/>
  <c r="I45" i="32"/>
  <c r="H45" i="32"/>
  <c r="I44" i="32"/>
  <c r="H44" i="32"/>
  <c r="I43" i="32"/>
  <c r="J43" i="32" s="1"/>
  <c r="R43" i="32" s="1"/>
  <c r="H43" i="32"/>
  <c r="I42" i="32"/>
  <c r="J42" i="32" s="1"/>
  <c r="R42" i="32" s="1"/>
  <c r="H42" i="32"/>
  <c r="I41" i="32"/>
  <c r="H41" i="32"/>
  <c r="I40" i="32"/>
  <c r="J40" i="32" s="1"/>
  <c r="R40" i="32" s="1"/>
  <c r="H40" i="32"/>
  <c r="I39" i="32"/>
  <c r="H39" i="32"/>
  <c r="I38" i="32"/>
  <c r="H38" i="32"/>
  <c r="I37" i="32"/>
  <c r="H37" i="32"/>
  <c r="I36" i="32"/>
  <c r="J36" i="32" s="1"/>
  <c r="R36" i="32" s="1"/>
  <c r="H36" i="32"/>
  <c r="I35" i="32"/>
  <c r="H35" i="32"/>
  <c r="I34" i="32"/>
  <c r="H34" i="32"/>
  <c r="I33" i="32"/>
  <c r="H33" i="32"/>
  <c r="I32" i="32"/>
  <c r="H32" i="32"/>
  <c r="I31" i="32"/>
  <c r="H31" i="32"/>
  <c r="I30" i="32"/>
  <c r="J30" i="32" s="1"/>
  <c r="R30" i="32" s="1"/>
  <c r="H30" i="32"/>
  <c r="I29" i="32"/>
  <c r="H29" i="32"/>
  <c r="I28" i="32"/>
  <c r="J28" i="32" s="1"/>
  <c r="R28" i="32" s="1"/>
  <c r="H28" i="32"/>
  <c r="I27" i="32"/>
  <c r="H27" i="32"/>
  <c r="I26" i="32"/>
  <c r="J26" i="32" s="1"/>
  <c r="R26" i="32" s="1"/>
  <c r="H26" i="32"/>
  <c r="I25" i="32"/>
  <c r="H25" i="32"/>
  <c r="I24" i="32"/>
  <c r="J24" i="32" s="1"/>
  <c r="R24" i="32" s="1"/>
  <c r="H24" i="32"/>
  <c r="I23" i="32"/>
  <c r="H23" i="32"/>
  <c r="I22" i="32"/>
  <c r="J22" i="32" s="1"/>
  <c r="R22" i="32" s="1"/>
  <c r="H22" i="32"/>
  <c r="I21" i="32"/>
  <c r="H21" i="32"/>
  <c r="I20" i="32"/>
  <c r="J20" i="32" s="1"/>
  <c r="R20" i="32" s="1"/>
  <c r="H20" i="32"/>
  <c r="I19" i="32"/>
  <c r="H19" i="32"/>
  <c r="I18" i="32"/>
  <c r="J18" i="32" s="1"/>
  <c r="R18" i="32" s="1"/>
  <c r="H18" i="32"/>
  <c r="I17" i="32"/>
  <c r="H17" i="32"/>
  <c r="I16" i="32"/>
  <c r="H16" i="32"/>
  <c r="I15" i="32"/>
  <c r="H15" i="32"/>
  <c r="I14" i="32"/>
  <c r="J14" i="32" s="1"/>
  <c r="R14" i="32" s="1"/>
  <c r="H14" i="32"/>
  <c r="I13" i="32"/>
  <c r="H13" i="32"/>
  <c r="I12" i="32"/>
  <c r="H12" i="32"/>
  <c r="I11" i="32"/>
  <c r="H11" i="32"/>
  <c r="I10" i="32"/>
  <c r="J10" i="32" s="1"/>
  <c r="R10" i="32" s="1"/>
  <c r="H10" i="32"/>
  <c r="I9" i="32"/>
  <c r="H9" i="32"/>
  <c r="I8" i="32"/>
  <c r="H8" i="32"/>
  <c r="I7" i="32"/>
  <c r="H7" i="32"/>
  <c r="K7" i="32" s="1"/>
  <c r="K8" i="32" s="1"/>
  <c r="K9" i="32" s="1"/>
  <c r="K10" i="32" s="1"/>
  <c r="K11" i="32" s="1"/>
  <c r="S112" i="31"/>
  <c r="R112" i="31"/>
  <c r="M112" i="31"/>
  <c r="L112" i="31"/>
  <c r="K112" i="31"/>
  <c r="J112" i="31"/>
  <c r="I112" i="31"/>
  <c r="H112" i="31"/>
  <c r="S111" i="31"/>
  <c r="R111" i="31"/>
  <c r="M111" i="31"/>
  <c r="L111" i="31"/>
  <c r="K111" i="31"/>
  <c r="J111" i="31"/>
  <c r="I111" i="31"/>
  <c r="H111" i="31"/>
  <c r="S110" i="31"/>
  <c r="R110" i="31"/>
  <c r="M110" i="31"/>
  <c r="L110" i="31"/>
  <c r="K110" i="31"/>
  <c r="J110" i="31"/>
  <c r="I110" i="31"/>
  <c r="H110" i="31"/>
  <c r="S109" i="31"/>
  <c r="R109" i="31"/>
  <c r="M109" i="31"/>
  <c r="L109" i="31"/>
  <c r="K109" i="31"/>
  <c r="J109" i="31"/>
  <c r="I109" i="31"/>
  <c r="H109" i="31"/>
  <c r="S108" i="31"/>
  <c r="R108" i="31"/>
  <c r="M108" i="31"/>
  <c r="L108" i="31"/>
  <c r="K108" i="31"/>
  <c r="J108" i="31"/>
  <c r="I108" i="31"/>
  <c r="H108" i="31"/>
  <c r="S107" i="31"/>
  <c r="R107" i="31"/>
  <c r="M107" i="31"/>
  <c r="L107" i="31"/>
  <c r="K107" i="31"/>
  <c r="J107" i="31"/>
  <c r="I107" i="31"/>
  <c r="H107" i="31"/>
  <c r="S106" i="31"/>
  <c r="R106" i="31"/>
  <c r="M106" i="31"/>
  <c r="L106" i="31"/>
  <c r="K106" i="31"/>
  <c r="J106" i="31"/>
  <c r="I106" i="31"/>
  <c r="H106" i="31"/>
  <c r="S105" i="31"/>
  <c r="R105" i="31"/>
  <c r="M105" i="31"/>
  <c r="L105" i="31"/>
  <c r="K105" i="31"/>
  <c r="J105" i="31"/>
  <c r="I105" i="31"/>
  <c r="H105" i="31"/>
  <c r="S104" i="31"/>
  <c r="R104" i="31"/>
  <c r="M104" i="31"/>
  <c r="L104" i="31"/>
  <c r="K104" i="31"/>
  <c r="J104" i="31"/>
  <c r="I104" i="31"/>
  <c r="H104" i="31"/>
  <c r="S103" i="31"/>
  <c r="R103" i="31"/>
  <c r="M103" i="31"/>
  <c r="L103" i="31"/>
  <c r="K103" i="31"/>
  <c r="J103" i="31"/>
  <c r="I103" i="31"/>
  <c r="H103" i="31"/>
  <c r="S102" i="31"/>
  <c r="R102" i="31"/>
  <c r="M102" i="31"/>
  <c r="L102" i="31"/>
  <c r="K102" i="31"/>
  <c r="J102" i="31"/>
  <c r="I102" i="31"/>
  <c r="H102" i="31"/>
  <c r="S101" i="31"/>
  <c r="R101" i="31"/>
  <c r="M101" i="31"/>
  <c r="L101" i="31"/>
  <c r="K101" i="31"/>
  <c r="J101" i="31"/>
  <c r="I101" i="31"/>
  <c r="H101" i="31"/>
  <c r="S100" i="31"/>
  <c r="R100" i="31"/>
  <c r="M100" i="31"/>
  <c r="L100" i="31"/>
  <c r="K100" i="31"/>
  <c r="J100" i="31"/>
  <c r="I100" i="31"/>
  <c r="H100" i="31"/>
  <c r="S99" i="31"/>
  <c r="R99" i="31"/>
  <c r="M99" i="31"/>
  <c r="L99" i="31"/>
  <c r="K99" i="31"/>
  <c r="J99" i="31"/>
  <c r="I99" i="31"/>
  <c r="H99" i="31"/>
  <c r="S98" i="31"/>
  <c r="R98" i="31"/>
  <c r="M98" i="31"/>
  <c r="L98" i="31"/>
  <c r="K98" i="31"/>
  <c r="J98" i="31"/>
  <c r="I98" i="31"/>
  <c r="H98" i="31"/>
  <c r="S97" i="31"/>
  <c r="R97" i="31"/>
  <c r="M97" i="31"/>
  <c r="L97" i="31"/>
  <c r="K97" i="31"/>
  <c r="J97" i="31"/>
  <c r="I97" i="31"/>
  <c r="H97" i="31"/>
  <c r="S96" i="31"/>
  <c r="R96" i="31"/>
  <c r="M96" i="31"/>
  <c r="L96" i="31"/>
  <c r="K96" i="31"/>
  <c r="J96" i="31"/>
  <c r="I96" i="31"/>
  <c r="H96" i="31"/>
  <c r="S95" i="31"/>
  <c r="R95" i="31"/>
  <c r="M95" i="31"/>
  <c r="L95" i="31"/>
  <c r="K95" i="31"/>
  <c r="J95" i="31"/>
  <c r="I95" i="31"/>
  <c r="H95" i="31"/>
  <c r="S94" i="31"/>
  <c r="R94" i="31"/>
  <c r="M94" i="31"/>
  <c r="L94" i="31"/>
  <c r="K94" i="31"/>
  <c r="J94" i="31"/>
  <c r="I94" i="31"/>
  <c r="H94" i="31"/>
  <c r="S93" i="31"/>
  <c r="R93" i="31"/>
  <c r="M93" i="31"/>
  <c r="L93" i="31"/>
  <c r="K93" i="31"/>
  <c r="J93" i="31"/>
  <c r="I93" i="31"/>
  <c r="H93" i="31"/>
  <c r="S92" i="31"/>
  <c r="R92" i="31"/>
  <c r="M92" i="31"/>
  <c r="L92" i="31"/>
  <c r="K92" i="31"/>
  <c r="J92" i="31"/>
  <c r="I92" i="31"/>
  <c r="H92" i="31"/>
  <c r="S91" i="31"/>
  <c r="R91" i="31"/>
  <c r="M91" i="31"/>
  <c r="L91" i="31"/>
  <c r="K91" i="31"/>
  <c r="J91" i="31"/>
  <c r="I91" i="31"/>
  <c r="H91" i="31"/>
  <c r="S90" i="31"/>
  <c r="R90" i="31"/>
  <c r="M90" i="31"/>
  <c r="L90" i="31"/>
  <c r="K90" i="31"/>
  <c r="J90" i="31"/>
  <c r="I90" i="31"/>
  <c r="H90" i="31"/>
  <c r="S89" i="31"/>
  <c r="R89" i="31"/>
  <c r="M89" i="31"/>
  <c r="L89" i="31"/>
  <c r="K89" i="31"/>
  <c r="J89" i="31"/>
  <c r="I89" i="31"/>
  <c r="H89" i="31"/>
  <c r="S88" i="31"/>
  <c r="R88" i="31"/>
  <c r="M88" i="31"/>
  <c r="L88" i="31"/>
  <c r="K88" i="31"/>
  <c r="J88" i="31"/>
  <c r="I88" i="31"/>
  <c r="H88" i="31"/>
  <c r="S87" i="31"/>
  <c r="R87" i="31"/>
  <c r="M87" i="31"/>
  <c r="L87" i="31"/>
  <c r="K87" i="31"/>
  <c r="J87" i="31"/>
  <c r="I87" i="31"/>
  <c r="H87" i="31"/>
  <c r="S86" i="31"/>
  <c r="R86" i="31"/>
  <c r="M86" i="31"/>
  <c r="L86" i="31"/>
  <c r="K86" i="31"/>
  <c r="J86" i="31"/>
  <c r="I86" i="31"/>
  <c r="H86" i="31"/>
  <c r="S85" i="31"/>
  <c r="R85" i="31"/>
  <c r="M85" i="31"/>
  <c r="L85" i="31"/>
  <c r="K85" i="31"/>
  <c r="J85" i="31"/>
  <c r="I85" i="31"/>
  <c r="H85" i="31"/>
  <c r="S84" i="31"/>
  <c r="R84" i="31"/>
  <c r="M84" i="31"/>
  <c r="L84" i="31"/>
  <c r="K84" i="31"/>
  <c r="J84" i="31"/>
  <c r="I84" i="31"/>
  <c r="H84" i="31"/>
  <c r="S83" i="31"/>
  <c r="R83" i="31"/>
  <c r="M83" i="31"/>
  <c r="L83" i="31"/>
  <c r="K83" i="31"/>
  <c r="J83" i="31"/>
  <c r="I83" i="31"/>
  <c r="H83" i="31"/>
  <c r="S82" i="31"/>
  <c r="R82" i="31"/>
  <c r="M82" i="31"/>
  <c r="L82" i="31"/>
  <c r="K82" i="31"/>
  <c r="J82" i="31"/>
  <c r="I82" i="31"/>
  <c r="H82" i="31"/>
  <c r="S81" i="31"/>
  <c r="R81" i="31"/>
  <c r="M81" i="31"/>
  <c r="L81" i="31"/>
  <c r="K81" i="31"/>
  <c r="J81" i="31"/>
  <c r="I81" i="31"/>
  <c r="H81" i="31"/>
  <c r="S80" i="31"/>
  <c r="R80" i="31"/>
  <c r="M80" i="31"/>
  <c r="L80" i="31"/>
  <c r="K80" i="31"/>
  <c r="J80" i="31"/>
  <c r="I80" i="31"/>
  <c r="H80" i="31"/>
  <c r="S79" i="31"/>
  <c r="R79" i="31"/>
  <c r="M79" i="31"/>
  <c r="L79" i="31"/>
  <c r="K79" i="31"/>
  <c r="J79" i="31"/>
  <c r="I79" i="31"/>
  <c r="H79" i="31"/>
  <c r="S78" i="31"/>
  <c r="R78" i="31"/>
  <c r="M78" i="31"/>
  <c r="L78" i="31"/>
  <c r="K78" i="31"/>
  <c r="J78" i="31"/>
  <c r="I78" i="31"/>
  <c r="H78" i="31"/>
  <c r="S77" i="31"/>
  <c r="R77" i="31"/>
  <c r="M77" i="31"/>
  <c r="L77" i="31"/>
  <c r="K77" i="31"/>
  <c r="J77" i="31"/>
  <c r="I77" i="31"/>
  <c r="H77" i="31"/>
  <c r="S76" i="31"/>
  <c r="R76" i="31"/>
  <c r="M76" i="31"/>
  <c r="L76" i="31"/>
  <c r="K76" i="31"/>
  <c r="J76" i="31"/>
  <c r="I76" i="31"/>
  <c r="H76" i="31"/>
  <c r="S75" i="31"/>
  <c r="R75" i="31"/>
  <c r="M75" i="31"/>
  <c r="L75" i="31"/>
  <c r="K75" i="31"/>
  <c r="J75" i="31"/>
  <c r="I75" i="31"/>
  <c r="H75" i="31"/>
  <c r="S74" i="31"/>
  <c r="R74" i="31"/>
  <c r="M74" i="31"/>
  <c r="L74" i="31"/>
  <c r="K74" i="31"/>
  <c r="J74" i="31"/>
  <c r="I74" i="31"/>
  <c r="H74" i="31"/>
  <c r="S73" i="31"/>
  <c r="R73" i="31"/>
  <c r="M73" i="31"/>
  <c r="L73" i="31"/>
  <c r="K73" i="31"/>
  <c r="J73" i="31"/>
  <c r="I73" i="31"/>
  <c r="H73" i="31"/>
  <c r="S72" i="31"/>
  <c r="R72" i="31"/>
  <c r="M72" i="31"/>
  <c r="L72" i="31"/>
  <c r="K72" i="31"/>
  <c r="J72" i="31"/>
  <c r="I72" i="31"/>
  <c r="H72" i="31"/>
  <c r="S71" i="31"/>
  <c r="R71" i="31"/>
  <c r="M71" i="31"/>
  <c r="L71" i="31"/>
  <c r="K71" i="31"/>
  <c r="J71" i="31"/>
  <c r="I71" i="31"/>
  <c r="H71" i="31"/>
  <c r="S70" i="31"/>
  <c r="R70" i="31"/>
  <c r="M70" i="31"/>
  <c r="L70" i="31"/>
  <c r="K70" i="31"/>
  <c r="J70" i="31"/>
  <c r="I70" i="31"/>
  <c r="H70" i="31"/>
  <c r="I69" i="31"/>
  <c r="H69" i="31"/>
  <c r="I68" i="31"/>
  <c r="H68" i="31"/>
  <c r="S67" i="31"/>
  <c r="R67" i="31"/>
  <c r="M67" i="31"/>
  <c r="L67" i="31"/>
  <c r="L68" i="31" s="1"/>
  <c r="L69" i="31" s="1"/>
  <c r="K67" i="31"/>
  <c r="J67" i="31"/>
  <c r="I67" i="31"/>
  <c r="H67" i="31"/>
  <c r="S66" i="31"/>
  <c r="R66" i="31"/>
  <c r="M66" i="31"/>
  <c r="L66" i="31"/>
  <c r="K66" i="31"/>
  <c r="J66" i="31"/>
  <c r="I66" i="31"/>
  <c r="H66" i="31"/>
  <c r="I65" i="31"/>
  <c r="H65" i="31"/>
  <c r="I64" i="31"/>
  <c r="H64" i="31"/>
  <c r="S63" i="31"/>
  <c r="R63" i="31"/>
  <c r="M63" i="31"/>
  <c r="L63" i="31"/>
  <c r="K63" i="31"/>
  <c r="J63" i="31"/>
  <c r="I63" i="31"/>
  <c r="H63" i="31"/>
  <c r="S62" i="31"/>
  <c r="R62" i="31"/>
  <c r="M62" i="31"/>
  <c r="L62" i="31"/>
  <c r="K62" i="31"/>
  <c r="J62" i="31"/>
  <c r="I62" i="31"/>
  <c r="H62" i="31"/>
  <c r="I61" i="31"/>
  <c r="H61" i="31"/>
  <c r="I60" i="31"/>
  <c r="H60" i="31"/>
  <c r="S59" i="31"/>
  <c r="R59" i="31"/>
  <c r="M59" i="31"/>
  <c r="L59" i="31"/>
  <c r="L60" i="31" s="1"/>
  <c r="K59" i="31"/>
  <c r="J59" i="31"/>
  <c r="I59" i="31"/>
  <c r="H59" i="31"/>
  <c r="S58" i="31"/>
  <c r="R58" i="31"/>
  <c r="M58" i="31"/>
  <c r="L58" i="31"/>
  <c r="K58" i="31"/>
  <c r="J58" i="31"/>
  <c r="I58" i="31"/>
  <c r="H58" i="31"/>
  <c r="S57" i="31"/>
  <c r="R57" i="31"/>
  <c r="M57" i="31"/>
  <c r="L57" i="31"/>
  <c r="K57" i="31"/>
  <c r="J57" i="31"/>
  <c r="I57" i="31"/>
  <c r="H57" i="31"/>
  <c r="S56" i="31"/>
  <c r="R56" i="31"/>
  <c r="M56" i="31"/>
  <c r="L56" i="31"/>
  <c r="K56" i="31"/>
  <c r="J56" i="31"/>
  <c r="I56" i="31"/>
  <c r="H56" i="31"/>
  <c r="S55" i="31"/>
  <c r="R55" i="31"/>
  <c r="M55" i="31"/>
  <c r="L55" i="31"/>
  <c r="K55" i="31"/>
  <c r="J55" i="31"/>
  <c r="I55" i="31"/>
  <c r="H55" i="31"/>
  <c r="S54" i="31"/>
  <c r="R54" i="31"/>
  <c r="M54" i="31"/>
  <c r="L54" i="31"/>
  <c r="K54" i="31"/>
  <c r="J54" i="31"/>
  <c r="I54" i="31"/>
  <c r="H54" i="31"/>
  <c r="I53" i="31"/>
  <c r="J53" i="31" s="1"/>
  <c r="R53" i="31" s="1"/>
  <c r="H53" i="31"/>
  <c r="K52" i="31"/>
  <c r="K53" i="31" s="1"/>
  <c r="I52" i="31"/>
  <c r="H52" i="31"/>
  <c r="S51" i="31"/>
  <c r="R51" i="31"/>
  <c r="M51" i="31"/>
  <c r="L51" i="31"/>
  <c r="K51" i="31"/>
  <c r="J51" i="31"/>
  <c r="I51" i="31"/>
  <c r="H51" i="31"/>
  <c r="S50" i="31"/>
  <c r="R50" i="31"/>
  <c r="M50" i="31"/>
  <c r="L50" i="31"/>
  <c r="K50" i="31"/>
  <c r="J50" i="31"/>
  <c r="I50" i="31"/>
  <c r="H50" i="31"/>
  <c r="S49" i="31"/>
  <c r="R49" i="31"/>
  <c r="M49" i="31"/>
  <c r="L49" i="31"/>
  <c r="K49" i="31"/>
  <c r="J49" i="31"/>
  <c r="I49" i="31"/>
  <c r="H49" i="31"/>
  <c r="S48" i="31"/>
  <c r="R48" i="31"/>
  <c r="M48" i="31"/>
  <c r="L48" i="31"/>
  <c r="K48" i="31"/>
  <c r="J48" i="31"/>
  <c r="I48" i="31"/>
  <c r="H48" i="31"/>
  <c r="S47" i="31"/>
  <c r="R47" i="31"/>
  <c r="M47" i="31"/>
  <c r="L47" i="31"/>
  <c r="K47" i="31"/>
  <c r="J47" i="31"/>
  <c r="I47" i="31"/>
  <c r="H47" i="31"/>
  <c r="S46" i="31"/>
  <c r="R46" i="31"/>
  <c r="M46" i="31"/>
  <c r="L46" i="31"/>
  <c r="K46" i="31"/>
  <c r="J46" i="31"/>
  <c r="I46" i="31"/>
  <c r="H46" i="31"/>
  <c r="S45" i="31"/>
  <c r="R45" i="31"/>
  <c r="M45" i="31"/>
  <c r="L45" i="31"/>
  <c r="K45" i="31"/>
  <c r="J45" i="31"/>
  <c r="I45" i="31"/>
  <c r="H45" i="31"/>
  <c r="S44" i="31"/>
  <c r="R44" i="31"/>
  <c r="M44" i="31"/>
  <c r="L44" i="31"/>
  <c r="K44" i="31"/>
  <c r="J44" i="31"/>
  <c r="I44" i="31"/>
  <c r="H44" i="31"/>
  <c r="S43" i="31"/>
  <c r="R43" i="31"/>
  <c r="M43" i="31"/>
  <c r="L43" i="31"/>
  <c r="K43" i="31"/>
  <c r="J43" i="31"/>
  <c r="I43" i="31"/>
  <c r="H43" i="31"/>
  <c r="L42" i="31"/>
  <c r="M42" i="31" s="1"/>
  <c r="S42" i="31" s="1"/>
  <c r="I42" i="31"/>
  <c r="J42" i="31" s="1"/>
  <c r="R42" i="31" s="1"/>
  <c r="H42" i="31"/>
  <c r="K42" i="31" s="1"/>
  <c r="K41" i="31"/>
  <c r="I41" i="31"/>
  <c r="L41" i="31" s="1"/>
  <c r="M41" i="31" s="1"/>
  <c r="S41" i="31" s="1"/>
  <c r="H41" i="31"/>
  <c r="I40" i="31"/>
  <c r="H40" i="31"/>
  <c r="K39" i="31"/>
  <c r="I39" i="31"/>
  <c r="J39" i="31" s="1"/>
  <c r="R39" i="31" s="1"/>
  <c r="H39" i="31"/>
  <c r="I38" i="31"/>
  <c r="H38" i="31"/>
  <c r="I37" i="31"/>
  <c r="L37" i="31" s="1"/>
  <c r="H37" i="31"/>
  <c r="K37" i="31" s="1"/>
  <c r="I36" i="31"/>
  <c r="J36" i="31" s="1"/>
  <c r="R36" i="31" s="1"/>
  <c r="H36" i="31"/>
  <c r="I35" i="31"/>
  <c r="H35" i="31"/>
  <c r="K34" i="31"/>
  <c r="K35" i="31" s="1"/>
  <c r="K36" i="31" s="1"/>
  <c r="I34" i="31"/>
  <c r="L34" i="31" s="1"/>
  <c r="H34" i="31"/>
  <c r="I33" i="31"/>
  <c r="H33" i="31"/>
  <c r="L32" i="31"/>
  <c r="L33" i="31" s="1"/>
  <c r="I32" i="31"/>
  <c r="H32" i="31"/>
  <c r="J32" i="31" s="1"/>
  <c r="R32" i="31" s="1"/>
  <c r="K31" i="31"/>
  <c r="K32" i="31" s="1"/>
  <c r="I31" i="31"/>
  <c r="L31" i="31" s="1"/>
  <c r="M31" i="31" s="1"/>
  <c r="S31" i="31" s="1"/>
  <c r="H31" i="31"/>
  <c r="K30" i="31"/>
  <c r="I30" i="31"/>
  <c r="L30" i="31" s="1"/>
  <c r="M30" i="31" s="1"/>
  <c r="S30" i="31" s="1"/>
  <c r="H30" i="31"/>
  <c r="L29" i="31"/>
  <c r="K29" i="31"/>
  <c r="M29" i="31" s="1"/>
  <c r="S29" i="31" s="1"/>
  <c r="I29" i="31"/>
  <c r="H29" i="31"/>
  <c r="J28" i="31"/>
  <c r="R28" i="31" s="1"/>
  <c r="I28" i="31"/>
  <c r="H28" i="31"/>
  <c r="I27" i="31"/>
  <c r="J27" i="31" s="1"/>
  <c r="R27" i="31" s="1"/>
  <c r="H27" i="31"/>
  <c r="K26" i="31"/>
  <c r="K27" i="31" s="1"/>
  <c r="I26" i="31"/>
  <c r="L26" i="31" s="1"/>
  <c r="H26" i="31"/>
  <c r="R25" i="31"/>
  <c r="L25" i="31"/>
  <c r="M25" i="31" s="1"/>
  <c r="S25" i="31" s="1"/>
  <c r="K25" i="31"/>
  <c r="J25" i="31"/>
  <c r="I25" i="31"/>
  <c r="H25" i="31"/>
  <c r="I24" i="31"/>
  <c r="J24" i="31" s="1"/>
  <c r="R24" i="31" s="1"/>
  <c r="H24" i="31"/>
  <c r="J23" i="31"/>
  <c r="R23" i="31" s="1"/>
  <c r="I23" i="31"/>
  <c r="H23" i="31"/>
  <c r="I22" i="31"/>
  <c r="H22" i="31"/>
  <c r="J22" i="31" s="1"/>
  <c r="R22" i="31" s="1"/>
  <c r="I21" i="31"/>
  <c r="J21" i="31" s="1"/>
  <c r="R21" i="31" s="1"/>
  <c r="H21" i="31"/>
  <c r="I20" i="31"/>
  <c r="H20" i="31"/>
  <c r="I19" i="31"/>
  <c r="H19" i="31"/>
  <c r="I18" i="31"/>
  <c r="H18" i="31"/>
  <c r="I17" i="31"/>
  <c r="H17" i="31"/>
  <c r="I16" i="31"/>
  <c r="H16" i="31"/>
  <c r="I15" i="31"/>
  <c r="H15" i="31"/>
  <c r="I14" i="31"/>
  <c r="H14" i="31"/>
  <c r="I13" i="31"/>
  <c r="H13" i="31"/>
  <c r="I12" i="31"/>
  <c r="H12" i="31"/>
  <c r="I11" i="31"/>
  <c r="H11" i="31"/>
  <c r="I10" i="31"/>
  <c r="H10" i="31"/>
  <c r="R9" i="31"/>
  <c r="I7" i="31"/>
  <c r="L7" i="31" s="1"/>
  <c r="L8" i="31" s="1"/>
  <c r="H7" i="31"/>
  <c r="K7" i="31" s="1"/>
  <c r="K8" i="31" s="1"/>
  <c r="K9" i="31" s="1"/>
  <c r="S112" i="30"/>
  <c r="R112" i="30"/>
  <c r="M112" i="30"/>
  <c r="L112" i="30"/>
  <c r="K112" i="30"/>
  <c r="J112" i="30"/>
  <c r="I112" i="30"/>
  <c r="H112" i="30"/>
  <c r="S111" i="30"/>
  <c r="R111" i="30"/>
  <c r="M111" i="30"/>
  <c r="L111" i="30"/>
  <c r="K111" i="30"/>
  <c r="J111" i="30"/>
  <c r="I111" i="30"/>
  <c r="H111" i="30"/>
  <c r="S110" i="30"/>
  <c r="R110" i="30"/>
  <c r="M110" i="30"/>
  <c r="L110" i="30"/>
  <c r="K110" i="30"/>
  <c r="J110" i="30"/>
  <c r="I110" i="30"/>
  <c r="H110" i="30"/>
  <c r="S109" i="30"/>
  <c r="R109" i="30"/>
  <c r="M109" i="30"/>
  <c r="L109" i="30"/>
  <c r="K109" i="30"/>
  <c r="J109" i="30"/>
  <c r="I109" i="30"/>
  <c r="H109" i="30"/>
  <c r="S108" i="30"/>
  <c r="R108" i="30"/>
  <c r="M108" i="30"/>
  <c r="L108" i="30"/>
  <c r="K108" i="30"/>
  <c r="J108" i="30"/>
  <c r="I108" i="30"/>
  <c r="H108" i="30"/>
  <c r="S107" i="30"/>
  <c r="R107" i="30"/>
  <c r="M107" i="30"/>
  <c r="L107" i="30"/>
  <c r="K107" i="30"/>
  <c r="J107" i="30"/>
  <c r="I107" i="30"/>
  <c r="H107" i="30"/>
  <c r="S106" i="30"/>
  <c r="R106" i="30"/>
  <c r="M106" i="30"/>
  <c r="L106" i="30"/>
  <c r="K106" i="30"/>
  <c r="J106" i="30"/>
  <c r="I106" i="30"/>
  <c r="H106" i="30"/>
  <c r="S105" i="30"/>
  <c r="R105" i="30"/>
  <c r="M105" i="30"/>
  <c r="L105" i="30"/>
  <c r="K105" i="30"/>
  <c r="J105" i="30"/>
  <c r="I105" i="30"/>
  <c r="H105" i="30"/>
  <c r="S104" i="30"/>
  <c r="R104" i="30"/>
  <c r="M104" i="30"/>
  <c r="L104" i="30"/>
  <c r="K104" i="30"/>
  <c r="J104" i="30"/>
  <c r="I104" i="30"/>
  <c r="H104" i="30"/>
  <c r="S103" i="30"/>
  <c r="R103" i="30"/>
  <c r="M103" i="30"/>
  <c r="L103" i="30"/>
  <c r="K103" i="30"/>
  <c r="J103" i="30"/>
  <c r="I103" i="30"/>
  <c r="H103" i="30"/>
  <c r="S102" i="30"/>
  <c r="R102" i="30"/>
  <c r="M102" i="30"/>
  <c r="L102" i="30"/>
  <c r="K102" i="30"/>
  <c r="J102" i="30"/>
  <c r="I102" i="30"/>
  <c r="H102" i="30"/>
  <c r="S101" i="30"/>
  <c r="R101" i="30"/>
  <c r="M101" i="30"/>
  <c r="L101" i="30"/>
  <c r="K101" i="30"/>
  <c r="J101" i="30"/>
  <c r="I101" i="30"/>
  <c r="H101" i="30"/>
  <c r="S100" i="30"/>
  <c r="R100" i="30"/>
  <c r="M100" i="30"/>
  <c r="L100" i="30"/>
  <c r="K100" i="30"/>
  <c r="J100" i="30"/>
  <c r="I100" i="30"/>
  <c r="H100" i="30"/>
  <c r="S99" i="30"/>
  <c r="R99" i="30"/>
  <c r="M99" i="30"/>
  <c r="L99" i="30"/>
  <c r="K99" i="30"/>
  <c r="J99" i="30"/>
  <c r="I99" i="30"/>
  <c r="H99" i="30"/>
  <c r="S98" i="30"/>
  <c r="R98" i="30"/>
  <c r="M98" i="30"/>
  <c r="L98" i="30"/>
  <c r="K98" i="30"/>
  <c r="J98" i="30"/>
  <c r="I98" i="30"/>
  <c r="H98" i="30"/>
  <c r="S97" i="30"/>
  <c r="R97" i="30"/>
  <c r="M97" i="30"/>
  <c r="L97" i="30"/>
  <c r="K97" i="30"/>
  <c r="J97" i="30"/>
  <c r="I97" i="30"/>
  <c r="H97" i="30"/>
  <c r="S96" i="30"/>
  <c r="R96" i="30"/>
  <c r="M96" i="30"/>
  <c r="L96" i="30"/>
  <c r="K96" i="30"/>
  <c r="J96" i="30"/>
  <c r="I96" i="30"/>
  <c r="H96" i="30"/>
  <c r="S95" i="30"/>
  <c r="R95" i="30"/>
  <c r="M95" i="30"/>
  <c r="L95" i="30"/>
  <c r="K95" i="30"/>
  <c r="J95" i="30"/>
  <c r="I95" i="30"/>
  <c r="H95" i="30"/>
  <c r="S94" i="30"/>
  <c r="R94" i="30"/>
  <c r="M94" i="30"/>
  <c r="L94" i="30"/>
  <c r="K94" i="30"/>
  <c r="J94" i="30"/>
  <c r="I94" i="30"/>
  <c r="H94" i="30"/>
  <c r="S93" i="30"/>
  <c r="R93" i="30"/>
  <c r="M93" i="30"/>
  <c r="L93" i="30"/>
  <c r="K93" i="30"/>
  <c r="J93" i="30"/>
  <c r="I93" i="30"/>
  <c r="H93" i="30"/>
  <c r="S92" i="30"/>
  <c r="R92" i="30"/>
  <c r="M92" i="30"/>
  <c r="L92" i="30"/>
  <c r="K92" i="30"/>
  <c r="J92" i="30"/>
  <c r="I92" i="30"/>
  <c r="H92" i="30"/>
  <c r="S91" i="30"/>
  <c r="R91" i="30"/>
  <c r="M91" i="30"/>
  <c r="L91" i="30"/>
  <c r="K91" i="30"/>
  <c r="J91" i="30"/>
  <c r="I91" i="30"/>
  <c r="H91" i="30"/>
  <c r="S90" i="30"/>
  <c r="R90" i="30"/>
  <c r="M90" i="30"/>
  <c r="L90" i="30"/>
  <c r="K90" i="30"/>
  <c r="J90" i="30"/>
  <c r="I90" i="30"/>
  <c r="H90" i="30"/>
  <c r="S89" i="30"/>
  <c r="R89" i="30"/>
  <c r="M89" i="30"/>
  <c r="L89" i="30"/>
  <c r="K89" i="30"/>
  <c r="J89" i="30"/>
  <c r="I89" i="30"/>
  <c r="H89" i="30"/>
  <c r="S88" i="30"/>
  <c r="R88" i="30"/>
  <c r="M88" i="30"/>
  <c r="L88" i="30"/>
  <c r="K88" i="30"/>
  <c r="J88" i="30"/>
  <c r="I88" i="30"/>
  <c r="H88" i="30"/>
  <c r="S87" i="30"/>
  <c r="R87" i="30"/>
  <c r="M87" i="30"/>
  <c r="L87" i="30"/>
  <c r="K87" i="30"/>
  <c r="J87" i="30"/>
  <c r="I87" i="30"/>
  <c r="H87" i="30"/>
  <c r="S86" i="30"/>
  <c r="R86" i="30"/>
  <c r="M86" i="30"/>
  <c r="L86" i="30"/>
  <c r="K86" i="30"/>
  <c r="J86" i="30"/>
  <c r="I86" i="30"/>
  <c r="H86" i="30"/>
  <c r="S85" i="30"/>
  <c r="R85" i="30"/>
  <c r="M85" i="30"/>
  <c r="L85" i="30"/>
  <c r="K85" i="30"/>
  <c r="J85" i="30"/>
  <c r="I85" i="30"/>
  <c r="H85" i="30"/>
  <c r="S84" i="30"/>
  <c r="R84" i="30"/>
  <c r="M84" i="30"/>
  <c r="L84" i="30"/>
  <c r="K84" i="30"/>
  <c r="J84" i="30"/>
  <c r="I84" i="30"/>
  <c r="H84" i="30"/>
  <c r="S83" i="30"/>
  <c r="R83" i="30"/>
  <c r="M83" i="30"/>
  <c r="L83" i="30"/>
  <c r="K83" i="30"/>
  <c r="J83" i="30"/>
  <c r="I83" i="30"/>
  <c r="H83" i="30"/>
  <c r="S82" i="30"/>
  <c r="R82" i="30"/>
  <c r="M82" i="30"/>
  <c r="L82" i="30"/>
  <c r="K82" i="30"/>
  <c r="J82" i="30"/>
  <c r="I82" i="30"/>
  <c r="H82" i="30"/>
  <c r="S81" i="30"/>
  <c r="R81" i="30"/>
  <c r="M81" i="30"/>
  <c r="L81" i="30"/>
  <c r="K81" i="30"/>
  <c r="J81" i="30"/>
  <c r="I81" i="30"/>
  <c r="H81" i="30"/>
  <c r="S80" i="30"/>
  <c r="R80" i="30"/>
  <c r="M80" i="30"/>
  <c r="L80" i="30"/>
  <c r="K80" i="30"/>
  <c r="J80" i="30"/>
  <c r="I80" i="30"/>
  <c r="H80" i="30"/>
  <c r="S79" i="30"/>
  <c r="R79" i="30"/>
  <c r="M79" i="30"/>
  <c r="L79" i="30"/>
  <c r="K79" i="30"/>
  <c r="J79" i="30"/>
  <c r="I79" i="30"/>
  <c r="H79" i="30"/>
  <c r="S78" i="30"/>
  <c r="R78" i="30"/>
  <c r="M78" i="30"/>
  <c r="L78" i="30"/>
  <c r="K78" i="30"/>
  <c r="J78" i="30"/>
  <c r="I78" i="30"/>
  <c r="H78" i="30"/>
  <c r="S77" i="30"/>
  <c r="R77" i="30"/>
  <c r="M77" i="30"/>
  <c r="L77" i="30"/>
  <c r="K77" i="30"/>
  <c r="J77" i="30"/>
  <c r="I77" i="30"/>
  <c r="H77" i="30"/>
  <c r="S76" i="30"/>
  <c r="R76" i="30"/>
  <c r="M76" i="30"/>
  <c r="L76" i="30"/>
  <c r="K76" i="30"/>
  <c r="J76" i="30"/>
  <c r="I76" i="30"/>
  <c r="H76" i="30"/>
  <c r="S75" i="30"/>
  <c r="R75" i="30"/>
  <c r="M75" i="30"/>
  <c r="L75" i="30"/>
  <c r="K75" i="30"/>
  <c r="J75" i="30"/>
  <c r="I75" i="30"/>
  <c r="H75" i="30"/>
  <c r="S74" i="30"/>
  <c r="R74" i="30"/>
  <c r="M74" i="30"/>
  <c r="L74" i="30"/>
  <c r="K74" i="30"/>
  <c r="J74" i="30"/>
  <c r="I74" i="30"/>
  <c r="H74" i="30"/>
  <c r="S73" i="30"/>
  <c r="R73" i="30"/>
  <c r="M73" i="30"/>
  <c r="L73" i="30"/>
  <c r="K73" i="30"/>
  <c r="J73" i="30"/>
  <c r="I73" i="30"/>
  <c r="H73" i="30"/>
  <c r="S72" i="30"/>
  <c r="R72" i="30"/>
  <c r="M72" i="30"/>
  <c r="L72" i="30"/>
  <c r="K72" i="30"/>
  <c r="J72" i="30"/>
  <c r="I72" i="30"/>
  <c r="H72" i="30"/>
  <c r="S71" i="30"/>
  <c r="R71" i="30"/>
  <c r="M71" i="30"/>
  <c r="L71" i="30"/>
  <c r="K71" i="30"/>
  <c r="J71" i="30"/>
  <c r="I71" i="30"/>
  <c r="H71" i="30"/>
  <c r="S70" i="30"/>
  <c r="R70" i="30"/>
  <c r="M70" i="30"/>
  <c r="L70" i="30"/>
  <c r="K70" i="30"/>
  <c r="J70" i="30"/>
  <c r="I70" i="30"/>
  <c r="H70" i="30"/>
  <c r="S69" i="30"/>
  <c r="R69" i="30"/>
  <c r="M69" i="30"/>
  <c r="L69" i="30"/>
  <c r="K69" i="30"/>
  <c r="J69" i="30"/>
  <c r="I69" i="30"/>
  <c r="H69" i="30"/>
  <c r="S68" i="30"/>
  <c r="R68" i="30"/>
  <c r="M68" i="30"/>
  <c r="L68" i="30"/>
  <c r="K68" i="30"/>
  <c r="J68" i="30"/>
  <c r="I68" i="30"/>
  <c r="H68" i="30"/>
  <c r="S67" i="30"/>
  <c r="R67" i="30"/>
  <c r="M67" i="30"/>
  <c r="L67" i="30"/>
  <c r="K67" i="30"/>
  <c r="J67" i="30"/>
  <c r="I67" i="30"/>
  <c r="H67" i="30"/>
  <c r="S66" i="30"/>
  <c r="R66" i="30"/>
  <c r="M66" i="30"/>
  <c r="L66" i="30"/>
  <c r="K66" i="30"/>
  <c r="J66" i="30"/>
  <c r="I66" i="30"/>
  <c r="H66" i="30"/>
  <c r="S65" i="30"/>
  <c r="R65" i="30"/>
  <c r="M65" i="30"/>
  <c r="L65" i="30"/>
  <c r="K65" i="30"/>
  <c r="J65" i="30"/>
  <c r="I65" i="30"/>
  <c r="H65" i="30"/>
  <c r="S64" i="30"/>
  <c r="R64" i="30"/>
  <c r="M64" i="30"/>
  <c r="L64" i="30"/>
  <c r="K64" i="30"/>
  <c r="J64" i="30"/>
  <c r="I64" i="30"/>
  <c r="H64" i="30"/>
  <c r="S63" i="30"/>
  <c r="R63" i="30"/>
  <c r="M63" i="30"/>
  <c r="L63" i="30"/>
  <c r="K63" i="30"/>
  <c r="J63" i="30"/>
  <c r="I63" i="30"/>
  <c r="H63" i="30"/>
  <c r="S62" i="30"/>
  <c r="R62" i="30"/>
  <c r="M62" i="30"/>
  <c r="L62" i="30"/>
  <c r="K62" i="30"/>
  <c r="J62" i="30"/>
  <c r="I62" i="30"/>
  <c r="H62" i="30"/>
  <c r="S61" i="30"/>
  <c r="R61" i="30"/>
  <c r="M61" i="30"/>
  <c r="L61" i="30"/>
  <c r="K61" i="30"/>
  <c r="J61" i="30"/>
  <c r="I61" i="30"/>
  <c r="H61" i="30"/>
  <c r="S60" i="30"/>
  <c r="R60" i="30"/>
  <c r="M60" i="30"/>
  <c r="L60" i="30"/>
  <c r="K60" i="30"/>
  <c r="J60" i="30"/>
  <c r="I60" i="30"/>
  <c r="H60" i="30"/>
  <c r="S59" i="30"/>
  <c r="R59" i="30"/>
  <c r="M59" i="30"/>
  <c r="L59" i="30"/>
  <c r="K59" i="30"/>
  <c r="J59" i="30"/>
  <c r="I59" i="30"/>
  <c r="H59" i="30"/>
  <c r="S58" i="30"/>
  <c r="R58" i="30"/>
  <c r="M58" i="30"/>
  <c r="L58" i="30"/>
  <c r="K58" i="30"/>
  <c r="J58" i="30"/>
  <c r="I58" i="30"/>
  <c r="H58" i="30"/>
  <c r="S57" i="30"/>
  <c r="R57" i="30"/>
  <c r="M57" i="30"/>
  <c r="L57" i="30"/>
  <c r="K57" i="30"/>
  <c r="J57" i="30"/>
  <c r="I57" i="30"/>
  <c r="H57" i="30"/>
  <c r="S56" i="30"/>
  <c r="R56" i="30"/>
  <c r="M56" i="30"/>
  <c r="L56" i="30"/>
  <c r="K56" i="30"/>
  <c r="J56" i="30"/>
  <c r="I56" i="30"/>
  <c r="H56" i="30"/>
  <c r="I55" i="30"/>
  <c r="H55" i="30"/>
  <c r="I54" i="30"/>
  <c r="J54" i="30" s="1"/>
  <c r="R54" i="30" s="1"/>
  <c r="H54" i="30"/>
  <c r="I53" i="30"/>
  <c r="H53" i="30"/>
  <c r="I52" i="30"/>
  <c r="H52" i="30"/>
  <c r="S51" i="30"/>
  <c r="R51" i="30"/>
  <c r="M51" i="30"/>
  <c r="L51" i="30"/>
  <c r="K51" i="30"/>
  <c r="K52" i="30" s="1"/>
  <c r="J51" i="30"/>
  <c r="I51" i="30"/>
  <c r="H51" i="30"/>
  <c r="M50" i="30"/>
  <c r="S50" i="30" s="1"/>
  <c r="L50" i="30"/>
  <c r="K50" i="30"/>
  <c r="J50" i="30"/>
  <c r="R50" i="30" s="1"/>
  <c r="I50" i="30"/>
  <c r="H50" i="30"/>
  <c r="I49" i="30"/>
  <c r="J49" i="30" s="1"/>
  <c r="R49" i="30" s="1"/>
  <c r="H49" i="30"/>
  <c r="I48" i="30"/>
  <c r="H48" i="30"/>
  <c r="I47" i="30"/>
  <c r="H47" i="30"/>
  <c r="I46" i="30"/>
  <c r="J46" i="30" s="1"/>
  <c r="R46" i="30" s="1"/>
  <c r="H46" i="30"/>
  <c r="I45" i="30"/>
  <c r="H45" i="30"/>
  <c r="I44" i="30"/>
  <c r="H44" i="30"/>
  <c r="I43" i="30"/>
  <c r="H43" i="30"/>
  <c r="I42" i="30"/>
  <c r="H42" i="30"/>
  <c r="S41" i="30"/>
  <c r="R41" i="30"/>
  <c r="M41" i="30"/>
  <c r="L41" i="30"/>
  <c r="K41" i="30"/>
  <c r="J41" i="30"/>
  <c r="I41" i="30"/>
  <c r="H41" i="30"/>
  <c r="I40" i="30"/>
  <c r="H40" i="30"/>
  <c r="I39" i="30"/>
  <c r="H39" i="30"/>
  <c r="I38" i="30"/>
  <c r="J38" i="30" s="1"/>
  <c r="R38" i="30" s="1"/>
  <c r="H38" i="30"/>
  <c r="I37" i="30"/>
  <c r="H37" i="30"/>
  <c r="I36" i="30"/>
  <c r="J36" i="30" s="1"/>
  <c r="R36" i="30" s="1"/>
  <c r="H36" i="30"/>
  <c r="I35" i="30"/>
  <c r="L35" i="30" s="1"/>
  <c r="L36" i="30" s="1"/>
  <c r="H35" i="30"/>
  <c r="S34" i="30"/>
  <c r="R34" i="30"/>
  <c r="M34" i="30"/>
  <c r="L34" i="30"/>
  <c r="K34" i="30"/>
  <c r="J34" i="30"/>
  <c r="I34" i="30"/>
  <c r="H34" i="30"/>
  <c r="K33" i="30"/>
  <c r="I33" i="30"/>
  <c r="H33" i="30"/>
  <c r="K32" i="30"/>
  <c r="I32" i="30"/>
  <c r="L32" i="30" s="1"/>
  <c r="H32" i="30"/>
  <c r="S31" i="30"/>
  <c r="R31" i="30"/>
  <c r="M31" i="30"/>
  <c r="L31" i="30"/>
  <c r="K31" i="30"/>
  <c r="J31" i="30"/>
  <c r="I31" i="30"/>
  <c r="H31" i="30"/>
  <c r="I30" i="30"/>
  <c r="H30" i="30"/>
  <c r="I29" i="30"/>
  <c r="H29" i="30"/>
  <c r="S28" i="30"/>
  <c r="R28" i="30"/>
  <c r="M28" i="30"/>
  <c r="L28" i="30"/>
  <c r="K28" i="30"/>
  <c r="K29" i="30" s="1"/>
  <c r="K30" i="30" s="1"/>
  <c r="J28" i="30"/>
  <c r="I28" i="30"/>
  <c r="H28" i="30"/>
  <c r="S27" i="30"/>
  <c r="R27" i="30"/>
  <c r="M27" i="30"/>
  <c r="L27" i="30"/>
  <c r="K27" i="30"/>
  <c r="J27" i="30"/>
  <c r="I27" i="30"/>
  <c r="H27" i="30"/>
  <c r="K26" i="30"/>
  <c r="I26" i="30"/>
  <c r="J26" i="30" s="1"/>
  <c r="R26" i="30" s="1"/>
  <c r="H26" i="30"/>
  <c r="I25" i="30"/>
  <c r="H25" i="30"/>
  <c r="S24" i="30"/>
  <c r="R24" i="30"/>
  <c r="I24" i="30"/>
  <c r="J24" i="30" s="1"/>
  <c r="H24" i="30"/>
  <c r="I23" i="30"/>
  <c r="H23" i="30"/>
  <c r="K22" i="30"/>
  <c r="K23" i="30" s="1"/>
  <c r="K24" i="30" s="1"/>
  <c r="K25" i="30" s="1"/>
  <c r="I22" i="30"/>
  <c r="H22" i="30"/>
  <c r="S21" i="30"/>
  <c r="R21" i="30"/>
  <c r="M21" i="30"/>
  <c r="L21" i="30"/>
  <c r="K21" i="30"/>
  <c r="J21" i="30"/>
  <c r="I21" i="30"/>
  <c r="H21" i="30"/>
  <c r="I20" i="30"/>
  <c r="H20" i="30"/>
  <c r="I19" i="30"/>
  <c r="J19" i="30" s="1"/>
  <c r="R19" i="30" s="1"/>
  <c r="H19" i="30"/>
  <c r="J18" i="30"/>
  <c r="R18" i="30" s="1"/>
  <c r="I18" i="30"/>
  <c r="H18" i="30"/>
  <c r="S17" i="30"/>
  <c r="R17" i="30"/>
  <c r="M17" i="30"/>
  <c r="L17" i="30"/>
  <c r="L18" i="30" s="1"/>
  <c r="K17" i="30"/>
  <c r="K18" i="30" s="1"/>
  <c r="K19" i="30" s="1"/>
  <c r="K20" i="30" s="1"/>
  <c r="J17" i="30"/>
  <c r="I17" i="30"/>
  <c r="H17" i="30"/>
  <c r="I16" i="30"/>
  <c r="J16" i="30" s="1"/>
  <c r="R16" i="30" s="1"/>
  <c r="H16" i="30"/>
  <c r="I15" i="30"/>
  <c r="H15" i="30"/>
  <c r="I14" i="30"/>
  <c r="J14" i="30" s="1"/>
  <c r="R14" i="30" s="1"/>
  <c r="H14" i="30"/>
  <c r="I13" i="30"/>
  <c r="H13" i="30"/>
  <c r="I12" i="30"/>
  <c r="J12" i="30" s="1"/>
  <c r="R12" i="30" s="1"/>
  <c r="H12" i="30"/>
  <c r="I11" i="30"/>
  <c r="H11" i="30"/>
  <c r="I10" i="30"/>
  <c r="J10" i="30" s="1"/>
  <c r="R10" i="30" s="1"/>
  <c r="H10" i="30"/>
  <c r="I9" i="30"/>
  <c r="J9" i="30" s="1"/>
  <c r="R9" i="30" s="1"/>
  <c r="H9" i="30"/>
  <c r="I8" i="30"/>
  <c r="H8" i="30"/>
  <c r="I7" i="30"/>
  <c r="L7" i="30" s="1"/>
  <c r="H7" i="30"/>
  <c r="K7" i="30" s="1"/>
  <c r="K8" i="30" s="1"/>
  <c r="K9" i="30" s="1"/>
  <c r="M18" i="30" l="1"/>
  <c r="S18" i="30" s="1"/>
  <c r="L19" i="30"/>
  <c r="L37" i="30"/>
  <c r="K42" i="30"/>
  <c r="K44" i="30"/>
  <c r="K45" i="30" s="1"/>
  <c r="K46" i="30" s="1"/>
  <c r="J44" i="32"/>
  <c r="R44" i="32" s="1"/>
  <c r="J47" i="32"/>
  <c r="R47" i="32" s="1"/>
  <c r="J53" i="32"/>
  <c r="R53" i="32" s="1"/>
  <c r="J20" i="30"/>
  <c r="R20" i="30" s="1"/>
  <c r="J11" i="30"/>
  <c r="R11" i="30" s="1"/>
  <c r="J29" i="30"/>
  <c r="R29" i="30" s="1"/>
  <c r="L42" i="30"/>
  <c r="M42" i="30" s="1"/>
  <c r="S42" i="30" s="1"/>
  <c r="L52" i="30"/>
  <c r="M52" i="30" s="1"/>
  <c r="S52" i="30" s="1"/>
  <c r="M8" i="31"/>
  <c r="L9" i="31"/>
  <c r="M9" i="31" s="1"/>
  <c r="J10" i="31"/>
  <c r="R10" i="31" s="1"/>
  <c r="J11" i="32"/>
  <c r="R11" i="32" s="1"/>
  <c r="J13" i="32"/>
  <c r="R13" i="32" s="1"/>
  <c r="J15" i="32"/>
  <c r="R15" i="32" s="1"/>
  <c r="J19" i="32"/>
  <c r="R19" i="32" s="1"/>
  <c r="J21" i="32"/>
  <c r="R21" i="32" s="1"/>
  <c r="J25" i="32"/>
  <c r="R25" i="32" s="1"/>
  <c r="J27" i="32"/>
  <c r="R27" i="32" s="1"/>
  <c r="J31" i="32"/>
  <c r="R31" i="32" s="1"/>
  <c r="J33" i="32"/>
  <c r="R33" i="32" s="1"/>
  <c r="J37" i="32"/>
  <c r="R37" i="32" s="1"/>
  <c r="J39" i="32"/>
  <c r="R39" i="32" s="1"/>
  <c r="J41" i="32"/>
  <c r="R41" i="32" s="1"/>
  <c r="K53" i="30"/>
  <c r="K54" i="30" s="1"/>
  <c r="K55" i="30" s="1"/>
  <c r="J22" i="30"/>
  <c r="R22" i="30" s="1"/>
  <c r="L33" i="30"/>
  <c r="M33" i="30" s="1"/>
  <c r="S33" i="30" s="1"/>
  <c r="K35" i="30"/>
  <c r="K36" i="30" s="1"/>
  <c r="K37" i="30" s="1"/>
  <c r="K38" i="30" s="1"/>
  <c r="K39" i="30" s="1"/>
  <c r="K40" i="30" s="1"/>
  <c r="J8" i="32"/>
  <c r="R8" i="32" s="1"/>
  <c r="J51" i="32"/>
  <c r="R51" i="32" s="1"/>
  <c r="L8" i="33"/>
  <c r="M8" i="33"/>
  <c r="S8" i="33" s="1"/>
  <c r="L9" i="33"/>
  <c r="J54" i="32"/>
  <c r="R54" i="32" s="1"/>
  <c r="J52" i="32"/>
  <c r="R52" i="32" s="1"/>
  <c r="J50" i="32"/>
  <c r="R50" i="32" s="1"/>
  <c r="J49" i="32"/>
  <c r="R49" i="32" s="1"/>
  <c r="J48" i="32"/>
  <c r="R48" i="32" s="1"/>
  <c r="J45" i="32"/>
  <c r="R45" i="32" s="1"/>
  <c r="J38" i="32"/>
  <c r="R38" i="32" s="1"/>
  <c r="J34" i="32"/>
  <c r="R34" i="32" s="1"/>
  <c r="J35" i="32"/>
  <c r="R35" i="32" s="1"/>
  <c r="J32" i="32"/>
  <c r="R32" i="32" s="1"/>
  <c r="J29" i="32"/>
  <c r="R29" i="32" s="1"/>
  <c r="J23" i="32"/>
  <c r="R23" i="32" s="1"/>
  <c r="J16" i="32"/>
  <c r="R16" i="32" s="1"/>
  <c r="J17" i="32"/>
  <c r="R17" i="32" s="1"/>
  <c r="J12" i="32"/>
  <c r="R12" i="32" s="1"/>
  <c r="K12" i="32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J9" i="32"/>
  <c r="R9" i="32" s="1"/>
  <c r="J7" i="32"/>
  <c r="R7" i="32" s="1"/>
  <c r="L7" i="32"/>
  <c r="M7" i="32" s="1"/>
  <c r="S7" i="32" s="1"/>
  <c r="M68" i="32"/>
  <c r="S68" i="32" s="1"/>
  <c r="L69" i="32"/>
  <c r="M69" i="32" s="1"/>
  <c r="S69" i="32" s="1"/>
  <c r="M64" i="32"/>
  <c r="S64" i="32" s="1"/>
  <c r="L65" i="32"/>
  <c r="M65" i="32" s="1"/>
  <c r="S65" i="32" s="1"/>
  <c r="M60" i="32"/>
  <c r="S60" i="32" s="1"/>
  <c r="L61" i="32"/>
  <c r="M61" i="32" s="1"/>
  <c r="S61" i="32" s="1"/>
  <c r="J41" i="31"/>
  <c r="R41" i="31" s="1"/>
  <c r="J55" i="30"/>
  <c r="R55" i="30" s="1"/>
  <c r="J53" i="30"/>
  <c r="R53" i="30" s="1"/>
  <c r="J52" i="30"/>
  <c r="R52" i="30" s="1"/>
  <c r="K40" i="31"/>
  <c r="L39" i="31"/>
  <c r="J40" i="31"/>
  <c r="R40" i="31" s="1"/>
  <c r="M37" i="31"/>
  <c r="S37" i="31" s="1"/>
  <c r="K38" i="31"/>
  <c r="J38" i="31"/>
  <c r="R38" i="31" s="1"/>
  <c r="L38" i="31"/>
  <c r="M38" i="31" s="1"/>
  <c r="S38" i="31" s="1"/>
  <c r="J37" i="31"/>
  <c r="R37" i="31" s="1"/>
  <c r="K60" i="31"/>
  <c r="K61" i="31" s="1"/>
  <c r="J34" i="31"/>
  <c r="R34" i="31" s="1"/>
  <c r="L64" i="31"/>
  <c r="L65" i="31" s="1"/>
  <c r="K64" i="31"/>
  <c r="K65" i="31" s="1"/>
  <c r="J68" i="31"/>
  <c r="R68" i="31" s="1"/>
  <c r="J69" i="31"/>
  <c r="R69" i="31" s="1"/>
  <c r="K68" i="31"/>
  <c r="K69" i="31" s="1"/>
  <c r="M69" i="31" s="1"/>
  <c r="S69" i="31" s="1"/>
  <c r="J61" i="31"/>
  <c r="R61" i="31" s="1"/>
  <c r="J65" i="31"/>
  <c r="R65" i="31" s="1"/>
  <c r="J64" i="31"/>
  <c r="R64" i="31" s="1"/>
  <c r="L61" i="31"/>
  <c r="J60" i="31"/>
  <c r="R60" i="31" s="1"/>
  <c r="L52" i="31"/>
  <c r="L53" i="31" s="1"/>
  <c r="M53" i="31" s="1"/>
  <c r="S53" i="31" s="1"/>
  <c r="J52" i="31"/>
  <c r="R52" i="31" s="1"/>
  <c r="L35" i="31"/>
  <c r="L36" i="31" s="1"/>
  <c r="M36" i="31" s="1"/>
  <c r="S36" i="31" s="1"/>
  <c r="M34" i="31"/>
  <c r="S34" i="31" s="1"/>
  <c r="K33" i="31"/>
  <c r="M33" i="31" s="1"/>
  <c r="S33" i="31" s="1"/>
  <c r="J33" i="31"/>
  <c r="R33" i="31" s="1"/>
  <c r="J31" i="31"/>
  <c r="R31" i="31" s="1"/>
  <c r="J30" i="31"/>
  <c r="R30" i="31" s="1"/>
  <c r="J29" i="31"/>
  <c r="R29" i="31" s="1"/>
  <c r="K28" i="31"/>
  <c r="L27" i="31"/>
  <c r="M26" i="31"/>
  <c r="S26" i="31" s="1"/>
  <c r="J26" i="31"/>
  <c r="R26" i="31" s="1"/>
  <c r="J35" i="31"/>
  <c r="R35" i="31" s="1"/>
  <c r="J16" i="31"/>
  <c r="R16" i="31" s="1"/>
  <c r="J12" i="31"/>
  <c r="R12" i="31" s="1"/>
  <c r="J13" i="31"/>
  <c r="R13" i="31" s="1"/>
  <c r="J17" i="31"/>
  <c r="R17" i="31" s="1"/>
  <c r="R8" i="31"/>
  <c r="J11" i="31"/>
  <c r="R11" i="31" s="1"/>
  <c r="J15" i="31"/>
  <c r="R15" i="31" s="1"/>
  <c r="J19" i="31"/>
  <c r="R19" i="31" s="1"/>
  <c r="J18" i="31"/>
  <c r="R18" i="31" s="1"/>
  <c r="J14" i="31"/>
  <c r="R14" i="31" s="1"/>
  <c r="J20" i="31"/>
  <c r="R20" i="31" s="1"/>
  <c r="M32" i="31"/>
  <c r="S32" i="31" s="1"/>
  <c r="M7" i="31"/>
  <c r="S7" i="31" s="1"/>
  <c r="J7" i="31"/>
  <c r="R7" i="31" s="1"/>
  <c r="L28" i="31"/>
  <c r="M28" i="31" s="1"/>
  <c r="S28" i="31" s="1"/>
  <c r="M27" i="31"/>
  <c r="S27" i="31" s="1"/>
  <c r="J48" i="30"/>
  <c r="R48" i="30" s="1"/>
  <c r="J47" i="30"/>
  <c r="R47" i="30" s="1"/>
  <c r="J45" i="30"/>
  <c r="R45" i="30" s="1"/>
  <c r="J44" i="30"/>
  <c r="R44" i="30" s="1"/>
  <c r="K43" i="30"/>
  <c r="J42" i="30"/>
  <c r="R42" i="30" s="1"/>
  <c r="J43" i="30"/>
  <c r="R43" i="30" s="1"/>
  <c r="J40" i="30"/>
  <c r="R40" i="30" s="1"/>
  <c r="J39" i="30"/>
  <c r="R39" i="30" s="1"/>
  <c r="L38" i="30"/>
  <c r="L39" i="30" s="1"/>
  <c r="J37" i="30"/>
  <c r="R37" i="30" s="1"/>
  <c r="J35" i="30"/>
  <c r="R35" i="30" s="1"/>
  <c r="M35" i="30"/>
  <c r="S35" i="30" s="1"/>
  <c r="J33" i="30"/>
  <c r="R33" i="30" s="1"/>
  <c r="M32" i="30"/>
  <c r="S32" i="30" s="1"/>
  <c r="J32" i="30"/>
  <c r="R32" i="30" s="1"/>
  <c r="J30" i="30"/>
  <c r="R30" i="30" s="1"/>
  <c r="L29" i="30"/>
  <c r="M29" i="30" s="1"/>
  <c r="S29" i="30" s="1"/>
  <c r="J23" i="30"/>
  <c r="R23" i="30" s="1"/>
  <c r="L22" i="30"/>
  <c r="M22" i="30" s="1"/>
  <c r="S22" i="30" s="1"/>
  <c r="L26" i="30"/>
  <c r="M26" i="30" s="1"/>
  <c r="S26" i="30" s="1"/>
  <c r="L25" i="30"/>
  <c r="M25" i="30" s="1"/>
  <c r="S25" i="30" s="1"/>
  <c r="J25" i="30"/>
  <c r="R25" i="30" s="1"/>
  <c r="J15" i="30"/>
  <c r="R15" i="30" s="1"/>
  <c r="J13" i="30"/>
  <c r="R13" i="30" s="1"/>
  <c r="K10" i="30"/>
  <c r="K11" i="30" s="1"/>
  <c r="K12" i="30" s="1"/>
  <c r="K13" i="30" s="1"/>
  <c r="K14" i="30" s="1"/>
  <c r="K15" i="30" s="1"/>
  <c r="K16" i="30" s="1"/>
  <c r="J8" i="30"/>
  <c r="R8" i="30" s="1"/>
  <c r="M7" i="30"/>
  <c r="S7" i="30" s="1"/>
  <c r="L8" i="30"/>
  <c r="J7" i="30"/>
  <c r="R7" i="30" s="1"/>
  <c r="S112" i="29"/>
  <c r="R112" i="29"/>
  <c r="M112" i="29"/>
  <c r="L112" i="29"/>
  <c r="K112" i="29"/>
  <c r="J112" i="29"/>
  <c r="I112" i="29"/>
  <c r="H112" i="29"/>
  <c r="S111" i="29"/>
  <c r="R111" i="29"/>
  <c r="M111" i="29"/>
  <c r="L111" i="29"/>
  <c r="K111" i="29"/>
  <c r="J111" i="29"/>
  <c r="I111" i="29"/>
  <c r="H111" i="29"/>
  <c r="S110" i="29"/>
  <c r="R110" i="29"/>
  <c r="M110" i="29"/>
  <c r="L110" i="29"/>
  <c r="K110" i="29"/>
  <c r="J110" i="29"/>
  <c r="I110" i="29"/>
  <c r="H110" i="29"/>
  <c r="S109" i="29"/>
  <c r="R109" i="29"/>
  <c r="M109" i="29"/>
  <c r="L109" i="29"/>
  <c r="K109" i="29"/>
  <c r="J109" i="29"/>
  <c r="I109" i="29"/>
  <c r="H109" i="29"/>
  <c r="S108" i="29"/>
  <c r="R108" i="29"/>
  <c r="M108" i="29"/>
  <c r="L108" i="29"/>
  <c r="K108" i="29"/>
  <c r="J108" i="29"/>
  <c r="I108" i="29"/>
  <c r="H108" i="29"/>
  <c r="S107" i="29"/>
  <c r="R107" i="29"/>
  <c r="M107" i="29"/>
  <c r="L107" i="29"/>
  <c r="K107" i="29"/>
  <c r="J107" i="29"/>
  <c r="I107" i="29"/>
  <c r="H107" i="29"/>
  <c r="S106" i="29"/>
  <c r="R106" i="29"/>
  <c r="M106" i="29"/>
  <c r="L106" i="29"/>
  <c r="K106" i="29"/>
  <c r="J106" i="29"/>
  <c r="I106" i="29"/>
  <c r="H106" i="29"/>
  <c r="S105" i="29"/>
  <c r="R105" i="29"/>
  <c r="M105" i="29"/>
  <c r="L105" i="29"/>
  <c r="K105" i="29"/>
  <c r="J105" i="29"/>
  <c r="I105" i="29"/>
  <c r="H105" i="29"/>
  <c r="S104" i="29"/>
  <c r="R104" i="29"/>
  <c r="M104" i="29"/>
  <c r="L104" i="29"/>
  <c r="K104" i="29"/>
  <c r="J104" i="29"/>
  <c r="I104" i="29"/>
  <c r="H104" i="29"/>
  <c r="S103" i="29"/>
  <c r="R103" i="29"/>
  <c r="M103" i="29"/>
  <c r="L103" i="29"/>
  <c r="K103" i="29"/>
  <c r="J103" i="29"/>
  <c r="I103" i="29"/>
  <c r="H103" i="29"/>
  <c r="S102" i="29"/>
  <c r="R102" i="29"/>
  <c r="M102" i="29"/>
  <c r="L102" i="29"/>
  <c r="K102" i="29"/>
  <c r="J102" i="29"/>
  <c r="I102" i="29"/>
  <c r="H102" i="29"/>
  <c r="S101" i="29"/>
  <c r="R101" i="29"/>
  <c r="M101" i="29"/>
  <c r="L101" i="29"/>
  <c r="K101" i="29"/>
  <c r="J101" i="29"/>
  <c r="I101" i="29"/>
  <c r="H101" i="29"/>
  <c r="S100" i="29"/>
  <c r="R100" i="29"/>
  <c r="M100" i="29"/>
  <c r="L100" i="29"/>
  <c r="K100" i="29"/>
  <c r="J100" i="29"/>
  <c r="I100" i="29"/>
  <c r="H100" i="29"/>
  <c r="S99" i="29"/>
  <c r="R99" i="29"/>
  <c r="M99" i="29"/>
  <c r="L99" i="29"/>
  <c r="K99" i="29"/>
  <c r="J99" i="29"/>
  <c r="I99" i="29"/>
  <c r="H99" i="29"/>
  <c r="S98" i="29"/>
  <c r="R98" i="29"/>
  <c r="M98" i="29"/>
  <c r="L98" i="29"/>
  <c r="K98" i="29"/>
  <c r="J98" i="29"/>
  <c r="I98" i="29"/>
  <c r="H98" i="29"/>
  <c r="S97" i="29"/>
  <c r="R97" i="29"/>
  <c r="M97" i="29"/>
  <c r="L97" i="29"/>
  <c r="K97" i="29"/>
  <c r="J97" i="29"/>
  <c r="I97" i="29"/>
  <c r="H97" i="29"/>
  <c r="S96" i="29"/>
  <c r="R96" i="29"/>
  <c r="M96" i="29"/>
  <c r="L96" i="29"/>
  <c r="K96" i="29"/>
  <c r="J96" i="29"/>
  <c r="I96" i="29"/>
  <c r="H96" i="29"/>
  <c r="S95" i="29"/>
  <c r="R95" i="29"/>
  <c r="M95" i="29"/>
  <c r="L95" i="29"/>
  <c r="K95" i="29"/>
  <c r="J95" i="29"/>
  <c r="I95" i="29"/>
  <c r="H95" i="29"/>
  <c r="S94" i="29"/>
  <c r="R94" i="29"/>
  <c r="M94" i="29"/>
  <c r="L94" i="29"/>
  <c r="K94" i="29"/>
  <c r="J94" i="29"/>
  <c r="I94" i="29"/>
  <c r="H94" i="29"/>
  <c r="S93" i="29"/>
  <c r="R93" i="29"/>
  <c r="M93" i="29"/>
  <c r="L93" i="29"/>
  <c r="K93" i="29"/>
  <c r="J93" i="29"/>
  <c r="I93" i="29"/>
  <c r="H93" i="29"/>
  <c r="S92" i="29"/>
  <c r="R92" i="29"/>
  <c r="M92" i="29"/>
  <c r="L92" i="29"/>
  <c r="K92" i="29"/>
  <c r="J92" i="29"/>
  <c r="I92" i="29"/>
  <c r="H92" i="29"/>
  <c r="S91" i="29"/>
  <c r="R91" i="29"/>
  <c r="M91" i="29"/>
  <c r="L91" i="29"/>
  <c r="K91" i="29"/>
  <c r="J91" i="29"/>
  <c r="I91" i="29"/>
  <c r="H91" i="29"/>
  <c r="S90" i="29"/>
  <c r="R90" i="29"/>
  <c r="M90" i="29"/>
  <c r="L90" i="29"/>
  <c r="K90" i="29"/>
  <c r="J90" i="29"/>
  <c r="I90" i="29"/>
  <c r="H90" i="29"/>
  <c r="S89" i="29"/>
  <c r="R89" i="29"/>
  <c r="M89" i="29"/>
  <c r="L89" i="29"/>
  <c r="K89" i="29"/>
  <c r="J89" i="29"/>
  <c r="I89" i="29"/>
  <c r="H89" i="29"/>
  <c r="S88" i="29"/>
  <c r="R88" i="29"/>
  <c r="M88" i="29"/>
  <c r="L88" i="29"/>
  <c r="K88" i="29"/>
  <c r="J88" i="29"/>
  <c r="I88" i="29"/>
  <c r="H88" i="29"/>
  <c r="S87" i="29"/>
  <c r="R87" i="29"/>
  <c r="M87" i="29"/>
  <c r="L87" i="29"/>
  <c r="K87" i="29"/>
  <c r="J87" i="29"/>
  <c r="I87" i="29"/>
  <c r="H87" i="29"/>
  <c r="S86" i="29"/>
  <c r="R86" i="29"/>
  <c r="M86" i="29"/>
  <c r="L86" i="29"/>
  <c r="K86" i="29"/>
  <c r="J86" i="29"/>
  <c r="I86" i="29"/>
  <c r="H86" i="29"/>
  <c r="S85" i="29"/>
  <c r="R85" i="29"/>
  <c r="M85" i="29"/>
  <c r="L85" i="29"/>
  <c r="K85" i="29"/>
  <c r="J85" i="29"/>
  <c r="I85" i="29"/>
  <c r="H85" i="29"/>
  <c r="S84" i="29"/>
  <c r="R84" i="29"/>
  <c r="M84" i="29"/>
  <c r="L84" i="29"/>
  <c r="K84" i="29"/>
  <c r="J84" i="29"/>
  <c r="I84" i="29"/>
  <c r="H84" i="29"/>
  <c r="S83" i="29"/>
  <c r="R83" i="29"/>
  <c r="M83" i="29"/>
  <c r="L83" i="29"/>
  <c r="K83" i="29"/>
  <c r="J83" i="29"/>
  <c r="I83" i="29"/>
  <c r="H83" i="29"/>
  <c r="S82" i="29"/>
  <c r="R82" i="29"/>
  <c r="M82" i="29"/>
  <c r="L82" i="29"/>
  <c r="K82" i="29"/>
  <c r="J82" i="29"/>
  <c r="I82" i="29"/>
  <c r="H82" i="29"/>
  <c r="S81" i="29"/>
  <c r="R81" i="29"/>
  <c r="M81" i="29"/>
  <c r="L81" i="29"/>
  <c r="K81" i="29"/>
  <c r="J81" i="29"/>
  <c r="I81" i="29"/>
  <c r="H81" i="29"/>
  <c r="S80" i="29"/>
  <c r="R80" i="29"/>
  <c r="M80" i="29"/>
  <c r="L80" i="29"/>
  <c r="K80" i="29"/>
  <c r="J80" i="29"/>
  <c r="I80" i="29"/>
  <c r="H80" i="29"/>
  <c r="S79" i="29"/>
  <c r="R79" i="29"/>
  <c r="M79" i="29"/>
  <c r="L79" i="29"/>
  <c r="K79" i="29"/>
  <c r="J79" i="29"/>
  <c r="I79" i="29"/>
  <c r="H79" i="29"/>
  <c r="S78" i="29"/>
  <c r="R78" i="29"/>
  <c r="M78" i="29"/>
  <c r="L78" i="29"/>
  <c r="K78" i="29"/>
  <c r="J78" i="29"/>
  <c r="I78" i="29"/>
  <c r="H78" i="29"/>
  <c r="S77" i="29"/>
  <c r="R77" i="29"/>
  <c r="M77" i="29"/>
  <c r="L77" i="29"/>
  <c r="K77" i="29"/>
  <c r="J77" i="29"/>
  <c r="I77" i="29"/>
  <c r="H77" i="29"/>
  <c r="S76" i="29"/>
  <c r="R76" i="29"/>
  <c r="M76" i="29"/>
  <c r="L76" i="29"/>
  <c r="K76" i="29"/>
  <c r="J76" i="29"/>
  <c r="I76" i="29"/>
  <c r="H76" i="29"/>
  <c r="S75" i="29"/>
  <c r="R75" i="29"/>
  <c r="M75" i="29"/>
  <c r="L75" i="29"/>
  <c r="K75" i="29"/>
  <c r="J75" i="29"/>
  <c r="I75" i="29"/>
  <c r="H75" i="29"/>
  <c r="S74" i="29"/>
  <c r="R74" i="29"/>
  <c r="M74" i="29"/>
  <c r="L74" i="29"/>
  <c r="K74" i="29"/>
  <c r="J74" i="29"/>
  <c r="I74" i="29"/>
  <c r="H74" i="29"/>
  <c r="S73" i="29"/>
  <c r="R73" i="29"/>
  <c r="M73" i="29"/>
  <c r="L73" i="29"/>
  <c r="K73" i="29"/>
  <c r="J73" i="29"/>
  <c r="I73" i="29"/>
  <c r="H73" i="29"/>
  <c r="S72" i="29"/>
  <c r="R72" i="29"/>
  <c r="M72" i="29"/>
  <c r="L72" i="29"/>
  <c r="K72" i="29"/>
  <c r="J72" i="29"/>
  <c r="I72" i="29"/>
  <c r="H72" i="29"/>
  <c r="S71" i="29"/>
  <c r="R71" i="29"/>
  <c r="M71" i="29"/>
  <c r="L71" i="29"/>
  <c r="K71" i="29"/>
  <c r="J71" i="29"/>
  <c r="I71" i="29"/>
  <c r="H71" i="29"/>
  <c r="S70" i="29"/>
  <c r="R70" i="29"/>
  <c r="M70" i="29"/>
  <c r="L70" i="29"/>
  <c r="K70" i="29"/>
  <c r="J70" i="29"/>
  <c r="I70" i="29"/>
  <c r="H70" i="29"/>
  <c r="S69" i="29"/>
  <c r="R69" i="29"/>
  <c r="M69" i="29"/>
  <c r="L69" i="29"/>
  <c r="K69" i="29"/>
  <c r="J69" i="29"/>
  <c r="I69" i="29"/>
  <c r="H69" i="29"/>
  <c r="S68" i="29"/>
  <c r="R68" i="29"/>
  <c r="M68" i="29"/>
  <c r="L68" i="29"/>
  <c r="K68" i="29"/>
  <c r="J68" i="29"/>
  <c r="I68" i="29"/>
  <c r="H68" i="29"/>
  <c r="S67" i="29"/>
  <c r="R67" i="29"/>
  <c r="M67" i="29"/>
  <c r="L67" i="29"/>
  <c r="K67" i="29"/>
  <c r="J67" i="29"/>
  <c r="I67" i="29"/>
  <c r="H67" i="29"/>
  <c r="S66" i="29"/>
  <c r="R66" i="29"/>
  <c r="M66" i="29"/>
  <c r="L66" i="29"/>
  <c r="K66" i="29"/>
  <c r="J66" i="29"/>
  <c r="I66" i="29"/>
  <c r="H66" i="29"/>
  <c r="S65" i="29"/>
  <c r="R65" i="29"/>
  <c r="M65" i="29"/>
  <c r="L65" i="29"/>
  <c r="K65" i="29"/>
  <c r="J65" i="29"/>
  <c r="I65" i="29"/>
  <c r="H65" i="29"/>
  <c r="S64" i="29"/>
  <c r="R64" i="29"/>
  <c r="M64" i="29"/>
  <c r="L64" i="29"/>
  <c r="K64" i="29"/>
  <c r="J64" i="29"/>
  <c r="I64" i="29"/>
  <c r="H64" i="29"/>
  <c r="S63" i="29"/>
  <c r="R63" i="29"/>
  <c r="M63" i="29"/>
  <c r="L63" i="29"/>
  <c r="K63" i="29"/>
  <c r="J63" i="29"/>
  <c r="I63" i="29"/>
  <c r="H63" i="29"/>
  <c r="S62" i="29"/>
  <c r="R62" i="29"/>
  <c r="M62" i="29"/>
  <c r="L62" i="29"/>
  <c r="K62" i="29"/>
  <c r="J62" i="29"/>
  <c r="I62" i="29"/>
  <c r="H62" i="29"/>
  <c r="S61" i="29"/>
  <c r="R61" i="29"/>
  <c r="M61" i="29"/>
  <c r="L61" i="29"/>
  <c r="K61" i="29"/>
  <c r="J61" i="29"/>
  <c r="I61" i="29"/>
  <c r="H61" i="29"/>
  <c r="S60" i="29"/>
  <c r="R60" i="29"/>
  <c r="M60" i="29"/>
  <c r="L60" i="29"/>
  <c r="K60" i="29"/>
  <c r="J60" i="29"/>
  <c r="I60" i="29"/>
  <c r="H60" i="29"/>
  <c r="S59" i="29"/>
  <c r="R59" i="29"/>
  <c r="M59" i="29"/>
  <c r="L59" i="29"/>
  <c r="K59" i="29"/>
  <c r="J59" i="29"/>
  <c r="I59" i="29"/>
  <c r="H59" i="29"/>
  <c r="S58" i="29"/>
  <c r="R58" i="29"/>
  <c r="M58" i="29"/>
  <c r="L58" i="29"/>
  <c r="K58" i="29"/>
  <c r="J58" i="29"/>
  <c r="I58" i="29"/>
  <c r="H58" i="29"/>
  <c r="S57" i="29"/>
  <c r="R57" i="29"/>
  <c r="M57" i="29"/>
  <c r="L57" i="29"/>
  <c r="K57" i="29"/>
  <c r="J57" i="29"/>
  <c r="I57" i="29"/>
  <c r="H57" i="29"/>
  <c r="S56" i="29"/>
  <c r="R56" i="29"/>
  <c r="M56" i="29"/>
  <c r="L56" i="29"/>
  <c r="K56" i="29"/>
  <c r="J56" i="29"/>
  <c r="I56" i="29"/>
  <c r="H56" i="29"/>
  <c r="S55" i="29"/>
  <c r="R55" i="29"/>
  <c r="M55" i="29"/>
  <c r="L55" i="29"/>
  <c r="K55" i="29"/>
  <c r="J55" i="29"/>
  <c r="I55" i="29"/>
  <c r="H55" i="29"/>
  <c r="S54" i="29"/>
  <c r="R54" i="29"/>
  <c r="M54" i="29"/>
  <c r="L54" i="29"/>
  <c r="K54" i="29"/>
  <c r="J54" i="29"/>
  <c r="I54" i="29"/>
  <c r="H54" i="29"/>
  <c r="S53" i="29"/>
  <c r="R53" i="29"/>
  <c r="M53" i="29"/>
  <c r="L53" i="29"/>
  <c r="K53" i="29"/>
  <c r="J53" i="29"/>
  <c r="I53" i="29"/>
  <c r="H53" i="29"/>
  <c r="S52" i="29"/>
  <c r="R52" i="29"/>
  <c r="M52" i="29"/>
  <c r="L52" i="29"/>
  <c r="K52" i="29"/>
  <c r="J52" i="29"/>
  <c r="I52" i="29"/>
  <c r="H52" i="29"/>
  <c r="S51" i="29"/>
  <c r="R51" i="29"/>
  <c r="M51" i="29"/>
  <c r="L51" i="29"/>
  <c r="K51" i="29"/>
  <c r="J51" i="29"/>
  <c r="I51" i="29"/>
  <c r="H51" i="29"/>
  <c r="S50" i="29"/>
  <c r="R50" i="29"/>
  <c r="M50" i="29"/>
  <c r="L50" i="29"/>
  <c r="K50" i="29"/>
  <c r="J50" i="29"/>
  <c r="I50" i="29"/>
  <c r="H50" i="29"/>
  <c r="S49" i="29"/>
  <c r="R49" i="29"/>
  <c r="M49" i="29"/>
  <c r="L49" i="29"/>
  <c r="K49" i="29"/>
  <c r="J49" i="29"/>
  <c r="I49" i="29"/>
  <c r="H49" i="29"/>
  <c r="S48" i="29"/>
  <c r="R48" i="29"/>
  <c r="M48" i="29"/>
  <c r="L48" i="29"/>
  <c r="K48" i="29"/>
  <c r="J48" i="29"/>
  <c r="I48" i="29"/>
  <c r="H48" i="29"/>
  <c r="S47" i="29"/>
  <c r="R47" i="29"/>
  <c r="M47" i="29"/>
  <c r="L47" i="29"/>
  <c r="K47" i="29"/>
  <c r="J47" i="29"/>
  <c r="I47" i="29"/>
  <c r="H47" i="29"/>
  <c r="S46" i="29"/>
  <c r="R46" i="29"/>
  <c r="M46" i="29"/>
  <c r="L46" i="29"/>
  <c r="K46" i="29"/>
  <c r="J46" i="29"/>
  <c r="I46" i="29"/>
  <c r="H46" i="29"/>
  <c r="S45" i="29"/>
  <c r="R45" i="29"/>
  <c r="M45" i="29"/>
  <c r="L45" i="29"/>
  <c r="K45" i="29"/>
  <c r="J45" i="29"/>
  <c r="I45" i="29"/>
  <c r="H45" i="29"/>
  <c r="S44" i="29"/>
  <c r="R44" i="29"/>
  <c r="M44" i="29"/>
  <c r="L44" i="29"/>
  <c r="K44" i="29"/>
  <c r="J44" i="29"/>
  <c r="I44" i="29"/>
  <c r="H44" i="29"/>
  <c r="S43" i="29"/>
  <c r="R43" i="29"/>
  <c r="M43" i="29"/>
  <c r="L43" i="29"/>
  <c r="K43" i="29"/>
  <c r="J43" i="29"/>
  <c r="I43" i="29"/>
  <c r="H43" i="29"/>
  <c r="S42" i="29"/>
  <c r="R42" i="29"/>
  <c r="M42" i="29"/>
  <c r="L42" i="29"/>
  <c r="K42" i="29"/>
  <c r="J42" i="29"/>
  <c r="I42" i="29"/>
  <c r="H42" i="29"/>
  <c r="S41" i="29"/>
  <c r="R41" i="29"/>
  <c r="M41" i="29"/>
  <c r="L41" i="29"/>
  <c r="K41" i="29"/>
  <c r="J41" i="29"/>
  <c r="I41" i="29"/>
  <c r="H41" i="29"/>
  <c r="S40" i="29"/>
  <c r="R40" i="29"/>
  <c r="M40" i="29"/>
  <c r="L40" i="29"/>
  <c r="K40" i="29"/>
  <c r="J40" i="29"/>
  <c r="I40" i="29"/>
  <c r="H40" i="29"/>
  <c r="S39" i="29"/>
  <c r="R39" i="29"/>
  <c r="M39" i="29"/>
  <c r="L39" i="29"/>
  <c r="K39" i="29"/>
  <c r="J39" i="29"/>
  <c r="I39" i="29"/>
  <c r="H39" i="29"/>
  <c r="S38" i="29"/>
  <c r="R38" i="29"/>
  <c r="M38" i="29"/>
  <c r="L38" i="29"/>
  <c r="K38" i="29"/>
  <c r="J38" i="29"/>
  <c r="I38" i="29"/>
  <c r="H38" i="29"/>
  <c r="S37" i="29"/>
  <c r="R37" i="29"/>
  <c r="M37" i="29"/>
  <c r="L37" i="29"/>
  <c r="K37" i="29"/>
  <c r="J37" i="29"/>
  <c r="I37" i="29"/>
  <c r="H37" i="29"/>
  <c r="S36" i="29"/>
  <c r="R36" i="29"/>
  <c r="M36" i="29"/>
  <c r="L36" i="29"/>
  <c r="K36" i="29"/>
  <c r="J36" i="29"/>
  <c r="I36" i="29"/>
  <c r="H36" i="29"/>
  <c r="S35" i="29"/>
  <c r="R35" i="29"/>
  <c r="M35" i="29"/>
  <c r="L35" i="29"/>
  <c r="K35" i="29"/>
  <c r="J35" i="29"/>
  <c r="I35" i="29"/>
  <c r="H35" i="29"/>
  <c r="S34" i="29"/>
  <c r="R34" i="29"/>
  <c r="M34" i="29"/>
  <c r="L34" i="29"/>
  <c r="K34" i="29"/>
  <c r="J34" i="29"/>
  <c r="I34" i="29"/>
  <c r="H34" i="29"/>
  <c r="S33" i="29"/>
  <c r="R33" i="29"/>
  <c r="M33" i="29"/>
  <c r="L33" i="29"/>
  <c r="K33" i="29"/>
  <c r="J33" i="29"/>
  <c r="I33" i="29"/>
  <c r="H33" i="29"/>
  <c r="S32" i="29"/>
  <c r="R32" i="29"/>
  <c r="M32" i="29"/>
  <c r="L32" i="29"/>
  <c r="K32" i="29"/>
  <c r="J32" i="29"/>
  <c r="I32" i="29"/>
  <c r="H32" i="29"/>
  <c r="S31" i="29"/>
  <c r="R31" i="29"/>
  <c r="M31" i="29"/>
  <c r="L31" i="29"/>
  <c r="K31" i="29"/>
  <c r="J31" i="29"/>
  <c r="I31" i="29"/>
  <c r="H31" i="29"/>
  <c r="S30" i="29"/>
  <c r="R30" i="29"/>
  <c r="M30" i="29"/>
  <c r="L30" i="29"/>
  <c r="K30" i="29"/>
  <c r="J30" i="29"/>
  <c r="I30" i="29"/>
  <c r="H30" i="29"/>
  <c r="S29" i="29"/>
  <c r="R29" i="29"/>
  <c r="M29" i="29"/>
  <c r="L29" i="29"/>
  <c r="K29" i="29"/>
  <c r="J29" i="29"/>
  <c r="I29" i="29"/>
  <c r="H29" i="29"/>
  <c r="I28" i="29"/>
  <c r="H28" i="29"/>
  <c r="J28" i="29" s="1"/>
  <c r="R28" i="29" s="1"/>
  <c r="I27" i="29"/>
  <c r="H27" i="29"/>
  <c r="J27" i="29" s="1"/>
  <c r="R27" i="29" s="1"/>
  <c r="S26" i="29"/>
  <c r="R26" i="29"/>
  <c r="M26" i="29"/>
  <c r="L26" i="29"/>
  <c r="K26" i="29"/>
  <c r="J26" i="29"/>
  <c r="I26" i="29"/>
  <c r="H26" i="29"/>
  <c r="S25" i="29"/>
  <c r="R25" i="29"/>
  <c r="M25" i="29"/>
  <c r="L25" i="29"/>
  <c r="K25" i="29"/>
  <c r="J25" i="29"/>
  <c r="I25" i="29"/>
  <c r="H25" i="29"/>
  <c r="I24" i="29"/>
  <c r="H24" i="29"/>
  <c r="I23" i="29"/>
  <c r="H23" i="29"/>
  <c r="I22" i="29"/>
  <c r="H22" i="29"/>
  <c r="J22" i="29" s="1"/>
  <c r="R22" i="29" s="1"/>
  <c r="I21" i="29"/>
  <c r="H21" i="29"/>
  <c r="J21" i="29" s="1"/>
  <c r="R21" i="29" s="1"/>
  <c r="I20" i="29"/>
  <c r="H20" i="29"/>
  <c r="I19" i="29"/>
  <c r="H19" i="29"/>
  <c r="I18" i="29"/>
  <c r="H18" i="29"/>
  <c r="J18" i="29" s="1"/>
  <c r="R18" i="29" s="1"/>
  <c r="I17" i="29"/>
  <c r="H17" i="29"/>
  <c r="J17" i="29" s="1"/>
  <c r="R17" i="29" s="1"/>
  <c r="H16" i="29"/>
  <c r="I16" i="29"/>
  <c r="J16" i="29" s="1"/>
  <c r="R16" i="29" s="1"/>
  <c r="I15" i="29"/>
  <c r="H15" i="29"/>
  <c r="H14" i="29"/>
  <c r="I14" i="29"/>
  <c r="I13" i="29"/>
  <c r="H13" i="29"/>
  <c r="I12" i="29"/>
  <c r="H12" i="29"/>
  <c r="I11" i="29"/>
  <c r="H11" i="29"/>
  <c r="I10" i="29"/>
  <c r="H10" i="29"/>
  <c r="I9" i="29"/>
  <c r="H9" i="29"/>
  <c r="I8" i="29"/>
  <c r="H8" i="29"/>
  <c r="I7" i="29"/>
  <c r="L7" i="29" s="1"/>
  <c r="H7" i="29"/>
  <c r="K7" i="29" s="1"/>
  <c r="M39" i="30" l="1"/>
  <c r="S39" i="30" s="1"/>
  <c r="L40" i="30"/>
  <c r="M40" i="30" s="1"/>
  <c r="S40" i="30" s="1"/>
  <c r="M36" i="30"/>
  <c r="S36" i="30" s="1"/>
  <c r="L43" i="30"/>
  <c r="L20" i="30"/>
  <c r="M20" i="30" s="1"/>
  <c r="S20" i="30" s="1"/>
  <c r="M19" i="30"/>
  <c r="S19" i="30" s="1"/>
  <c r="L53" i="30"/>
  <c r="M38" i="30"/>
  <c r="S38" i="30" s="1"/>
  <c r="L30" i="30"/>
  <c r="M30" i="30" s="1"/>
  <c r="S30" i="30" s="1"/>
  <c r="L23" i="30"/>
  <c r="K47" i="30"/>
  <c r="K48" i="30" s="1"/>
  <c r="K49" i="30" s="1"/>
  <c r="M49" i="30" s="1"/>
  <c r="S49" i="30" s="1"/>
  <c r="M37" i="30"/>
  <c r="S37" i="30" s="1"/>
  <c r="S8" i="31"/>
  <c r="M9" i="33"/>
  <c r="S9" i="33" s="1"/>
  <c r="L10" i="33"/>
  <c r="L8" i="32"/>
  <c r="M8" i="32"/>
  <c r="S8" i="32" s="1"/>
  <c r="L9" i="32"/>
  <c r="M39" i="31"/>
  <c r="S39" i="31" s="1"/>
  <c r="L40" i="31"/>
  <c r="M40" i="31" s="1"/>
  <c r="S40" i="31" s="1"/>
  <c r="M60" i="31"/>
  <c r="S60" i="31" s="1"/>
  <c r="M35" i="31"/>
  <c r="S35" i="31" s="1"/>
  <c r="M61" i="31"/>
  <c r="S61" i="31" s="1"/>
  <c r="M65" i="31"/>
  <c r="S65" i="31" s="1"/>
  <c r="M68" i="31"/>
  <c r="S68" i="31" s="1"/>
  <c r="M64" i="31"/>
  <c r="S64" i="31" s="1"/>
  <c r="M52" i="31"/>
  <c r="S52" i="31" s="1"/>
  <c r="K10" i="3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S9" i="31"/>
  <c r="L10" i="31"/>
  <c r="M8" i="30"/>
  <c r="S8" i="30" s="1"/>
  <c r="L9" i="30"/>
  <c r="J15" i="29"/>
  <c r="R15" i="29" s="1"/>
  <c r="J19" i="29"/>
  <c r="R19" i="29" s="1"/>
  <c r="J23" i="29"/>
  <c r="R23" i="29" s="1"/>
  <c r="L27" i="29"/>
  <c r="L28" i="29" s="1"/>
  <c r="J20" i="29"/>
  <c r="R20" i="29" s="1"/>
  <c r="J24" i="29"/>
  <c r="R24" i="29" s="1"/>
  <c r="J8" i="29"/>
  <c r="R8" i="29" s="1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J13" i="29"/>
  <c r="R13" i="29" s="1"/>
  <c r="J10" i="29"/>
  <c r="R10" i="29" s="1"/>
  <c r="J14" i="29"/>
  <c r="R14" i="29" s="1"/>
  <c r="J12" i="29"/>
  <c r="R12" i="29" s="1"/>
  <c r="K27" i="29"/>
  <c r="K28" i="29" s="1"/>
  <c r="J9" i="29"/>
  <c r="R9" i="29" s="1"/>
  <c r="J11" i="29"/>
  <c r="R11" i="29" s="1"/>
  <c r="L8" i="29"/>
  <c r="M7" i="29"/>
  <c r="S7" i="29" s="1"/>
  <c r="J7" i="29"/>
  <c r="R7" i="29" s="1"/>
  <c r="G16" i="28"/>
  <c r="G14" i="28"/>
  <c r="G12" i="28"/>
  <c r="L54" i="30" l="1"/>
  <c r="M53" i="30"/>
  <c r="S53" i="30" s="1"/>
  <c r="L24" i="30"/>
  <c r="M24" i="30" s="1"/>
  <c r="M23" i="30"/>
  <c r="S23" i="30" s="1"/>
  <c r="M43" i="30"/>
  <c r="S43" i="30" s="1"/>
  <c r="L44" i="30"/>
  <c r="M10" i="33"/>
  <c r="S10" i="33" s="1"/>
  <c r="L11" i="33"/>
  <c r="M9" i="32"/>
  <c r="S9" i="32" s="1"/>
  <c r="L10" i="32"/>
  <c r="L11" i="31"/>
  <c r="M10" i="31"/>
  <c r="S10" i="31" s="1"/>
  <c r="M9" i="30"/>
  <c r="S9" i="30" s="1"/>
  <c r="L10" i="30"/>
  <c r="M28" i="29"/>
  <c r="S28" i="29" s="1"/>
  <c r="M27" i="29"/>
  <c r="S27" i="29" s="1"/>
  <c r="M8" i="29"/>
  <c r="S8" i="29" s="1"/>
  <c r="L9" i="29"/>
  <c r="S112" i="28"/>
  <c r="R112" i="28"/>
  <c r="M112" i="28"/>
  <c r="L112" i="28"/>
  <c r="K112" i="28"/>
  <c r="J112" i="28"/>
  <c r="I112" i="28"/>
  <c r="H112" i="28"/>
  <c r="S111" i="28"/>
  <c r="R111" i="28"/>
  <c r="M111" i="28"/>
  <c r="L111" i="28"/>
  <c r="K111" i="28"/>
  <c r="J111" i="28"/>
  <c r="I111" i="28"/>
  <c r="H111" i="28"/>
  <c r="S110" i="28"/>
  <c r="R110" i="28"/>
  <c r="M110" i="28"/>
  <c r="L110" i="28"/>
  <c r="K110" i="28"/>
  <c r="J110" i="28"/>
  <c r="I110" i="28"/>
  <c r="H110" i="28"/>
  <c r="S109" i="28"/>
  <c r="R109" i="28"/>
  <c r="M109" i="28"/>
  <c r="L109" i="28"/>
  <c r="K109" i="28"/>
  <c r="J109" i="28"/>
  <c r="I109" i="28"/>
  <c r="H109" i="28"/>
  <c r="S108" i="28"/>
  <c r="R108" i="28"/>
  <c r="M108" i="28"/>
  <c r="L108" i="28"/>
  <c r="K108" i="28"/>
  <c r="J108" i="28"/>
  <c r="I108" i="28"/>
  <c r="H108" i="28"/>
  <c r="S107" i="28"/>
  <c r="R107" i="28"/>
  <c r="M107" i="28"/>
  <c r="L107" i="28"/>
  <c r="K107" i="28"/>
  <c r="J107" i="28"/>
  <c r="I107" i="28"/>
  <c r="H107" i="28"/>
  <c r="S106" i="28"/>
  <c r="R106" i="28"/>
  <c r="M106" i="28"/>
  <c r="L106" i="28"/>
  <c r="K106" i="28"/>
  <c r="J106" i="28"/>
  <c r="I106" i="28"/>
  <c r="H106" i="28"/>
  <c r="S105" i="28"/>
  <c r="R105" i="28"/>
  <c r="M105" i="28"/>
  <c r="L105" i="28"/>
  <c r="K105" i="28"/>
  <c r="J105" i="28"/>
  <c r="I105" i="28"/>
  <c r="H105" i="28"/>
  <c r="S104" i="28"/>
  <c r="R104" i="28"/>
  <c r="M104" i="28"/>
  <c r="L104" i="28"/>
  <c r="K104" i="28"/>
  <c r="J104" i="28"/>
  <c r="I104" i="28"/>
  <c r="H104" i="28"/>
  <c r="S103" i="28"/>
  <c r="R103" i="28"/>
  <c r="M103" i="28"/>
  <c r="L103" i="28"/>
  <c r="K103" i="28"/>
  <c r="J103" i="28"/>
  <c r="I103" i="28"/>
  <c r="H103" i="28"/>
  <c r="S102" i="28"/>
  <c r="R102" i="28"/>
  <c r="M102" i="28"/>
  <c r="L102" i="28"/>
  <c r="K102" i="28"/>
  <c r="J102" i="28"/>
  <c r="I102" i="28"/>
  <c r="H102" i="28"/>
  <c r="S101" i="28"/>
  <c r="R101" i="28"/>
  <c r="M101" i="28"/>
  <c r="L101" i="28"/>
  <c r="K101" i="28"/>
  <c r="J101" i="28"/>
  <c r="I101" i="28"/>
  <c r="H101" i="28"/>
  <c r="S100" i="28"/>
  <c r="R100" i="28"/>
  <c r="M100" i="28"/>
  <c r="L100" i="28"/>
  <c r="K100" i="28"/>
  <c r="J100" i="28"/>
  <c r="I100" i="28"/>
  <c r="H100" i="28"/>
  <c r="S99" i="28"/>
  <c r="R99" i="28"/>
  <c r="M99" i="28"/>
  <c r="L99" i="28"/>
  <c r="K99" i="28"/>
  <c r="J99" i="28"/>
  <c r="I99" i="28"/>
  <c r="H99" i="28"/>
  <c r="S98" i="28"/>
  <c r="R98" i="28"/>
  <c r="M98" i="28"/>
  <c r="L98" i="28"/>
  <c r="K98" i="28"/>
  <c r="J98" i="28"/>
  <c r="I98" i="28"/>
  <c r="H98" i="28"/>
  <c r="S97" i="28"/>
  <c r="R97" i="28"/>
  <c r="M97" i="28"/>
  <c r="L97" i="28"/>
  <c r="K97" i="28"/>
  <c r="J97" i="28"/>
  <c r="I97" i="28"/>
  <c r="H97" i="28"/>
  <c r="S96" i="28"/>
  <c r="R96" i="28"/>
  <c r="M96" i="28"/>
  <c r="L96" i="28"/>
  <c r="K96" i="28"/>
  <c r="J96" i="28"/>
  <c r="I96" i="28"/>
  <c r="H96" i="28"/>
  <c r="S95" i="28"/>
  <c r="R95" i="28"/>
  <c r="M95" i="28"/>
  <c r="L95" i="28"/>
  <c r="K95" i="28"/>
  <c r="J95" i="28"/>
  <c r="I95" i="28"/>
  <c r="H95" i="28"/>
  <c r="S94" i="28"/>
  <c r="R94" i="28"/>
  <c r="M94" i="28"/>
  <c r="L94" i="28"/>
  <c r="K94" i="28"/>
  <c r="J94" i="28"/>
  <c r="I94" i="28"/>
  <c r="H94" i="28"/>
  <c r="S93" i="28"/>
  <c r="R93" i="28"/>
  <c r="M93" i="28"/>
  <c r="L93" i="28"/>
  <c r="K93" i="28"/>
  <c r="J93" i="28"/>
  <c r="I93" i="28"/>
  <c r="H93" i="28"/>
  <c r="S92" i="28"/>
  <c r="R92" i="28"/>
  <c r="M92" i="28"/>
  <c r="L92" i="28"/>
  <c r="K92" i="28"/>
  <c r="J92" i="28"/>
  <c r="I92" i="28"/>
  <c r="H92" i="28"/>
  <c r="S91" i="28"/>
  <c r="R91" i="28"/>
  <c r="M91" i="28"/>
  <c r="L91" i="28"/>
  <c r="K91" i="28"/>
  <c r="J91" i="28"/>
  <c r="I91" i="28"/>
  <c r="H91" i="28"/>
  <c r="S90" i="28"/>
  <c r="R90" i="28"/>
  <c r="M90" i="28"/>
  <c r="L90" i="28"/>
  <c r="K90" i="28"/>
  <c r="J90" i="28"/>
  <c r="I90" i="28"/>
  <c r="H90" i="28"/>
  <c r="S89" i="28"/>
  <c r="R89" i="28"/>
  <c r="M89" i="28"/>
  <c r="L89" i="28"/>
  <c r="K89" i="28"/>
  <c r="J89" i="28"/>
  <c r="I89" i="28"/>
  <c r="H89" i="28"/>
  <c r="S88" i="28"/>
  <c r="R88" i="28"/>
  <c r="M88" i="28"/>
  <c r="L88" i="28"/>
  <c r="K88" i="28"/>
  <c r="J88" i="28"/>
  <c r="I88" i="28"/>
  <c r="H88" i="28"/>
  <c r="S87" i="28"/>
  <c r="R87" i="28"/>
  <c r="M87" i="28"/>
  <c r="L87" i="28"/>
  <c r="K87" i="28"/>
  <c r="J87" i="28"/>
  <c r="I87" i="28"/>
  <c r="H87" i="28"/>
  <c r="S86" i="28"/>
  <c r="R86" i="28"/>
  <c r="M86" i="28"/>
  <c r="L86" i="28"/>
  <c r="K86" i="28"/>
  <c r="J86" i="28"/>
  <c r="I86" i="28"/>
  <c r="H86" i="28"/>
  <c r="S85" i="28"/>
  <c r="R85" i="28"/>
  <c r="M85" i="28"/>
  <c r="L85" i="28"/>
  <c r="K85" i="28"/>
  <c r="J85" i="28"/>
  <c r="I85" i="28"/>
  <c r="H85" i="28"/>
  <c r="S84" i="28"/>
  <c r="R84" i="28"/>
  <c r="M84" i="28"/>
  <c r="L84" i="28"/>
  <c r="K84" i="28"/>
  <c r="J84" i="28"/>
  <c r="I84" i="28"/>
  <c r="H84" i="28"/>
  <c r="S83" i="28"/>
  <c r="R83" i="28"/>
  <c r="M83" i="28"/>
  <c r="L83" i="28"/>
  <c r="K83" i="28"/>
  <c r="J83" i="28"/>
  <c r="I83" i="28"/>
  <c r="H83" i="28"/>
  <c r="S82" i="28"/>
  <c r="R82" i="28"/>
  <c r="M82" i="28"/>
  <c r="L82" i="28"/>
  <c r="K82" i="28"/>
  <c r="J82" i="28"/>
  <c r="I82" i="28"/>
  <c r="H82" i="28"/>
  <c r="S81" i="28"/>
  <c r="R81" i="28"/>
  <c r="M81" i="28"/>
  <c r="L81" i="28"/>
  <c r="K81" i="28"/>
  <c r="J81" i="28"/>
  <c r="I81" i="28"/>
  <c r="H81" i="28"/>
  <c r="S80" i="28"/>
  <c r="R80" i="28"/>
  <c r="M80" i="28"/>
  <c r="L80" i="28"/>
  <c r="K80" i="28"/>
  <c r="J80" i="28"/>
  <c r="I80" i="28"/>
  <c r="H80" i="28"/>
  <c r="S79" i="28"/>
  <c r="R79" i="28"/>
  <c r="M79" i="28"/>
  <c r="L79" i="28"/>
  <c r="K79" i="28"/>
  <c r="J79" i="28"/>
  <c r="I79" i="28"/>
  <c r="H79" i="28"/>
  <c r="S78" i="28"/>
  <c r="R78" i="28"/>
  <c r="M78" i="28"/>
  <c r="L78" i="28"/>
  <c r="K78" i="28"/>
  <c r="J78" i="28"/>
  <c r="I78" i="28"/>
  <c r="H78" i="28"/>
  <c r="S77" i="28"/>
  <c r="R77" i="28"/>
  <c r="M77" i="28"/>
  <c r="L77" i="28"/>
  <c r="K77" i="28"/>
  <c r="J77" i="28"/>
  <c r="I77" i="28"/>
  <c r="H77" i="28"/>
  <c r="S76" i="28"/>
  <c r="R76" i="28"/>
  <c r="M76" i="28"/>
  <c r="L76" i="28"/>
  <c r="K76" i="28"/>
  <c r="J76" i="28"/>
  <c r="I76" i="28"/>
  <c r="H76" i="28"/>
  <c r="S75" i="28"/>
  <c r="R75" i="28"/>
  <c r="M75" i="28"/>
  <c r="L75" i="28"/>
  <c r="K75" i="28"/>
  <c r="J75" i="28"/>
  <c r="I75" i="28"/>
  <c r="H75" i="28"/>
  <c r="S74" i="28"/>
  <c r="R74" i="28"/>
  <c r="M74" i="28"/>
  <c r="L74" i="28"/>
  <c r="K74" i="28"/>
  <c r="J74" i="28"/>
  <c r="I74" i="28"/>
  <c r="H74" i="28"/>
  <c r="S73" i="28"/>
  <c r="R73" i="28"/>
  <c r="M73" i="28"/>
  <c r="L73" i="28"/>
  <c r="K73" i="28"/>
  <c r="J73" i="28"/>
  <c r="I73" i="28"/>
  <c r="H73" i="28"/>
  <c r="S72" i="28"/>
  <c r="R72" i="28"/>
  <c r="M72" i="28"/>
  <c r="L72" i="28"/>
  <c r="K72" i="28"/>
  <c r="J72" i="28"/>
  <c r="I72" i="28"/>
  <c r="H72" i="28"/>
  <c r="S71" i="28"/>
  <c r="R71" i="28"/>
  <c r="M71" i="28"/>
  <c r="L71" i="28"/>
  <c r="K71" i="28"/>
  <c r="J71" i="28"/>
  <c r="I71" i="28"/>
  <c r="H71" i="28"/>
  <c r="S70" i="28"/>
  <c r="R70" i="28"/>
  <c r="M70" i="28"/>
  <c r="L70" i="28"/>
  <c r="K70" i="28"/>
  <c r="J70" i="28"/>
  <c r="I70" i="28"/>
  <c r="H70" i="28"/>
  <c r="S69" i="28"/>
  <c r="R69" i="28"/>
  <c r="M69" i="28"/>
  <c r="L69" i="28"/>
  <c r="K69" i="28"/>
  <c r="J69" i="28"/>
  <c r="I69" i="28"/>
  <c r="H69" i="28"/>
  <c r="S68" i="28"/>
  <c r="R68" i="28"/>
  <c r="M68" i="28"/>
  <c r="L68" i="28"/>
  <c r="K68" i="28"/>
  <c r="J68" i="28"/>
  <c r="I68" i="28"/>
  <c r="H68" i="28"/>
  <c r="S67" i="28"/>
  <c r="R67" i="28"/>
  <c r="M67" i="28"/>
  <c r="L67" i="28"/>
  <c r="K67" i="28"/>
  <c r="J67" i="28"/>
  <c r="I67" i="28"/>
  <c r="H67" i="28"/>
  <c r="S66" i="28"/>
  <c r="R66" i="28"/>
  <c r="M66" i="28"/>
  <c r="L66" i="28"/>
  <c r="K66" i="28"/>
  <c r="J66" i="28"/>
  <c r="I66" i="28"/>
  <c r="H66" i="28"/>
  <c r="S65" i="28"/>
  <c r="R65" i="28"/>
  <c r="M65" i="28"/>
  <c r="L65" i="28"/>
  <c r="K65" i="28"/>
  <c r="J65" i="28"/>
  <c r="I65" i="28"/>
  <c r="H65" i="28"/>
  <c r="S64" i="28"/>
  <c r="R64" i="28"/>
  <c r="M64" i="28"/>
  <c r="L64" i="28"/>
  <c r="K64" i="28"/>
  <c r="J64" i="28"/>
  <c r="I64" i="28"/>
  <c r="H64" i="28"/>
  <c r="S63" i="28"/>
  <c r="R63" i="28"/>
  <c r="M63" i="28"/>
  <c r="L63" i="28"/>
  <c r="K63" i="28"/>
  <c r="J63" i="28"/>
  <c r="I63" i="28"/>
  <c r="H63" i="28"/>
  <c r="S62" i="28"/>
  <c r="R62" i="28"/>
  <c r="M62" i="28"/>
  <c r="L62" i="28"/>
  <c r="K62" i="28"/>
  <c r="J62" i="28"/>
  <c r="I62" i="28"/>
  <c r="H62" i="28"/>
  <c r="S61" i="28"/>
  <c r="R61" i="28"/>
  <c r="M61" i="28"/>
  <c r="L61" i="28"/>
  <c r="K61" i="28"/>
  <c r="J61" i="28"/>
  <c r="I61" i="28"/>
  <c r="H61" i="28"/>
  <c r="S60" i="28"/>
  <c r="R60" i="28"/>
  <c r="M60" i="28"/>
  <c r="L60" i="28"/>
  <c r="K60" i="28"/>
  <c r="J60" i="28"/>
  <c r="I60" i="28"/>
  <c r="H60" i="28"/>
  <c r="S59" i="28"/>
  <c r="R59" i="28"/>
  <c r="M59" i="28"/>
  <c r="L59" i="28"/>
  <c r="K59" i="28"/>
  <c r="J59" i="28"/>
  <c r="I59" i="28"/>
  <c r="H59" i="28"/>
  <c r="S58" i="28"/>
  <c r="R58" i="28"/>
  <c r="M58" i="28"/>
  <c r="L58" i="28"/>
  <c r="K58" i="28"/>
  <c r="J58" i="28"/>
  <c r="I58" i="28"/>
  <c r="H58" i="28"/>
  <c r="S57" i="28"/>
  <c r="R57" i="28"/>
  <c r="M57" i="28"/>
  <c r="L57" i="28"/>
  <c r="K57" i="28"/>
  <c r="J57" i="28"/>
  <c r="I57" i="28"/>
  <c r="H57" i="28"/>
  <c r="S56" i="28"/>
  <c r="R56" i="28"/>
  <c r="M56" i="28"/>
  <c r="L56" i="28"/>
  <c r="K56" i="28"/>
  <c r="J56" i="28"/>
  <c r="I56" i="28"/>
  <c r="H56" i="28"/>
  <c r="S55" i="28"/>
  <c r="R55" i="28"/>
  <c r="M55" i="28"/>
  <c r="L55" i="28"/>
  <c r="K55" i="28"/>
  <c r="J55" i="28"/>
  <c r="I55" i="28"/>
  <c r="H55" i="28"/>
  <c r="S54" i="28"/>
  <c r="R54" i="28"/>
  <c r="M54" i="28"/>
  <c r="L54" i="28"/>
  <c r="K54" i="28"/>
  <c r="J54" i="28"/>
  <c r="I54" i="28"/>
  <c r="H54" i="28"/>
  <c r="S53" i="28"/>
  <c r="R53" i="28"/>
  <c r="M53" i="28"/>
  <c r="L53" i="28"/>
  <c r="K53" i="28"/>
  <c r="J53" i="28"/>
  <c r="I53" i="28"/>
  <c r="H53" i="28"/>
  <c r="S52" i="28"/>
  <c r="R52" i="28"/>
  <c r="M52" i="28"/>
  <c r="L52" i="28"/>
  <c r="K52" i="28"/>
  <c r="J52" i="28"/>
  <c r="I52" i="28"/>
  <c r="H52" i="28"/>
  <c r="S51" i="28"/>
  <c r="R51" i="28"/>
  <c r="M51" i="28"/>
  <c r="L51" i="28"/>
  <c r="K51" i="28"/>
  <c r="J51" i="28"/>
  <c r="I51" i="28"/>
  <c r="H51" i="28"/>
  <c r="S50" i="28"/>
  <c r="R50" i="28"/>
  <c r="M50" i="28"/>
  <c r="L50" i="28"/>
  <c r="K50" i="28"/>
  <c r="J50" i="28"/>
  <c r="I50" i="28"/>
  <c r="H50" i="28"/>
  <c r="S49" i="28"/>
  <c r="R49" i="28"/>
  <c r="M49" i="28"/>
  <c r="L49" i="28"/>
  <c r="K49" i="28"/>
  <c r="J49" i="28"/>
  <c r="I49" i="28"/>
  <c r="H49" i="28"/>
  <c r="S48" i="28"/>
  <c r="R48" i="28"/>
  <c r="M48" i="28"/>
  <c r="L48" i="28"/>
  <c r="K48" i="28"/>
  <c r="J48" i="28"/>
  <c r="I48" i="28"/>
  <c r="H48" i="28"/>
  <c r="S47" i="28"/>
  <c r="R47" i="28"/>
  <c r="M47" i="28"/>
  <c r="L47" i="28"/>
  <c r="K47" i="28"/>
  <c r="J47" i="28"/>
  <c r="I47" i="28"/>
  <c r="H47" i="28"/>
  <c r="S46" i="28"/>
  <c r="R46" i="28"/>
  <c r="M46" i="28"/>
  <c r="L46" i="28"/>
  <c r="K46" i="28"/>
  <c r="J46" i="28"/>
  <c r="I46" i="28"/>
  <c r="H46" i="28"/>
  <c r="S45" i="28"/>
  <c r="R45" i="28"/>
  <c r="M45" i="28"/>
  <c r="L45" i="28"/>
  <c r="K45" i="28"/>
  <c r="J45" i="28"/>
  <c r="I45" i="28"/>
  <c r="H45" i="28"/>
  <c r="S44" i="28"/>
  <c r="R44" i="28"/>
  <c r="M44" i="28"/>
  <c r="L44" i="28"/>
  <c r="K44" i="28"/>
  <c r="J44" i="28"/>
  <c r="I44" i="28"/>
  <c r="H44" i="28"/>
  <c r="S43" i="28"/>
  <c r="R43" i="28"/>
  <c r="M43" i="28"/>
  <c r="L43" i="28"/>
  <c r="K43" i="28"/>
  <c r="J43" i="28"/>
  <c r="I43" i="28"/>
  <c r="H43" i="28"/>
  <c r="S42" i="28"/>
  <c r="R42" i="28"/>
  <c r="M42" i="28"/>
  <c r="L42" i="28"/>
  <c r="K42" i="28"/>
  <c r="J42" i="28"/>
  <c r="I42" i="28"/>
  <c r="H42" i="28"/>
  <c r="S41" i="28"/>
  <c r="R41" i="28"/>
  <c r="M41" i="28"/>
  <c r="L41" i="28"/>
  <c r="K41" i="28"/>
  <c r="J41" i="28"/>
  <c r="I41" i="28"/>
  <c r="H41" i="28"/>
  <c r="S40" i="28"/>
  <c r="R40" i="28"/>
  <c r="M40" i="28"/>
  <c r="L40" i="28"/>
  <c r="K40" i="28"/>
  <c r="J40" i="28"/>
  <c r="I40" i="28"/>
  <c r="H40" i="28"/>
  <c r="S39" i="28"/>
  <c r="R39" i="28"/>
  <c r="M39" i="28"/>
  <c r="L39" i="28"/>
  <c r="K39" i="28"/>
  <c r="J39" i="28"/>
  <c r="I39" i="28"/>
  <c r="H39" i="28"/>
  <c r="S38" i="28"/>
  <c r="R38" i="28"/>
  <c r="M38" i="28"/>
  <c r="L38" i="28"/>
  <c r="K38" i="28"/>
  <c r="J38" i="28"/>
  <c r="I38" i="28"/>
  <c r="H38" i="28"/>
  <c r="S37" i="28"/>
  <c r="R37" i="28"/>
  <c r="M37" i="28"/>
  <c r="L37" i="28"/>
  <c r="K37" i="28"/>
  <c r="J37" i="28"/>
  <c r="I37" i="28"/>
  <c r="H37" i="28"/>
  <c r="S36" i="28"/>
  <c r="R36" i="28"/>
  <c r="M36" i="28"/>
  <c r="L36" i="28"/>
  <c r="K36" i="28"/>
  <c r="J36" i="28"/>
  <c r="I36" i="28"/>
  <c r="H36" i="28"/>
  <c r="S35" i="28"/>
  <c r="R35" i="28"/>
  <c r="M35" i="28"/>
  <c r="L35" i="28"/>
  <c r="K35" i="28"/>
  <c r="J35" i="28"/>
  <c r="I35" i="28"/>
  <c r="H35" i="28"/>
  <c r="S34" i="28"/>
  <c r="R34" i="28"/>
  <c r="M34" i="28"/>
  <c r="L34" i="28"/>
  <c r="K34" i="28"/>
  <c r="J34" i="28"/>
  <c r="I34" i="28"/>
  <c r="H34" i="28"/>
  <c r="S33" i="28"/>
  <c r="R33" i="28"/>
  <c r="M33" i="28"/>
  <c r="L33" i="28"/>
  <c r="K33" i="28"/>
  <c r="J33" i="28"/>
  <c r="I33" i="28"/>
  <c r="H33" i="28"/>
  <c r="S32" i="28"/>
  <c r="R32" i="28"/>
  <c r="M32" i="28"/>
  <c r="L32" i="28"/>
  <c r="K32" i="28"/>
  <c r="J32" i="28"/>
  <c r="I32" i="28"/>
  <c r="H32" i="28"/>
  <c r="S31" i="28"/>
  <c r="R31" i="28"/>
  <c r="M31" i="28"/>
  <c r="L31" i="28"/>
  <c r="K31" i="28"/>
  <c r="J31" i="28"/>
  <c r="I31" i="28"/>
  <c r="H31" i="28"/>
  <c r="S30" i="28"/>
  <c r="R30" i="28"/>
  <c r="M30" i="28"/>
  <c r="L30" i="28"/>
  <c r="K30" i="28"/>
  <c r="J30" i="28"/>
  <c r="I30" i="28"/>
  <c r="H30" i="28"/>
  <c r="S29" i="28"/>
  <c r="R29" i="28"/>
  <c r="M29" i="28"/>
  <c r="L29" i="28"/>
  <c r="K29" i="28"/>
  <c r="J29" i="28"/>
  <c r="I29" i="28"/>
  <c r="H29" i="28"/>
  <c r="I28" i="28"/>
  <c r="J28" i="28" s="1"/>
  <c r="R28" i="28" s="1"/>
  <c r="H28" i="28"/>
  <c r="I27" i="28"/>
  <c r="H27" i="28"/>
  <c r="S26" i="28"/>
  <c r="R26" i="28"/>
  <c r="L26" i="28"/>
  <c r="M26" i="28" s="1"/>
  <c r="K26" i="28"/>
  <c r="K27" i="28" s="1"/>
  <c r="K28" i="28" s="1"/>
  <c r="I26" i="28"/>
  <c r="J26" i="28" s="1"/>
  <c r="H26" i="28"/>
  <c r="S25" i="28"/>
  <c r="R25" i="28"/>
  <c r="M25" i="28"/>
  <c r="L25" i="28"/>
  <c r="K25" i="28"/>
  <c r="J25" i="28"/>
  <c r="I25" i="28"/>
  <c r="H25" i="28"/>
  <c r="I24" i="28"/>
  <c r="J24" i="28" s="1"/>
  <c r="R24" i="28" s="1"/>
  <c r="H24" i="28"/>
  <c r="I23" i="28"/>
  <c r="J23" i="28" s="1"/>
  <c r="R23" i="28" s="1"/>
  <c r="H23" i="28"/>
  <c r="I22" i="28"/>
  <c r="H22" i="28"/>
  <c r="I21" i="28"/>
  <c r="H21" i="28"/>
  <c r="I20" i="28"/>
  <c r="H20" i="28"/>
  <c r="I19" i="28"/>
  <c r="J19" i="28" s="1"/>
  <c r="R19" i="28" s="1"/>
  <c r="H19" i="28"/>
  <c r="I18" i="28"/>
  <c r="J18" i="28" s="1"/>
  <c r="R18" i="28" s="1"/>
  <c r="H18" i="28"/>
  <c r="I17" i="28"/>
  <c r="J17" i="28" s="1"/>
  <c r="R17" i="28" s="1"/>
  <c r="H17" i="28"/>
  <c r="I16" i="28"/>
  <c r="J16" i="28" s="1"/>
  <c r="R16" i="28" s="1"/>
  <c r="H16" i="28"/>
  <c r="H15" i="28"/>
  <c r="I15" i="28"/>
  <c r="I14" i="28"/>
  <c r="J14" i="28" s="1"/>
  <c r="R14" i="28" s="1"/>
  <c r="H14" i="28"/>
  <c r="H13" i="28"/>
  <c r="I13" i="28"/>
  <c r="I12" i="28"/>
  <c r="J12" i="28" s="1"/>
  <c r="R12" i="28" s="1"/>
  <c r="H12" i="28"/>
  <c r="I11" i="28"/>
  <c r="J11" i="28" s="1"/>
  <c r="R11" i="28" s="1"/>
  <c r="H11" i="28"/>
  <c r="I10" i="28"/>
  <c r="J10" i="28" s="1"/>
  <c r="R10" i="28" s="1"/>
  <c r="H10" i="28"/>
  <c r="I9" i="28"/>
  <c r="J9" i="28" s="1"/>
  <c r="R9" i="28" s="1"/>
  <c r="H9" i="28"/>
  <c r="I8" i="28"/>
  <c r="J8" i="28" s="1"/>
  <c r="R8" i="28" s="1"/>
  <c r="H8" i="28"/>
  <c r="I7" i="28"/>
  <c r="L7" i="28" s="1"/>
  <c r="H7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J20" i="28" l="1"/>
  <c r="R20" i="28" s="1"/>
  <c r="L27" i="28"/>
  <c r="L28" i="28" s="1"/>
  <c r="M28" i="28" s="1"/>
  <c r="S28" i="28" s="1"/>
  <c r="J21" i="28"/>
  <c r="R21" i="28" s="1"/>
  <c r="K24" i="28"/>
  <c r="L45" i="30"/>
  <c r="M44" i="30"/>
  <c r="S44" i="30" s="1"/>
  <c r="J13" i="28"/>
  <c r="R13" i="28" s="1"/>
  <c r="J15" i="28"/>
  <c r="R15" i="28" s="1"/>
  <c r="M54" i="30"/>
  <c r="S54" i="30" s="1"/>
  <c r="L55" i="30"/>
  <c r="M55" i="30" s="1"/>
  <c r="S55" i="30" s="1"/>
  <c r="M11" i="33"/>
  <c r="S11" i="33" s="1"/>
  <c r="L12" i="33"/>
  <c r="M10" i="32"/>
  <c r="S10" i="32" s="1"/>
  <c r="L11" i="32"/>
  <c r="L12" i="31"/>
  <c r="M11" i="31"/>
  <c r="S11" i="31" s="1"/>
  <c r="M10" i="30"/>
  <c r="S10" i="30" s="1"/>
  <c r="L11" i="30"/>
  <c r="L10" i="29"/>
  <c r="M9" i="29"/>
  <c r="S9" i="29" s="1"/>
  <c r="M27" i="28"/>
  <c r="S27" i="28" s="1"/>
  <c r="J27" i="28"/>
  <c r="R27" i="28" s="1"/>
  <c r="J22" i="28"/>
  <c r="R22" i="28" s="1"/>
  <c r="L8" i="28"/>
  <c r="M7" i="28"/>
  <c r="S7" i="28" s="1"/>
  <c r="J7" i="28"/>
  <c r="R7" i="28" s="1"/>
  <c r="G15" i="27"/>
  <c r="M45" i="30" l="1"/>
  <c r="S45" i="30" s="1"/>
  <c r="L46" i="30"/>
  <c r="M12" i="33"/>
  <c r="S12" i="33" s="1"/>
  <c r="L13" i="33"/>
  <c r="M11" i="32"/>
  <c r="S11" i="32" s="1"/>
  <c r="L12" i="32"/>
  <c r="L13" i="31"/>
  <c r="M12" i="31"/>
  <c r="S12" i="31" s="1"/>
  <c r="M11" i="30"/>
  <c r="S11" i="30" s="1"/>
  <c r="L12" i="30"/>
  <c r="L11" i="29"/>
  <c r="M10" i="29"/>
  <c r="S10" i="29" s="1"/>
  <c r="M8" i="28"/>
  <c r="S8" i="28" s="1"/>
  <c r="L9" i="28"/>
  <c r="G13" i="27"/>
  <c r="S112" i="27"/>
  <c r="R112" i="27"/>
  <c r="M112" i="27"/>
  <c r="L112" i="27"/>
  <c r="K112" i="27"/>
  <c r="J112" i="27"/>
  <c r="I112" i="27"/>
  <c r="H112" i="27"/>
  <c r="S111" i="27"/>
  <c r="R111" i="27"/>
  <c r="M111" i="27"/>
  <c r="L111" i="27"/>
  <c r="K111" i="27"/>
  <c r="J111" i="27"/>
  <c r="I111" i="27"/>
  <c r="H111" i="27"/>
  <c r="S110" i="27"/>
  <c r="R110" i="27"/>
  <c r="M110" i="27"/>
  <c r="L110" i="27"/>
  <c r="K110" i="27"/>
  <c r="J110" i="27"/>
  <c r="I110" i="27"/>
  <c r="H110" i="27"/>
  <c r="S109" i="27"/>
  <c r="R109" i="27"/>
  <c r="M109" i="27"/>
  <c r="L109" i="27"/>
  <c r="K109" i="27"/>
  <c r="J109" i="27"/>
  <c r="I109" i="27"/>
  <c r="H109" i="27"/>
  <c r="S108" i="27"/>
  <c r="R108" i="27"/>
  <c r="M108" i="27"/>
  <c r="L108" i="27"/>
  <c r="K108" i="27"/>
  <c r="J108" i="27"/>
  <c r="I108" i="27"/>
  <c r="H108" i="27"/>
  <c r="S107" i="27"/>
  <c r="R107" i="27"/>
  <c r="M107" i="27"/>
  <c r="L107" i="27"/>
  <c r="K107" i="27"/>
  <c r="J107" i="27"/>
  <c r="I107" i="27"/>
  <c r="H107" i="27"/>
  <c r="S106" i="27"/>
  <c r="R106" i="27"/>
  <c r="M106" i="27"/>
  <c r="L106" i="27"/>
  <c r="K106" i="27"/>
  <c r="J106" i="27"/>
  <c r="I106" i="27"/>
  <c r="H106" i="27"/>
  <c r="S105" i="27"/>
  <c r="R105" i="27"/>
  <c r="M105" i="27"/>
  <c r="L105" i="27"/>
  <c r="K105" i="27"/>
  <c r="J105" i="27"/>
  <c r="I105" i="27"/>
  <c r="H105" i="27"/>
  <c r="S104" i="27"/>
  <c r="R104" i="27"/>
  <c r="M104" i="27"/>
  <c r="L104" i="27"/>
  <c r="K104" i="27"/>
  <c r="J104" i="27"/>
  <c r="I104" i="27"/>
  <c r="H104" i="27"/>
  <c r="S103" i="27"/>
  <c r="R103" i="27"/>
  <c r="M103" i="27"/>
  <c r="L103" i="27"/>
  <c r="K103" i="27"/>
  <c r="J103" i="27"/>
  <c r="I103" i="27"/>
  <c r="H103" i="27"/>
  <c r="S102" i="27"/>
  <c r="R102" i="27"/>
  <c r="M102" i="27"/>
  <c r="L102" i="27"/>
  <c r="K102" i="27"/>
  <c r="J102" i="27"/>
  <c r="I102" i="27"/>
  <c r="H102" i="27"/>
  <c r="S101" i="27"/>
  <c r="R101" i="27"/>
  <c r="M101" i="27"/>
  <c r="L101" i="27"/>
  <c r="K101" i="27"/>
  <c r="J101" i="27"/>
  <c r="I101" i="27"/>
  <c r="H101" i="27"/>
  <c r="S100" i="27"/>
  <c r="R100" i="27"/>
  <c r="M100" i="27"/>
  <c r="L100" i="27"/>
  <c r="K100" i="27"/>
  <c r="J100" i="27"/>
  <c r="I100" i="27"/>
  <c r="H100" i="27"/>
  <c r="S99" i="27"/>
  <c r="R99" i="27"/>
  <c r="M99" i="27"/>
  <c r="L99" i="27"/>
  <c r="K99" i="27"/>
  <c r="J99" i="27"/>
  <c r="I99" i="27"/>
  <c r="H99" i="27"/>
  <c r="S98" i="27"/>
  <c r="R98" i="27"/>
  <c r="M98" i="27"/>
  <c r="L98" i="27"/>
  <c r="K98" i="27"/>
  <c r="J98" i="27"/>
  <c r="I98" i="27"/>
  <c r="H98" i="27"/>
  <c r="S97" i="27"/>
  <c r="R97" i="27"/>
  <c r="M97" i="27"/>
  <c r="L97" i="27"/>
  <c r="K97" i="27"/>
  <c r="J97" i="27"/>
  <c r="I97" i="27"/>
  <c r="H97" i="27"/>
  <c r="S96" i="27"/>
  <c r="R96" i="27"/>
  <c r="M96" i="27"/>
  <c r="L96" i="27"/>
  <c r="K96" i="27"/>
  <c r="J96" i="27"/>
  <c r="I96" i="27"/>
  <c r="H96" i="27"/>
  <c r="S95" i="27"/>
  <c r="R95" i="27"/>
  <c r="M95" i="27"/>
  <c r="L95" i="27"/>
  <c r="K95" i="27"/>
  <c r="J95" i="27"/>
  <c r="I95" i="27"/>
  <c r="H95" i="27"/>
  <c r="S94" i="27"/>
  <c r="R94" i="27"/>
  <c r="M94" i="27"/>
  <c r="L94" i="27"/>
  <c r="K94" i="27"/>
  <c r="J94" i="27"/>
  <c r="I94" i="27"/>
  <c r="H94" i="27"/>
  <c r="S93" i="27"/>
  <c r="R93" i="27"/>
  <c r="M93" i="27"/>
  <c r="L93" i="27"/>
  <c r="K93" i="27"/>
  <c r="J93" i="27"/>
  <c r="I93" i="27"/>
  <c r="H93" i="27"/>
  <c r="S92" i="27"/>
  <c r="R92" i="27"/>
  <c r="M92" i="27"/>
  <c r="L92" i="27"/>
  <c r="K92" i="27"/>
  <c r="J92" i="27"/>
  <c r="I92" i="27"/>
  <c r="H92" i="27"/>
  <c r="S91" i="27"/>
  <c r="R91" i="27"/>
  <c r="M91" i="27"/>
  <c r="L91" i="27"/>
  <c r="K91" i="27"/>
  <c r="J91" i="27"/>
  <c r="I91" i="27"/>
  <c r="H91" i="27"/>
  <c r="S90" i="27"/>
  <c r="R90" i="27"/>
  <c r="M90" i="27"/>
  <c r="L90" i="27"/>
  <c r="K90" i="27"/>
  <c r="J90" i="27"/>
  <c r="I90" i="27"/>
  <c r="H90" i="27"/>
  <c r="S89" i="27"/>
  <c r="R89" i="27"/>
  <c r="M89" i="27"/>
  <c r="L89" i="27"/>
  <c r="K89" i="27"/>
  <c r="J89" i="27"/>
  <c r="I89" i="27"/>
  <c r="H89" i="27"/>
  <c r="S88" i="27"/>
  <c r="R88" i="27"/>
  <c r="M88" i="27"/>
  <c r="L88" i="27"/>
  <c r="K88" i="27"/>
  <c r="J88" i="27"/>
  <c r="I88" i="27"/>
  <c r="H88" i="27"/>
  <c r="S87" i="27"/>
  <c r="R87" i="27"/>
  <c r="M87" i="27"/>
  <c r="L87" i="27"/>
  <c r="K87" i="27"/>
  <c r="J87" i="27"/>
  <c r="I87" i="27"/>
  <c r="H87" i="27"/>
  <c r="S86" i="27"/>
  <c r="R86" i="27"/>
  <c r="M86" i="27"/>
  <c r="L86" i="27"/>
  <c r="K86" i="27"/>
  <c r="J86" i="27"/>
  <c r="I86" i="27"/>
  <c r="H86" i="27"/>
  <c r="S85" i="27"/>
  <c r="R85" i="27"/>
  <c r="M85" i="27"/>
  <c r="L85" i="27"/>
  <c r="K85" i="27"/>
  <c r="J85" i="27"/>
  <c r="I85" i="27"/>
  <c r="H85" i="27"/>
  <c r="S84" i="27"/>
  <c r="R84" i="27"/>
  <c r="M84" i="27"/>
  <c r="L84" i="27"/>
  <c r="K84" i="27"/>
  <c r="J84" i="27"/>
  <c r="I84" i="27"/>
  <c r="H84" i="27"/>
  <c r="S83" i="27"/>
  <c r="R83" i="27"/>
  <c r="M83" i="27"/>
  <c r="L83" i="27"/>
  <c r="K83" i="27"/>
  <c r="J83" i="27"/>
  <c r="I83" i="27"/>
  <c r="H83" i="27"/>
  <c r="S82" i="27"/>
  <c r="R82" i="27"/>
  <c r="M82" i="27"/>
  <c r="L82" i="27"/>
  <c r="K82" i="27"/>
  <c r="J82" i="27"/>
  <c r="I82" i="27"/>
  <c r="H82" i="27"/>
  <c r="S81" i="27"/>
  <c r="R81" i="27"/>
  <c r="M81" i="27"/>
  <c r="L81" i="27"/>
  <c r="K81" i="27"/>
  <c r="J81" i="27"/>
  <c r="I81" i="27"/>
  <c r="H81" i="27"/>
  <c r="S80" i="27"/>
  <c r="R80" i="27"/>
  <c r="M80" i="27"/>
  <c r="L80" i="27"/>
  <c r="K80" i="27"/>
  <c r="J80" i="27"/>
  <c r="I80" i="27"/>
  <c r="H80" i="27"/>
  <c r="S79" i="27"/>
  <c r="R79" i="27"/>
  <c r="M79" i="27"/>
  <c r="L79" i="27"/>
  <c r="K79" i="27"/>
  <c r="J79" i="27"/>
  <c r="I79" i="27"/>
  <c r="H79" i="27"/>
  <c r="S78" i="27"/>
  <c r="R78" i="27"/>
  <c r="M78" i="27"/>
  <c r="L78" i="27"/>
  <c r="K78" i="27"/>
  <c r="J78" i="27"/>
  <c r="I78" i="27"/>
  <c r="H78" i="27"/>
  <c r="S77" i="27"/>
  <c r="R77" i="27"/>
  <c r="M77" i="27"/>
  <c r="L77" i="27"/>
  <c r="K77" i="27"/>
  <c r="J77" i="27"/>
  <c r="I77" i="27"/>
  <c r="H77" i="27"/>
  <c r="S76" i="27"/>
  <c r="R76" i="27"/>
  <c r="M76" i="27"/>
  <c r="L76" i="27"/>
  <c r="K76" i="27"/>
  <c r="J76" i="27"/>
  <c r="I76" i="27"/>
  <c r="H76" i="27"/>
  <c r="S75" i="27"/>
  <c r="R75" i="27"/>
  <c r="M75" i="27"/>
  <c r="L75" i="27"/>
  <c r="K75" i="27"/>
  <c r="J75" i="27"/>
  <c r="I75" i="27"/>
  <c r="H75" i="27"/>
  <c r="S74" i="27"/>
  <c r="R74" i="27"/>
  <c r="M74" i="27"/>
  <c r="L74" i="27"/>
  <c r="K74" i="27"/>
  <c r="J74" i="27"/>
  <c r="I74" i="27"/>
  <c r="H74" i="27"/>
  <c r="S73" i="27"/>
  <c r="R73" i="27"/>
  <c r="M73" i="27"/>
  <c r="L73" i="27"/>
  <c r="K73" i="27"/>
  <c r="J73" i="27"/>
  <c r="I73" i="27"/>
  <c r="H73" i="27"/>
  <c r="S72" i="27"/>
  <c r="R72" i="27"/>
  <c r="M72" i="27"/>
  <c r="L72" i="27"/>
  <c r="K72" i="27"/>
  <c r="J72" i="27"/>
  <c r="I72" i="27"/>
  <c r="H72" i="27"/>
  <c r="S71" i="27"/>
  <c r="R71" i="27"/>
  <c r="M71" i="27"/>
  <c r="L71" i="27"/>
  <c r="K71" i="27"/>
  <c r="J71" i="27"/>
  <c r="I71" i="27"/>
  <c r="H71" i="27"/>
  <c r="S70" i="27"/>
  <c r="R70" i="27"/>
  <c r="M70" i="27"/>
  <c r="L70" i="27"/>
  <c r="K70" i="27"/>
  <c r="J70" i="27"/>
  <c r="I70" i="27"/>
  <c r="H70" i="27"/>
  <c r="S69" i="27"/>
  <c r="R69" i="27"/>
  <c r="M69" i="27"/>
  <c r="L69" i="27"/>
  <c r="K69" i="27"/>
  <c r="J69" i="27"/>
  <c r="I69" i="27"/>
  <c r="H69" i="27"/>
  <c r="S68" i="27"/>
  <c r="R68" i="27"/>
  <c r="M68" i="27"/>
  <c r="L68" i="27"/>
  <c r="K68" i="27"/>
  <c r="J68" i="27"/>
  <c r="I68" i="27"/>
  <c r="H68" i="27"/>
  <c r="S67" i="27"/>
  <c r="R67" i="27"/>
  <c r="M67" i="27"/>
  <c r="L67" i="27"/>
  <c r="K67" i="27"/>
  <c r="J67" i="27"/>
  <c r="I67" i="27"/>
  <c r="H67" i="27"/>
  <c r="S66" i="27"/>
  <c r="R66" i="27"/>
  <c r="M66" i="27"/>
  <c r="L66" i="27"/>
  <c r="K66" i="27"/>
  <c r="J66" i="27"/>
  <c r="I66" i="27"/>
  <c r="H66" i="27"/>
  <c r="S65" i="27"/>
  <c r="R65" i="27"/>
  <c r="M65" i="27"/>
  <c r="L65" i="27"/>
  <c r="K65" i="27"/>
  <c r="J65" i="27"/>
  <c r="I65" i="27"/>
  <c r="H65" i="27"/>
  <c r="S64" i="27"/>
  <c r="R64" i="27"/>
  <c r="M64" i="27"/>
  <c r="L64" i="27"/>
  <c r="K64" i="27"/>
  <c r="J64" i="27"/>
  <c r="I64" i="27"/>
  <c r="H64" i="27"/>
  <c r="S63" i="27"/>
  <c r="R63" i="27"/>
  <c r="M63" i="27"/>
  <c r="L63" i="27"/>
  <c r="K63" i="27"/>
  <c r="J63" i="27"/>
  <c r="I63" i="27"/>
  <c r="H63" i="27"/>
  <c r="S62" i="27"/>
  <c r="R62" i="27"/>
  <c r="M62" i="27"/>
  <c r="L62" i="27"/>
  <c r="K62" i="27"/>
  <c r="J62" i="27"/>
  <c r="I62" i="27"/>
  <c r="H62" i="27"/>
  <c r="S61" i="27"/>
  <c r="R61" i="27"/>
  <c r="M61" i="27"/>
  <c r="L61" i="27"/>
  <c r="K61" i="27"/>
  <c r="J61" i="27"/>
  <c r="I61" i="27"/>
  <c r="H61" i="27"/>
  <c r="S60" i="27"/>
  <c r="R60" i="27"/>
  <c r="M60" i="27"/>
  <c r="L60" i="27"/>
  <c r="K60" i="27"/>
  <c r="J60" i="27"/>
  <c r="I60" i="27"/>
  <c r="H60" i="27"/>
  <c r="S59" i="27"/>
  <c r="R59" i="27"/>
  <c r="M59" i="27"/>
  <c r="L59" i="27"/>
  <c r="K59" i="27"/>
  <c r="J59" i="27"/>
  <c r="I59" i="27"/>
  <c r="H59" i="27"/>
  <c r="S58" i="27"/>
  <c r="R58" i="27"/>
  <c r="M58" i="27"/>
  <c r="L58" i="27"/>
  <c r="K58" i="27"/>
  <c r="J58" i="27"/>
  <c r="I58" i="27"/>
  <c r="H58" i="27"/>
  <c r="S57" i="27"/>
  <c r="R57" i="27"/>
  <c r="M57" i="27"/>
  <c r="L57" i="27"/>
  <c r="K57" i="27"/>
  <c r="J57" i="27"/>
  <c r="I57" i="27"/>
  <c r="H57" i="27"/>
  <c r="S56" i="27"/>
  <c r="R56" i="27"/>
  <c r="M56" i="27"/>
  <c r="L56" i="27"/>
  <c r="K56" i="27"/>
  <c r="J56" i="27"/>
  <c r="I56" i="27"/>
  <c r="H56" i="27"/>
  <c r="S55" i="27"/>
  <c r="R55" i="27"/>
  <c r="M55" i="27"/>
  <c r="L55" i="27"/>
  <c r="K55" i="27"/>
  <c r="J55" i="27"/>
  <c r="I55" i="27"/>
  <c r="H55" i="27"/>
  <c r="S54" i="27"/>
  <c r="R54" i="27"/>
  <c r="M54" i="27"/>
  <c r="L54" i="27"/>
  <c r="K54" i="27"/>
  <c r="J54" i="27"/>
  <c r="I54" i="27"/>
  <c r="H54" i="27"/>
  <c r="S53" i="27"/>
  <c r="R53" i="27"/>
  <c r="M53" i="27"/>
  <c r="L53" i="27"/>
  <c r="K53" i="27"/>
  <c r="J53" i="27"/>
  <c r="I53" i="27"/>
  <c r="H53" i="27"/>
  <c r="S52" i="27"/>
  <c r="R52" i="27"/>
  <c r="M52" i="27"/>
  <c r="L52" i="27"/>
  <c r="K52" i="27"/>
  <c r="J52" i="27"/>
  <c r="I52" i="27"/>
  <c r="H52" i="27"/>
  <c r="S51" i="27"/>
  <c r="R51" i="27"/>
  <c r="M51" i="27"/>
  <c r="L51" i="27"/>
  <c r="K51" i="27"/>
  <c r="J51" i="27"/>
  <c r="I51" i="27"/>
  <c r="H51" i="27"/>
  <c r="S50" i="27"/>
  <c r="R50" i="27"/>
  <c r="M50" i="27"/>
  <c r="L50" i="27"/>
  <c r="K50" i="27"/>
  <c r="J50" i="27"/>
  <c r="I50" i="27"/>
  <c r="H50" i="27"/>
  <c r="S49" i="27"/>
  <c r="R49" i="27"/>
  <c r="M49" i="27"/>
  <c r="L49" i="27"/>
  <c r="K49" i="27"/>
  <c r="J49" i="27"/>
  <c r="I49" i="27"/>
  <c r="H49" i="27"/>
  <c r="S48" i="27"/>
  <c r="R48" i="27"/>
  <c r="M48" i="27"/>
  <c r="L48" i="27"/>
  <c r="K48" i="27"/>
  <c r="J48" i="27"/>
  <c r="I48" i="27"/>
  <c r="H48" i="27"/>
  <c r="S47" i="27"/>
  <c r="R47" i="27"/>
  <c r="M47" i="27"/>
  <c r="L47" i="27"/>
  <c r="K47" i="27"/>
  <c r="J47" i="27"/>
  <c r="I47" i="27"/>
  <c r="H47" i="27"/>
  <c r="S46" i="27"/>
  <c r="R46" i="27"/>
  <c r="M46" i="27"/>
  <c r="L46" i="27"/>
  <c r="K46" i="27"/>
  <c r="J46" i="27"/>
  <c r="I46" i="27"/>
  <c r="H46" i="27"/>
  <c r="S45" i="27"/>
  <c r="R45" i="27"/>
  <c r="M45" i="27"/>
  <c r="L45" i="27"/>
  <c r="K45" i="27"/>
  <c r="J45" i="27"/>
  <c r="I45" i="27"/>
  <c r="H45" i="27"/>
  <c r="S44" i="27"/>
  <c r="R44" i="27"/>
  <c r="M44" i="27"/>
  <c r="L44" i="27"/>
  <c r="K44" i="27"/>
  <c r="J44" i="27"/>
  <c r="I44" i="27"/>
  <c r="H44" i="27"/>
  <c r="S43" i="27"/>
  <c r="R43" i="27"/>
  <c r="M43" i="27"/>
  <c r="L43" i="27"/>
  <c r="K43" i="27"/>
  <c r="J43" i="27"/>
  <c r="I43" i="27"/>
  <c r="H43" i="27"/>
  <c r="S42" i="27"/>
  <c r="R42" i="27"/>
  <c r="M42" i="27"/>
  <c r="L42" i="27"/>
  <c r="K42" i="27"/>
  <c r="J42" i="27"/>
  <c r="I42" i="27"/>
  <c r="H42" i="27"/>
  <c r="S41" i="27"/>
  <c r="R41" i="27"/>
  <c r="M41" i="27"/>
  <c r="L41" i="27"/>
  <c r="K41" i="27"/>
  <c r="J41" i="27"/>
  <c r="I41" i="27"/>
  <c r="H41" i="27"/>
  <c r="S40" i="27"/>
  <c r="R40" i="27"/>
  <c r="M40" i="27"/>
  <c r="L40" i="27"/>
  <c r="K40" i="27"/>
  <c r="J40" i="27"/>
  <c r="I40" i="27"/>
  <c r="H40" i="27"/>
  <c r="S39" i="27"/>
  <c r="R39" i="27"/>
  <c r="M39" i="27"/>
  <c r="L39" i="27"/>
  <c r="K39" i="27"/>
  <c r="J39" i="27"/>
  <c r="I39" i="27"/>
  <c r="H39" i="27"/>
  <c r="S38" i="27"/>
  <c r="R38" i="27"/>
  <c r="M38" i="27"/>
  <c r="L38" i="27"/>
  <c r="K38" i="27"/>
  <c r="J38" i="27"/>
  <c r="I38" i="27"/>
  <c r="H38" i="27"/>
  <c r="S37" i="27"/>
  <c r="R37" i="27"/>
  <c r="M37" i="27"/>
  <c r="L37" i="27"/>
  <c r="K37" i="27"/>
  <c r="J37" i="27"/>
  <c r="I37" i="27"/>
  <c r="H37" i="27"/>
  <c r="S36" i="27"/>
  <c r="R36" i="27"/>
  <c r="M36" i="27"/>
  <c r="L36" i="27"/>
  <c r="K36" i="27"/>
  <c r="J36" i="27"/>
  <c r="I36" i="27"/>
  <c r="H36" i="27"/>
  <c r="S35" i="27"/>
  <c r="R35" i="27"/>
  <c r="M35" i="27"/>
  <c r="L35" i="27"/>
  <c r="K35" i="27"/>
  <c r="J35" i="27"/>
  <c r="I35" i="27"/>
  <c r="H35" i="27"/>
  <c r="S34" i="27"/>
  <c r="R34" i="27"/>
  <c r="M34" i="27"/>
  <c r="L34" i="27"/>
  <c r="K34" i="27"/>
  <c r="J34" i="27"/>
  <c r="I34" i="27"/>
  <c r="H34" i="27"/>
  <c r="S33" i="27"/>
  <c r="R33" i="27"/>
  <c r="M33" i="27"/>
  <c r="L33" i="27"/>
  <c r="K33" i="27"/>
  <c r="J33" i="27"/>
  <c r="I33" i="27"/>
  <c r="H33" i="27"/>
  <c r="S32" i="27"/>
  <c r="R32" i="27"/>
  <c r="M32" i="27"/>
  <c r="L32" i="27"/>
  <c r="K32" i="27"/>
  <c r="J32" i="27"/>
  <c r="I32" i="27"/>
  <c r="H32" i="27"/>
  <c r="S31" i="27"/>
  <c r="R31" i="27"/>
  <c r="M31" i="27"/>
  <c r="L31" i="27"/>
  <c r="K31" i="27"/>
  <c r="J31" i="27"/>
  <c r="I31" i="27"/>
  <c r="H31" i="27"/>
  <c r="S30" i="27"/>
  <c r="R30" i="27"/>
  <c r="M30" i="27"/>
  <c r="L30" i="27"/>
  <c r="K30" i="27"/>
  <c r="J30" i="27"/>
  <c r="I30" i="27"/>
  <c r="H30" i="27"/>
  <c r="S29" i="27"/>
  <c r="R29" i="27"/>
  <c r="M29" i="27"/>
  <c r="L29" i="27"/>
  <c r="K29" i="27"/>
  <c r="J29" i="27"/>
  <c r="I29" i="27"/>
  <c r="H29" i="27"/>
  <c r="M28" i="27"/>
  <c r="S28" i="27" s="1"/>
  <c r="L28" i="27"/>
  <c r="K28" i="27"/>
  <c r="J28" i="27"/>
  <c r="R28" i="27" s="1"/>
  <c r="I28" i="27"/>
  <c r="H28" i="27"/>
  <c r="J27" i="27"/>
  <c r="R27" i="27" s="1"/>
  <c r="I27" i="27"/>
  <c r="H27" i="27"/>
  <c r="J26" i="27"/>
  <c r="R26" i="27" s="1"/>
  <c r="I26" i="27"/>
  <c r="H26" i="27"/>
  <c r="J25" i="27"/>
  <c r="R25" i="27" s="1"/>
  <c r="I25" i="27"/>
  <c r="H25" i="27"/>
  <c r="J24" i="27"/>
  <c r="R24" i="27" s="1"/>
  <c r="I24" i="27"/>
  <c r="H24" i="27"/>
  <c r="J23" i="27"/>
  <c r="R23" i="27" s="1"/>
  <c r="I23" i="27"/>
  <c r="H23" i="27"/>
  <c r="J22" i="27"/>
  <c r="R22" i="27" s="1"/>
  <c r="I22" i="27"/>
  <c r="H22" i="27"/>
  <c r="S21" i="27"/>
  <c r="R21" i="27"/>
  <c r="M21" i="27"/>
  <c r="L21" i="27"/>
  <c r="L22" i="27" s="1"/>
  <c r="K21" i="27"/>
  <c r="K22" i="27" s="1"/>
  <c r="K23" i="27" s="1"/>
  <c r="K24" i="27" s="1"/>
  <c r="K25" i="27" s="1"/>
  <c r="K26" i="27" s="1"/>
  <c r="K27" i="27" s="1"/>
  <c r="J21" i="27"/>
  <c r="I21" i="27"/>
  <c r="H21" i="27"/>
  <c r="S20" i="27"/>
  <c r="R20" i="27"/>
  <c r="M20" i="27"/>
  <c r="L20" i="27"/>
  <c r="K20" i="27"/>
  <c r="J20" i="27"/>
  <c r="I20" i="27"/>
  <c r="H20" i="27"/>
  <c r="J19" i="27"/>
  <c r="R19" i="27" s="1"/>
  <c r="I19" i="27"/>
  <c r="H19" i="27"/>
  <c r="J18" i="27"/>
  <c r="R18" i="27" s="1"/>
  <c r="I18" i="27"/>
  <c r="H18" i="27"/>
  <c r="J17" i="27"/>
  <c r="R17" i="27" s="1"/>
  <c r="I17" i="27"/>
  <c r="H17" i="27"/>
  <c r="I16" i="27"/>
  <c r="H16" i="27"/>
  <c r="I15" i="27"/>
  <c r="H15" i="27"/>
  <c r="J15" i="27" s="1"/>
  <c r="R15" i="27" s="1"/>
  <c r="I14" i="27"/>
  <c r="J14" i="27" s="1"/>
  <c r="R14" i="27" s="1"/>
  <c r="H14" i="27"/>
  <c r="I13" i="27"/>
  <c r="H13" i="27"/>
  <c r="I12" i="27"/>
  <c r="J12" i="27" s="1"/>
  <c r="R12" i="27" s="1"/>
  <c r="H12" i="27"/>
  <c r="I11" i="27"/>
  <c r="H11" i="27"/>
  <c r="J11" i="27" s="1"/>
  <c r="R11" i="27" s="1"/>
  <c r="I10" i="27"/>
  <c r="H10" i="27"/>
  <c r="I9" i="27"/>
  <c r="J9" i="27" s="1"/>
  <c r="R9" i="27" s="1"/>
  <c r="H9" i="27"/>
  <c r="I8" i="27"/>
  <c r="J8" i="27" s="1"/>
  <c r="R8" i="27" s="1"/>
  <c r="H8" i="27"/>
  <c r="I7" i="27"/>
  <c r="L7" i="27" s="1"/>
  <c r="L8" i="27" s="1"/>
  <c r="H7" i="27"/>
  <c r="K7" i="27" s="1"/>
  <c r="K8" i="27" s="1"/>
  <c r="K9" i="27" s="1"/>
  <c r="K10" i="27" s="1"/>
  <c r="K11" i="27" s="1"/>
  <c r="K12" i="27" s="1"/>
  <c r="K13" i="27" s="1"/>
  <c r="K14" i="27" s="1"/>
  <c r="J7" i="27" l="1"/>
  <c r="R7" i="27" s="1"/>
  <c r="J13" i="27"/>
  <c r="R13" i="27" s="1"/>
  <c r="L47" i="30"/>
  <c r="M46" i="30"/>
  <c r="S46" i="30" s="1"/>
  <c r="M13" i="33"/>
  <c r="S13" i="33" s="1"/>
  <c r="L14" i="33"/>
  <c r="M12" i="32"/>
  <c r="S12" i="32" s="1"/>
  <c r="L13" i="32"/>
  <c r="M13" i="31"/>
  <c r="S13" i="31" s="1"/>
  <c r="L14" i="31"/>
  <c r="M12" i="30"/>
  <c r="S12" i="30" s="1"/>
  <c r="L13" i="30"/>
  <c r="L12" i="29"/>
  <c r="M11" i="29"/>
  <c r="S11" i="29" s="1"/>
  <c r="L10" i="28"/>
  <c r="M9" i="28"/>
  <c r="S9" i="28" s="1"/>
  <c r="J16" i="27"/>
  <c r="R16" i="27" s="1"/>
  <c r="K15" i="27"/>
  <c r="K16" i="27" s="1"/>
  <c r="K17" i="27" s="1"/>
  <c r="K18" i="27" s="1"/>
  <c r="K19" i="27" s="1"/>
  <c r="J10" i="27"/>
  <c r="R10" i="27" s="1"/>
  <c r="L9" i="27"/>
  <c r="M8" i="27"/>
  <c r="S8" i="27" s="1"/>
  <c r="L23" i="27"/>
  <c r="M22" i="27"/>
  <c r="S22" i="27" s="1"/>
  <c r="M7" i="27"/>
  <c r="S7" i="27" s="1"/>
  <c r="G16" i="26"/>
  <c r="L48" i="30" l="1"/>
  <c r="M47" i="30"/>
  <c r="S47" i="30" s="1"/>
  <c r="M14" i="33"/>
  <c r="S14" i="33" s="1"/>
  <c r="L15" i="33"/>
  <c r="M13" i="32"/>
  <c r="S13" i="32" s="1"/>
  <c r="L14" i="32"/>
  <c r="M14" i="31"/>
  <c r="S14" i="31" s="1"/>
  <c r="L15" i="31"/>
  <c r="M13" i="30"/>
  <c r="S13" i="30" s="1"/>
  <c r="L14" i="30"/>
  <c r="M12" i="29"/>
  <c r="S12" i="29" s="1"/>
  <c r="L13" i="29"/>
  <c r="M10" i="28"/>
  <c r="S10" i="28" s="1"/>
  <c r="L11" i="28"/>
  <c r="M23" i="27"/>
  <c r="S23" i="27" s="1"/>
  <c r="L24" i="27"/>
  <c r="M9" i="27"/>
  <c r="S9" i="27" s="1"/>
  <c r="L10" i="27"/>
  <c r="S112" i="26"/>
  <c r="R112" i="26"/>
  <c r="M112" i="26"/>
  <c r="L112" i="26"/>
  <c r="K112" i="26"/>
  <c r="J112" i="26"/>
  <c r="I112" i="26"/>
  <c r="H112" i="26"/>
  <c r="S111" i="26"/>
  <c r="R111" i="26"/>
  <c r="M111" i="26"/>
  <c r="L111" i="26"/>
  <c r="K111" i="26"/>
  <c r="J111" i="26"/>
  <c r="I111" i="26"/>
  <c r="H111" i="26"/>
  <c r="S110" i="26"/>
  <c r="R110" i="26"/>
  <c r="M110" i="26"/>
  <c r="L110" i="26"/>
  <c r="K110" i="26"/>
  <c r="J110" i="26"/>
  <c r="I110" i="26"/>
  <c r="H110" i="26"/>
  <c r="S109" i="26"/>
  <c r="R109" i="26"/>
  <c r="M109" i="26"/>
  <c r="L109" i="26"/>
  <c r="K109" i="26"/>
  <c r="J109" i="26"/>
  <c r="I109" i="26"/>
  <c r="H109" i="26"/>
  <c r="S108" i="26"/>
  <c r="R108" i="26"/>
  <c r="M108" i="26"/>
  <c r="L108" i="26"/>
  <c r="K108" i="26"/>
  <c r="J108" i="26"/>
  <c r="I108" i="26"/>
  <c r="H108" i="26"/>
  <c r="S107" i="26"/>
  <c r="R107" i="26"/>
  <c r="M107" i="26"/>
  <c r="L107" i="26"/>
  <c r="K107" i="26"/>
  <c r="J107" i="26"/>
  <c r="I107" i="26"/>
  <c r="H107" i="26"/>
  <c r="S106" i="26"/>
  <c r="R106" i="26"/>
  <c r="M106" i="26"/>
  <c r="L106" i="26"/>
  <c r="K106" i="26"/>
  <c r="J106" i="26"/>
  <c r="I106" i="26"/>
  <c r="H106" i="26"/>
  <c r="S105" i="26"/>
  <c r="R105" i="26"/>
  <c r="M105" i="26"/>
  <c r="L105" i="26"/>
  <c r="K105" i="26"/>
  <c r="J105" i="26"/>
  <c r="I105" i="26"/>
  <c r="H105" i="26"/>
  <c r="S104" i="26"/>
  <c r="R104" i="26"/>
  <c r="M104" i="26"/>
  <c r="L104" i="26"/>
  <c r="K104" i="26"/>
  <c r="J104" i="26"/>
  <c r="I104" i="26"/>
  <c r="H104" i="26"/>
  <c r="S103" i="26"/>
  <c r="R103" i="26"/>
  <c r="M103" i="26"/>
  <c r="L103" i="26"/>
  <c r="K103" i="26"/>
  <c r="J103" i="26"/>
  <c r="I103" i="26"/>
  <c r="H103" i="26"/>
  <c r="S102" i="26"/>
  <c r="R102" i="26"/>
  <c r="M102" i="26"/>
  <c r="L102" i="26"/>
  <c r="K102" i="26"/>
  <c r="J102" i="26"/>
  <c r="I102" i="26"/>
  <c r="H102" i="26"/>
  <c r="S101" i="26"/>
  <c r="R101" i="26"/>
  <c r="M101" i="26"/>
  <c r="L101" i="26"/>
  <c r="K101" i="26"/>
  <c r="J101" i="26"/>
  <c r="I101" i="26"/>
  <c r="H101" i="26"/>
  <c r="S100" i="26"/>
  <c r="R100" i="26"/>
  <c r="M100" i="26"/>
  <c r="L100" i="26"/>
  <c r="K100" i="26"/>
  <c r="J100" i="26"/>
  <c r="I100" i="26"/>
  <c r="H100" i="26"/>
  <c r="S99" i="26"/>
  <c r="R99" i="26"/>
  <c r="M99" i="26"/>
  <c r="L99" i="26"/>
  <c r="K99" i="26"/>
  <c r="J99" i="26"/>
  <c r="I99" i="26"/>
  <c r="H99" i="26"/>
  <c r="S98" i="26"/>
  <c r="R98" i="26"/>
  <c r="M98" i="26"/>
  <c r="L98" i="26"/>
  <c r="K98" i="26"/>
  <c r="J98" i="26"/>
  <c r="I98" i="26"/>
  <c r="H98" i="26"/>
  <c r="S97" i="26"/>
  <c r="R97" i="26"/>
  <c r="M97" i="26"/>
  <c r="L97" i="26"/>
  <c r="K97" i="26"/>
  <c r="J97" i="26"/>
  <c r="I97" i="26"/>
  <c r="H97" i="26"/>
  <c r="S96" i="26"/>
  <c r="R96" i="26"/>
  <c r="M96" i="26"/>
  <c r="L96" i="26"/>
  <c r="K96" i="26"/>
  <c r="J96" i="26"/>
  <c r="I96" i="26"/>
  <c r="H96" i="26"/>
  <c r="S95" i="26"/>
  <c r="R95" i="26"/>
  <c r="M95" i="26"/>
  <c r="L95" i="26"/>
  <c r="K95" i="26"/>
  <c r="J95" i="26"/>
  <c r="I95" i="26"/>
  <c r="H95" i="26"/>
  <c r="S94" i="26"/>
  <c r="R94" i="26"/>
  <c r="M94" i="26"/>
  <c r="L94" i="26"/>
  <c r="K94" i="26"/>
  <c r="J94" i="26"/>
  <c r="I94" i="26"/>
  <c r="H94" i="26"/>
  <c r="S93" i="26"/>
  <c r="R93" i="26"/>
  <c r="M93" i="26"/>
  <c r="L93" i="26"/>
  <c r="K93" i="26"/>
  <c r="J93" i="26"/>
  <c r="I93" i="26"/>
  <c r="H93" i="26"/>
  <c r="S92" i="26"/>
  <c r="R92" i="26"/>
  <c r="M92" i="26"/>
  <c r="L92" i="26"/>
  <c r="K92" i="26"/>
  <c r="J92" i="26"/>
  <c r="I92" i="26"/>
  <c r="H92" i="26"/>
  <c r="S91" i="26"/>
  <c r="R91" i="26"/>
  <c r="M91" i="26"/>
  <c r="L91" i="26"/>
  <c r="K91" i="26"/>
  <c r="J91" i="26"/>
  <c r="I91" i="26"/>
  <c r="H91" i="26"/>
  <c r="S90" i="26"/>
  <c r="R90" i="26"/>
  <c r="M90" i="26"/>
  <c r="L90" i="26"/>
  <c r="K90" i="26"/>
  <c r="J90" i="26"/>
  <c r="I90" i="26"/>
  <c r="H90" i="26"/>
  <c r="S89" i="26"/>
  <c r="R89" i="26"/>
  <c r="M89" i="26"/>
  <c r="L89" i="26"/>
  <c r="K89" i="26"/>
  <c r="J89" i="26"/>
  <c r="I89" i="26"/>
  <c r="H89" i="26"/>
  <c r="S88" i="26"/>
  <c r="R88" i="26"/>
  <c r="M88" i="26"/>
  <c r="L88" i="26"/>
  <c r="K88" i="26"/>
  <c r="J88" i="26"/>
  <c r="I88" i="26"/>
  <c r="H88" i="26"/>
  <c r="S87" i="26"/>
  <c r="R87" i="26"/>
  <c r="M87" i="26"/>
  <c r="L87" i="26"/>
  <c r="K87" i="26"/>
  <c r="J87" i="26"/>
  <c r="I87" i="26"/>
  <c r="H87" i="26"/>
  <c r="S86" i="26"/>
  <c r="R86" i="26"/>
  <c r="M86" i="26"/>
  <c r="L86" i="26"/>
  <c r="K86" i="26"/>
  <c r="J86" i="26"/>
  <c r="I86" i="26"/>
  <c r="H86" i="26"/>
  <c r="S85" i="26"/>
  <c r="R85" i="26"/>
  <c r="M85" i="26"/>
  <c r="L85" i="26"/>
  <c r="K85" i="26"/>
  <c r="J85" i="26"/>
  <c r="I85" i="26"/>
  <c r="H85" i="26"/>
  <c r="S84" i="26"/>
  <c r="R84" i="26"/>
  <c r="M84" i="26"/>
  <c r="L84" i="26"/>
  <c r="K84" i="26"/>
  <c r="J84" i="26"/>
  <c r="I84" i="26"/>
  <c r="H84" i="26"/>
  <c r="S83" i="26"/>
  <c r="R83" i="26"/>
  <c r="M83" i="26"/>
  <c r="L83" i="26"/>
  <c r="K83" i="26"/>
  <c r="J83" i="26"/>
  <c r="I83" i="26"/>
  <c r="H83" i="26"/>
  <c r="S82" i="26"/>
  <c r="R82" i="26"/>
  <c r="M82" i="26"/>
  <c r="L82" i="26"/>
  <c r="K82" i="26"/>
  <c r="J82" i="26"/>
  <c r="I82" i="26"/>
  <c r="H82" i="26"/>
  <c r="S81" i="26"/>
  <c r="R81" i="26"/>
  <c r="M81" i="26"/>
  <c r="L81" i="26"/>
  <c r="K81" i="26"/>
  <c r="J81" i="26"/>
  <c r="I81" i="26"/>
  <c r="H81" i="26"/>
  <c r="S80" i="26"/>
  <c r="R80" i="26"/>
  <c r="M80" i="26"/>
  <c r="L80" i="26"/>
  <c r="K80" i="26"/>
  <c r="J80" i="26"/>
  <c r="I80" i="26"/>
  <c r="H80" i="26"/>
  <c r="S79" i="26"/>
  <c r="R79" i="26"/>
  <c r="M79" i="26"/>
  <c r="L79" i="26"/>
  <c r="K79" i="26"/>
  <c r="J79" i="26"/>
  <c r="I79" i="26"/>
  <c r="H79" i="26"/>
  <c r="S78" i="26"/>
  <c r="R78" i="26"/>
  <c r="M78" i="26"/>
  <c r="L78" i="26"/>
  <c r="K78" i="26"/>
  <c r="J78" i="26"/>
  <c r="I78" i="26"/>
  <c r="H78" i="26"/>
  <c r="S77" i="26"/>
  <c r="R77" i="26"/>
  <c r="M77" i="26"/>
  <c r="L77" i="26"/>
  <c r="K77" i="26"/>
  <c r="J77" i="26"/>
  <c r="I77" i="26"/>
  <c r="H77" i="26"/>
  <c r="S76" i="26"/>
  <c r="R76" i="26"/>
  <c r="M76" i="26"/>
  <c r="L76" i="26"/>
  <c r="K76" i="26"/>
  <c r="J76" i="26"/>
  <c r="I76" i="26"/>
  <c r="H76" i="26"/>
  <c r="S75" i="26"/>
  <c r="R75" i="26"/>
  <c r="M75" i="26"/>
  <c r="L75" i="26"/>
  <c r="K75" i="26"/>
  <c r="J75" i="26"/>
  <c r="I75" i="26"/>
  <c r="H75" i="26"/>
  <c r="S74" i="26"/>
  <c r="R74" i="26"/>
  <c r="M74" i="26"/>
  <c r="L74" i="26"/>
  <c r="K74" i="26"/>
  <c r="J74" i="26"/>
  <c r="I74" i="26"/>
  <c r="H74" i="26"/>
  <c r="S73" i="26"/>
  <c r="R73" i="26"/>
  <c r="M73" i="26"/>
  <c r="L73" i="26"/>
  <c r="K73" i="26"/>
  <c r="J73" i="26"/>
  <c r="I73" i="26"/>
  <c r="H73" i="26"/>
  <c r="S72" i="26"/>
  <c r="R72" i="26"/>
  <c r="M72" i="26"/>
  <c r="L72" i="26"/>
  <c r="K72" i="26"/>
  <c r="J72" i="26"/>
  <c r="I72" i="26"/>
  <c r="H72" i="26"/>
  <c r="S71" i="26"/>
  <c r="R71" i="26"/>
  <c r="M71" i="26"/>
  <c r="L71" i="26"/>
  <c r="K71" i="26"/>
  <c r="J71" i="26"/>
  <c r="I71" i="26"/>
  <c r="H71" i="26"/>
  <c r="S70" i="26"/>
  <c r="R70" i="26"/>
  <c r="M70" i="26"/>
  <c r="L70" i="26"/>
  <c r="K70" i="26"/>
  <c r="J70" i="26"/>
  <c r="I70" i="26"/>
  <c r="H70" i="26"/>
  <c r="S69" i="26"/>
  <c r="R69" i="26"/>
  <c r="M69" i="26"/>
  <c r="L69" i="26"/>
  <c r="K69" i="26"/>
  <c r="J69" i="26"/>
  <c r="I69" i="26"/>
  <c r="H69" i="26"/>
  <c r="S68" i="26"/>
  <c r="R68" i="26"/>
  <c r="M68" i="26"/>
  <c r="L68" i="26"/>
  <c r="K68" i="26"/>
  <c r="J68" i="26"/>
  <c r="I68" i="26"/>
  <c r="H68" i="26"/>
  <c r="S67" i="26"/>
  <c r="R67" i="26"/>
  <c r="M67" i="26"/>
  <c r="L67" i="26"/>
  <c r="K67" i="26"/>
  <c r="J67" i="26"/>
  <c r="I67" i="26"/>
  <c r="H67" i="26"/>
  <c r="S66" i="26"/>
  <c r="R66" i="26"/>
  <c r="M66" i="26"/>
  <c r="L66" i="26"/>
  <c r="K66" i="26"/>
  <c r="J66" i="26"/>
  <c r="I66" i="26"/>
  <c r="H66" i="26"/>
  <c r="S65" i="26"/>
  <c r="R65" i="26"/>
  <c r="M65" i="26"/>
  <c r="L65" i="26"/>
  <c r="K65" i="26"/>
  <c r="J65" i="26"/>
  <c r="I65" i="26"/>
  <c r="H65" i="26"/>
  <c r="S64" i="26"/>
  <c r="R64" i="26"/>
  <c r="M64" i="26"/>
  <c r="L64" i="26"/>
  <c r="K64" i="26"/>
  <c r="J64" i="26"/>
  <c r="I64" i="26"/>
  <c r="H64" i="26"/>
  <c r="S63" i="26"/>
  <c r="R63" i="26"/>
  <c r="M63" i="26"/>
  <c r="L63" i="26"/>
  <c r="K63" i="26"/>
  <c r="J63" i="26"/>
  <c r="I63" i="26"/>
  <c r="H63" i="26"/>
  <c r="S62" i="26"/>
  <c r="R62" i="26"/>
  <c r="M62" i="26"/>
  <c r="L62" i="26"/>
  <c r="K62" i="26"/>
  <c r="J62" i="26"/>
  <c r="I62" i="26"/>
  <c r="H62" i="26"/>
  <c r="S61" i="26"/>
  <c r="R61" i="26"/>
  <c r="M61" i="26"/>
  <c r="L61" i="26"/>
  <c r="K61" i="26"/>
  <c r="J61" i="26"/>
  <c r="I61" i="26"/>
  <c r="H61" i="26"/>
  <c r="S60" i="26"/>
  <c r="R60" i="26"/>
  <c r="M60" i="26"/>
  <c r="L60" i="26"/>
  <c r="K60" i="26"/>
  <c r="J60" i="26"/>
  <c r="I60" i="26"/>
  <c r="H60" i="26"/>
  <c r="S59" i="26"/>
  <c r="R59" i="26"/>
  <c r="M59" i="26"/>
  <c r="L59" i="26"/>
  <c r="K59" i="26"/>
  <c r="J59" i="26"/>
  <c r="I59" i="26"/>
  <c r="H59" i="26"/>
  <c r="S58" i="26"/>
  <c r="R58" i="26"/>
  <c r="M58" i="26"/>
  <c r="L58" i="26"/>
  <c r="K58" i="26"/>
  <c r="J58" i="26"/>
  <c r="I58" i="26"/>
  <c r="H58" i="26"/>
  <c r="S57" i="26"/>
  <c r="R57" i="26"/>
  <c r="M57" i="26"/>
  <c r="L57" i="26"/>
  <c r="K57" i="26"/>
  <c r="J57" i="26"/>
  <c r="I57" i="26"/>
  <c r="H57" i="26"/>
  <c r="S56" i="26"/>
  <c r="R56" i="26"/>
  <c r="M56" i="26"/>
  <c r="L56" i="26"/>
  <c r="K56" i="26"/>
  <c r="J56" i="26"/>
  <c r="I56" i="26"/>
  <c r="H56" i="26"/>
  <c r="S55" i="26"/>
  <c r="R55" i="26"/>
  <c r="M55" i="26"/>
  <c r="L55" i="26"/>
  <c r="K55" i="26"/>
  <c r="J55" i="26"/>
  <c r="I55" i="26"/>
  <c r="H55" i="26"/>
  <c r="S54" i="26"/>
  <c r="R54" i="26"/>
  <c r="M54" i="26"/>
  <c r="L54" i="26"/>
  <c r="K54" i="26"/>
  <c r="J54" i="26"/>
  <c r="I54" i="26"/>
  <c r="H54" i="26"/>
  <c r="S53" i="26"/>
  <c r="R53" i="26"/>
  <c r="M53" i="26"/>
  <c r="L53" i="26"/>
  <c r="K53" i="26"/>
  <c r="J53" i="26"/>
  <c r="I53" i="26"/>
  <c r="H53" i="26"/>
  <c r="S52" i="26"/>
  <c r="R52" i="26"/>
  <c r="M52" i="26"/>
  <c r="L52" i="26"/>
  <c r="K52" i="26"/>
  <c r="J52" i="26"/>
  <c r="I52" i="26"/>
  <c r="H52" i="26"/>
  <c r="S51" i="26"/>
  <c r="R51" i="26"/>
  <c r="M51" i="26"/>
  <c r="L51" i="26"/>
  <c r="K51" i="26"/>
  <c r="J51" i="26"/>
  <c r="I51" i="26"/>
  <c r="H51" i="26"/>
  <c r="S50" i="26"/>
  <c r="R50" i="26"/>
  <c r="M50" i="26"/>
  <c r="L50" i="26"/>
  <c r="K50" i="26"/>
  <c r="J50" i="26"/>
  <c r="I50" i="26"/>
  <c r="H50" i="26"/>
  <c r="S49" i="26"/>
  <c r="R49" i="26"/>
  <c r="M49" i="26"/>
  <c r="L49" i="26"/>
  <c r="K49" i="26"/>
  <c r="J49" i="26"/>
  <c r="I49" i="26"/>
  <c r="H49" i="26"/>
  <c r="S48" i="26"/>
  <c r="R48" i="26"/>
  <c r="M48" i="26"/>
  <c r="L48" i="26"/>
  <c r="K48" i="26"/>
  <c r="J48" i="26"/>
  <c r="I48" i="26"/>
  <c r="H48" i="26"/>
  <c r="S47" i="26"/>
  <c r="R47" i="26"/>
  <c r="M47" i="26"/>
  <c r="L47" i="26"/>
  <c r="K47" i="26"/>
  <c r="J47" i="26"/>
  <c r="I47" i="26"/>
  <c r="H47" i="26"/>
  <c r="S46" i="26"/>
  <c r="R46" i="26"/>
  <c r="M46" i="26"/>
  <c r="L46" i="26"/>
  <c r="K46" i="26"/>
  <c r="J46" i="26"/>
  <c r="I46" i="26"/>
  <c r="H46" i="26"/>
  <c r="S45" i="26"/>
  <c r="R45" i="26"/>
  <c r="M45" i="26"/>
  <c r="L45" i="26"/>
  <c r="K45" i="26"/>
  <c r="J45" i="26"/>
  <c r="I45" i="26"/>
  <c r="H45" i="26"/>
  <c r="S44" i="26"/>
  <c r="R44" i="26"/>
  <c r="M44" i="26"/>
  <c r="L44" i="26"/>
  <c r="K44" i="26"/>
  <c r="J44" i="26"/>
  <c r="I44" i="26"/>
  <c r="H44" i="26"/>
  <c r="S43" i="26"/>
  <c r="R43" i="26"/>
  <c r="M43" i="26"/>
  <c r="L43" i="26"/>
  <c r="K43" i="26"/>
  <c r="J43" i="26"/>
  <c r="I43" i="26"/>
  <c r="H43" i="26"/>
  <c r="S42" i="26"/>
  <c r="R42" i="26"/>
  <c r="M42" i="26"/>
  <c r="L42" i="26"/>
  <c r="K42" i="26"/>
  <c r="J42" i="26"/>
  <c r="I42" i="26"/>
  <c r="H42" i="26"/>
  <c r="I41" i="26"/>
  <c r="H41" i="26"/>
  <c r="I40" i="26"/>
  <c r="H40" i="26"/>
  <c r="I39" i="26"/>
  <c r="H39" i="26"/>
  <c r="J38" i="26"/>
  <c r="R38" i="26" s="1"/>
  <c r="I38" i="26"/>
  <c r="H38" i="26"/>
  <c r="I37" i="26"/>
  <c r="H37" i="26"/>
  <c r="I36" i="26"/>
  <c r="J36" i="26" s="1"/>
  <c r="R36" i="26" s="1"/>
  <c r="H36" i="26"/>
  <c r="I35" i="26"/>
  <c r="H35" i="26"/>
  <c r="I34" i="26"/>
  <c r="J34" i="26" s="1"/>
  <c r="R34" i="26" s="1"/>
  <c r="H34" i="26"/>
  <c r="I33" i="26"/>
  <c r="H33" i="26"/>
  <c r="I32" i="26"/>
  <c r="J32" i="26" s="1"/>
  <c r="R32" i="26" s="1"/>
  <c r="H32" i="26"/>
  <c r="I31" i="26"/>
  <c r="H31" i="26"/>
  <c r="I30" i="26"/>
  <c r="H30" i="26"/>
  <c r="I29" i="26"/>
  <c r="H29" i="26"/>
  <c r="I28" i="26"/>
  <c r="H28" i="26"/>
  <c r="I27" i="26"/>
  <c r="H27" i="26"/>
  <c r="I26" i="26"/>
  <c r="H26" i="26"/>
  <c r="I25" i="26"/>
  <c r="H25" i="26"/>
  <c r="I24" i="26"/>
  <c r="H24" i="26"/>
  <c r="I23" i="26"/>
  <c r="H23" i="26"/>
  <c r="I22" i="26"/>
  <c r="H22" i="26"/>
  <c r="I21" i="26"/>
  <c r="H21" i="26"/>
  <c r="I20" i="26"/>
  <c r="H20" i="26"/>
  <c r="I19" i="26"/>
  <c r="H19" i="26"/>
  <c r="I18" i="26"/>
  <c r="H18" i="26"/>
  <c r="I17" i="26"/>
  <c r="H17" i="26"/>
  <c r="I16" i="26"/>
  <c r="H16" i="26"/>
  <c r="I15" i="26"/>
  <c r="H15" i="26"/>
  <c r="I14" i="26"/>
  <c r="H14" i="26"/>
  <c r="I13" i="26"/>
  <c r="H13" i="26"/>
  <c r="I12" i="26"/>
  <c r="H12" i="26"/>
  <c r="I11" i="26"/>
  <c r="H11" i="26"/>
  <c r="I10" i="26"/>
  <c r="H10" i="26"/>
  <c r="I9" i="26"/>
  <c r="H9" i="26"/>
  <c r="I8" i="26"/>
  <c r="H8" i="26"/>
  <c r="I7" i="26"/>
  <c r="L7" i="26" s="1"/>
  <c r="H7" i="26"/>
  <c r="K7" i="26" s="1"/>
  <c r="J11" i="26" l="1"/>
  <c r="R11" i="26" s="1"/>
  <c r="J15" i="26"/>
  <c r="R15" i="26" s="1"/>
  <c r="J19" i="26"/>
  <c r="R19" i="26" s="1"/>
  <c r="M15" i="33"/>
  <c r="S15" i="33" s="1"/>
  <c r="L16" i="33"/>
  <c r="M14" i="30"/>
  <c r="S14" i="30" s="1"/>
  <c r="L15" i="30"/>
  <c r="L49" i="30"/>
  <c r="M48" i="30"/>
  <c r="S48" i="30" s="1"/>
  <c r="M14" i="32"/>
  <c r="S14" i="32" s="1"/>
  <c r="L15" i="32"/>
  <c r="L16" i="31"/>
  <c r="M15" i="31"/>
  <c r="S15" i="31" s="1"/>
  <c r="L14" i="29"/>
  <c r="M13" i="29"/>
  <c r="S13" i="29" s="1"/>
  <c r="L12" i="28"/>
  <c r="M11" i="28"/>
  <c r="S11" i="28" s="1"/>
  <c r="M10" i="27"/>
  <c r="S10" i="27" s="1"/>
  <c r="L11" i="27"/>
  <c r="L25" i="27"/>
  <c r="M24" i="27"/>
  <c r="S24" i="27" s="1"/>
  <c r="J27" i="26"/>
  <c r="R27" i="26" s="1"/>
  <c r="J23" i="26"/>
  <c r="R23" i="26" s="1"/>
  <c r="J35" i="26"/>
  <c r="R35" i="26" s="1"/>
  <c r="J41" i="26"/>
  <c r="R41" i="26" s="1"/>
  <c r="J33" i="26"/>
  <c r="R33" i="26" s="1"/>
  <c r="J40" i="26"/>
  <c r="R40" i="26" s="1"/>
  <c r="J39" i="26"/>
  <c r="R39" i="26" s="1"/>
  <c r="J37" i="26"/>
  <c r="R37" i="26" s="1"/>
  <c r="J31" i="26"/>
  <c r="R31" i="26" s="1"/>
  <c r="J8" i="26"/>
  <c r="R8" i="26" s="1"/>
  <c r="J28" i="26"/>
  <c r="R28" i="26" s="1"/>
  <c r="J29" i="26"/>
  <c r="R29" i="26" s="1"/>
  <c r="J16" i="26"/>
  <c r="R16" i="26" s="1"/>
  <c r="J9" i="26"/>
  <c r="R9" i="26" s="1"/>
  <c r="J13" i="26"/>
  <c r="R13" i="26" s="1"/>
  <c r="J25" i="26"/>
  <c r="R25" i="26" s="1"/>
  <c r="K8" i="26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J18" i="26"/>
  <c r="R18" i="26" s="1"/>
  <c r="J26" i="26"/>
  <c r="R26" i="26" s="1"/>
  <c r="J12" i="26"/>
  <c r="R12" i="26" s="1"/>
  <c r="J24" i="26"/>
  <c r="R24" i="26" s="1"/>
  <c r="J21" i="26"/>
  <c r="R21" i="26" s="1"/>
  <c r="J10" i="26"/>
  <c r="R10" i="26" s="1"/>
  <c r="J14" i="26"/>
  <c r="R14" i="26" s="1"/>
  <c r="J22" i="26"/>
  <c r="R22" i="26" s="1"/>
  <c r="J30" i="26"/>
  <c r="R30" i="26" s="1"/>
  <c r="J20" i="26"/>
  <c r="R20" i="26" s="1"/>
  <c r="J17" i="26"/>
  <c r="R17" i="26" s="1"/>
  <c r="J7" i="26"/>
  <c r="R7" i="26" s="1"/>
  <c r="M7" i="26"/>
  <c r="S7" i="26" s="1"/>
  <c r="L8" i="26"/>
  <c r="M15" i="30" l="1"/>
  <c r="S15" i="30" s="1"/>
  <c r="L16" i="30"/>
  <c r="M16" i="30" s="1"/>
  <c r="S16" i="30" s="1"/>
  <c r="M16" i="33"/>
  <c r="S16" i="33" s="1"/>
  <c r="L17" i="33"/>
  <c r="M15" i="32"/>
  <c r="S15" i="32" s="1"/>
  <c r="L16" i="32"/>
  <c r="M16" i="31"/>
  <c r="S16" i="31" s="1"/>
  <c r="L17" i="31"/>
  <c r="M14" i="29"/>
  <c r="S14" i="29" s="1"/>
  <c r="L15" i="29"/>
  <c r="L13" i="28"/>
  <c r="M12" i="28"/>
  <c r="S12" i="28" s="1"/>
  <c r="M25" i="27"/>
  <c r="S25" i="27" s="1"/>
  <c r="L26" i="27"/>
  <c r="L12" i="27"/>
  <c r="M11" i="27"/>
  <c r="S11" i="27" s="1"/>
  <c r="M8" i="26"/>
  <c r="S8" i="26" s="1"/>
  <c r="L9" i="26"/>
  <c r="G41" i="25"/>
  <c r="G39" i="25"/>
  <c r="G38" i="25"/>
  <c r="M17" i="33" l="1"/>
  <c r="S17" i="33" s="1"/>
  <c r="L18" i="33"/>
  <c r="M16" i="32"/>
  <c r="S16" i="32" s="1"/>
  <c r="L17" i="32"/>
  <c r="L18" i="31"/>
  <c r="M17" i="31"/>
  <c r="S17" i="31" s="1"/>
  <c r="L16" i="29"/>
  <c r="M15" i="29"/>
  <c r="S15" i="29" s="1"/>
  <c r="M13" i="28"/>
  <c r="S13" i="28" s="1"/>
  <c r="L14" i="28"/>
  <c r="M12" i="27"/>
  <c r="S12" i="27" s="1"/>
  <c r="L13" i="27"/>
  <c r="L27" i="27"/>
  <c r="M27" i="27" s="1"/>
  <c r="S27" i="27" s="1"/>
  <c r="M26" i="27"/>
  <c r="S26" i="27" s="1"/>
  <c r="M9" i="26"/>
  <c r="S9" i="26" s="1"/>
  <c r="L10" i="26"/>
  <c r="S112" i="25"/>
  <c r="R112" i="25"/>
  <c r="M112" i="25"/>
  <c r="L112" i="25"/>
  <c r="K112" i="25"/>
  <c r="J112" i="25"/>
  <c r="I112" i="25"/>
  <c r="H112" i="25"/>
  <c r="S111" i="25"/>
  <c r="R111" i="25"/>
  <c r="M111" i="25"/>
  <c r="L111" i="25"/>
  <c r="K111" i="25"/>
  <c r="J111" i="25"/>
  <c r="I111" i="25"/>
  <c r="H111" i="25"/>
  <c r="S110" i="25"/>
  <c r="R110" i="25"/>
  <c r="M110" i="25"/>
  <c r="L110" i="25"/>
  <c r="K110" i="25"/>
  <c r="J110" i="25"/>
  <c r="I110" i="25"/>
  <c r="H110" i="25"/>
  <c r="S109" i="25"/>
  <c r="R109" i="25"/>
  <c r="M109" i="25"/>
  <c r="L109" i="25"/>
  <c r="K109" i="25"/>
  <c r="J109" i="25"/>
  <c r="I109" i="25"/>
  <c r="H109" i="25"/>
  <c r="S108" i="25"/>
  <c r="R108" i="25"/>
  <c r="M108" i="25"/>
  <c r="L108" i="25"/>
  <c r="K108" i="25"/>
  <c r="J108" i="25"/>
  <c r="I108" i="25"/>
  <c r="H108" i="25"/>
  <c r="S107" i="25"/>
  <c r="R107" i="25"/>
  <c r="M107" i="25"/>
  <c r="L107" i="25"/>
  <c r="K107" i="25"/>
  <c r="J107" i="25"/>
  <c r="I107" i="25"/>
  <c r="H107" i="25"/>
  <c r="S106" i="25"/>
  <c r="R106" i="25"/>
  <c r="M106" i="25"/>
  <c r="L106" i="25"/>
  <c r="K106" i="25"/>
  <c r="J106" i="25"/>
  <c r="I106" i="25"/>
  <c r="H106" i="25"/>
  <c r="S105" i="25"/>
  <c r="R105" i="25"/>
  <c r="M105" i="25"/>
  <c r="L105" i="25"/>
  <c r="K105" i="25"/>
  <c r="J105" i="25"/>
  <c r="I105" i="25"/>
  <c r="H105" i="25"/>
  <c r="S104" i="25"/>
  <c r="R104" i="25"/>
  <c r="M104" i="25"/>
  <c r="L104" i="25"/>
  <c r="K104" i="25"/>
  <c r="J104" i="25"/>
  <c r="I104" i="25"/>
  <c r="H104" i="25"/>
  <c r="S103" i="25"/>
  <c r="R103" i="25"/>
  <c r="M103" i="25"/>
  <c r="L103" i="25"/>
  <c r="K103" i="25"/>
  <c r="J103" i="25"/>
  <c r="I103" i="25"/>
  <c r="H103" i="25"/>
  <c r="S102" i="25"/>
  <c r="R102" i="25"/>
  <c r="M102" i="25"/>
  <c r="L102" i="25"/>
  <c r="K102" i="25"/>
  <c r="J102" i="25"/>
  <c r="I102" i="25"/>
  <c r="H102" i="25"/>
  <c r="S101" i="25"/>
  <c r="R101" i="25"/>
  <c r="M101" i="25"/>
  <c r="L101" i="25"/>
  <c r="K101" i="25"/>
  <c r="J101" i="25"/>
  <c r="I101" i="25"/>
  <c r="H101" i="25"/>
  <c r="S100" i="25"/>
  <c r="R100" i="25"/>
  <c r="M100" i="25"/>
  <c r="L100" i="25"/>
  <c r="K100" i="25"/>
  <c r="J100" i="25"/>
  <c r="I100" i="25"/>
  <c r="H100" i="25"/>
  <c r="S99" i="25"/>
  <c r="R99" i="25"/>
  <c r="M99" i="25"/>
  <c r="L99" i="25"/>
  <c r="K99" i="25"/>
  <c r="J99" i="25"/>
  <c r="I99" i="25"/>
  <c r="H99" i="25"/>
  <c r="S98" i="25"/>
  <c r="R98" i="25"/>
  <c r="M98" i="25"/>
  <c r="L98" i="25"/>
  <c r="K98" i="25"/>
  <c r="J98" i="25"/>
  <c r="I98" i="25"/>
  <c r="H98" i="25"/>
  <c r="S97" i="25"/>
  <c r="R97" i="25"/>
  <c r="M97" i="25"/>
  <c r="L97" i="25"/>
  <c r="K97" i="25"/>
  <c r="J97" i="25"/>
  <c r="I97" i="25"/>
  <c r="H97" i="25"/>
  <c r="S96" i="25"/>
  <c r="R96" i="25"/>
  <c r="M96" i="25"/>
  <c r="L96" i="25"/>
  <c r="K96" i="25"/>
  <c r="J96" i="25"/>
  <c r="I96" i="25"/>
  <c r="H96" i="25"/>
  <c r="S95" i="25"/>
  <c r="R95" i="25"/>
  <c r="M95" i="25"/>
  <c r="L95" i="25"/>
  <c r="K95" i="25"/>
  <c r="J95" i="25"/>
  <c r="I95" i="25"/>
  <c r="H95" i="25"/>
  <c r="S94" i="25"/>
  <c r="R94" i="25"/>
  <c r="M94" i="25"/>
  <c r="L94" i="25"/>
  <c r="K94" i="25"/>
  <c r="J94" i="25"/>
  <c r="I94" i="25"/>
  <c r="H94" i="25"/>
  <c r="S93" i="25"/>
  <c r="R93" i="25"/>
  <c r="M93" i="25"/>
  <c r="L93" i="25"/>
  <c r="K93" i="25"/>
  <c r="J93" i="25"/>
  <c r="I93" i="25"/>
  <c r="H93" i="25"/>
  <c r="S92" i="25"/>
  <c r="R92" i="25"/>
  <c r="M92" i="25"/>
  <c r="L92" i="25"/>
  <c r="K92" i="25"/>
  <c r="J92" i="25"/>
  <c r="I92" i="25"/>
  <c r="H92" i="25"/>
  <c r="S91" i="25"/>
  <c r="R91" i="25"/>
  <c r="M91" i="25"/>
  <c r="L91" i="25"/>
  <c r="K91" i="25"/>
  <c r="J91" i="25"/>
  <c r="I91" i="25"/>
  <c r="H91" i="25"/>
  <c r="S90" i="25"/>
  <c r="R90" i="25"/>
  <c r="M90" i="25"/>
  <c r="L90" i="25"/>
  <c r="K90" i="25"/>
  <c r="J90" i="25"/>
  <c r="I90" i="25"/>
  <c r="H90" i="25"/>
  <c r="S89" i="25"/>
  <c r="R89" i="25"/>
  <c r="M89" i="25"/>
  <c r="L89" i="25"/>
  <c r="K89" i="25"/>
  <c r="J89" i="25"/>
  <c r="I89" i="25"/>
  <c r="H89" i="25"/>
  <c r="S88" i="25"/>
  <c r="R88" i="25"/>
  <c r="M88" i="25"/>
  <c r="L88" i="25"/>
  <c r="K88" i="25"/>
  <c r="J88" i="25"/>
  <c r="I88" i="25"/>
  <c r="H88" i="25"/>
  <c r="S87" i="25"/>
  <c r="R87" i="25"/>
  <c r="M87" i="25"/>
  <c r="L87" i="25"/>
  <c r="K87" i="25"/>
  <c r="J87" i="25"/>
  <c r="I87" i="25"/>
  <c r="H87" i="25"/>
  <c r="S86" i="25"/>
  <c r="R86" i="25"/>
  <c r="M86" i="25"/>
  <c r="L86" i="25"/>
  <c r="K86" i="25"/>
  <c r="J86" i="25"/>
  <c r="I86" i="25"/>
  <c r="H86" i="25"/>
  <c r="S85" i="25"/>
  <c r="R85" i="25"/>
  <c r="M85" i="25"/>
  <c r="L85" i="25"/>
  <c r="K85" i="25"/>
  <c r="J85" i="25"/>
  <c r="I85" i="25"/>
  <c r="H85" i="25"/>
  <c r="S84" i="25"/>
  <c r="R84" i="25"/>
  <c r="M84" i="25"/>
  <c r="L84" i="25"/>
  <c r="K84" i="25"/>
  <c r="J84" i="25"/>
  <c r="I84" i="25"/>
  <c r="H84" i="25"/>
  <c r="S83" i="25"/>
  <c r="R83" i="25"/>
  <c r="M83" i="25"/>
  <c r="L83" i="25"/>
  <c r="K83" i="25"/>
  <c r="J83" i="25"/>
  <c r="I83" i="25"/>
  <c r="H83" i="25"/>
  <c r="S82" i="25"/>
  <c r="R82" i="25"/>
  <c r="M82" i="25"/>
  <c r="L82" i="25"/>
  <c r="K82" i="25"/>
  <c r="J82" i="25"/>
  <c r="I82" i="25"/>
  <c r="H82" i="25"/>
  <c r="S81" i="25"/>
  <c r="R81" i="25"/>
  <c r="M81" i="25"/>
  <c r="L81" i="25"/>
  <c r="K81" i="25"/>
  <c r="J81" i="25"/>
  <c r="I81" i="25"/>
  <c r="H81" i="25"/>
  <c r="S80" i="25"/>
  <c r="R80" i="25"/>
  <c r="M80" i="25"/>
  <c r="L80" i="25"/>
  <c r="K80" i="25"/>
  <c r="J80" i="25"/>
  <c r="I80" i="25"/>
  <c r="H80" i="25"/>
  <c r="S79" i="25"/>
  <c r="R79" i="25"/>
  <c r="M79" i="25"/>
  <c r="L79" i="25"/>
  <c r="K79" i="25"/>
  <c r="J79" i="25"/>
  <c r="I79" i="25"/>
  <c r="H79" i="25"/>
  <c r="S78" i="25"/>
  <c r="R78" i="25"/>
  <c r="M78" i="25"/>
  <c r="L78" i="25"/>
  <c r="K78" i="25"/>
  <c r="J78" i="25"/>
  <c r="I78" i="25"/>
  <c r="H78" i="25"/>
  <c r="S77" i="25"/>
  <c r="R77" i="25"/>
  <c r="M77" i="25"/>
  <c r="L77" i="25"/>
  <c r="K77" i="25"/>
  <c r="J77" i="25"/>
  <c r="I77" i="25"/>
  <c r="H77" i="25"/>
  <c r="S76" i="25"/>
  <c r="R76" i="25"/>
  <c r="M76" i="25"/>
  <c r="L76" i="25"/>
  <c r="K76" i="25"/>
  <c r="J76" i="25"/>
  <c r="I76" i="25"/>
  <c r="H76" i="25"/>
  <c r="S75" i="25"/>
  <c r="R75" i="25"/>
  <c r="M75" i="25"/>
  <c r="L75" i="25"/>
  <c r="K75" i="25"/>
  <c r="J75" i="25"/>
  <c r="I75" i="25"/>
  <c r="H75" i="25"/>
  <c r="S74" i="25"/>
  <c r="R74" i="25"/>
  <c r="M74" i="25"/>
  <c r="L74" i="25"/>
  <c r="K74" i="25"/>
  <c r="J74" i="25"/>
  <c r="I74" i="25"/>
  <c r="H74" i="25"/>
  <c r="S73" i="25"/>
  <c r="R73" i="25"/>
  <c r="M73" i="25"/>
  <c r="L73" i="25"/>
  <c r="K73" i="25"/>
  <c r="J73" i="25"/>
  <c r="I73" i="25"/>
  <c r="H73" i="25"/>
  <c r="S72" i="25"/>
  <c r="R72" i="25"/>
  <c r="M72" i="25"/>
  <c r="L72" i="25"/>
  <c r="K72" i="25"/>
  <c r="J72" i="25"/>
  <c r="I72" i="25"/>
  <c r="H72" i="25"/>
  <c r="S71" i="25"/>
  <c r="R71" i="25"/>
  <c r="M71" i="25"/>
  <c r="L71" i="25"/>
  <c r="K71" i="25"/>
  <c r="J71" i="25"/>
  <c r="I71" i="25"/>
  <c r="H71" i="25"/>
  <c r="S70" i="25"/>
  <c r="R70" i="25"/>
  <c r="M70" i="25"/>
  <c r="L70" i="25"/>
  <c r="K70" i="25"/>
  <c r="J70" i="25"/>
  <c r="I70" i="25"/>
  <c r="H70" i="25"/>
  <c r="S69" i="25"/>
  <c r="R69" i="25"/>
  <c r="M69" i="25"/>
  <c r="L69" i="25"/>
  <c r="K69" i="25"/>
  <c r="J69" i="25"/>
  <c r="I69" i="25"/>
  <c r="H69" i="25"/>
  <c r="S68" i="25"/>
  <c r="R68" i="25"/>
  <c r="M68" i="25"/>
  <c r="L68" i="25"/>
  <c r="K68" i="25"/>
  <c r="J68" i="25"/>
  <c r="I68" i="25"/>
  <c r="H68" i="25"/>
  <c r="S67" i="25"/>
  <c r="R67" i="25"/>
  <c r="M67" i="25"/>
  <c r="L67" i="25"/>
  <c r="K67" i="25"/>
  <c r="J67" i="25"/>
  <c r="I67" i="25"/>
  <c r="H67" i="25"/>
  <c r="S66" i="25"/>
  <c r="R66" i="25"/>
  <c r="M66" i="25"/>
  <c r="L66" i="25"/>
  <c r="K66" i="25"/>
  <c r="J66" i="25"/>
  <c r="I66" i="25"/>
  <c r="H66" i="25"/>
  <c r="S65" i="25"/>
  <c r="R65" i="25"/>
  <c r="M65" i="25"/>
  <c r="L65" i="25"/>
  <c r="K65" i="25"/>
  <c r="J65" i="25"/>
  <c r="I65" i="25"/>
  <c r="H65" i="25"/>
  <c r="S64" i="25"/>
  <c r="R64" i="25"/>
  <c r="M64" i="25"/>
  <c r="L64" i="25"/>
  <c r="K64" i="25"/>
  <c r="J64" i="25"/>
  <c r="I64" i="25"/>
  <c r="H64" i="25"/>
  <c r="S63" i="25"/>
  <c r="R63" i="25"/>
  <c r="M63" i="25"/>
  <c r="L63" i="25"/>
  <c r="K63" i="25"/>
  <c r="J63" i="25"/>
  <c r="I63" i="25"/>
  <c r="H63" i="25"/>
  <c r="S62" i="25"/>
  <c r="R62" i="25"/>
  <c r="M62" i="25"/>
  <c r="L62" i="25"/>
  <c r="K62" i="25"/>
  <c r="J62" i="25"/>
  <c r="I62" i="25"/>
  <c r="H62" i="25"/>
  <c r="S61" i="25"/>
  <c r="R61" i="25"/>
  <c r="M61" i="25"/>
  <c r="L61" i="25"/>
  <c r="K61" i="25"/>
  <c r="J61" i="25"/>
  <c r="I61" i="25"/>
  <c r="H61" i="25"/>
  <c r="S60" i="25"/>
  <c r="R60" i="25"/>
  <c r="M60" i="25"/>
  <c r="L60" i="25"/>
  <c r="K60" i="25"/>
  <c r="J60" i="25"/>
  <c r="I60" i="25"/>
  <c r="H60" i="25"/>
  <c r="S59" i="25"/>
  <c r="R59" i="25"/>
  <c r="M59" i="25"/>
  <c r="L59" i="25"/>
  <c r="K59" i="25"/>
  <c r="J59" i="25"/>
  <c r="I59" i="25"/>
  <c r="H59" i="25"/>
  <c r="S58" i="25"/>
  <c r="R58" i="25"/>
  <c r="M58" i="25"/>
  <c r="L58" i="25"/>
  <c r="K58" i="25"/>
  <c r="J58" i="25"/>
  <c r="I58" i="25"/>
  <c r="H58" i="25"/>
  <c r="S57" i="25"/>
  <c r="R57" i="25"/>
  <c r="M57" i="25"/>
  <c r="L57" i="25"/>
  <c r="K57" i="25"/>
  <c r="J57" i="25"/>
  <c r="I57" i="25"/>
  <c r="H57" i="25"/>
  <c r="S56" i="25"/>
  <c r="R56" i="25"/>
  <c r="M56" i="25"/>
  <c r="L56" i="25"/>
  <c r="K56" i="25"/>
  <c r="J56" i="25"/>
  <c r="I56" i="25"/>
  <c r="H56" i="25"/>
  <c r="S55" i="25"/>
  <c r="R55" i="25"/>
  <c r="M55" i="25"/>
  <c r="L55" i="25"/>
  <c r="K55" i="25"/>
  <c r="J55" i="25"/>
  <c r="I55" i="25"/>
  <c r="H55" i="25"/>
  <c r="S54" i="25"/>
  <c r="R54" i="25"/>
  <c r="M54" i="25"/>
  <c r="L54" i="25"/>
  <c r="K54" i="25"/>
  <c r="J54" i="25"/>
  <c r="I54" i="25"/>
  <c r="H54" i="25"/>
  <c r="S53" i="25"/>
  <c r="R53" i="25"/>
  <c r="M53" i="25"/>
  <c r="L53" i="25"/>
  <c r="K53" i="25"/>
  <c r="J53" i="25"/>
  <c r="I53" i="25"/>
  <c r="H53" i="25"/>
  <c r="S52" i="25"/>
  <c r="R52" i="25"/>
  <c r="M52" i="25"/>
  <c r="L52" i="25"/>
  <c r="K52" i="25"/>
  <c r="J52" i="25"/>
  <c r="I52" i="25"/>
  <c r="H52" i="25"/>
  <c r="S51" i="25"/>
  <c r="R51" i="25"/>
  <c r="M51" i="25"/>
  <c r="L51" i="25"/>
  <c r="K51" i="25"/>
  <c r="J51" i="25"/>
  <c r="I51" i="25"/>
  <c r="H51" i="25"/>
  <c r="S50" i="25"/>
  <c r="R50" i="25"/>
  <c r="M50" i="25"/>
  <c r="L50" i="25"/>
  <c r="K50" i="25"/>
  <c r="J50" i="25"/>
  <c r="I50" i="25"/>
  <c r="H50" i="25"/>
  <c r="S49" i="25"/>
  <c r="R49" i="25"/>
  <c r="M49" i="25"/>
  <c r="L49" i="25"/>
  <c r="K49" i="25"/>
  <c r="J49" i="25"/>
  <c r="I49" i="25"/>
  <c r="H49" i="25"/>
  <c r="S48" i="25"/>
  <c r="R48" i="25"/>
  <c r="M48" i="25"/>
  <c r="L48" i="25"/>
  <c r="K48" i="25"/>
  <c r="J48" i="25"/>
  <c r="I48" i="25"/>
  <c r="H48" i="25"/>
  <c r="S47" i="25"/>
  <c r="R47" i="25"/>
  <c r="M47" i="25"/>
  <c r="L47" i="25"/>
  <c r="K47" i="25"/>
  <c r="J47" i="25"/>
  <c r="I47" i="25"/>
  <c r="H47" i="25"/>
  <c r="S46" i="25"/>
  <c r="R46" i="25"/>
  <c r="M46" i="25"/>
  <c r="L46" i="25"/>
  <c r="K46" i="25"/>
  <c r="J46" i="25"/>
  <c r="I46" i="25"/>
  <c r="H46" i="25"/>
  <c r="S45" i="25"/>
  <c r="R45" i="25"/>
  <c r="M45" i="25"/>
  <c r="L45" i="25"/>
  <c r="K45" i="25"/>
  <c r="J45" i="25"/>
  <c r="I45" i="25"/>
  <c r="H45" i="25"/>
  <c r="S44" i="25"/>
  <c r="R44" i="25"/>
  <c r="M44" i="25"/>
  <c r="L44" i="25"/>
  <c r="K44" i="25"/>
  <c r="J44" i="25"/>
  <c r="I44" i="25"/>
  <c r="H44" i="25"/>
  <c r="S43" i="25"/>
  <c r="R43" i="25"/>
  <c r="M43" i="25"/>
  <c r="L43" i="25"/>
  <c r="K43" i="25"/>
  <c r="J43" i="25"/>
  <c r="I43" i="25"/>
  <c r="H43" i="25"/>
  <c r="S42" i="25"/>
  <c r="R42" i="25"/>
  <c r="M42" i="25"/>
  <c r="L42" i="25"/>
  <c r="K42" i="25"/>
  <c r="J42" i="25"/>
  <c r="I42" i="25"/>
  <c r="H42" i="25"/>
  <c r="I41" i="25"/>
  <c r="H41" i="25"/>
  <c r="I40" i="25"/>
  <c r="J40" i="25" s="1"/>
  <c r="R40" i="25" s="1"/>
  <c r="H40" i="25"/>
  <c r="I39" i="25"/>
  <c r="H39" i="25"/>
  <c r="I38" i="25"/>
  <c r="H38" i="25"/>
  <c r="I37" i="25"/>
  <c r="J37" i="25" s="1"/>
  <c r="R37" i="25" s="1"/>
  <c r="H37" i="25"/>
  <c r="I36" i="25"/>
  <c r="J36" i="25" s="1"/>
  <c r="R36" i="25" s="1"/>
  <c r="H36" i="25"/>
  <c r="I35" i="25"/>
  <c r="H35" i="25"/>
  <c r="J35" i="25" s="1"/>
  <c r="R35" i="25" s="1"/>
  <c r="I34" i="25"/>
  <c r="H34" i="25"/>
  <c r="I33" i="25"/>
  <c r="J33" i="25" s="1"/>
  <c r="R33" i="25" s="1"/>
  <c r="H33" i="25"/>
  <c r="I32" i="25"/>
  <c r="J32" i="25" s="1"/>
  <c r="R32" i="25" s="1"/>
  <c r="H32" i="25"/>
  <c r="I31" i="25"/>
  <c r="H31" i="25"/>
  <c r="I30" i="25"/>
  <c r="H30" i="25"/>
  <c r="I29" i="25"/>
  <c r="H29" i="25"/>
  <c r="I28" i="25"/>
  <c r="J28" i="25" s="1"/>
  <c r="R28" i="25" s="1"/>
  <c r="H28" i="25"/>
  <c r="I27" i="25"/>
  <c r="H27" i="25"/>
  <c r="I26" i="25"/>
  <c r="H26" i="25"/>
  <c r="I25" i="25"/>
  <c r="H25" i="25"/>
  <c r="I24" i="25"/>
  <c r="H24" i="25"/>
  <c r="I23" i="25"/>
  <c r="H23" i="25"/>
  <c r="I22" i="25"/>
  <c r="H22" i="25"/>
  <c r="I21" i="25"/>
  <c r="H21" i="25"/>
  <c r="I20" i="25"/>
  <c r="H20" i="25"/>
  <c r="I19" i="25"/>
  <c r="H19" i="25"/>
  <c r="H18" i="25"/>
  <c r="I18" i="25"/>
  <c r="J18" i="25" s="1"/>
  <c r="R18" i="25" s="1"/>
  <c r="I17" i="25"/>
  <c r="H17" i="25"/>
  <c r="I16" i="25"/>
  <c r="H16" i="25"/>
  <c r="I15" i="25"/>
  <c r="J15" i="25" s="1"/>
  <c r="R15" i="25" s="1"/>
  <c r="H15" i="25"/>
  <c r="I14" i="25"/>
  <c r="H14" i="25"/>
  <c r="I13" i="25"/>
  <c r="J13" i="25" s="1"/>
  <c r="R13" i="25" s="1"/>
  <c r="H13" i="25"/>
  <c r="I12" i="25"/>
  <c r="H12" i="25"/>
  <c r="I11" i="25"/>
  <c r="H11" i="25"/>
  <c r="I10" i="25"/>
  <c r="J10" i="25" s="1"/>
  <c r="R10" i="25" s="1"/>
  <c r="H10" i="25"/>
  <c r="I9" i="25"/>
  <c r="J9" i="25" s="1"/>
  <c r="R9" i="25" s="1"/>
  <c r="H9" i="25"/>
  <c r="I8" i="25"/>
  <c r="J8" i="25" s="1"/>
  <c r="R8" i="25" s="1"/>
  <c r="H8" i="25"/>
  <c r="I7" i="25"/>
  <c r="J7" i="25" s="1"/>
  <c r="R7" i="25" s="1"/>
  <c r="H7" i="25"/>
  <c r="K7" i="25" s="1"/>
  <c r="K8" i="25" s="1"/>
  <c r="K9" i="25" s="1"/>
  <c r="K10" i="25" s="1"/>
  <c r="J14" i="25" l="1"/>
  <c r="R14" i="25" s="1"/>
  <c r="J16" i="25"/>
  <c r="R16" i="25" s="1"/>
  <c r="J22" i="25"/>
  <c r="R22" i="25" s="1"/>
  <c r="J24" i="25"/>
  <c r="R24" i="25" s="1"/>
  <c r="L19" i="33"/>
  <c r="M18" i="33"/>
  <c r="S18" i="33" s="1"/>
  <c r="J17" i="25"/>
  <c r="R17" i="25" s="1"/>
  <c r="J21" i="25"/>
  <c r="R21" i="25" s="1"/>
  <c r="J23" i="25"/>
  <c r="R23" i="25" s="1"/>
  <c r="J30" i="25"/>
  <c r="R30" i="25" s="1"/>
  <c r="J34" i="25"/>
  <c r="R34" i="25" s="1"/>
  <c r="M17" i="32"/>
  <c r="S17" i="32" s="1"/>
  <c r="L18" i="32"/>
  <c r="M18" i="31"/>
  <c r="S18" i="31" s="1"/>
  <c r="L19" i="31"/>
  <c r="M16" i="29"/>
  <c r="S16" i="29" s="1"/>
  <c r="L17" i="29"/>
  <c r="L15" i="28"/>
  <c r="M14" i="28"/>
  <c r="S14" i="28" s="1"/>
  <c r="L14" i="27"/>
  <c r="M13" i="27"/>
  <c r="S13" i="27" s="1"/>
  <c r="M10" i="26"/>
  <c r="S10" i="26" s="1"/>
  <c r="L11" i="26"/>
  <c r="J41" i="25"/>
  <c r="R41" i="25" s="1"/>
  <c r="J39" i="25"/>
  <c r="R39" i="25" s="1"/>
  <c r="J38" i="25"/>
  <c r="R38" i="25" s="1"/>
  <c r="J31" i="25"/>
  <c r="R31" i="25" s="1"/>
  <c r="J29" i="25"/>
  <c r="R29" i="25" s="1"/>
  <c r="J27" i="25"/>
  <c r="R27" i="25" s="1"/>
  <c r="J26" i="25"/>
  <c r="R26" i="25" s="1"/>
  <c r="J25" i="25"/>
  <c r="R25" i="25" s="1"/>
  <c r="J20" i="25"/>
  <c r="R20" i="25" s="1"/>
  <c r="J19" i="25"/>
  <c r="R19" i="25" s="1"/>
  <c r="J12" i="25"/>
  <c r="R12" i="25" s="1"/>
  <c r="K11" i="25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J11" i="25"/>
  <c r="R11" i="25" s="1"/>
  <c r="L7" i="25"/>
  <c r="G18" i="24"/>
  <c r="K28" i="25" l="1"/>
  <c r="K29" i="25" s="1"/>
  <c r="K30" i="25" s="1"/>
  <c r="K31" i="25" s="1"/>
  <c r="L20" i="33"/>
  <c r="M19" i="33"/>
  <c r="S19" i="33" s="1"/>
  <c r="M18" i="32"/>
  <c r="S18" i="32" s="1"/>
  <c r="L19" i="32"/>
  <c r="L20" i="31"/>
  <c r="M19" i="31"/>
  <c r="S19" i="31" s="1"/>
  <c r="M17" i="29"/>
  <c r="S17" i="29" s="1"/>
  <c r="L18" i="29"/>
  <c r="M15" i="28"/>
  <c r="S15" i="28" s="1"/>
  <c r="L16" i="28"/>
  <c r="M14" i="27"/>
  <c r="S14" i="27" s="1"/>
  <c r="L15" i="27"/>
  <c r="M11" i="26"/>
  <c r="S11" i="26" s="1"/>
  <c r="L12" i="26"/>
  <c r="M7" i="25"/>
  <c r="S7" i="25" s="1"/>
  <c r="L8" i="25"/>
  <c r="G7" i="24"/>
  <c r="S112" i="24"/>
  <c r="R112" i="24"/>
  <c r="M112" i="24"/>
  <c r="L112" i="24"/>
  <c r="K112" i="24"/>
  <c r="J112" i="24"/>
  <c r="I112" i="24"/>
  <c r="H112" i="24"/>
  <c r="S111" i="24"/>
  <c r="R111" i="24"/>
  <c r="M111" i="24"/>
  <c r="L111" i="24"/>
  <c r="K111" i="24"/>
  <c r="J111" i="24"/>
  <c r="I111" i="24"/>
  <c r="H111" i="24"/>
  <c r="S110" i="24"/>
  <c r="R110" i="24"/>
  <c r="M110" i="24"/>
  <c r="L110" i="24"/>
  <c r="K110" i="24"/>
  <c r="J110" i="24"/>
  <c r="I110" i="24"/>
  <c r="H110" i="24"/>
  <c r="S109" i="24"/>
  <c r="R109" i="24"/>
  <c r="M109" i="24"/>
  <c r="L109" i="24"/>
  <c r="K109" i="24"/>
  <c r="J109" i="24"/>
  <c r="I109" i="24"/>
  <c r="H109" i="24"/>
  <c r="S108" i="24"/>
  <c r="R108" i="24"/>
  <c r="M108" i="24"/>
  <c r="L108" i="24"/>
  <c r="K108" i="24"/>
  <c r="J108" i="24"/>
  <c r="I108" i="24"/>
  <c r="H108" i="24"/>
  <c r="S107" i="24"/>
  <c r="R107" i="24"/>
  <c r="M107" i="24"/>
  <c r="L107" i="24"/>
  <c r="K107" i="24"/>
  <c r="J107" i="24"/>
  <c r="I107" i="24"/>
  <c r="H107" i="24"/>
  <c r="S106" i="24"/>
  <c r="R106" i="24"/>
  <c r="M106" i="24"/>
  <c r="L106" i="24"/>
  <c r="K106" i="24"/>
  <c r="J106" i="24"/>
  <c r="I106" i="24"/>
  <c r="H106" i="24"/>
  <c r="S105" i="24"/>
  <c r="R105" i="24"/>
  <c r="M105" i="24"/>
  <c r="L105" i="24"/>
  <c r="K105" i="24"/>
  <c r="J105" i="24"/>
  <c r="I105" i="24"/>
  <c r="H105" i="24"/>
  <c r="S104" i="24"/>
  <c r="R104" i="24"/>
  <c r="M104" i="24"/>
  <c r="L104" i="24"/>
  <c r="K104" i="24"/>
  <c r="J104" i="24"/>
  <c r="I104" i="24"/>
  <c r="H104" i="24"/>
  <c r="S103" i="24"/>
  <c r="R103" i="24"/>
  <c r="M103" i="24"/>
  <c r="L103" i="24"/>
  <c r="K103" i="24"/>
  <c r="J103" i="24"/>
  <c r="I103" i="24"/>
  <c r="H103" i="24"/>
  <c r="S102" i="24"/>
  <c r="R102" i="24"/>
  <c r="M102" i="24"/>
  <c r="L102" i="24"/>
  <c r="K102" i="24"/>
  <c r="J102" i="24"/>
  <c r="I102" i="24"/>
  <c r="H102" i="24"/>
  <c r="S101" i="24"/>
  <c r="R101" i="24"/>
  <c r="M101" i="24"/>
  <c r="L101" i="24"/>
  <c r="K101" i="24"/>
  <c r="J101" i="24"/>
  <c r="I101" i="24"/>
  <c r="H101" i="24"/>
  <c r="S100" i="24"/>
  <c r="R100" i="24"/>
  <c r="M100" i="24"/>
  <c r="L100" i="24"/>
  <c r="K100" i="24"/>
  <c r="J100" i="24"/>
  <c r="I100" i="24"/>
  <c r="H100" i="24"/>
  <c r="S99" i="24"/>
  <c r="R99" i="24"/>
  <c r="M99" i="24"/>
  <c r="L99" i="24"/>
  <c r="K99" i="24"/>
  <c r="J99" i="24"/>
  <c r="I99" i="24"/>
  <c r="H99" i="24"/>
  <c r="S98" i="24"/>
  <c r="R98" i="24"/>
  <c r="M98" i="24"/>
  <c r="L98" i="24"/>
  <c r="K98" i="24"/>
  <c r="J98" i="24"/>
  <c r="I98" i="24"/>
  <c r="H98" i="24"/>
  <c r="S97" i="24"/>
  <c r="R97" i="24"/>
  <c r="M97" i="24"/>
  <c r="L97" i="24"/>
  <c r="K97" i="24"/>
  <c r="J97" i="24"/>
  <c r="I97" i="24"/>
  <c r="H97" i="24"/>
  <c r="S96" i="24"/>
  <c r="R96" i="24"/>
  <c r="M96" i="24"/>
  <c r="L96" i="24"/>
  <c r="K96" i="24"/>
  <c r="J96" i="24"/>
  <c r="I96" i="24"/>
  <c r="H96" i="24"/>
  <c r="S95" i="24"/>
  <c r="R95" i="24"/>
  <c r="M95" i="24"/>
  <c r="L95" i="24"/>
  <c r="K95" i="24"/>
  <c r="J95" i="24"/>
  <c r="I95" i="24"/>
  <c r="H95" i="24"/>
  <c r="S94" i="24"/>
  <c r="R94" i="24"/>
  <c r="M94" i="24"/>
  <c r="L94" i="24"/>
  <c r="K94" i="24"/>
  <c r="J94" i="24"/>
  <c r="I94" i="24"/>
  <c r="H94" i="24"/>
  <c r="S93" i="24"/>
  <c r="R93" i="24"/>
  <c r="M93" i="24"/>
  <c r="L93" i="24"/>
  <c r="K93" i="24"/>
  <c r="J93" i="24"/>
  <c r="I93" i="24"/>
  <c r="H93" i="24"/>
  <c r="S92" i="24"/>
  <c r="R92" i="24"/>
  <c r="M92" i="24"/>
  <c r="L92" i="24"/>
  <c r="K92" i="24"/>
  <c r="J92" i="24"/>
  <c r="I92" i="24"/>
  <c r="H92" i="24"/>
  <c r="S91" i="24"/>
  <c r="R91" i="24"/>
  <c r="M91" i="24"/>
  <c r="L91" i="24"/>
  <c r="K91" i="24"/>
  <c r="J91" i="24"/>
  <c r="I91" i="24"/>
  <c r="H91" i="24"/>
  <c r="S90" i="24"/>
  <c r="R90" i="24"/>
  <c r="M90" i="24"/>
  <c r="L90" i="24"/>
  <c r="K90" i="24"/>
  <c r="J90" i="24"/>
  <c r="I90" i="24"/>
  <c r="H90" i="24"/>
  <c r="S89" i="24"/>
  <c r="R89" i="24"/>
  <c r="M89" i="24"/>
  <c r="L89" i="24"/>
  <c r="K89" i="24"/>
  <c r="J89" i="24"/>
  <c r="I89" i="24"/>
  <c r="H89" i="24"/>
  <c r="S88" i="24"/>
  <c r="R88" i="24"/>
  <c r="M88" i="24"/>
  <c r="L88" i="24"/>
  <c r="K88" i="24"/>
  <c r="J88" i="24"/>
  <c r="I88" i="24"/>
  <c r="H88" i="24"/>
  <c r="S87" i="24"/>
  <c r="R87" i="24"/>
  <c r="M87" i="24"/>
  <c r="L87" i="24"/>
  <c r="K87" i="24"/>
  <c r="J87" i="24"/>
  <c r="I87" i="24"/>
  <c r="H87" i="24"/>
  <c r="S86" i="24"/>
  <c r="R86" i="24"/>
  <c r="M86" i="24"/>
  <c r="L86" i="24"/>
  <c r="K86" i="24"/>
  <c r="J86" i="24"/>
  <c r="I86" i="24"/>
  <c r="H86" i="24"/>
  <c r="S85" i="24"/>
  <c r="R85" i="24"/>
  <c r="M85" i="24"/>
  <c r="L85" i="24"/>
  <c r="K85" i="24"/>
  <c r="J85" i="24"/>
  <c r="I85" i="24"/>
  <c r="H85" i="24"/>
  <c r="S84" i="24"/>
  <c r="R84" i="24"/>
  <c r="M84" i="24"/>
  <c r="L84" i="24"/>
  <c r="K84" i="24"/>
  <c r="J84" i="24"/>
  <c r="I84" i="24"/>
  <c r="H84" i="24"/>
  <c r="S83" i="24"/>
  <c r="R83" i="24"/>
  <c r="M83" i="24"/>
  <c r="L83" i="24"/>
  <c r="K83" i="24"/>
  <c r="J83" i="24"/>
  <c r="I83" i="24"/>
  <c r="H83" i="24"/>
  <c r="S82" i="24"/>
  <c r="R82" i="24"/>
  <c r="M82" i="24"/>
  <c r="L82" i="24"/>
  <c r="K82" i="24"/>
  <c r="J82" i="24"/>
  <c r="I82" i="24"/>
  <c r="H82" i="24"/>
  <c r="S81" i="24"/>
  <c r="R81" i="24"/>
  <c r="M81" i="24"/>
  <c r="L81" i="24"/>
  <c r="K81" i="24"/>
  <c r="J81" i="24"/>
  <c r="I81" i="24"/>
  <c r="H81" i="24"/>
  <c r="S80" i="24"/>
  <c r="R80" i="24"/>
  <c r="M80" i="24"/>
  <c r="L80" i="24"/>
  <c r="K80" i="24"/>
  <c r="J80" i="24"/>
  <c r="I80" i="24"/>
  <c r="H80" i="24"/>
  <c r="S79" i="24"/>
  <c r="R79" i="24"/>
  <c r="M79" i="24"/>
  <c r="L79" i="24"/>
  <c r="K79" i="24"/>
  <c r="J79" i="24"/>
  <c r="I79" i="24"/>
  <c r="H79" i="24"/>
  <c r="S78" i="24"/>
  <c r="R78" i="24"/>
  <c r="M78" i="24"/>
  <c r="L78" i="24"/>
  <c r="K78" i="24"/>
  <c r="J78" i="24"/>
  <c r="I78" i="24"/>
  <c r="H78" i="24"/>
  <c r="S77" i="24"/>
  <c r="R77" i="24"/>
  <c r="M77" i="24"/>
  <c r="L77" i="24"/>
  <c r="K77" i="24"/>
  <c r="J77" i="24"/>
  <c r="I77" i="24"/>
  <c r="H77" i="24"/>
  <c r="S76" i="24"/>
  <c r="R76" i="24"/>
  <c r="M76" i="24"/>
  <c r="L76" i="24"/>
  <c r="K76" i="24"/>
  <c r="J76" i="24"/>
  <c r="I76" i="24"/>
  <c r="H76" i="24"/>
  <c r="S75" i="24"/>
  <c r="R75" i="24"/>
  <c r="M75" i="24"/>
  <c r="L75" i="24"/>
  <c r="K75" i="24"/>
  <c r="J75" i="24"/>
  <c r="I75" i="24"/>
  <c r="H75" i="24"/>
  <c r="S74" i="24"/>
  <c r="R74" i="24"/>
  <c r="M74" i="24"/>
  <c r="L74" i="24"/>
  <c r="K74" i="24"/>
  <c r="J74" i="24"/>
  <c r="I74" i="24"/>
  <c r="H74" i="24"/>
  <c r="S73" i="24"/>
  <c r="R73" i="24"/>
  <c r="M73" i="24"/>
  <c r="L73" i="24"/>
  <c r="K73" i="24"/>
  <c r="J73" i="24"/>
  <c r="I73" i="24"/>
  <c r="H73" i="24"/>
  <c r="S72" i="24"/>
  <c r="R72" i="24"/>
  <c r="M72" i="24"/>
  <c r="L72" i="24"/>
  <c r="K72" i="24"/>
  <c r="J72" i="24"/>
  <c r="I72" i="24"/>
  <c r="H72" i="24"/>
  <c r="S71" i="24"/>
  <c r="R71" i="24"/>
  <c r="M71" i="24"/>
  <c r="L71" i="24"/>
  <c r="K71" i="24"/>
  <c r="J71" i="24"/>
  <c r="I71" i="24"/>
  <c r="H71" i="24"/>
  <c r="S70" i="24"/>
  <c r="R70" i="24"/>
  <c r="M70" i="24"/>
  <c r="L70" i="24"/>
  <c r="K70" i="24"/>
  <c r="J70" i="24"/>
  <c r="I70" i="24"/>
  <c r="H70" i="24"/>
  <c r="S69" i="24"/>
  <c r="R69" i="24"/>
  <c r="M69" i="24"/>
  <c r="L69" i="24"/>
  <c r="K69" i="24"/>
  <c r="J69" i="24"/>
  <c r="I69" i="24"/>
  <c r="H69" i="24"/>
  <c r="S68" i="24"/>
  <c r="R68" i="24"/>
  <c r="M68" i="24"/>
  <c r="L68" i="24"/>
  <c r="K68" i="24"/>
  <c r="J68" i="24"/>
  <c r="I68" i="24"/>
  <c r="H68" i="24"/>
  <c r="S67" i="24"/>
  <c r="R67" i="24"/>
  <c r="M67" i="24"/>
  <c r="L67" i="24"/>
  <c r="K67" i="24"/>
  <c r="J67" i="24"/>
  <c r="I67" i="24"/>
  <c r="H67" i="24"/>
  <c r="S66" i="24"/>
  <c r="R66" i="24"/>
  <c r="M66" i="24"/>
  <c r="L66" i="24"/>
  <c r="K66" i="24"/>
  <c r="J66" i="24"/>
  <c r="I66" i="24"/>
  <c r="H66" i="24"/>
  <c r="S65" i="24"/>
  <c r="R65" i="24"/>
  <c r="M65" i="24"/>
  <c r="L65" i="24"/>
  <c r="K65" i="24"/>
  <c r="J65" i="24"/>
  <c r="I65" i="24"/>
  <c r="H65" i="24"/>
  <c r="S64" i="24"/>
  <c r="R64" i="24"/>
  <c r="M64" i="24"/>
  <c r="L64" i="24"/>
  <c r="K64" i="24"/>
  <c r="J64" i="24"/>
  <c r="I64" i="24"/>
  <c r="H64" i="24"/>
  <c r="S63" i="24"/>
  <c r="R63" i="24"/>
  <c r="M63" i="24"/>
  <c r="L63" i="24"/>
  <c r="K63" i="24"/>
  <c r="J63" i="24"/>
  <c r="I63" i="24"/>
  <c r="H63" i="24"/>
  <c r="S62" i="24"/>
  <c r="R62" i="24"/>
  <c r="M62" i="24"/>
  <c r="L62" i="24"/>
  <c r="K62" i="24"/>
  <c r="J62" i="24"/>
  <c r="I62" i="24"/>
  <c r="H62" i="24"/>
  <c r="S61" i="24"/>
  <c r="R61" i="24"/>
  <c r="M61" i="24"/>
  <c r="L61" i="24"/>
  <c r="K61" i="24"/>
  <c r="J61" i="24"/>
  <c r="I61" i="24"/>
  <c r="H61" i="24"/>
  <c r="S60" i="24"/>
  <c r="R60" i="24"/>
  <c r="M60" i="24"/>
  <c r="L60" i="24"/>
  <c r="K60" i="24"/>
  <c r="J60" i="24"/>
  <c r="I60" i="24"/>
  <c r="H60" i="24"/>
  <c r="S59" i="24"/>
  <c r="R59" i="24"/>
  <c r="M59" i="24"/>
  <c r="L59" i="24"/>
  <c r="K59" i="24"/>
  <c r="J59" i="24"/>
  <c r="I59" i="24"/>
  <c r="H59" i="24"/>
  <c r="S58" i="24"/>
  <c r="R58" i="24"/>
  <c r="M58" i="24"/>
  <c r="L58" i="24"/>
  <c r="K58" i="24"/>
  <c r="J58" i="24"/>
  <c r="I58" i="24"/>
  <c r="H58" i="24"/>
  <c r="S57" i="24"/>
  <c r="R57" i="24"/>
  <c r="M57" i="24"/>
  <c r="L57" i="24"/>
  <c r="K57" i="24"/>
  <c r="J57" i="24"/>
  <c r="I57" i="24"/>
  <c r="H57" i="24"/>
  <c r="S56" i="24"/>
  <c r="R56" i="24"/>
  <c r="M56" i="24"/>
  <c r="L56" i="24"/>
  <c r="K56" i="24"/>
  <c r="J56" i="24"/>
  <c r="I56" i="24"/>
  <c r="H56" i="24"/>
  <c r="S55" i="24"/>
  <c r="R55" i="24"/>
  <c r="M55" i="24"/>
  <c r="L55" i="24"/>
  <c r="K55" i="24"/>
  <c r="J55" i="24"/>
  <c r="I55" i="24"/>
  <c r="H55" i="24"/>
  <c r="S54" i="24"/>
  <c r="R54" i="24"/>
  <c r="M54" i="24"/>
  <c r="L54" i="24"/>
  <c r="K54" i="24"/>
  <c r="J54" i="24"/>
  <c r="I54" i="24"/>
  <c r="H54" i="24"/>
  <c r="S53" i="24"/>
  <c r="R53" i="24"/>
  <c r="M53" i="24"/>
  <c r="L53" i="24"/>
  <c r="K53" i="24"/>
  <c r="J53" i="24"/>
  <c r="I53" i="24"/>
  <c r="H53" i="24"/>
  <c r="S52" i="24"/>
  <c r="R52" i="24"/>
  <c r="M52" i="24"/>
  <c r="L52" i="24"/>
  <c r="K52" i="24"/>
  <c r="J52" i="24"/>
  <c r="I52" i="24"/>
  <c r="H52" i="24"/>
  <c r="S51" i="24"/>
  <c r="R51" i="24"/>
  <c r="M51" i="24"/>
  <c r="L51" i="24"/>
  <c r="K51" i="24"/>
  <c r="J51" i="24"/>
  <c r="I51" i="24"/>
  <c r="H51" i="24"/>
  <c r="S50" i="24"/>
  <c r="R50" i="24"/>
  <c r="M50" i="24"/>
  <c r="L50" i="24"/>
  <c r="K50" i="24"/>
  <c r="J50" i="24"/>
  <c r="I50" i="24"/>
  <c r="H50" i="24"/>
  <c r="S49" i="24"/>
  <c r="R49" i="24"/>
  <c r="M49" i="24"/>
  <c r="L49" i="24"/>
  <c r="K49" i="24"/>
  <c r="J49" i="24"/>
  <c r="I49" i="24"/>
  <c r="H49" i="24"/>
  <c r="S48" i="24"/>
  <c r="R48" i="24"/>
  <c r="M48" i="24"/>
  <c r="L48" i="24"/>
  <c r="K48" i="24"/>
  <c r="J48" i="24"/>
  <c r="I48" i="24"/>
  <c r="H48" i="24"/>
  <c r="S47" i="24"/>
  <c r="R47" i="24"/>
  <c r="M47" i="24"/>
  <c r="L47" i="24"/>
  <c r="K47" i="24"/>
  <c r="J47" i="24"/>
  <c r="I47" i="24"/>
  <c r="H47" i="24"/>
  <c r="S46" i="24"/>
  <c r="R46" i="24"/>
  <c r="M46" i="24"/>
  <c r="L46" i="24"/>
  <c r="K46" i="24"/>
  <c r="J46" i="24"/>
  <c r="I46" i="24"/>
  <c r="H46" i="24"/>
  <c r="S45" i="24"/>
  <c r="R45" i="24"/>
  <c r="M45" i="24"/>
  <c r="L45" i="24"/>
  <c r="K45" i="24"/>
  <c r="J45" i="24"/>
  <c r="I45" i="24"/>
  <c r="H45" i="24"/>
  <c r="S44" i="24"/>
  <c r="R44" i="24"/>
  <c r="M44" i="24"/>
  <c r="L44" i="24"/>
  <c r="K44" i="24"/>
  <c r="J44" i="24"/>
  <c r="I44" i="24"/>
  <c r="H44" i="24"/>
  <c r="S43" i="24"/>
  <c r="R43" i="24"/>
  <c r="M43" i="24"/>
  <c r="L43" i="24"/>
  <c r="K43" i="24"/>
  <c r="J43" i="24"/>
  <c r="I43" i="24"/>
  <c r="H43" i="24"/>
  <c r="S42" i="24"/>
  <c r="R42" i="24"/>
  <c r="M42" i="24"/>
  <c r="L42" i="24"/>
  <c r="K42" i="24"/>
  <c r="J42" i="24"/>
  <c r="I42" i="24"/>
  <c r="H42" i="24"/>
  <c r="S41" i="24"/>
  <c r="R41" i="24"/>
  <c r="M41" i="24"/>
  <c r="L41" i="24"/>
  <c r="K41" i="24"/>
  <c r="J41" i="24"/>
  <c r="I41" i="24"/>
  <c r="H41" i="24"/>
  <c r="S40" i="24"/>
  <c r="R40" i="24"/>
  <c r="M40" i="24"/>
  <c r="L40" i="24"/>
  <c r="K40" i="24"/>
  <c r="J40" i="24"/>
  <c r="I40" i="24"/>
  <c r="H40" i="24"/>
  <c r="S39" i="24"/>
  <c r="R39" i="24"/>
  <c r="M39" i="24"/>
  <c r="L39" i="24"/>
  <c r="K39" i="24"/>
  <c r="J39" i="24"/>
  <c r="I39" i="24"/>
  <c r="H39" i="24"/>
  <c r="S38" i="24"/>
  <c r="R38" i="24"/>
  <c r="M38" i="24"/>
  <c r="L38" i="24"/>
  <c r="K38" i="24"/>
  <c r="J38" i="24"/>
  <c r="I38" i="24"/>
  <c r="H38" i="24"/>
  <c r="S37" i="24"/>
  <c r="R37" i="24"/>
  <c r="M37" i="24"/>
  <c r="L37" i="24"/>
  <c r="K37" i="24"/>
  <c r="J37" i="24"/>
  <c r="I37" i="24"/>
  <c r="H37" i="24"/>
  <c r="S36" i="24"/>
  <c r="R36" i="24"/>
  <c r="M36" i="24"/>
  <c r="L36" i="24"/>
  <c r="K36" i="24"/>
  <c r="J36" i="24"/>
  <c r="I36" i="24"/>
  <c r="H36" i="24"/>
  <c r="S35" i="24"/>
  <c r="R35" i="24"/>
  <c r="M35" i="24"/>
  <c r="L35" i="24"/>
  <c r="K35" i="24"/>
  <c r="J35" i="24"/>
  <c r="I35" i="24"/>
  <c r="H35" i="24"/>
  <c r="S34" i="24"/>
  <c r="R34" i="24"/>
  <c r="M34" i="24"/>
  <c r="L34" i="24"/>
  <c r="K34" i="24"/>
  <c r="J34" i="24"/>
  <c r="I34" i="24"/>
  <c r="H34" i="24"/>
  <c r="S33" i="24"/>
  <c r="R33" i="24"/>
  <c r="M33" i="24"/>
  <c r="L33" i="24"/>
  <c r="K33" i="24"/>
  <c r="J33" i="24"/>
  <c r="I33" i="24"/>
  <c r="H33" i="24"/>
  <c r="S32" i="24"/>
  <c r="R32" i="24"/>
  <c r="M32" i="24"/>
  <c r="L32" i="24"/>
  <c r="K32" i="24"/>
  <c r="J32" i="24"/>
  <c r="I32" i="24"/>
  <c r="H32" i="24"/>
  <c r="S31" i="24"/>
  <c r="R31" i="24"/>
  <c r="M31" i="24"/>
  <c r="L31" i="24"/>
  <c r="K31" i="24"/>
  <c r="J31" i="24"/>
  <c r="I31" i="24"/>
  <c r="H31" i="24"/>
  <c r="S30" i="24"/>
  <c r="R30" i="24"/>
  <c r="M30" i="24"/>
  <c r="L30" i="24"/>
  <c r="K30" i="24"/>
  <c r="J30" i="24"/>
  <c r="I30" i="24"/>
  <c r="H30" i="24"/>
  <c r="S29" i="24"/>
  <c r="R29" i="24"/>
  <c r="M29" i="24"/>
  <c r="L29" i="24"/>
  <c r="K29" i="24"/>
  <c r="J29" i="24"/>
  <c r="I29" i="24"/>
  <c r="H29" i="24"/>
  <c r="S28" i="24"/>
  <c r="R28" i="24"/>
  <c r="M28" i="24"/>
  <c r="L28" i="24"/>
  <c r="K28" i="24"/>
  <c r="J28" i="24"/>
  <c r="I28" i="24"/>
  <c r="H28" i="24"/>
  <c r="S27" i="24"/>
  <c r="R27" i="24"/>
  <c r="M27" i="24"/>
  <c r="L27" i="24"/>
  <c r="K27" i="24"/>
  <c r="J27" i="24"/>
  <c r="I27" i="24"/>
  <c r="H27" i="24"/>
  <c r="S26" i="24"/>
  <c r="R26" i="24"/>
  <c r="M26" i="24"/>
  <c r="L26" i="24"/>
  <c r="K26" i="24"/>
  <c r="J26" i="24"/>
  <c r="I26" i="24"/>
  <c r="H26" i="24"/>
  <c r="S25" i="24"/>
  <c r="R25" i="24"/>
  <c r="M25" i="24"/>
  <c r="L25" i="24"/>
  <c r="K25" i="24"/>
  <c r="J25" i="24"/>
  <c r="I25" i="24"/>
  <c r="H25" i="24"/>
  <c r="S24" i="24"/>
  <c r="R24" i="24"/>
  <c r="M24" i="24"/>
  <c r="L24" i="24"/>
  <c r="K24" i="24"/>
  <c r="J24" i="24"/>
  <c r="I24" i="24"/>
  <c r="H24" i="24"/>
  <c r="S23" i="24"/>
  <c r="R23" i="24"/>
  <c r="M23" i="24"/>
  <c r="L23" i="24"/>
  <c r="K23" i="24"/>
  <c r="J23" i="24"/>
  <c r="I23" i="24"/>
  <c r="H23" i="24"/>
  <c r="J22" i="24"/>
  <c r="R22" i="24" s="1"/>
  <c r="I22" i="24"/>
  <c r="H22" i="24"/>
  <c r="I21" i="24"/>
  <c r="H21" i="24"/>
  <c r="I20" i="24"/>
  <c r="H20" i="24"/>
  <c r="I19" i="24"/>
  <c r="H19" i="24"/>
  <c r="I18" i="24"/>
  <c r="H18" i="24"/>
  <c r="I17" i="24"/>
  <c r="J17" i="24" s="1"/>
  <c r="R17" i="24" s="1"/>
  <c r="H17" i="24"/>
  <c r="I16" i="24"/>
  <c r="H16" i="24"/>
  <c r="I15" i="24"/>
  <c r="H15" i="24"/>
  <c r="J14" i="24"/>
  <c r="R14" i="24" s="1"/>
  <c r="I14" i="24"/>
  <c r="H14" i="24"/>
  <c r="I13" i="24"/>
  <c r="H13" i="24"/>
  <c r="I12" i="24"/>
  <c r="J12" i="24" s="1"/>
  <c r="R12" i="24" s="1"/>
  <c r="H12" i="24"/>
  <c r="H11" i="24"/>
  <c r="I11" i="24"/>
  <c r="I10" i="24"/>
  <c r="H10" i="24"/>
  <c r="I9" i="24"/>
  <c r="J9" i="24" s="1"/>
  <c r="R9" i="24" s="1"/>
  <c r="H9" i="24"/>
  <c r="H8" i="24"/>
  <c r="I8" i="24"/>
  <c r="J8" i="24" s="1"/>
  <c r="R8" i="24" s="1"/>
  <c r="K7" i="24"/>
  <c r="K8" i="24" s="1"/>
  <c r="K9" i="24" s="1"/>
  <c r="K10" i="24" s="1"/>
  <c r="K11" i="24" s="1"/>
  <c r="K12" i="24" s="1"/>
  <c r="I7" i="24"/>
  <c r="J7" i="24" s="1"/>
  <c r="R7" i="24" s="1"/>
  <c r="H7" i="24"/>
  <c r="K13" i="24" l="1"/>
  <c r="K14" i="24" s="1"/>
  <c r="K15" i="24" s="1"/>
  <c r="K16" i="24" s="1"/>
  <c r="K17" i="24" s="1"/>
  <c r="M16" i="28"/>
  <c r="S16" i="28" s="1"/>
  <c r="L17" i="28"/>
  <c r="L21" i="33"/>
  <c r="M20" i="33"/>
  <c r="S20" i="33" s="1"/>
  <c r="J10" i="24"/>
  <c r="R10" i="24" s="1"/>
  <c r="J16" i="24"/>
  <c r="R16" i="24" s="1"/>
  <c r="J19" i="24"/>
  <c r="R19" i="24" s="1"/>
  <c r="K32" i="25"/>
  <c r="K33" i="25" s="1"/>
  <c r="K34" i="25" s="1"/>
  <c r="K35" i="25" s="1"/>
  <c r="K36" i="25" s="1"/>
  <c r="K37" i="25" s="1"/>
  <c r="K38" i="25" s="1"/>
  <c r="K39" i="25" s="1"/>
  <c r="K40" i="25" s="1"/>
  <c r="K41" i="25" s="1"/>
  <c r="J11" i="24"/>
  <c r="R11" i="24" s="1"/>
  <c r="M19" i="32"/>
  <c r="S19" i="32" s="1"/>
  <c r="L20" i="32"/>
  <c r="M20" i="31"/>
  <c r="S20" i="31" s="1"/>
  <c r="L21" i="31"/>
  <c r="M18" i="29"/>
  <c r="S18" i="29" s="1"/>
  <c r="L19" i="29"/>
  <c r="L16" i="27"/>
  <c r="M15" i="27"/>
  <c r="S15" i="27" s="1"/>
  <c r="M12" i="26"/>
  <c r="S12" i="26" s="1"/>
  <c r="L13" i="26"/>
  <c r="M8" i="25"/>
  <c r="S8" i="25" s="1"/>
  <c r="L9" i="25"/>
  <c r="J21" i="24"/>
  <c r="R21" i="24" s="1"/>
  <c r="J20" i="24"/>
  <c r="R20" i="24" s="1"/>
  <c r="J18" i="24"/>
  <c r="R18" i="24" s="1"/>
  <c r="J15" i="24"/>
  <c r="R15" i="24" s="1"/>
  <c r="J13" i="24"/>
  <c r="R13" i="24" s="1"/>
  <c r="L7" i="24"/>
  <c r="G11" i="23"/>
  <c r="M17" i="28" l="1"/>
  <c r="S17" i="28" s="1"/>
  <c r="L18" i="28"/>
  <c r="M21" i="33"/>
  <c r="S21" i="33" s="1"/>
  <c r="L22" i="33"/>
  <c r="K18" i="24"/>
  <c r="K19" i="24" s="1"/>
  <c r="K20" i="24" s="1"/>
  <c r="K21" i="24" s="1"/>
  <c r="K22" i="24" s="1"/>
  <c r="M20" i="32"/>
  <c r="S20" i="32" s="1"/>
  <c r="L21" i="32"/>
  <c r="L22" i="31"/>
  <c r="M21" i="31"/>
  <c r="S21" i="31" s="1"/>
  <c r="M19" i="29"/>
  <c r="S19" i="29" s="1"/>
  <c r="L20" i="29"/>
  <c r="M16" i="27"/>
  <c r="S16" i="27" s="1"/>
  <c r="L17" i="27"/>
  <c r="M13" i="26"/>
  <c r="S13" i="26" s="1"/>
  <c r="L14" i="26"/>
  <c r="M9" i="25"/>
  <c r="S9" i="25" s="1"/>
  <c r="L10" i="25"/>
  <c r="L8" i="24"/>
  <c r="M7" i="24"/>
  <c r="S7" i="24" s="1"/>
  <c r="G9" i="23"/>
  <c r="G8" i="23"/>
  <c r="I8" i="23" s="1"/>
  <c r="S112" i="23"/>
  <c r="R112" i="23"/>
  <c r="M112" i="23"/>
  <c r="L112" i="23"/>
  <c r="K112" i="23"/>
  <c r="J112" i="23"/>
  <c r="I112" i="23"/>
  <c r="H112" i="23"/>
  <c r="S111" i="23"/>
  <c r="R111" i="23"/>
  <c r="M111" i="23"/>
  <c r="L111" i="23"/>
  <c r="K111" i="23"/>
  <c r="J111" i="23"/>
  <c r="I111" i="23"/>
  <c r="H111" i="23"/>
  <c r="S110" i="23"/>
  <c r="R110" i="23"/>
  <c r="M110" i="23"/>
  <c r="L110" i="23"/>
  <c r="K110" i="23"/>
  <c r="J110" i="23"/>
  <c r="I110" i="23"/>
  <c r="H110" i="23"/>
  <c r="S109" i="23"/>
  <c r="R109" i="23"/>
  <c r="M109" i="23"/>
  <c r="L109" i="23"/>
  <c r="K109" i="23"/>
  <c r="J109" i="23"/>
  <c r="I109" i="23"/>
  <c r="H109" i="23"/>
  <c r="S108" i="23"/>
  <c r="R108" i="23"/>
  <c r="M108" i="23"/>
  <c r="L108" i="23"/>
  <c r="K108" i="23"/>
  <c r="J108" i="23"/>
  <c r="I108" i="23"/>
  <c r="H108" i="23"/>
  <c r="S107" i="23"/>
  <c r="R107" i="23"/>
  <c r="M107" i="23"/>
  <c r="L107" i="23"/>
  <c r="K107" i="23"/>
  <c r="J107" i="23"/>
  <c r="I107" i="23"/>
  <c r="H107" i="23"/>
  <c r="S106" i="23"/>
  <c r="R106" i="23"/>
  <c r="M106" i="23"/>
  <c r="L106" i="23"/>
  <c r="K106" i="23"/>
  <c r="J106" i="23"/>
  <c r="I106" i="23"/>
  <c r="H106" i="23"/>
  <c r="S105" i="23"/>
  <c r="R105" i="23"/>
  <c r="M105" i="23"/>
  <c r="L105" i="23"/>
  <c r="K105" i="23"/>
  <c r="J105" i="23"/>
  <c r="I105" i="23"/>
  <c r="H105" i="23"/>
  <c r="S104" i="23"/>
  <c r="R104" i="23"/>
  <c r="M104" i="23"/>
  <c r="L104" i="23"/>
  <c r="K104" i="23"/>
  <c r="J104" i="23"/>
  <c r="I104" i="23"/>
  <c r="H104" i="23"/>
  <c r="S103" i="23"/>
  <c r="R103" i="23"/>
  <c r="M103" i="23"/>
  <c r="L103" i="23"/>
  <c r="K103" i="23"/>
  <c r="J103" i="23"/>
  <c r="I103" i="23"/>
  <c r="H103" i="23"/>
  <c r="S102" i="23"/>
  <c r="R102" i="23"/>
  <c r="M102" i="23"/>
  <c r="L102" i="23"/>
  <c r="K102" i="23"/>
  <c r="J102" i="23"/>
  <c r="I102" i="23"/>
  <c r="H102" i="23"/>
  <c r="S101" i="23"/>
  <c r="R101" i="23"/>
  <c r="M101" i="23"/>
  <c r="L101" i="23"/>
  <c r="K101" i="23"/>
  <c r="J101" i="23"/>
  <c r="I101" i="23"/>
  <c r="H101" i="23"/>
  <c r="S100" i="23"/>
  <c r="R100" i="23"/>
  <c r="M100" i="23"/>
  <c r="L100" i="23"/>
  <c r="K100" i="23"/>
  <c r="J100" i="23"/>
  <c r="I100" i="23"/>
  <c r="H100" i="23"/>
  <c r="S99" i="23"/>
  <c r="R99" i="23"/>
  <c r="M99" i="23"/>
  <c r="L99" i="23"/>
  <c r="K99" i="23"/>
  <c r="J99" i="23"/>
  <c r="I99" i="23"/>
  <c r="H99" i="23"/>
  <c r="S98" i="23"/>
  <c r="R98" i="23"/>
  <c r="M98" i="23"/>
  <c r="L98" i="23"/>
  <c r="K98" i="23"/>
  <c r="J98" i="23"/>
  <c r="I98" i="23"/>
  <c r="H98" i="23"/>
  <c r="S97" i="23"/>
  <c r="R97" i="23"/>
  <c r="M97" i="23"/>
  <c r="L97" i="23"/>
  <c r="K97" i="23"/>
  <c r="J97" i="23"/>
  <c r="I97" i="23"/>
  <c r="H97" i="23"/>
  <c r="S96" i="23"/>
  <c r="R96" i="23"/>
  <c r="M96" i="23"/>
  <c r="L96" i="23"/>
  <c r="K96" i="23"/>
  <c r="J96" i="23"/>
  <c r="I96" i="23"/>
  <c r="H96" i="23"/>
  <c r="S95" i="23"/>
  <c r="R95" i="23"/>
  <c r="M95" i="23"/>
  <c r="L95" i="23"/>
  <c r="K95" i="23"/>
  <c r="J95" i="23"/>
  <c r="I95" i="23"/>
  <c r="H95" i="23"/>
  <c r="S94" i="23"/>
  <c r="R94" i="23"/>
  <c r="M94" i="23"/>
  <c r="L94" i="23"/>
  <c r="K94" i="23"/>
  <c r="J94" i="23"/>
  <c r="I94" i="23"/>
  <c r="H94" i="23"/>
  <c r="S93" i="23"/>
  <c r="R93" i="23"/>
  <c r="M93" i="23"/>
  <c r="L93" i="23"/>
  <c r="K93" i="23"/>
  <c r="J93" i="23"/>
  <c r="I93" i="23"/>
  <c r="H93" i="23"/>
  <c r="S92" i="23"/>
  <c r="R92" i="23"/>
  <c r="M92" i="23"/>
  <c r="L92" i="23"/>
  <c r="K92" i="23"/>
  <c r="J92" i="23"/>
  <c r="I92" i="23"/>
  <c r="H92" i="23"/>
  <c r="S91" i="23"/>
  <c r="R91" i="23"/>
  <c r="M91" i="23"/>
  <c r="L91" i="23"/>
  <c r="K91" i="23"/>
  <c r="J91" i="23"/>
  <c r="I91" i="23"/>
  <c r="H91" i="23"/>
  <c r="S90" i="23"/>
  <c r="R90" i="23"/>
  <c r="M90" i="23"/>
  <c r="L90" i="23"/>
  <c r="K90" i="23"/>
  <c r="J90" i="23"/>
  <c r="I90" i="23"/>
  <c r="H90" i="23"/>
  <c r="S89" i="23"/>
  <c r="R89" i="23"/>
  <c r="M89" i="23"/>
  <c r="L89" i="23"/>
  <c r="K89" i="23"/>
  <c r="J89" i="23"/>
  <c r="I89" i="23"/>
  <c r="H89" i="23"/>
  <c r="S88" i="23"/>
  <c r="R88" i="23"/>
  <c r="M88" i="23"/>
  <c r="L88" i="23"/>
  <c r="K88" i="23"/>
  <c r="J88" i="23"/>
  <c r="I88" i="23"/>
  <c r="H88" i="23"/>
  <c r="S87" i="23"/>
  <c r="R87" i="23"/>
  <c r="M87" i="23"/>
  <c r="L87" i="23"/>
  <c r="K87" i="23"/>
  <c r="J87" i="23"/>
  <c r="I87" i="23"/>
  <c r="H87" i="23"/>
  <c r="S86" i="23"/>
  <c r="R86" i="23"/>
  <c r="M86" i="23"/>
  <c r="L86" i="23"/>
  <c r="K86" i="23"/>
  <c r="J86" i="23"/>
  <c r="I86" i="23"/>
  <c r="H86" i="23"/>
  <c r="S85" i="23"/>
  <c r="R85" i="23"/>
  <c r="M85" i="23"/>
  <c r="L85" i="23"/>
  <c r="K85" i="23"/>
  <c r="J85" i="23"/>
  <c r="I85" i="23"/>
  <c r="H85" i="23"/>
  <c r="S84" i="23"/>
  <c r="R84" i="23"/>
  <c r="M84" i="23"/>
  <c r="L84" i="23"/>
  <c r="K84" i="23"/>
  <c r="J84" i="23"/>
  <c r="I84" i="23"/>
  <c r="H84" i="23"/>
  <c r="S83" i="23"/>
  <c r="R83" i="23"/>
  <c r="M83" i="23"/>
  <c r="L83" i="23"/>
  <c r="K83" i="23"/>
  <c r="J83" i="23"/>
  <c r="I83" i="23"/>
  <c r="H83" i="23"/>
  <c r="S82" i="23"/>
  <c r="R82" i="23"/>
  <c r="M82" i="23"/>
  <c r="L82" i="23"/>
  <c r="K82" i="23"/>
  <c r="J82" i="23"/>
  <c r="I82" i="23"/>
  <c r="H82" i="23"/>
  <c r="S81" i="23"/>
  <c r="R81" i="23"/>
  <c r="M81" i="23"/>
  <c r="L81" i="23"/>
  <c r="K81" i="23"/>
  <c r="J81" i="23"/>
  <c r="I81" i="23"/>
  <c r="H81" i="23"/>
  <c r="S80" i="23"/>
  <c r="R80" i="23"/>
  <c r="M80" i="23"/>
  <c r="L80" i="23"/>
  <c r="K80" i="23"/>
  <c r="J80" i="23"/>
  <c r="I80" i="23"/>
  <c r="H80" i="23"/>
  <c r="S79" i="23"/>
  <c r="R79" i="23"/>
  <c r="M79" i="23"/>
  <c r="L79" i="23"/>
  <c r="K79" i="23"/>
  <c r="J79" i="23"/>
  <c r="I79" i="23"/>
  <c r="H79" i="23"/>
  <c r="S78" i="23"/>
  <c r="R78" i="23"/>
  <c r="M78" i="23"/>
  <c r="L78" i="23"/>
  <c r="K78" i="23"/>
  <c r="J78" i="23"/>
  <c r="I78" i="23"/>
  <c r="H78" i="23"/>
  <c r="S77" i="23"/>
  <c r="R77" i="23"/>
  <c r="M77" i="23"/>
  <c r="L77" i="23"/>
  <c r="K77" i="23"/>
  <c r="J77" i="23"/>
  <c r="I77" i="23"/>
  <c r="H77" i="23"/>
  <c r="S76" i="23"/>
  <c r="R76" i="23"/>
  <c r="M76" i="23"/>
  <c r="L76" i="23"/>
  <c r="K76" i="23"/>
  <c r="J76" i="23"/>
  <c r="I76" i="23"/>
  <c r="H76" i="23"/>
  <c r="S75" i="23"/>
  <c r="R75" i="23"/>
  <c r="M75" i="23"/>
  <c r="L75" i="23"/>
  <c r="K75" i="23"/>
  <c r="J75" i="23"/>
  <c r="I75" i="23"/>
  <c r="H75" i="23"/>
  <c r="S74" i="23"/>
  <c r="R74" i="23"/>
  <c r="M74" i="23"/>
  <c r="L74" i="23"/>
  <c r="K74" i="23"/>
  <c r="J74" i="23"/>
  <c r="I74" i="23"/>
  <c r="H74" i="23"/>
  <c r="S73" i="23"/>
  <c r="R73" i="23"/>
  <c r="M73" i="23"/>
  <c r="L73" i="23"/>
  <c r="K73" i="23"/>
  <c r="J73" i="23"/>
  <c r="I73" i="23"/>
  <c r="H73" i="23"/>
  <c r="S72" i="23"/>
  <c r="R72" i="23"/>
  <c r="M72" i="23"/>
  <c r="L72" i="23"/>
  <c r="K72" i="23"/>
  <c r="J72" i="23"/>
  <c r="I72" i="23"/>
  <c r="H72" i="23"/>
  <c r="S71" i="23"/>
  <c r="R71" i="23"/>
  <c r="M71" i="23"/>
  <c r="L71" i="23"/>
  <c r="K71" i="23"/>
  <c r="J71" i="23"/>
  <c r="I71" i="23"/>
  <c r="H71" i="23"/>
  <c r="S70" i="23"/>
  <c r="R70" i="23"/>
  <c r="M70" i="23"/>
  <c r="L70" i="23"/>
  <c r="K70" i="23"/>
  <c r="J70" i="23"/>
  <c r="I70" i="23"/>
  <c r="H70" i="23"/>
  <c r="S69" i="23"/>
  <c r="R69" i="23"/>
  <c r="M69" i="23"/>
  <c r="L69" i="23"/>
  <c r="K69" i="23"/>
  <c r="J69" i="23"/>
  <c r="I69" i="23"/>
  <c r="H69" i="23"/>
  <c r="S68" i="23"/>
  <c r="R68" i="23"/>
  <c r="M68" i="23"/>
  <c r="L68" i="23"/>
  <c r="K68" i="23"/>
  <c r="J68" i="23"/>
  <c r="I68" i="23"/>
  <c r="H68" i="23"/>
  <c r="S67" i="23"/>
  <c r="R67" i="23"/>
  <c r="M67" i="23"/>
  <c r="L67" i="23"/>
  <c r="K67" i="23"/>
  <c r="J67" i="23"/>
  <c r="I67" i="23"/>
  <c r="H67" i="23"/>
  <c r="S66" i="23"/>
  <c r="R66" i="23"/>
  <c r="M66" i="23"/>
  <c r="L66" i="23"/>
  <c r="K66" i="23"/>
  <c r="J66" i="23"/>
  <c r="I66" i="23"/>
  <c r="H66" i="23"/>
  <c r="S65" i="23"/>
  <c r="R65" i="23"/>
  <c r="M65" i="23"/>
  <c r="L65" i="23"/>
  <c r="K65" i="23"/>
  <c r="J65" i="23"/>
  <c r="I65" i="23"/>
  <c r="H65" i="23"/>
  <c r="S64" i="23"/>
  <c r="R64" i="23"/>
  <c r="M64" i="23"/>
  <c r="L64" i="23"/>
  <c r="K64" i="23"/>
  <c r="J64" i="23"/>
  <c r="I64" i="23"/>
  <c r="H64" i="23"/>
  <c r="S63" i="23"/>
  <c r="R63" i="23"/>
  <c r="M63" i="23"/>
  <c r="L63" i="23"/>
  <c r="K63" i="23"/>
  <c r="J63" i="23"/>
  <c r="I63" i="23"/>
  <c r="H63" i="23"/>
  <c r="S62" i="23"/>
  <c r="R62" i="23"/>
  <c r="M62" i="23"/>
  <c r="L62" i="23"/>
  <c r="K62" i="23"/>
  <c r="J62" i="23"/>
  <c r="I62" i="23"/>
  <c r="H62" i="23"/>
  <c r="S61" i="23"/>
  <c r="R61" i="23"/>
  <c r="M61" i="23"/>
  <c r="L61" i="23"/>
  <c r="K61" i="23"/>
  <c r="J61" i="23"/>
  <c r="I61" i="23"/>
  <c r="H61" i="23"/>
  <c r="S60" i="23"/>
  <c r="R60" i="23"/>
  <c r="M60" i="23"/>
  <c r="L60" i="23"/>
  <c r="K60" i="23"/>
  <c r="J60" i="23"/>
  <c r="I60" i="23"/>
  <c r="H60" i="23"/>
  <c r="S59" i="23"/>
  <c r="R59" i="23"/>
  <c r="M59" i="23"/>
  <c r="L59" i="23"/>
  <c r="K59" i="23"/>
  <c r="J59" i="23"/>
  <c r="I59" i="23"/>
  <c r="H59" i="23"/>
  <c r="S58" i="23"/>
  <c r="R58" i="23"/>
  <c r="M58" i="23"/>
  <c r="L58" i="23"/>
  <c r="K58" i="23"/>
  <c r="J58" i="23"/>
  <c r="I58" i="23"/>
  <c r="H58" i="23"/>
  <c r="S57" i="23"/>
  <c r="R57" i="23"/>
  <c r="M57" i="23"/>
  <c r="L57" i="23"/>
  <c r="K57" i="23"/>
  <c r="J57" i="23"/>
  <c r="I57" i="23"/>
  <c r="H57" i="23"/>
  <c r="S56" i="23"/>
  <c r="R56" i="23"/>
  <c r="M56" i="23"/>
  <c r="L56" i="23"/>
  <c r="K56" i="23"/>
  <c r="J56" i="23"/>
  <c r="I56" i="23"/>
  <c r="H56" i="23"/>
  <c r="S55" i="23"/>
  <c r="R55" i="23"/>
  <c r="M55" i="23"/>
  <c r="L55" i="23"/>
  <c r="K55" i="23"/>
  <c r="J55" i="23"/>
  <c r="I55" i="23"/>
  <c r="H55" i="23"/>
  <c r="S54" i="23"/>
  <c r="R54" i="23"/>
  <c r="M54" i="23"/>
  <c r="L54" i="23"/>
  <c r="K54" i="23"/>
  <c r="J54" i="23"/>
  <c r="I54" i="23"/>
  <c r="H54" i="23"/>
  <c r="S53" i="23"/>
  <c r="R53" i="23"/>
  <c r="M53" i="23"/>
  <c r="L53" i="23"/>
  <c r="K53" i="23"/>
  <c r="J53" i="23"/>
  <c r="I53" i="23"/>
  <c r="H53" i="23"/>
  <c r="S52" i="23"/>
  <c r="R52" i="23"/>
  <c r="M52" i="23"/>
  <c r="L52" i="23"/>
  <c r="K52" i="23"/>
  <c r="J52" i="23"/>
  <c r="I52" i="23"/>
  <c r="H52" i="23"/>
  <c r="S51" i="23"/>
  <c r="R51" i="23"/>
  <c r="M51" i="23"/>
  <c r="L51" i="23"/>
  <c r="K51" i="23"/>
  <c r="J51" i="23"/>
  <c r="I51" i="23"/>
  <c r="H51" i="23"/>
  <c r="S50" i="23"/>
  <c r="R50" i="23"/>
  <c r="M50" i="23"/>
  <c r="L50" i="23"/>
  <c r="K50" i="23"/>
  <c r="J50" i="23"/>
  <c r="I50" i="23"/>
  <c r="H50" i="23"/>
  <c r="S49" i="23"/>
  <c r="R49" i="23"/>
  <c r="M49" i="23"/>
  <c r="L49" i="23"/>
  <c r="K49" i="23"/>
  <c r="J49" i="23"/>
  <c r="I49" i="23"/>
  <c r="H49" i="23"/>
  <c r="S48" i="23"/>
  <c r="R48" i="23"/>
  <c r="M48" i="23"/>
  <c r="L48" i="23"/>
  <c r="K48" i="23"/>
  <c r="J48" i="23"/>
  <c r="I48" i="23"/>
  <c r="H48" i="23"/>
  <c r="S47" i="23"/>
  <c r="R47" i="23"/>
  <c r="M47" i="23"/>
  <c r="L47" i="23"/>
  <c r="K47" i="23"/>
  <c r="J47" i="23"/>
  <c r="I47" i="23"/>
  <c r="H47" i="23"/>
  <c r="S46" i="23"/>
  <c r="R46" i="23"/>
  <c r="M46" i="23"/>
  <c r="L46" i="23"/>
  <c r="K46" i="23"/>
  <c r="J46" i="23"/>
  <c r="I46" i="23"/>
  <c r="H46" i="23"/>
  <c r="I45" i="23"/>
  <c r="J45" i="23" s="1"/>
  <c r="R45" i="23" s="1"/>
  <c r="H45" i="23"/>
  <c r="I44" i="23"/>
  <c r="J44" i="23" s="1"/>
  <c r="R44" i="23" s="1"/>
  <c r="H44" i="23"/>
  <c r="I43" i="23"/>
  <c r="J43" i="23" s="1"/>
  <c r="R43" i="23" s="1"/>
  <c r="H43" i="23"/>
  <c r="I42" i="23"/>
  <c r="J42" i="23" s="1"/>
  <c r="R42" i="23" s="1"/>
  <c r="H42" i="23"/>
  <c r="I41" i="23"/>
  <c r="J41" i="23" s="1"/>
  <c r="R41" i="23" s="1"/>
  <c r="H41" i="23"/>
  <c r="I40" i="23"/>
  <c r="J40" i="23" s="1"/>
  <c r="R40" i="23" s="1"/>
  <c r="H40" i="23"/>
  <c r="I39" i="23"/>
  <c r="J39" i="23" s="1"/>
  <c r="R39" i="23" s="1"/>
  <c r="H39" i="23"/>
  <c r="I38" i="23"/>
  <c r="J38" i="23" s="1"/>
  <c r="R38" i="23" s="1"/>
  <c r="H38" i="23"/>
  <c r="H37" i="23"/>
  <c r="I37" i="23"/>
  <c r="J37" i="23" s="1"/>
  <c r="R37" i="23" s="1"/>
  <c r="I36" i="23"/>
  <c r="J36" i="23" s="1"/>
  <c r="R36" i="23" s="1"/>
  <c r="H36" i="23"/>
  <c r="I35" i="23"/>
  <c r="J35" i="23" s="1"/>
  <c r="R35" i="23" s="1"/>
  <c r="H35" i="23"/>
  <c r="I34" i="23"/>
  <c r="J34" i="23" s="1"/>
  <c r="R34" i="23" s="1"/>
  <c r="H34" i="23"/>
  <c r="I33" i="23"/>
  <c r="J33" i="23" s="1"/>
  <c r="R33" i="23" s="1"/>
  <c r="H33" i="23"/>
  <c r="I32" i="23"/>
  <c r="J32" i="23" s="1"/>
  <c r="R32" i="23" s="1"/>
  <c r="H32" i="23"/>
  <c r="I31" i="23"/>
  <c r="J31" i="23" s="1"/>
  <c r="R31" i="23" s="1"/>
  <c r="H31" i="23"/>
  <c r="I30" i="23"/>
  <c r="J30" i="23" s="1"/>
  <c r="R30" i="23" s="1"/>
  <c r="H30" i="23"/>
  <c r="I29" i="23"/>
  <c r="J29" i="23" s="1"/>
  <c r="R29" i="23" s="1"/>
  <c r="H29" i="23"/>
  <c r="I28" i="23"/>
  <c r="J28" i="23" s="1"/>
  <c r="R28" i="23" s="1"/>
  <c r="H28" i="23"/>
  <c r="J27" i="23"/>
  <c r="R27" i="23" s="1"/>
  <c r="I27" i="23"/>
  <c r="H27" i="23"/>
  <c r="J26" i="23"/>
  <c r="R26" i="23" s="1"/>
  <c r="I26" i="23"/>
  <c r="H26" i="23"/>
  <c r="H25" i="23"/>
  <c r="I25" i="23"/>
  <c r="J25" i="23" s="1"/>
  <c r="R25" i="23" s="1"/>
  <c r="I24" i="23"/>
  <c r="J24" i="23" s="1"/>
  <c r="R24" i="23" s="1"/>
  <c r="H24" i="23"/>
  <c r="I23" i="23"/>
  <c r="J23" i="23" s="1"/>
  <c r="R23" i="23" s="1"/>
  <c r="H23" i="23"/>
  <c r="I22" i="23"/>
  <c r="J22" i="23" s="1"/>
  <c r="R22" i="23" s="1"/>
  <c r="H22" i="23"/>
  <c r="I21" i="23"/>
  <c r="J21" i="23" s="1"/>
  <c r="R21" i="23" s="1"/>
  <c r="H21" i="23"/>
  <c r="I20" i="23"/>
  <c r="J20" i="23" s="1"/>
  <c r="R20" i="23" s="1"/>
  <c r="H20" i="23"/>
  <c r="I19" i="23"/>
  <c r="J19" i="23" s="1"/>
  <c r="R19" i="23" s="1"/>
  <c r="H19" i="23"/>
  <c r="I18" i="23"/>
  <c r="J18" i="23" s="1"/>
  <c r="R18" i="23" s="1"/>
  <c r="H18" i="23"/>
  <c r="I17" i="23"/>
  <c r="J17" i="23" s="1"/>
  <c r="R17" i="23" s="1"/>
  <c r="H17" i="23"/>
  <c r="H16" i="23"/>
  <c r="I16" i="23"/>
  <c r="J16" i="23" s="1"/>
  <c r="R16" i="23" s="1"/>
  <c r="I15" i="23"/>
  <c r="J15" i="23" s="1"/>
  <c r="R15" i="23" s="1"/>
  <c r="H15" i="23"/>
  <c r="I14" i="23"/>
  <c r="J14" i="23" s="1"/>
  <c r="R14" i="23" s="1"/>
  <c r="H14" i="23"/>
  <c r="I13" i="23"/>
  <c r="J13" i="23" s="1"/>
  <c r="R13" i="23" s="1"/>
  <c r="H13" i="23"/>
  <c r="I12" i="23"/>
  <c r="J12" i="23" s="1"/>
  <c r="R12" i="23" s="1"/>
  <c r="H12" i="23"/>
  <c r="I11" i="23"/>
  <c r="H11" i="23"/>
  <c r="I10" i="23"/>
  <c r="J10" i="23" s="1"/>
  <c r="R10" i="23" s="1"/>
  <c r="H10" i="23"/>
  <c r="I9" i="23"/>
  <c r="H9" i="23"/>
  <c r="H8" i="23"/>
  <c r="I7" i="23"/>
  <c r="L7" i="23" s="1"/>
  <c r="H7" i="23"/>
  <c r="K7" i="23" s="1"/>
  <c r="J9" i="23" l="1"/>
  <c r="R9" i="23" s="1"/>
  <c r="L23" i="33"/>
  <c r="M22" i="33"/>
  <c r="S22" i="33" s="1"/>
  <c r="J8" i="23"/>
  <c r="R8" i="23" s="1"/>
  <c r="M18" i="28"/>
  <c r="S18" i="28" s="1"/>
  <c r="L19" i="28"/>
  <c r="K8" i="23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M21" i="32"/>
  <c r="S21" i="32" s="1"/>
  <c r="L22" i="32"/>
  <c r="L23" i="31"/>
  <c r="M22" i="31"/>
  <c r="S22" i="31" s="1"/>
  <c r="M20" i="29"/>
  <c r="S20" i="29" s="1"/>
  <c r="L21" i="29"/>
  <c r="M17" i="27"/>
  <c r="S17" i="27" s="1"/>
  <c r="L18" i="27"/>
  <c r="M14" i="26"/>
  <c r="S14" i="26" s="1"/>
  <c r="L15" i="26"/>
  <c r="M10" i="25"/>
  <c r="S10" i="25" s="1"/>
  <c r="L11" i="25"/>
  <c r="M8" i="24"/>
  <c r="S8" i="24" s="1"/>
  <c r="L9" i="24"/>
  <c r="J11" i="23"/>
  <c r="R11" i="23" s="1"/>
  <c r="J7" i="23"/>
  <c r="R7" i="23" s="1"/>
  <c r="M7" i="23"/>
  <c r="S7" i="23" s="1"/>
  <c r="L8" i="23"/>
  <c r="M19" i="28" l="1"/>
  <c r="S19" i="28" s="1"/>
  <c r="L20" i="28"/>
  <c r="M23" i="33"/>
  <c r="S23" i="33" s="1"/>
  <c r="L24" i="33"/>
  <c r="M22" i="32"/>
  <c r="S22" i="32" s="1"/>
  <c r="L23" i="32"/>
  <c r="L24" i="31"/>
  <c r="M24" i="31" s="1"/>
  <c r="S24" i="31" s="1"/>
  <c r="M23" i="31"/>
  <c r="S23" i="31" s="1"/>
  <c r="M21" i="29"/>
  <c r="S21" i="29" s="1"/>
  <c r="L22" i="29"/>
  <c r="M18" i="27"/>
  <c r="S18" i="27" s="1"/>
  <c r="L19" i="27"/>
  <c r="M19" i="27" s="1"/>
  <c r="S19" i="27" s="1"/>
  <c r="M15" i="26"/>
  <c r="S15" i="26" s="1"/>
  <c r="L16" i="26"/>
  <c r="M11" i="25"/>
  <c r="S11" i="25" s="1"/>
  <c r="L12" i="25"/>
  <c r="L10" i="24"/>
  <c r="M9" i="24"/>
  <c r="S9" i="24" s="1"/>
  <c r="L9" i="23"/>
  <c r="M8" i="23"/>
  <c r="S8" i="23" s="1"/>
  <c r="M20" i="28" l="1"/>
  <c r="S20" i="28" s="1"/>
  <c r="L21" i="28"/>
  <c r="M24" i="33"/>
  <c r="S24" i="33" s="1"/>
  <c r="L25" i="33"/>
  <c r="M23" i="32"/>
  <c r="S23" i="32" s="1"/>
  <c r="L24" i="32"/>
  <c r="M22" i="29"/>
  <c r="S22" i="29" s="1"/>
  <c r="L23" i="29"/>
  <c r="M16" i="26"/>
  <c r="S16" i="26" s="1"/>
  <c r="L17" i="26"/>
  <c r="M12" i="25"/>
  <c r="S12" i="25" s="1"/>
  <c r="L13" i="25"/>
  <c r="L11" i="24"/>
  <c r="M10" i="24"/>
  <c r="S10" i="24" s="1"/>
  <c r="L10" i="23"/>
  <c r="M9" i="23"/>
  <c r="S9" i="23" s="1"/>
  <c r="M21" i="28" l="1"/>
  <c r="S21" i="28" s="1"/>
  <c r="L22" i="28"/>
  <c r="M25" i="33"/>
  <c r="S25" i="33" s="1"/>
  <c r="L26" i="33"/>
  <c r="M24" i="32"/>
  <c r="S24" i="32" s="1"/>
  <c r="L25" i="32"/>
  <c r="M23" i="29"/>
  <c r="S23" i="29" s="1"/>
  <c r="L24" i="29"/>
  <c r="M24" i="29" s="1"/>
  <c r="S24" i="29" s="1"/>
  <c r="M17" i="26"/>
  <c r="S17" i="26" s="1"/>
  <c r="L18" i="26"/>
  <c r="M13" i="25"/>
  <c r="S13" i="25" s="1"/>
  <c r="L14" i="25"/>
  <c r="M11" i="24"/>
  <c r="S11" i="24" s="1"/>
  <c r="L12" i="24"/>
  <c r="L11" i="23"/>
  <c r="M10" i="23"/>
  <c r="S10" i="23" s="1"/>
  <c r="M26" i="33" l="1"/>
  <c r="S26" i="33" s="1"/>
  <c r="L27" i="33"/>
  <c r="M12" i="24"/>
  <c r="S12" i="24" s="1"/>
  <c r="L13" i="24"/>
  <c r="M22" i="28"/>
  <c r="S22" i="28" s="1"/>
  <c r="L23" i="28"/>
  <c r="M25" i="32"/>
  <c r="S25" i="32" s="1"/>
  <c r="L26" i="32"/>
  <c r="M18" i="26"/>
  <c r="S18" i="26" s="1"/>
  <c r="L19" i="26"/>
  <c r="M14" i="25"/>
  <c r="S14" i="25" s="1"/>
  <c r="L15" i="25"/>
  <c r="L12" i="23"/>
  <c r="M11" i="23"/>
  <c r="S11" i="23" s="1"/>
  <c r="L14" i="24" l="1"/>
  <c r="M13" i="24"/>
  <c r="S13" i="24" s="1"/>
  <c r="M23" i="28"/>
  <c r="S23" i="28" s="1"/>
  <c r="L24" i="28"/>
  <c r="M24" i="28" s="1"/>
  <c r="S24" i="28" s="1"/>
  <c r="M27" i="33"/>
  <c r="S27" i="33" s="1"/>
  <c r="L28" i="33"/>
  <c r="M26" i="32"/>
  <c r="S26" i="32" s="1"/>
  <c r="L27" i="32"/>
  <c r="M19" i="26"/>
  <c r="S19" i="26" s="1"/>
  <c r="L20" i="26"/>
  <c r="M15" i="25"/>
  <c r="S15" i="25" s="1"/>
  <c r="L16" i="25"/>
  <c r="L13" i="23"/>
  <c r="M12" i="23"/>
  <c r="S12" i="23" s="1"/>
  <c r="L29" i="33" l="1"/>
  <c r="M28" i="33"/>
  <c r="S28" i="33" s="1"/>
  <c r="M14" i="24"/>
  <c r="S14" i="24" s="1"/>
  <c r="L15" i="24"/>
  <c r="M27" i="32"/>
  <c r="S27" i="32" s="1"/>
  <c r="L28" i="32"/>
  <c r="M20" i="26"/>
  <c r="S20" i="26" s="1"/>
  <c r="L21" i="26"/>
  <c r="M16" i="25"/>
  <c r="S16" i="25" s="1"/>
  <c r="L17" i="25"/>
  <c r="L14" i="23"/>
  <c r="M13" i="23"/>
  <c r="S13" i="23" s="1"/>
  <c r="M15" i="24" l="1"/>
  <c r="S15" i="24" s="1"/>
  <c r="L16" i="24"/>
  <c r="L30" i="33"/>
  <c r="M29" i="33"/>
  <c r="S29" i="33" s="1"/>
  <c r="M28" i="32"/>
  <c r="S28" i="32" s="1"/>
  <c r="L29" i="32"/>
  <c r="M21" i="26"/>
  <c r="S21" i="26" s="1"/>
  <c r="L22" i="26"/>
  <c r="L18" i="25"/>
  <c r="M17" i="25"/>
  <c r="S17" i="25" s="1"/>
  <c r="L15" i="23"/>
  <c r="M14" i="23"/>
  <c r="S14" i="23" s="1"/>
  <c r="L31" i="33" l="1"/>
  <c r="M30" i="33"/>
  <c r="S30" i="33" s="1"/>
  <c r="M16" i="24"/>
  <c r="S16" i="24" s="1"/>
  <c r="L17" i="24"/>
  <c r="M29" i="32"/>
  <c r="S29" i="32" s="1"/>
  <c r="L30" i="32"/>
  <c r="M22" i="26"/>
  <c r="S22" i="26" s="1"/>
  <c r="L23" i="26"/>
  <c r="M18" i="25"/>
  <c r="S18" i="25" s="1"/>
  <c r="L19" i="25"/>
  <c r="L16" i="23"/>
  <c r="M15" i="23"/>
  <c r="S15" i="23" s="1"/>
  <c r="L18" i="24" l="1"/>
  <c r="M17" i="24"/>
  <c r="S17" i="24" s="1"/>
  <c r="L32" i="33"/>
  <c r="M31" i="33"/>
  <c r="S31" i="33" s="1"/>
  <c r="M30" i="32"/>
  <c r="S30" i="32" s="1"/>
  <c r="L31" i="32"/>
  <c r="M23" i="26"/>
  <c r="S23" i="26" s="1"/>
  <c r="L24" i="26"/>
  <c r="M19" i="25"/>
  <c r="S19" i="25" s="1"/>
  <c r="L20" i="25"/>
  <c r="M16" i="23"/>
  <c r="S16" i="23" s="1"/>
  <c r="L17" i="23"/>
  <c r="M32" i="33" l="1"/>
  <c r="S32" i="33" s="1"/>
  <c r="L33" i="33"/>
  <c r="M18" i="24"/>
  <c r="S18" i="24" s="1"/>
  <c r="L19" i="24"/>
  <c r="M31" i="32"/>
  <c r="S31" i="32" s="1"/>
  <c r="L32" i="32"/>
  <c r="M32" i="32" s="1"/>
  <c r="M24" i="26"/>
  <c r="S24" i="26" s="1"/>
  <c r="L25" i="26"/>
  <c r="M20" i="25"/>
  <c r="S20" i="25" s="1"/>
  <c r="L21" i="25"/>
  <c r="L18" i="23"/>
  <c r="M17" i="23"/>
  <c r="S17" i="23" s="1"/>
  <c r="M19" i="24" l="1"/>
  <c r="S19" i="24" s="1"/>
  <c r="L20" i="24"/>
  <c r="M33" i="33"/>
  <c r="S33" i="33" s="1"/>
  <c r="L34" i="33"/>
  <c r="S32" i="32"/>
  <c r="L33" i="32"/>
  <c r="M33" i="32" s="1"/>
  <c r="M25" i="26"/>
  <c r="S25" i="26" s="1"/>
  <c r="L26" i="26"/>
  <c r="M21" i="25"/>
  <c r="S21" i="25" s="1"/>
  <c r="L22" i="25"/>
  <c r="M18" i="23"/>
  <c r="S18" i="23" s="1"/>
  <c r="L19" i="23"/>
  <c r="M34" i="33" l="1"/>
  <c r="S34" i="33" s="1"/>
  <c r="L35" i="33"/>
  <c r="M20" i="24"/>
  <c r="S20" i="24" s="1"/>
  <c r="L21" i="24"/>
  <c r="S33" i="32"/>
  <c r="L34" i="32"/>
  <c r="M34" i="32" s="1"/>
  <c r="M26" i="26"/>
  <c r="S26" i="26" s="1"/>
  <c r="L27" i="26"/>
  <c r="M22" i="25"/>
  <c r="S22" i="25" s="1"/>
  <c r="L23" i="25"/>
  <c r="L20" i="23"/>
  <c r="M19" i="23"/>
  <c r="S19" i="23" s="1"/>
  <c r="L22" i="24" l="1"/>
  <c r="M22" i="24" s="1"/>
  <c r="S22" i="24" s="1"/>
  <c r="M21" i="24"/>
  <c r="S21" i="24" s="1"/>
  <c r="M23" i="25"/>
  <c r="S23" i="25" s="1"/>
  <c r="L24" i="25"/>
  <c r="M35" i="33"/>
  <c r="S35" i="33" s="1"/>
  <c r="L36" i="33"/>
  <c r="S34" i="32"/>
  <c r="L35" i="32"/>
  <c r="M35" i="32" s="1"/>
  <c r="M27" i="26"/>
  <c r="S27" i="26" s="1"/>
  <c r="L28" i="26"/>
  <c r="M20" i="23"/>
  <c r="S20" i="23" s="1"/>
  <c r="L21" i="23"/>
  <c r="L25" i="25" l="1"/>
  <c r="M24" i="25"/>
  <c r="S24" i="25" s="1"/>
  <c r="M36" i="33"/>
  <c r="S36" i="33" s="1"/>
  <c r="L37" i="33"/>
  <c r="S35" i="32"/>
  <c r="L36" i="32"/>
  <c r="M36" i="32" s="1"/>
  <c r="M28" i="26"/>
  <c r="S28" i="26" s="1"/>
  <c r="L29" i="26"/>
  <c r="L22" i="23"/>
  <c r="M21" i="23"/>
  <c r="S21" i="23" s="1"/>
  <c r="M37" i="33" l="1"/>
  <c r="S37" i="33" s="1"/>
  <c r="L38" i="33"/>
  <c r="L26" i="25"/>
  <c r="M25" i="25"/>
  <c r="S25" i="25" s="1"/>
  <c r="S36" i="32"/>
  <c r="L37" i="32"/>
  <c r="M37" i="32" s="1"/>
  <c r="M29" i="26"/>
  <c r="S29" i="26" s="1"/>
  <c r="L30" i="26"/>
  <c r="L23" i="23"/>
  <c r="M22" i="23"/>
  <c r="S22" i="23" s="1"/>
  <c r="L27" i="25" l="1"/>
  <c r="M26" i="25"/>
  <c r="S26" i="25" s="1"/>
  <c r="M38" i="33"/>
  <c r="S38" i="33" s="1"/>
  <c r="L39" i="33"/>
  <c r="S37" i="32"/>
  <c r="L38" i="32"/>
  <c r="M30" i="26"/>
  <c r="S30" i="26" s="1"/>
  <c r="L31" i="26"/>
  <c r="M23" i="23"/>
  <c r="S23" i="23" s="1"/>
  <c r="L24" i="23"/>
  <c r="M39" i="33" l="1"/>
  <c r="S39" i="33" s="1"/>
  <c r="L40" i="33"/>
  <c r="L28" i="25"/>
  <c r="M27" i="25"/>
  <c r="S27" i="25" s="1"/>
  <c r="M38" i="32"/>
  <c r="S38" i="32" s="1"/>
  <c r="L39" i="32"/>
  <c r="M31" i="26"/>
  <c r="S31" i="26" s="1"/>
  <c r="L32" i="26"/>
  <c r="L25" i="23"/>
  <c r="M24" i="23"/>
  <c r="S24" i="23" s="1"/>
  <c r="L41" i="33" l="1"/>
  <c r="M41" i="33" s="1"/>
  <c r="S41" i="33" s="1"/>
  <c r="M40" i="33"/>
  <c r="S40" i="33" s="1"/>
  <c r="L29" i="25"/>
  <c r="M28" i="25"/>
  <c r="S28" i="25" s="1"/>
  <c r="M39" i="32"/>
  <c r="S39" i="32" s="1"/>
  <c r="L40" i="32"/>
  <c r="M32" i="26"/>
  <c r="S32" i="26" s="1"/>
  <c r="L33" i="26"/>
  <c r="M25" i="23"/>
  <c r="S25" i="23" s="1"/>
  <c r="L26" i="23"/>
  <c r="M29" i="25" l="1"/>
  <c r="S29" i="25" s="1"/>
  <c r="L30" i="25"/>
  <c r="M40" i="32"/>
  <c r="S40" i="32" s="1"/>
  <c r="L41" i="32"/>
  <c r="M41" i="32" s="1"/>
  <c r="M33" i="26"/>
  <c r="S33" i="26" s="1"/>
  <c r="L34" i="26"/>
  <c r="M26" i="23"/>
  <c r="S26" i="23" s="1"/>
  <c r="L27" i="23"/>
  <c r="M30" i="25" l="1"/>
  <c r="S30" i="25" s="1"/>
  <c r="L31" i="25"/>
  <c r="S41" i="32"/>
  <c r="L42" i="32"/>
  <c r="L43" i="32" s="1"/>
  <c r="M34" i="26"/>
  <c r="S34" i="26" s="1"/>
  <c r="L35" i="26"/>
  <c r="L28" i="23"/>
  <c r="M27" i="23"/>
  <c r="S27" i="23" s="1"/>
  <c r="L44" i="32" l="1"/>
  <c r="M43" i="32"/>
  <c r="S43" i="32" s="1"/>
  <c r="L32" i="25"/>
  <c r="M31" i="25"/>
  <c r="S31" i="25" s="1"/>
  <c r="M42" i="32"/>
  <c r="S42" i="32" s="1"/>
  <c r="M35" i="26"/>
  <c r="S35" i="26" s="1"/>
  <c r="L36" i="26"/>
  <c r="M28" i="23"/>
  <c r="S28" i="23" s="1"/>
  <c r="L29" i="23"/>
  <c r="M32" i="25" l="1"/>
  <c r="S32" i="25" s="1"/>
  <c r="L33" i="25"/>
  <c r="M44" i="32"/>
  <c r="S44" i="32" s="1"/>
  <c r="L45" i="32"/>
  <c r="M36" i="26"/>
  <c r="S36" i="26" s="1"/>
  <c r="L37" i="26"/>
  <c r="M29" i="23"/>
  <c r="S29" i="23" s="1"/>
  <c r="L30" i="23"/>
  <c r="S112" i="22"/>
  <c r="R112" i="22"/>
  <c r="M112" i="22"/>
  <c r="L112" i="22"/>
  <c r="K112" i="22"/>
  <c r="J112" i="22"/>
  <c r="I112" i="22"/>
  <c r="H112" i="22"/>
  <c r="S111" i="22"/>
  <c r="R111" i="22"/>
  <c r="M111" i="22"/>
  <c r="L111" i="22"/>
  <c r="K111" i="22"/>
  <c r="J111" i="22"/>
  <c r="I111" i="22"/>
  <c r="H111" i="22"/>
  <c r="S110" i="22"/>
  <c r="R110" i="22"/>
  <c r="M110" i="22"/>
  <c r="L110" i="22"/>
  <c r="K110" i="22"/>
  <c r="J110" i="22"/>
  <c r="I110" i="22"/>
  <c r="H110" i="22"/>
  <c r="S109" i="22"/>
  <c r="R109" i="22"/>
  <c r="M109" i="22"/>
  <c r="L109" i="22"/>
  <c r="K109" i="22"/>
  <c r="J109" i="22"/>
  <c r="I109" i="22"/>
  <c r="H109" i="22"/>
  <c r="S108" i="22"/>
  <c r="R108" i="22"/>
  <c r="M108" i="22"/>
  <c r="L108" i="22"/>
  <c r="K108" i="22"/>
  <c r="J108" i="22"/>
  <c r="I108" i="22"/>
  <c r="H108" i="22"/>
  <c r="S107" i="22"/>
  <c r="R107" i="22"/>
  <c r="M107" i="22"/>
  <c r="L107" i="22"/>
  <c r="K107" i="22"/>
  <c r="J107" i="22"/>
  <c r="I107" i="22"/>
  <c r="H107" i="22"/>
  <c r="S106" i="22"/>
  <c r="R106" i="22"/>
  <c r="M106" i="22"/>
  <c r="L106" i="22"/>
  <c r="K106" i="22"/>
  <c r="J106" i="22"/>
  <c r="I106" i="22"/>
  <c r="H106" i="22"/>
  <c r="S105" i="22"/>
  <c r="R105" i="22"/>
  <c r="M105" i="22"/>
  <c r="L105" i="22"/>
  <c r="K105" i="22"/>
  <c r="J105" i="22"/>
  <c r="I105" i="22"/>
  <c r="H105" i="22"/>
  <c r="S104" i="22"/>
  <c r="R104" i="22"/>
  <c r="M104" i="22"/>
  <c r="L104" i="22"/>
  <c r="K104" i="22"/>
  <c r="J104" i="22"/>
  <c r="I104" i="22"/>
  <c r="H104" i="22"/>
  <c r="S103" i="22"/>
  <c r="R103" i="22"/>
  <c r="M103" i="22"/>
  <c r="L103" i="22"/>
  <c r="K103" i="22"/>
  <c r="J103" i="22"/>
  <c r="I103" i="22"/>
  <c r="H103" i="22"/>
  <c r="S102" i="22"/>
  <c r="R102" i="22"/>
  <c r="M102" i="22"/>
  <c r="L102" i="22"/>
  <c r="K102" i="22"/>
  <c r="J102" i="22"/>
  <c r="I102" i="22"/>
  <c r="H102" i="22"/>
  <c r="S101" i="22"/>
  <c r="R101" i="22"/>
  <c r="M101" i="22"/>
  <c r="L101" i="22"/>
  <c r="K101" i="22"/>
  <c r="J101" i="22"/>
  <c r="I101" i="22"/>
  <c r="H101" i="22"/>
  <c r="S100" i="22"/>
  <c r="R100" i="22"/>
  <c r="M100" i="22"/>
  <c r="L100" i="22"/>
  <c r="K100" i="22"/>
  <c r="J100" i="22"/>
  <c r="I100" i="22"/>
  <c r="H100" i="22"/>
  <c r="S99" i="22"/>
  <c r="R99" i="22"/>
  <c r="M99" i="22"/>
  <c r="L99" i="22"/>
  <c r="K99" i="22"/>
  <c r="J99" i="22"/>
  <c r="I99" i="22"/>
  <c r="H99" i="22"/>
  <c r="S98" i="22"/>
  <c r="R98" i="22"/>
  <c r="M98" i="22"/>
  <c r="L98" i="22"/>
  <c r="K98" i="22"/>
  <c r="J98" i="22"/>
  <c r="I98" i="22"/>
  <c r="H98" i="22"/>
  <c r="S97" i="22"/>
  <c r="R97" i="22"/>
  <c r="M97" i="22"/>
  <c r="L97" i="22"/>
  <c r="K97" i="22"/>
  <c r="J97" i="22"/>
  <c r="I97" i="22"/>
  <c r="H97" i="22"/>
  <c r="S96" i="22"/>
  <c r="R96" i="22"/>
  <c r="M96" i="22"/>
  <c r="L96" i="22"/>
  <c r="K96" i="22"/>
  <c r="J96" i="22"/>
  <c r="I96" i="22"/>
  <c r="H96" i="22"/>
  <c r="S95" i="22"/>
  <c r="R95" i="22"/>
  <c r="M95" i="22"/>
  <c r="L95" i="22"/>
  <c r="K95" i="22"/>
  <c r="J95" i="22"/>
  <c r="I95" i="22"/>
  <c r="H95" i="22"/>
  <c r="S94" i="22"/>
  <c r="R94" i="22"/>
  <c r="M94" i="22"/>
  <c r="L94" i="22"/>
  <c r="K94" i="22"/>
  <c r="J94" i="22"/>
  <c r="I94" i="22"/>
  <c r="H94" i="22"/>
  <c r="S93" i="22"/>
  <c r="R93" i="22"/>
  <c r="M93" i="22"/>
  <c r="L93" i="22"/>
  <c r="K93" i="22"/>
  <c r="J93" i="22"/>
  <c r="I93" i="22"/>
  <c r="H93" i="22"/>
  <c r="S92" i="22"/>
  <c r="R92" i="22"/>
  <c r="M92" i="22"/>
  <c r="L92" i="22"/>
  <c r="K92" i="22"/>
  <c r="J92" i="22"/>
  <c r="I92" i="22"/>
  <c r="H92" i="22"/>
  <c r="S91" i="22"/>
  <c r="R91" i="22"/>
  <c r="M91" i="22"/>
  <c r="L91" i="22"/>
  <c r="K91" i="22"/>
  <c r="J91" i="22"/>
  <c r="I91" i="22"/>
  <c r="H91" i="22"/>
  <c r="S90" i="22"/>
  <c r="R90" i="22"/>
  <c r="M90" i="22"/>
  <c r="L90" i="22"/>
  <c r="K90" i="22"/>
  <c r="J90" i="22"/>
  <c r="I90" i="22"/>
  <c r="H90" i="22"/>
  <c r="S89" i="22"/>
  <c r="R89" i="22"/>
  <c r="M89" i="22"/>
  <c r="L89" i="22"/>
  <c r="K89" i="22"/>
  <c r="J89" i="22"/>
  <c r="I89" i="22"/>
  <c r="H89" i="22"/>
  <c r="S88" i="22"/>
  <c r="R88" i="22"/>
  <c r="M88" i="22"/>
  <c r="L88" i="22"/>
  <c r="K88" i="22"/>
  <c r="J88" i="22"/>
  <c r="I88" i="22"/>
  <c r="H88" i="22"/>
  <c r="S87" i="22"/>
  <c r="R87" i="22"/>
  <c r="M87" i="22"/>
  <c r="L87" i="22"/>
  <c r="K87" i="22"/>
  <c r="J87" i="22"/>
  <c r="I87" i="22"/>
  <c r="H87" i="22"/>
  <c r="S86" i="22"/>
  <c r="R86" i="22"/>
  <c r="M86" i="22"/>
  <c r="L86" i="22"/>
  <c r="K86" i="22"/>
  <c r="J86" i="22"/>
  <c r="I86" i="22"/>
  <c r="H86" i="22"/>
  <c r="S85" i="22"/>
  <c r="R85" i="22"/>
  <c r="M85" i="22"/>
  <c r="L85" i="22"/>
  <c r="K85" i="22"/>
  <c r="J85" i="22"/>
  <c r="I85" i="22"/>
  <c r="H85" i="22"/>
  <c r="S84" i="22"/>
  <c r="R84" i="22"/>
  <c r="M84" i="22"/>
  <c r="L84" i="22"/>
  <c r="K84" i="22"/>
  <c r="J84" i="22"/>
  <c r="I84" i="22"/>
  <c r="H84" i="22"/>
  <c r="S83" i="22"/>
  <c r="R83" i="22"/>
  <c r="M83" i="22"/>
  <c r="L83" i="22"/>
  <c r="K83" i="22"/>
  <c r="J83" i="22"/>
  <c r="I83" i="22"/>
  <c r="H83" i="22"/>
  <c r="S82" i="22"/>
  <c r="R82" i="22"/>
  <c r="M82" i="22"/>
  <c r="L82" i="22"/>
  <c r="K82" i="22"/>
  <c r="J82" i="22"/>
  <c r="I82" i="22"/>
  <c r="H82" i="22"/>
  <c r="S81" i="22"/>
  <c r="R81" i="22"/>
  <c r="M81" i="22"/>
  <c r="L81" i="22"/>
  <c r="K81" i="22"/>
  <c r="J81" i="22"/>
  <c r="I81" i="22"/>
  <c r="H81" i="22"/>
  <c r="S80" i="22"/>
  <c r="R80" i="22"/>
  <c r="M80" i="22"/>
  <c r="L80" i="22"/>
  <c r="K80" i="22"/>
  <c r="J80" i="22"/>
  <c r="I80" i="22"/>
  <c r="H80" i="22"/>
  <c r="S79" i="22"/>
  <c r="R79" i="22"/>
  <c r="M79" i="22"/>
  <c r="L79" i="22"/>
  <c r="K79" i="22"/>
  <c r="J79" i="22"/>
  <c r="I79" i="22"/>
  <c r="H79" i="22"/>
  <c r="S78" i="22"/>
  <c r="R78" i="22"/>
  <c r="M78" i="22"/>
  <c r="L78" i="22"/>
  <c r="K78" i="22"/>
  <c r="J78" i="22"/>
  <c r="I78" i="22"/>
  <c r="H78" i="22"/>
  <c r="S77" i="22"/>
  <c r="R77" i="22"/>
  <c r="M77" i="22"/>
  <c r="L77" i="22"/>
  <c r="K77" i="22"/>
  <c r="J77" i="22"/>
  <c r="I77" i="22"/>
  <c r="H77" i="22"/>
  <c r="S76" i="22"/>
  <c r="R76" i="22"/>
  <c r="M76" i="22"/>
  <c r="L76" i="22"/>
  <c r="K76" i="22"/>
  <c r="J76" i="22"/>
  <c r="I76" i="22"/>
  <c r="H76" i="22"/>
  <c r="S75" i="22"/>
  <c r="R75" i="22"/>
  <c r="M75" i="22"/>
  <c r="L75" i="22"/>
  <c r="K75" i="22"/>
  <c r="J75" i="22"/>
  <c r="I75" i="22"/>
  <c r="H75" i="22"/>
  <c r="S74" i="22"/>
  <c r="R74" i="22"/>
  <c r="M74" i="22"/>
  <c r="L74" i="22"/>
  <c r="K74" i="22"/>
  <c r="J74" i="22"/>
  <c r="I74" i="22"/>
  <c r="H74" i="22"/>
  <c r="S73" i="22"/>
  <c r="R73" i="22"/>
  <c r="M73" i="22"/>
  <c r="L73" i="22"/>
  <c r="K73" i="22"/>
  <c r="J73" i="22"/>
  <c r="I73" i="22"/>
  <c r="H73" i="22"/>
  <c r="S72" i="22"/>
  <c r="R72" i="22"/>
  <c r="M72" i="22"/>
  <c r="L72" i="22"/>
  <c r="K72" i="22"/>
  <c r="J72" i="22"/>
  <c r="I72" i="22"/>
  <c r="H72" i="22"/>
  <c r="S71" i="22"/>
  <c r="R71" i="22"/>
  <c r="M71" i="22"/>
  <c r="L71" i="22"/>
  <c r="K71" i="22"/>
  <c r="J71" i="22"/>
  <c r="I71" i="22"/>
  <c r="H71" i="22"/>
  <c r="S70" i="22"/>
  <c r="R70" i="22"/>
  <c r="M70" i="22"/>
  <c r="L70" i="22"/>
  <c r="K70" i="22"/>
  <c r="J70" i="22"/>
  <c r="I70" i="22"/>
  <c r="H70" i="22"/>
  <c r="S69" i="22"/>
  <c r="R69" i="22"/>
  <c r="M69" i="22"/>
  <c r="L69" i="22"/>
  <c r="K69" i="22"/>
  <c r="J69" i="22"/>
  <c r="I69" i="22"/>
  <c r="H69" i="22"/>
  <c r="S68" i="22"/>
  <c r="R68" i="22"/>
  <c r="M68" i="22"/>
  <c r="L68" i="22"/>
  <c r="K68" i="22"/>
  <c r="J68" i="22"/>
  <c r="I68" i="22"/>
  <c r="H68" i="22"/>
  <c r="S67" i="22"/>
  <c r="R67" i="22"/>
  <c r="M67" i="22"/>
  <c r="L67" i="22"/>
  <c r="K67" i="22"/>
  <c r="J67" i="22"/>
  <c r="I67" i="22"/>
  <c r="H67" i="22"/>
  <c r="S66" i="22"/>
  <c r="R66" i="22"/>
  <c r="M66" i="22"/>
  <c r="L66" i="22"/>
  <c r="K66" i="22"/>
  <c r="J66" i="22"/>
  <c r="I66" i="22"/>
  <c r="H66" i="22"/>
  <c r="S65" i="22"/>
  <c r="R65" i="22"/>
  <c r="M65" i="22"/>
  <c r="L65" i="22"/>
  <c r="K65" i="22"/>
  <c r="J65" i="22"/>
  <c r="I65" i="22"/>
  <c r="H65" i="22"/>
  <c r="S64" i="22"/>
  <c r="R64" i="22"/>
  <c r="M64" i="22"/>
  <c r="L64" i="22"/>
  <c r="K64" i="22"/>
  <c r="J64" i="22"/>
  <c r="I64" i="22"/>
  <c r="H64" i="22"/>
  <c r="S63" i="22"/>
  <c r="R63" i="22"/>
  <c r="M63" i="22"/>
  <c r="L63" i="22"/>
  <c r="K63" i="22"/>
  <c r="J63" i="22"/>
  <c r="I63" i="22"/>
  <c r="H63" i="22"/>
  <c r="S62" i="22"/>
  <c r="R62" i="22"/>
  <c r="M62" i="22"/>
  <c r="L62" i="22"/>
  <c r="K62" i="22"/>
  <c r="J62" i="22"/>
  <c r="I62" i="22"/>
  <c r="H62" i="22"/>
  <c r="S61" i="22"/>
  <c r="R61" i="22"/>
  <c r="M61" i="22"/>
  <c r="L61" i="22"/>
  <c r="K61" i="22"/>
  <c r="J61" i="22"/>
  <c r="I61" i="22"/>
  <c r="H61" i="22"/>
  <c r="S60" i="22"/>
  <c r="R60" i="22"/>
  <c r="M60" i="22"/>
  <c r="L60" i="22"/>
  <c r="K60" i="22"/>
  <c r="J60" i="22"/>
  <c r="I60" i="22"/>
  <c r="H60" i="22"/>
  <c r="S59" i="22"/>
  <c r="R59" i="22"/>
  <c r="M59" i="22"/>
  <c r="L59" i="22"/>
  <c r="K59" i="22"/>
  <c r="J59" i="22"/>
  <c r="I59" i="22"/>
  <c r="H59" i="22"/>
  <c r="S58" i="22"/>
  <c r="R58" i="22"/>
  <c r="M58" i="22"/>
  <c r="L58" i="22"/>
  <c r="K58" i="22"/>
  <c r="J58" i="22"/>
  <c r="I58" i="22"/>
  <c r="H58" i="22"/>
  <c r="S57" i="22"/>
  <c r="R57" i="22"/>
  <c r="M57" i="22"/>
  <c r="L57" i="22"/>
  <c r="K57" i="22"/>
  <c r="J57" i="22"/>
  <c r="I57" i="22"/>
  <c r="H57" i="22"/>
  <c r="S56" i="22"/>
  <c r="R56" i="22"/>
  <c r="M56" i="22"/>
  <c r="L56" i="22"/>
  <c r="K56" i="22"/>
  <c r="J56" i="22"/>
  <c r="I56" i="22"/>
  <c r="H56" i="22"/>
  <c r="S55" i="22"/>
  <c r="R55" i="22"/>
  <c r="M55" i="22"/>
  <c r="L55" i="22"/>
  <c r="K55" i="22"/>
  <c r="J55" i="22"/>
  <c r="I55" i="22"/>
  <c r="H55" i="22"/>
  <c r="S54" i="22"/>
  <c r="R54" i="22"/>
  <c r="M54" i="22"/>
  <c r="L54" i="22"/>
  <c r="K54" i="22"/>
  <c r="J54" i="22"/>
  <c r="I54" i="22"/>
  <c r="H54" i="22"/>
  <c r="S53" i="22"/>
  <c r="R53" i="22"/>
  <c r="M53" i="22"/>
  <c r="L53" i="22"/>
  <c r="K53" i="22"/>
  <c r="J53" i="22"/>
  <c r="I53" i="22"/>
  <c r="H53" i="22"/>
  <c r="S52" i="22"/>
  <c r="R52" i="22"/>
  <c r="M52" i="22"/>
  <c r="L52" i="22"/>
  <c r="K52" i="22"/>
  <c r="J52" i="22"/>
  <c r="I52" i="22"/>
  <c r="H52" i="22"/>
  <c r="S51" i="22"/>
  <c r="R51" i="22"/>
  <c r="M51" i="22"/>
  <c r="L51" i="22"/>
  <c r="K51" i="22"/>
  <c r="J51" i="22"/>
  <c r="I51" i="22"/>
  <c r="H51" i="22"/>
  <c r="S50" i="22"/>
  <c r="R50" i="22"/>
  <c r="M50" i="22"/>
  <c r="L50" i="22"/>
  <c r="K50" i="22"/>
  <c r="J50" i="22"/>
  <c r="I50" i="22"/>
  <c r="H50" i="22"/>
  <c r="S49" i="22"/>
  <c r="R49" i="22"/>
  <c r="M49" i="22"/>
  <c r="L49" i="22"/>
  <c r="K49" i="22"/>
  <c r="J49" i="22"/>
  <c r="I49" i="22"/>
  <c r="H49" i="22"/>
  <c r="S48" i="22"/>
  <c r="R48" i="22"/>
  <c r="M48" i="22"/>
  <c r="L48" i="22"/>
  <c r="K48" i="22"/>
  <c r="J48" i="22"/>
  <c r="I48" i="22"/>
  <c r="H48" i="22"/>
  <c r="S47" i="22"/>
  <c r="R47" i="22"/>
  <c r="M47" i="22"/>
  <c r="L47" i="22"/>
  <c r="K47" i="22"/>
  <c r="J47" i="22"/>
  <c r="I47" i="22"/>
  <c r="H47" i="22"/>
  <c r="S46" i="22"/>
  <c r="R46" i="22"/>
  <c r="M46" i="22"/>
  <c r="L46" i="22"/>
  <c r="K46" i="22"/>
  <c r="J46" i="22"/>
  <c r="I46" i="22"/>
  <c r="H46" i="22"/>
  <c r="R45" i="22"/>
  <c r="I45" i="22"/>
  <c r="J45" i="22" s="1"/>
  <c r="H45" i="22"/>
  <c r="R44" i="22"/>
  <c r="I44" i="22"/>
  <c r="J44" i="22" s="1"/>
  <c r="H44" i="22"/>
  <c r="R43" i="22"/>
  <c r="I43" i="22"/>
  <c r="J43" i="22" s="1"/>
  <c r="H43" i="22"/>
  <c r="R42" i="22"/>
  <c r="I42" i="22"/>
  <c r="J42" i="22" s="1"/>
  <c r="H42" i="22"/>
  <c r="R41" i="22"/>
  <c r="I41" i="22"/>
  <c r="J41" i="22" s="1"/>
  <c r="H41" i="22"/>
  <c r="R40" i="22"/>
  <c r="I40" i="22"/>
  <c r="J40" i="22" s="1"/>
  <c r="H40" i="22"/>
  <c r="R39" i="22"/>
  <c r="I39" i="22"/>
  <c r="J39" i="22" s="1"/>
  <c r="H39" i="22"/>
  <c r="R38" i="22"/>
  <c r="I38" i="22"/>
  <c r="J38" i="22" s="1"/>
  <c r="H38" i="22"/>
  <c r="H37" i="22"/>
  <c r="I37" i="22"/>
  <c r="J37" i="22" s="1"/>
  <c r="R37" i="22" s="1"/>
  <c r="I36" i="22"/>
  <c r="H36" i="22"/>
  <c r="J36" i="22" s="1"/>
  <c r="R36" i="22" s="1"/>
  <c r="I35" i="22"/>
  <c r="H35" i="22"/>
  <c r="I34" i="22"/>
  <c r="H34" i="22"/>
  <c r="J34" i="22" s="1"/>
  <c r="R34" i="22" s="1"/>
  <c r="H33" i="22"/>
  <c r="I33" i="22"/>
  <c r="J33" i="22" s="1"/>
  <c r="R33" i="22" s="1"/>
  <c r="I32" i="22"/>
  <c r="J32" i="22" s="1"/>
  <c r="R32" i="22" s="1"/>
  <c r="H32" i="22"/>
  <c r="I31" i="22"/>
  <c r="J31" i="22" s="1"/>
  <c r="R31" i="22" s="1"/>
  <c r="H31" i="22"/>
  <c r="I30" i="22"/>
  <c r="J30" i="22" s="1"/>
  <c r="R30" i="22" s="1"/>
  <c r="H30" i="22"/>
  <c r="I29" i="22"/>
  <c r="J29" i="22" s="1"/>
  <c r="R29" i="22" s="1"/>
  <c r="H29" i="22"/>
  <c r="H28" i="22"/>
  <c r="I28" i="22"/>
  <c r="J28" i="22" s="1"/>
  <c r="R28" i="22" s="1"/>
  <c r="I27" i="22"/>
  <c r="J27" i="22" s="1"/>
  <c r="R27" i="22" s="1"/>
  <c r="H27" i="22"/>
  <c r="I26" i="22"/>
  <c r="J26" i="22" s="1"/>
  <c r="R26" i="22" s="1"/>
  <c r="H26" i="22"/>
  <c r="I25" i="22"/>
  <c r="J25" i="22" s="1"/>
  <c r="R25" i="22" s="1"/>
  <c r="H25" i="22"/>
  <c r="I24" i="22"/>
  <c r="J24" i="22" s="1"/>
  <c r="R24" i="22" s="1"/>
  <c r="H24" i="22"/>
  <c r="I23" i="22"/>
  <c r="J23" i="22" s="1"/>
  <c r="R23" i="22" s="1"/>
  <c r="H23" i="22"/>
  <c r="I22" i="22"/>
  <c r="J22" i="22" s="1"/>
  <c r="R22" i="22" s="1"/>
  <c r="H22" i="22"/>
  <c r="I21" i="22"/>
  <c r="J21" i="22" s="1"/>
  <c r="R21" i="22" s="1"/>
  <c r="H21" i="22"/>
  <c r="I20" i="22"/>
  <c r="J20" i="22" s="1"/>
  <c r="R20" i="22" s="1"/>
  <c r="H20" i="22"/>
  <c r="I19" i="22"/>
  <c r="J19" i="22" s="1"/>
  <c r="R19" i="22" s="1"/>
  <c r="H19" i="22"/>
  <c r="I18" i="22"/>
  <c r="J18" i="22" s="1"/>
  <c r="R18" i="22" s="1"/>
  <c r="H18" i="22"/>
  <c r="I17" i="22"/>
  <c r="J17" i="22" s="1"/>
  <c r="R17" i="22" s="1"/>
  <c r="H17" i="22"/>
  <c r="I16" i="22"/>
  <c r="J16" i="22" s="1"/>
  <c r="R16" i="22" s="1"/>
  <c r="H16" i="22"/>
  <c r="J15" i="22"/>
  <c r="R15" i="22" s="1"/>
  <c r="I15" i="22"/>
  <c r="H15" i="22"/>
  <c r="J14" i="22"/>
  <c r="R14" i="22" s="1"/>
  <c r="I14" i="22"/>
  <c r="H14" i="22"/>
  <c r="H13" i="22"/>
  <c r="I13" i="22"/>
  <c r="J13" i="22" s="1"/>
  <c r="R13" i="22" s="1"/>
  <c r="I12" i="22"/>
  <c r="H12" i="22"/>
  <c r="I11" i="22"/>
  <c r="H11" i="22"/>
  <c r="J11" i="22" s="1"/>
  <c r="R11" i="22" s="1"/>
  <c r="I10" i="22"/>
  <c r="H10" i="22"/>
  <c r="H9" i="22"/>
  <c r="I9" i="22"/>
  <c r="J9" i="22" s="1"/>
  <c r="R9" i="22" s="1"/>
  <c r="I8" i="22"/>
  <c r="J8" i="22" s="1"/>
  <c r="R8" i="22" s="1"/>
  <c r="H8" i="22"/>
  <c r="I7" i="22"/>
  <c r="H7" i="22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M45" i="32" l="1"/>
  <c r="S45" i="32" s="1"/>
  <c r="L46" i="32"/>
  <c r="M33" i="25"/>
  <c r="S33" i="25" s="1"/>
  <c r="L34" i="25"/>
  <c r="L38" i="26"/>
  <c r="M37" i="26"/>
  <c r="S37" i="26" s="1"/>
  <c r="M30" i="23"/>
  <c r="S30" i="23" s="1"/>
  <c r="L31" i="23"/>
  <c r="J7" i="22"/>
  <c r="R7" i="22" s="1"/>
  <c r="L7" i="22"/>
  <c r="M7" i="22" s="1"/>
  <c r="S7" i="22" s="1"/>
  <c r="J12" i="22"/>
  <c r="R12" i="22" s="1"/>
  <c r="J35" i="22"/>
  <c r="R35" i="22" s="1"/>
  <c r="J10" i="22"/>
  <c r="R10" i="22" s="1"/>
  <c r="L8" i="22"/>
  <c r="L35" i="25" l="1"/>
  <c r="M34" i="25"/>
  <c r="S34" i="25" s="1"/>
  <c r="M46" i="32"/>
  <c r="S46" i="32" s="1"/>
  <c r="L47" i="32"/>
  <c r="M38" i="26"/>
  <c r="S38" i="26" s="1"/>
  <c r="L39" i="26"/>
  <c r="M31" i="23"/>
  <c r="S31" i="23" s="1"/>
  <c r="L32" i="23"/>
  <c r="L9" i="22"/>
  <c r="M8" i="22"/>
  <c r="S8" i="22" s="1"/>
  <c r="G37" i="21"/>
  <c r="G33" i="21"/>
  <c r="M47" i="32" l="1"/>
  <c r="S47" i="32" s="1"/>
  <c r="L48" i="32"/>
  <c r="M35" i="25"/>
  <c r="S35" i="25" s="1"/>
  <c r="L36" i="25"/>
  <c r="M39" i="26"/>
  <c r="S39" i="26" s="1"/>
  <c r="L40" i="26"/>
  <c r="M32" i="23"/>
  <c r="S32" i="23" s="1"/>
  <c r="L33" i="23"/>
  <c r="L10" i="22"/>
  <c r="M9" i="22"/>
  <c r="S9" i="22" s="1"/>
  <c r="G28" i="21"/>
  <c r="G25" i="21"/>
  <c r="G16" i="21"/>
  <c r="G13" i="21"/>
  <c r="G9" i="21"/>
  <c r="L37" i="25" l="1"/>
  <c r="M36" i="25"/>
  <c r="S36" i="25" s="1"/>
  <c r="L49" i="32"/>
  <c r="M48" i="32"/>
  <c r="S48" i="32" s="1"/>
  <c r="L41" i="26"/>
  <c r="M41" i="26" s="1"/>
  <c r="S41" i="26" s="1"/>
  <c r="M40" i="26"/>
  <c r="S40" i="26" s="1"/>
  <c r="L34" i="23"/>
  <c r="M33" i="23"/>
  <c r="S33" i="23" s="1"/>
  <c r="L11" i="22"/>
  <c r="M10" i="22"/>
  <c r="S10" i="22" s="1"/>
  <c r="S112" i="21"/>
  <c r="R112" i="21"/>
  <c r="M112" i="21"/>
  <c r="L112" i="21"/>
  <c r="K112" i="21"/>
  <c r="J112" i="21"/>
  <c r="I112" i="21"/>
  <c r="H112" i="21"/>
  <c r="S111" i="21"/>
  <c r="R111" i="21"/>
  <c r="M111" i="21"/>
  <c r="L111" i="21"/>
  <c r="K111" i="21"/>
  <c r="J111" i="21"/>
  <c r="I111" i="21"/>
  <c r="H111" i="21"/>
  <c r="S110" i="21"/>
  <c r="R110" i="21"/>
  <c r="M110" i="21"/>
  <c r="L110" i="21"/>
  <c r="K110" i="21"/>
  <c r="J110" i="21"/>
  <c r="I110" i="21"/>
  <c r="H110" i="21"/>
  <c r="S109" i="21"/>
  <c r="R109" i="21"/>
  <c r="M109" i="21"/>
  <c r="L109" i="21"/>
  <c r="K109" i="21"/>
  <c r="J109" i="21"/>
  <c r="I109" i="21"/>
  <c r="H109" i="21"/>
  <c r="S108" i="21"/>
  <c r="R108" i="21"/>
  <c r="M108" i="21"/>
  <c r="L108" i="21"/>
  <c r="K108" i="21"/>
  <c r="J108" i="21"/>
  <c r="I108" i="21"/>
  <c r="H108" i="21"/>
  <c r="S107" i="21"/>
  <c r="R107" i="21"/>
  <c r="M107" i="21"/>
  <c r="L107" i="21"/>
  <c r="K107" i="21"/>
  <c r="J107" i="21"/>
  <c r="I107" i="21"/>
  <c r="H107" i="21"/>
  <c r="S106" i="21"/>
  <c r="R106" i="21"/>
  <c r="M106" i="21"/>
  <c r="L106" i="21"/>
  <c r="K106" i="21"/>
  <c r="J106" i="21"/>
  <c r="I106" i="21"/>
  <c r="H106" i="21"/>
  <c r="S105" i="21"/>
  <c r="R105" i="21"/>
  <c r="M105" i="21"/>
  <c r="L105" i="21"/>
  <c r="K105" i="21"/>
  <c r="J105" i="21"/>
  <c r="I105" i="21"/>
  <c r="H105" i="21"/>
  <c r="S104" i="21"/>
  <c r="R104" i="21"/>
  <c r="M104" i="21"/>
  <c r="L104" i="21"/>
  <c r="K104" i="21"/>
  <c r="J104" i="21"/>
  <c r="I104" i="21"/>
  <c r="H104" i="21"/>
  <c r="S103" i="21"/>
  <c r="R103" i="21"/>
  <c r="M103" i="21"/>
  <c r="L103" i="21"/>
  <c r="K103" i="21"/>
  <c r="J103" i="21"/>
  <c r="I103" i="21"/>
  <c r="H103" i="21"/>
  <c r="S102" i="21"/>
  <c r="R102" i="21"/>
  <c r="M102" i="21"/>
  <c r="L102" i="21"/>
  <c r="K102" i="21"/>
  <c r="J102" i="21"/>
  <c r="I102" i="21"/>
  <c r="H102" i="21"/>
  <c r="S101" i="21"/>
  <c r="R101" i="21"/>
  <c r="M101" i="21"/>
  <c r="L101" i="21"/>
  <c r="K101" i="21"/>
  <c r="J101" i="21"/>
  <c r="I101" i="21"/>
  <c r="H101" i="21"/>
  <c r="S100" i="21"/>
  <c r="R100" i="21"/>
  <c r="M100" i="21"/>
  <c r="L100" i="21"/>
  <c r="K100" i="21"/>
  <c r="J100" i="21"/>
  <c r="I100" i="21"/>
  <c r="H100" i="21"/>
  <c r="S99" i="21"/>
  <c r="R99" i="21"/>
  <c r="M99" i="21"/>
  <c r="L99" i="21"/>
  <c r="K99" i="21"/>
  <c r="J99" i="21"/>
  <c r="I99" i="21"/>
  <c r="H99" i="21"/>
  <c r="S98" i="21"/>
  <c r="R98" i="21"/>
  <c r="M98" i="21"/>
  <c r="L98" i="21"/>
  <c r="K98" i="21"/>
  <c r="J98" i="21"/>
  <c r="I98" i="21"/>
  <c r="H98" i="21"/>
  <c r="S97" i="21"/>
  <c r="R97" i="21"/>
  <c r="M97" i="21"/>
  <c r="L97" i="21"/>
  <c r="K97" i="21"/>
  <c r="J97" i="21"/>
  <c r="I97" i="21"/>
  <c r="H97" i="21"/>
  <c r="S96" i="21"/>
  <c r="R96" i="21"/>
  <c r="M96" i="21"/>
  <c r="L96" i="21"/>
  <c r="K96" i="21"/>
  <c r="J96" i="21"/>
  <c r="I96" i="21"/>
  <c r="H96" i="21"/>
  <c r="S95" i="21"/>
  <c r="R95" i="21"/>
  <c r="M95" i="21"/>
  <c r="L95" i="21"/>
  <c r="K95" i="21"/>
  <c r="J95" i="21"/>
  <c r="I95" i="21"/>
  <c r="H95" i="21"/>
  <c r="S94" i="21"/>
  <c r="R94" i="21"/>
  <c r="M94" i="21"/>
  <c r="L94" i="21"/>
  <c r="K94" i="21"/>
  <c r="J94" i="21"/>
  <c r="I94" i="21"/>
  <c r="H94" i="21"/>
  <c r="S93" i="21"/>
  <c r="R93" i="21"/>
  <c r="M93" i="21"/>
  <c r="L93" i="21"/>
  <c r="K93" i="21"/>
  <c r="J93" i="21"/>
  <c r="I93" i="21"/>
  <c r="H93" i="21"/>
  <c r="S92" i="21"/>
  <c r="R92" i="21"/>
  <c r="M92" i="21"/>
  <c r="L92" i="21"/>
  <c r="K92" i="21"/>
  <c r="J92" i="21"/>
  <c r="I92" i="21"/>
  <c r="H92" i="21"/>
  <c r="S91" i="21"/>
  <c r="R91" i="21"/>
  <c r="M91" i="21"/>
  <c r="L91" i="21"/>
  <c r="K91" i="21"/>
  <c r="J91" i="21"/>
  <c r="I91" i="21"/>
  <c r="H91" i="21"/>
  <c r="S90" i="21"/>
  <c r="R90" i="21"/>
  <c r="M90" i="21"/>
  <c r="L90" i="21"/>
  <c r="K90" i="21"/>
  <c r="J90" i="21"/>
  <c r="I90" i="21"/>
  <c r="H90" i="21"/>
  <c r="S89" i="21"/>
  <c r="R89" i="21"/>
  <c r="M89" i="21"/>
  <c r="L89" i="21"/>
  <c r="K89" i="21"/>
  <c r="J89" i="21"/>
  <c r="I89" i="21"/>
  <c r="H89" i="21"/>
  <c r="S88" i="21"/>
  <c r="R88" i="21"/>
  <c r="M88" i="21"/>
  <c r="L88" i="21"/>
  <c r="K88" i="21"/>
  <c r="J88" i="21"/>
  <c r="I88" i="21"/>
  <c r="H88" i="21"/>
  <c r="S87" i="21"/>
  <c r="R87" i="21"/>
  <c r="M87" i="21"/>
  <c r="L87" i="21"/>
  <c r="K87" i="21"/>
  <c r="J87" i="21"/>
  <c r="I87" i="21"/>
  <c r="H87" i="21"/>
  <c r="S86" i="21"/>
  <c r="R86" i="21"/>
  <c r="M86" i="21"/>
  <c r="L86" i="21"/>
  <c r="K86" i="21"/>
  <c r="J86" i="21"/>
  <c r="I86" i="21"/>
  <c r="H86" i="21"/>
  <c r="S85" i="21"/>
  <c r="R85" i="21"/>
  <c r="M85" i="21"/>
  <c r="L85" i="21"/>
  <c r="K85" i="21"/>
  <c r="J85" i="21"/>
  <c r="I85" i="21"/>
  <c r="H85" i="21"/>
  <c r="S84" i="21"/>
  <c r="R84" i="21"/>
  <c r="M84" i="21"/>
  <c r="L84" i="21"/>
  <c r="K84" i="21"/>
  <c r="J84" i="21"/>
  <c r="I84" i="21"/>
  <c r="H84" i="21"/>
  <c r="S83" i="21"/>
  <c r="R83" i="21"/>
  <c r="M83" i="21"/>
  <c r="L83" i="21"/>
  <c r="K83" i="21"/>
  <c r="J83" i="21"/>
  <c r="I83" i="21"/>
  <c r="H83" i="21"/>
  <c r="S82" i="21"/>
  <c r="R82" i="21"/>
  <c r="M82" i="21"/>
  <c r="L82" i="21"/>
  <c r="K82" i="21"/>
  <c r="J82" i="21"/>
  <c r="I82" i="21"/>
  <c r="H82" i="21"/>
  <c r="S81" i="21"/>
  <c r="R81" i="21"/>
  <c r="M81" i="21"/>
  <c r="L81" i="21"/>
  <c r="K81" i="21"/>
  <c r="J81" i="21"/>
  <c r="I81" i="21"/>
  <c r="H81" i="21"/>
  <c r="S80" i="21"/>
  <c r="R80" i="21"/>
  <c r="M80" i="21"/>
  <c r="L80" i="21"/>
  <c r="K80" i="21"/>
  <c r="J80" i="21"/>
  <c r="I80" i="21"/>
  <c r="H80" i="21"/>
  <c r="S79" i="21"/>
  <c r="R79" i="21"/>
  <c r="M79" i="21"/>
  <c r="L79" i="21"/>
  <c r="K79" i="21"/>
  <c r="J79" i="21"/>
  <c r="I79" i="21"/>
  <c r="H79" i="21"/>
  <c r="S78" i="21"/>
  <c r="R78" i="21"/>
  <c r="M78" i="21"/>
  <c r="L78" i="21"/>
  <c r="K78" i="21"/>
  <c r="J78" i="21"/>
  <c r="I78" i="21"/>
  <c r="H78" i="21"/>
  <c r="S77" i="21"/>
  <c r="R77" i="21"/>
  <c r="M77" i="21"/>
  <c r="L77" i="21"/>
  <c r="K77" i="21"/>
  <c r="J77" i="21"/>
  <c r="I77" i="21"/>
  <c r="H77" i="21"/>
  <c r="S76" i="21"/>
  <c r="R76" i="21"/>
  <c r="M76" i="21"/>
  <c r="L76" i="21"/>
  <c r="K76" i="21"/>
  <c r="J76" i="21"/>
  <c r="I76" i="21"/>
  <c r="H76" i="21"/>
  <c r="S75" i="21"/>
  <c r="R75" i="21"/>
  <c r="M75" i="21"/>
  <c r="L75" i="21"/>
  <c r="K75" i="21"/>
  <c r="J75" i="21"/>
  <c r="I75" i="21"/>
  <c r="H75" i="21"/>
  <c r="S74" i="21"/>
  <c r="R74" i="21"/>
  <c r="M74" i="21"/>
  <c r="L74" i="21"/>
  <c r="K74" i="21"/>
  <c r="J74" i="21"/>
  <c r="I74" i="21"/>
  <c r="H74" i="21"/>
  <c r="S73" i="21"/>
  <c r="R73" i="21"/>
  <c r="M73" i="21"/>
  <c r="L73" i="21"/>
  <c r="K73" i="21"/>
  <c r="J73" i="21"/>
  <c r="I73" i="21"/>
  <c r="H73" i="21"/>
  <c r="S72" i="21"/>
  <c r="R72" i="21"/>
  <c r="M72" i="21"/>
  <c r="L72" i="21"/>
  <c r="K72" i="21"/>
  <c r="J72" i="21"/>
  <c r="I72" i="21"/>
  <c r="H72" i="21"/>
  <c r="S71" i="21"/>
  <c r="R71" i="21"/>
  <c r="M71" i="21"/>
  <c r="L71" i="21"/>
  <c r="K71" i="21"/>
  <c r="J71" i="21"/>
  <c r="I71" i="21"/>
  <c r="H71" i="21"/>
  <c r="S70" i="21"/>
  <c r="R70" i="21"/>
  <c r="M70" i="21"/>
  <c r="L70" i="21"/>
  <c r="K70" i="21"/>
  <c r="J70" i="21"/>
  <c r="I70" i="21"/>
  <c r="H70" i="21"/>
  <c r="S69" i="21"/>
  <c r="R69" i="21"/>
  <c r="M69" i="21"/>
  <c r="L69" i="21"/>
  <c r="K69" i="21"/>
  <c r="J69" i="21"/>
  <c r="I69" i="21"/>
  <c r="H69" i="21"/>
  <c r="S68" i="21"/>
  <c r="R68" i="21"/>
  <c r="M68" i="21"/>
  <c r="L68" i="21"/>
  <c r="K68" i="21"/>
  <c r="J68" i="21"/>
  <c r="I68" i="21"/>
  <c r="H68" i="21"/>
  <c r="S67" i="21"/>
  <c r="R67" i="21"/>
  <c r="M67" i="21"/>
  <c r="L67" i="21"/>
  <c r="K67" i="21"/>
  <c r="J67" i="21"/>
  <c r="I67" i="21"/>
  <c r="H67" i="21"/>
  <c r="S66" i="21"/>
  <c r="R66" i="21"/>
  <c r="M66" i="21"/>
  <c r="L66" i="21"/>
  <c r="K66" i="21"/>
  <c r="J66" i="21"/>
  <c r="I66" i="21"/>
  <c r="H66" i="21"/>
  <c r="S65" i="21"/>
  <c r="R65" i="21"/>
  <c r="M65" i="21"/>
  <c r="L65" i="21"/>
  <c r="K65" i="21"/>
  <c r="J65" i="21"/>
  <c r="I65" i="21"/>
  <c r="H65" i="21"/>
  <c r="S64" i="21"/>
  <c r="R64" i="21"/>
  <c r="M64" i="21"/>
  <c r="L64" i="21"/>
  <c r="K64" i="21"/>
  <c r="J64" i="21"/>
  <c r="I64" i="21"/>
  <c r="H64" i="21"/>
  <c r="S63" i="21"/>
  <c r="R63" i="21"/>
  <c r="M63" i="21"/>
  <c r="L63" i="21"/>
  <c r="K63" i="21"/>
  <c r="J63" i="21"/>
  <c r="I63" i="21"/>
  <c r="H63" i="21"/>
  <c r="S62" i="21"/>
  <c r="R62" i="21"/>
  <c r="M62" i="21"/>
  <c r="L62" i="21"/>
  <c r="K62" i="21"/>
  <c r="J62" i="21"/>
  <c r="I62" i="21"/>
  <c r="H62" i="21"/>
  <c r="S61" i="21"/>
  <c r="R61" i="21"/>
  <c r="M61" i="21"/>
  <c r="L61" i="21"/>
  <c r="K61" i="21"/>
  <c r="J61" i="21"/>
  <c r="I61" i="21"/>
  <c r="H61" i="21"/>
  <c r="S60" i="21"/>
  <c r="R60" i="21"/>
  <c r="M60" i="21"/>
  <c r="L60" i="21"/>
  <c r="K60" i="21"/>
  <c r="J60" i="21"/>
  <c r="I60" i="21"/>
  <c r="H60" i="21"/>
  <c r="S59" i="21"/>
  <c r="R59" i="21"/>
  <c r="M59" i="21"/>
  <c r="L59" i="21"/>
  <c r="K59" i="21"/>
  <c r="J59" i="21"/>
  <c r="I59" i="21"/>
  <c r="H59" i="21"/>
  <c r="S58" i="21"/>
  <c r="R58" i="21"/>
  <c r="M58" i="21"/>
  <c r="L58" i="21"/>
  <c r="K58" i="21"/>
  <c r="J58" i="21"/>
  <c r="I58" i="21"/>
  <c r="H58" i="21"/>
  <c r="S57" i="21"/>
  <c r="R57" i="21"/>
  <c r="M57" i="21"/>
  <c r="L57" i="21"/>
  <c r="K57" i="21"/>
  <c r="J57" i="21"/>
  <c r="I57" i="21"/>
  <c r="H57" i="21"/>
  <c r="S56" i="21"/>
  <c r="R56" i="21"/>
  <c r="M56" i="21"/>
  <c r="L56" i="21"/>
  <c r="K56" i="21"/>
  <c r="J56" i="21"/>
  <c r="I56" i="21"/>
  <c r="H56" i="21"/>
  <c r="S55" i="21"/>
  <c r="R55" i="21"/>
  <c r="M55" i="21"/>
  <c r="L55" i="21"/>
  <c r="K55" i="21"/>
  <c r="J55" i="21"/>
  <c r="I55" i="21"/>
  <c r="H55" i="21"/>
  <c r="S54" i="21"/>
  <c r="R54" i="21"/>
  <c r="M54" i="21"/>
  <c r="L54" i="21"/>
  <c r="K54" i="21"/>
  <c r="J54" i="21"/>
  <c r="I54" i="21"/>
  <c r="H54" i="21"/>
  <c r="S53" i="21"/>
  <c r="R53" i="21"/>
  <c r="M53" i="21"/>
  <c r="L53" i="21"/>
  <c r="K53" i="21"/>
  <c r="J53" i="21"/>
  <c r="I53" i="21"/>
  <c r="H53" i="21"/>
  <c r="S52" i="21"/>
  <c r="R52" i="21"/>
  <c r="M52" i="21"/>
  <c r="L52" i="21"/>
  <c r="K52" i="21"/>
  <c r="J52" i="21"/>
  <c r="I52" i="21"/>
  <c r="H52" i="21"/>
  <c r="S51" i="21"/>
  <c r="R51" i="21"/>
  <c r="M51" i="21"/>
  <c r="L51" i="21"/>
  <c r="K51" i="21"/>
  <c r="J51" i="21"/>
  <c r="I51" i="21"/>
  <c r="H51" i="21"/>
  <c r="S50" i="21"/>
  <c r="R50" i="21"/>
  <c r="M50" i="21"/>
  <c r="L50" i="21"/>
  <c r="K50" i="21"/>
  <c r="J50" i="21"/>
  <c r="I50" i="21"/>
  <c r="H50" i="21"/>
  <c r="S49" i="21"/>
  <c r="R49" i="21"/>
  <c r="M49" i="21"/>
  <c r="L49" i="21"/>
  <c r="K49" i="21"/>
  <c r="J49" i="21"/>
  <c r="I49" i="21"/>
  <c r="H49" i="21"/>
  <c r="S48" i="21"/>
  <c r="R48" i="21"/>
  <c r="M48" i="21"/>
  <c r="L48" i="21"/>
  <c r="K48" i="21"/>
  <c r="J48" i="21"/>
  <c r="I48" i="21"/>
  <c r="H48" i="21"/>
  <c r="S47" i="21"/>
  <c r="R47" i="21"/>
  <c r="M47" i="21"/>
  <c r="L47" i="21"/>
  <c r="K47" i="21"/>
  <c r="J47" i="21"/>
  <c r="I47" i="21"/>
  <c r="H47" i="21"/>
  <c r="S46" i="21"/>
  <c r="R46" i="21"/>
  <c r="M46" i="21"/>
  <c r="L46" i="21"/>
  <c r="K46" i="21"/>
  <c r="J46" i="21"/>
  <c r="I46" i="21"/>
  <c r="H46" i="21"/>
  <c r="I45" i="21"/>
  <c r="J45" i="21" s="1"/>
  <c r="R45" i="21" s="1"/>
  <c r="H45" i="21"/>
  <c r="I44" i="21"/>
  <c r="H44" i="21"/>
  <c r="I43" i="21"/>
  <c r="H43" i="21"/>
  <c r="I42" i="21"/>
  <c r="J42" i="21" s="1"/>
  <c r="R42" i="21" s="1"/>
  <c r="H42" i="21"/>
  <c r="I41" i="21"/>
  <c r="H41" i="21"/>
  <c r="I40" i="21"/>
  <c r="H40" i="21"/>
  <c r="I39" i="21"/>
  <c r="H39" i="21"/>
  <c r="I38" i="21"/>
  <c r="H38" i="21"/>
  <c r="I37" i="21"/>
  <c r="H37" i="21"/>
  <c r="I36" i="21"/>
  <c r="H36" i="21"/>
  <c r="J36" i="21" s="1"/>
  <c r="R36" i="21" s="1"/>
  <c r="I35" i="21"/>
  <c r="H35" i="21"/>
  <c r="I34" i="21"/>
  <c r="H34" i="21"/>
  <c r="I33" i="21"/>
  <c r="H33" i="21"/>
  <c r="I32" i="21"/>
  <c r="H32" i="21"/>
  <c r="H31" i="21"/>
  <c r="I31" i="21"/>
  <c r="I30" i="21"/>
  <c r="H30" i="21"/>
  <c r="I29" i="21"/>
  <c r="J29" i="21" s="1"/>
  <c r="R29" i="21" s="1"/>
  <c r="H29" i="21"/>
  <c r="H28" i="21"/>
  <c r="I28" i="21"/>
  <c r="I27" i="21"/>
  <c r="J27" i="21" s="1"/>
  <c r="R27" i="21" s="1"/>
  <c r="H27" i="21"/>
  <c r="I26" i="21"/>
  <c r="J26" i="21" s="1"/>
  <c r="R26" i="21" s="1"/>
  <c r="H26" i="21"/>
  <c r="H25" i="21"/>
  <c r="I25" i="21"/>
  <c r="I24" i="21"/>
  <c r="H24" i="21"/>
  <c r="I23" i="21"/>
  <c r="J23" i="21" s="1"/>
  <c r="R23" i="21" s="1"/>
  <c r="H23" i="21"/>
  <c r="I22" i="21"/>
  <c r="H22" i="21"/>
  <c r="I21" i="21"/>
  <c r="H21" i="21"/>
  <c r="I20" i="21"/>
  <c r="H20" i="21"/>
  <c r="I19" i="21"/>
  <c r="J19" i="21" s="1"/>
  <c r="R19" i="21" s="1"/>
  <c r="H19" i="21"/>
  <c r="I18" i="21"/>
  <c r="J18" i="21" s="1"/>
  <c r="R18" i="21" s="1"/>
  <c r="H18" i="21"/>
  <c r="I17" i="21"/>
  <c r="J17" i="21" s="1"/>
  <c r="R17" i="21" s="1"/>
  <c r="H17" i="21"/>
  <c r="I16" i="21"/>
  <c r="J16" i="21" s="1"/>
  <c r="R16" i="21" s="1"/>
  <c r="H16" i="21"/>
  <c r="I15" i="21"/>
  <c r="J15" i="21" s="1"/>
  <c r="R15" i="21" s="1"/>
  <c r="H15" i="21"/>
  <c r="I14" i="21"/>
  <c r="H14" i="21"/>
  <c r="I13" i="21"/>
  <c r="J13" i="21" s="1"/>
  <c r="R13" i="21" s="1"/>
  <c r="H13" i="21"/>
  <c r="I12" i="21"/>
  <c r="H12" i="21"/>
  <c r="I11" i="21"/>
  <c r="J11" i="21" s="1"/>
  <c r="R11" i="21" s="1"/>
  <c r="H11" i="21"/>
  <c r="I10" i="21"/>
  <c r="H10" i="21"/>
  <c r="I9" i="21"/>
  <c r="J9" i="21" s="1"/>
  <c r="R9" i="21" s="1"/>
  <c r="H9" i="21"/>
  <c r="I8" i="21"/>
  <c r="H8" i="21"/>
  <c r="K7" i="21"/>
  <c r="K8" i="21" s="1"/>
  <c r="K9" i="21" s="1"/>
  <c r="I7" i="21"/>
  <c r="H7" i="21"/>
  <c r="G31" i="20"/>
  <c r="G28" i="20"/>
  <c r="G25" i="20"/>
  <c r="G22" i="20"/>
  <c r="S112" i="20"/>
  <c r="R112" i="20"/>
  <c r="M112" i="20"/>
  <c r="L112" i="20"/>
  <c r="K112" i="20"/>
  <c r="J112" i="20"/>
  <c r="I112" i="20"/>
  <c r="H112" i="20"/>
  <c r="S111" i="20"/>
  <c r="R111" i="20"/>
  <c r="M111" i="20"/>
  <c r="L111" i="20"/>
  <c r="K111" i="20"/>
  <c r="J111" i="20"/>
  <c r="I111" i="20"/>
  <c r="H111" i="20"/>
  <c r="S110" i="20"/>
  <c r="R110" i="20"/>
  <c r="M110" i="20"/>
  <c r="L110" i="20"/>
  <c r="K110" i="20"/>
  <c r="J110" i="20"/>
  <c r="I110" i="20"/>
  <c r="H110" i="20"/>
  <c r="S109" i="20"/>
  <c r="R109" i="20"/>
  <c r="M109" i="20"/>
  <c r="L109" i="20"/>
  <c r="K109" i="20"/>
  <c r="J109" i="20"/>
  <c r="I109" i="20"/>
  <c r="H109" i="20"/>
  <c r="S108" i="20"/>
  <c r="R108" i="20"/>
  <c r="M108" i="20"/>
  <c r="L108" i="20"/>
  <c r="K108" i="20"/>
  <c r="J108" i="20"/>
  <c r="I108" i="20"/>
  <c r="H108" i="20"/>
  <c r="S107" i="20"/>
  <c r="R107" i="20"/>
  <c r="M107" i="20"/>
  <c r="L107" i="20"/>
  <c r="K107" i="20"/>
  <c r="J107" i="20"/>
  <c r="I107" i="20"/>
  <c r="H107" i="20"/>
  <c r="S106" i="20"/>
  <c r="R106" i="20"/>
  <c r="M106" i="20"/>
  <c r="L106" i="20"/>
  <c r="K106" i="20"/>
  <c r="J106" i="20"/>
  <c r="I106" i="20"/>
  <c r="H106" i="20"/>
  <c r="S105" i="20"/>
  <c r="R105" i="20"/>
  <c r="M105" i="20"/>
  <c r="L105" i="20"/>
  <c r="K105" i="20"/>
  <c r="J105" i="20"/>
  <c r="I105" i="20"/>
  <c r="H105" i="20"/>
  <c r="S104" i="20"/>
  <c r="R104" i="20"/>
  <c r="M104" i="20"/>
  <c r="L104" i="20"/>
  <c r="K104" i="20"/>
  <c r="J104" i="20"/>
  <c r="I104" i="20"/>
  <c r="H104" i="20"/>
  <c r="S103" i="20"/>
  <c r="R103" i="20"/>
  <c r="M103" i="20"/>
  <c r="L103" i="20"/>
  <c r="K103" i="20"/>
  <c r="J103" i="20"/>
  <c r="I103" i="20"/>
  <c r="H103" i="20"/>
  <c r="S102" i="20"/>
  <c r="R102" i="20"/>
  <c r="M102" i="20"/>
  <c r="L102" i="20"/>
  <c r="K102" i="20"/>
  <c r="J102" i="20"/>
  <c r="I102" i="20"/>
  <c r="H102" i="20"/>
  <c r="S101" i="20"/>
  <c r="R101" i="20"/>
  <c r="M101" i="20"/>
  <c r="L101" i="20"/>
  <c r="K101" i="20"/>
  <c r="J101" i="20"/>
  <c r="I101" i="20"/>
  <c r="H101" i="20"/>
  <c r="S100" i="20"/>
  <c r="R100" i="20"/>
  <c r="M100" i="20"/>
  <c r="L100" i="20"/>
  <c r="K100" i="20"/>
  <c r="J100" i="20"/>
  <c r="I100" i="20"/>
  <c r="H100" i="20"/>
  <c r="S99" i="20"/>
  <c r="R99" i="20"/>
  <c r="M99" i="20"/>
  <c r="L99" i="20"/>
  <c r="K99" i="20"/>
  <c r="J99" i="20"/>
  <c r="I99" i="20"/>
  <c r="H99" i="20"/>
  <c r="S98" i="20"/>
  <c r="R98" i="20"/>
  <c r="M98" i="20"/>
  <c r="L98" i="20"/>
  <c r="K98" i="20"/>
  <c r="J98" i="20"/>
  <c r="I98" i="20"/>
  <c r="H98" i="20"/>
  <c r="S97" i="20"/>
  <c r="R97" i="20"/>
  <c r="M97" i="20"/>
  <c r="L97" i="20"/>
  <c r="K97" i="20"/>
  <c r="J97" i="20"/>
  <c r="I97" i="20"/>
  <c r="H97" i="20"/>
  <c r="S96" i="20"/>
  <c r="R96" i="20"/>
  <c r="M96" i="20"/>
  <c r="L96" i="20"/>
  <c r="K96" i="20"/>
  <c r="J96" i="20"/>
  <c r="I96" i="20"/>
  <c r="H96" i="20"/>
  <c r="S95" i="20"/>
  <c r="R95" i="20"/>
  <c r="M95" i="20"/>
  <c r="L95" i="20"/>
  <c r="K95" i="20"/>
  <c r="J95" i="20"/>
  <c r="I95" i="20"/>
  <c r="H95" i="20"/>
  <c r="S94" i="20"/>
  <c r="R94" i="20"/>
  <c r="M94" i="20"/>
  <c r="L94" i="20"/>
  <c r="K94" i="20"/>
  <c r="J94" i="20"/>
  <c r="I94" i="20"/>
  <c r="H94" i="20"/>
  <c r="S93" i="20"/>
  <c r="R93" i="20"/>
  <c r="M93" i="20"/>
  <c r="L93" i="20"/>
  <c r="K93" i="20"/>
  <c r="J93" i="20"/>
  <c r="I93" i="20"/>
  <c r="H93" i="20"/>
  <c r="S92" i="20"/>
  <c r="R92" i="20"/>
  <c r="M92" i="20"/>
  <c r="L92" i="20"/>
  <c r="K92" i="20"/>
  <c r="J92" i="20"/>
  <c r="I92" i="20"/>
  <c r="H92" i="20"/>
  <c r="S91" i="20"/>
  <c r="R91" i="20"/>
  <c r="M91" i="20"/>
  <c r="L91" i="20"/>
  <c r="K91" i="20"/>
  <c r="J91" i="20"/>
  <c r="I91" i="20"/>
  <c r="H91" i="20"/>
  <c r="S90" i="20"/>
  <c r="R90" i="20"/>
  <c r="M90" i="20"/>
  <c r="L90" i="20"/>
  <c r="K90" i="20"/>
  <c r="J90" i="20"/>
  <c r="I90" i="20"/>
  <c r="H90" i="20"/>
  <c r="S89" i="20"/>
  <c r="R89" i="20"/>
  <c r="M89" i="20"/>
  <c r="L89" i="20"/>
  <c r="K89" i="20"/>
  <c r="J89" i="20"/>
  <c r="I89" i="20"/>
  <c r="H89" i="20"/>
  <c r="S88" i="20"/>
  <c r="R88" i="20"/>
  <c r="M88" i="20"/>
  <c r="L88" i="20"/>
  <c r="K88" i="20"/>
  <c r="J88" i="20"/>
  <c r="I88" i="20"/>
  <c r="H88" i="20"/>
  <c r="S87" i="20"/>
  <c r="R87" i="20"/>
  <c r="M87" i="20"/>
  <c r="L87" i="20"/>
  <c r="K87" i="20"/>
  <c r="J87" i="20"/>
  <c r="I87" i="20"/>
  <c r="H87" i="20"/>
  <c r="S86" i="20"/>
  <c r="R86" i="20"/>
  <c r="M86" i="20"/>
  <c r="L86" i="20"/>
  <c r="K86" i="20"/>
  <c r="J86" i="20"/>
  <c r="I86" i="20"/>
  <c r="H86" i="20"/>
  <c r="S85" i="20"/>
  <c r="R85" i="20"/>
  <c r="M85" i="20"/>
  <c r="L85" i="20"/>
  <c r="K85" i="20"/>
  <c r="J85" i="20"/>
  <c r="I85" i="20"/>
  <c r="H85" i="20"/>
  <c r="S84" i="20"/>
  <c r="R84" i="20"/>
  <c r="M84" i="20"/>
  <c r="L84" i="20"/>
  <c r="K84" i="20"/>
  <c r="J84" i="20"/>
  <c r="I84" i="20"/>
  <c r="H84" i="20"/>
  <c r="S83" i="20"/>
  <c r="R83" i="20"/>
  <c r="M83" i="20"/>
  <c r="L83" i="20"/>
  <c r="K83" i="20"/>
  <c r="J83" i="20"/>
  <c r="I83" i="20"/>
  <c r="H83" i="20"/>
  <c r="S82" i="20"/>
  <c r="R82" i="20"/>
  <c r="M82" i="20"/>
  <c r="L82" i="20"/>
  <c r="K82" i="20"/>
  <c r="J82" i="20"/>
  <c r="I82" i="20"/>
  <c r="H82" i="20"/>
  <c r="S81" i="20"/>
  <c r="R81" i="20"/>
  <c r="M81" i="20"/>
  <c r="L81" i="20"/>
  <c r="K81" i="20"/>
  <c r="J81" i="20"/>
  <c r="I81" i="20"/>
  <c r="H81" i="20"/>
  <c r="S80" i="20"/>
  <c r="R80" i="20"/>
  <c r="M80" i="20"/>
  <c r="L80" i="20"/>
  <c r="K80" i="20"/>
  <c r="J80" i="20"/>
  <c r="I80" i="20"/>
  <c r="H80" i="20"/>
  <c r="S79" i="20"/>
  <c r="R79" i="20"/>
  <c r="M79" i="20"/>
  <c r="L79" i="20"/>
  <c r="K79" i="20"/>
  <c r="J79" i="20"/>
  <c r="I79" i="20"/>
  <c r="H79" i="20"/>
  <c r="S78" i="20"/>
  <c r="R78" i="20"/>
  <c r="M78" i="20"/>
  <c r="L78" i="20"/>
  <c r="K78" i="20"/>
  <c r="J78" i="20"/>
  <c r="I78" i="20"/>
  <c r="H78" i="20"/>
  <c r="S77" i="20"/>
  <c r="R77" i="20"/>
  <c r="M77" i="20"/>
  <c r="L77" i="20"/>
  <c r="K77" i="20"/>
  <c r="J77" i="20"/>
  <c r="I77" i="20"/>
  <c r="H77" i="20"/>
  <c r="S76" i="20"/>
  <c r="R76" i="20"/>
  <c r="M76" i="20"/>
  <c r="L76" i="20"/>
  <c r="K76" i="20"/>
  <c r="J76" i="20"/>
  <c r="I76" i="20"/>
  <c r="H76" i="20"/>
  <c r="S75" i="20"/>
  <c r="R75" i="20"/>
  <c r="M75" i="20"/>
  <c r="L75" i="20"/>
  <c r="K75" i="20"/>
  <c r="J75" i="20"/>
  <c r="I75" i="20"/>
  <c r="H75" i="20"/>
  <c r="S74" i="20"/>
  <c r="R74" i="20"/>
  <c r="M74" i="20"/>
  <c r="L74" i="20"/>
  <c r="K74" i="20"/>
  <c r="J74" i="20"/>
  <c r="I74" i="20"/>
  <c r="H74" i="20"/>
  <c r="S73" i="20"/>
  <c r="R73" i="20"/>
  <c r="M73" i="20"/>
  <c r="L73" i="20"/>
  <c r="K73" i="20"/>
  <c r="J73" i="20"/>
  <c r="I73" i="20"/>
  <c r="H73" i="20"/>
  <c r="S72" i="20"/>
  <c r="R72" i="20"/>
  <c r="M72" i="20"/>
  <c r="L72" i="20"/>
  <c r="K72" i="20"/>
  <c r="J72" i="20"/>
  <c r="I72" i="20"/>
  <c r="H72" i="20"/>
  <c r="S71" i="20"/>
  <c r="R71" i="20"/>
  <c r="M71" i="20"/>
  <c r="L71" i="20"/>
  <c r="K71" i="20"/>
  <c r="J71" i="20"/>
  <c r="I71" i="20"/>
  <c r="H71" i="20"/>
  <c r="S70" i="20"/>
  <c r="R70" i="20"/>
  <c r="M70" i="20"/>
  <c r="L70" i="20"/>
  <c r="K70" i="20"/>
  <c r="J70" i="20"/>
  <c r="I70" i="20"/>
  <c r="H70" i="20"/>
  <c r="S69" i="20"/>
  <c r="R69" i="20"/>
  <c r="M69" i="20"/>
  <c r="L69" i="20"/>
  <c r="K69" i="20"/>
  <c r="J69" i="20"/>
  <c r="I69" i="20"/>
  <c r="H69" i="20"/>
  <c r="S68" i="20"/>
  <c r="R68" i="20"/>
  <c r="M68" i="20"/>
  <c r="L68" i="20"/>
  <c r="K68" i="20"/>
  <c r="J68" i="20"/>
  <c r="I68" i="20"/>
  <c r="H68" i="20"/>
  <c r="S67" i="20"/>
  <c r="R67" i="20"/>
  <c r="M67" i="20"/>
  <c r="L67" i="20"/>
  <c r="K67" i="20"/>
  <c r="J67" i="20"/>
  <c r="I67" i="20"/>
  <c r="H67" i="20"/>
  <c r="S66" i="20"/>
  <c r="R66" i="20"/>
  <c r="M66" i="20"/>
  <c r="L66" i="20"/>
  <c r="K66" i="20"/>
  <c r="J66" i="20"/>
  <c r="I66" i="20"/>
  <c r="H66" i="20"/>
  <c r="S65" i="20"/>
  <c r="R65" i="20"/>
  <c r="M65" i="20"/>
  <c r="L65" i="20"/>
  <c r="K65" i="20"/>
  <c r="J65" i="20"/>
  <c r="I65" i="20"/>
  <c r="H65" i="20"/>
  <c r="S64" i="20"/>
  <c r="R64" i="20"/>
  <c r="M64" i="20"/>
  <c r="L64" i="20"/>
  <c r="K64" i="20"/>
  <c r="J64" i="20"/>
  <c r="I64" i="20"/>
  <c r="H64" i="20"/>
  <c r="S63" i="20"/>
  <c r="R63" i="20"/>
  <c r="M63" i="20"/>
  <c r="L63" i="20"/>
  <c r="K63" i="20"/>
  <c r="J63" i="20"/>
  <c r="I63" i="20"/>
  <c r="H63" i="20"/>
  <c r="S62" i="20"/>
  <c r="R62" i="20"/>
  <c r="M62" i="20"/>
  <c r="L62" i="20"/>
  <c r="K62" i="20"/>
  <c r="J62" i="20"/>
  <c r="I62" i="20"/>
  <c r="H62" i="20"/>
  <c r="S61" i="20"/>
  <c r="R61" i="20"/>
  <c r="M61" i="20"/>
  <c r="L61" i="20"/>
  <c r="K61" i="20"/>
  <c r="J61" i="20"/>
  <c r="I61" i="20"/>
  <c r="H61" i="20"/>
  <c r="S60" i="20"/>
  <c r="R60" i="20"/>
  <c r="M60" i="20"/>
  <c r="L60" i="20"/>
  <c r="K60" i="20"/>
  <c r="J60" i="20"/>
  <c r="I60" i="20"/>
  <c r="H60" i="20"/>
  <c r="S59" i="20"/>
  <c r="R59" i="20"/>
  <c r="M59" i="20"/>
  <c r="L59" i="20"/>
  <c r="K59" i="20"/>
  <c r="J59" i="20"/>
  <c r="I59" i="20"/>
  <c r="H59" i="20"/>
  <c r="S58" i="20"/>
  <c r="R58" i="20"/>
  <c r="M58" i="20"/>
  <c r="L58" i="20"/>
  <c r="K58" i="20"/>
  <c r="J58" i="20"/>
  <c r="I58" i="20"/>
  <c r="H58" i="20"/>
  <c r="S57" i="20"/>
  <c r="R57" i="20"/>
  <c r="M57" i="20"/>
  <c r="L57" i="20"/>
  <c r="K57" i="20"/>
  <c r="J57" i="20"/>
  <c r="I57" i="20"/>
  <c r="H57" i="20"/>
  <c r="S56" i="20"/>
  <c r="R56" i="20"/>
  <c r="M56" i="20"/>
  <c r="L56" i="20"/>
  <c r="K56" i="20"/>
  <c r="J56" i="20"/>
  <c r="I56" i="20"/>
  <c r="H56" i="20"/>
  <c r="J55" i="20"/>
  <c r="R55" i="20" s="1"/>
  <c r="I55" i="20"/>
  <c r="H55" i="20"/>
  <c r="J54" i="20"/>
  <c r="R54" i="20" s="1"/>
  <c r="I54" i="20"/>
  <c r="H54" i="20"/>
  <c r="J53" i="20"/>
  <c r="R53" i="20" s="1"/>
  <c r="I53" i="20"/>
  <c r="H53" i="20"/>
  <c r="J52" i="20"/>
  <c r="R52" i="20" s="1"/>
  <c r="I52" i="20"/>
  <c r="H52" i="20"/>
  <c r="H51" i="20"/>
  <c r="I51" i="20"/>
  <c r="J51" i="20" s="1"/>
  <c r="R51" i="20" s="1"/>
  <c r="I50" i="20"/>
  <c r="J50" i="20" s="1"/>
  <c r="R50" i="20" s="1"/>
  <c r="H50" i="20"/>
  <c r="I49" i="20"/>
  <c r="J49" i="20" s="1"/>
  <c r="R49" i="20" s="1"/>
  <c r="H49" i="20"/>
  <c r="H48" i="20"/>
  <c r="I48" i="20"/>
  <c r="J48" i="20" s="1"/>
  <c r="R48" i="20" s="1"/>
  <c r="I47" i="20"/>
  <c r="H47" i="20"/>
  <c r="I46" i="20"/>
  <c r="H46" i="20"/>
  <c r="I45" i="20"/>
  <c r="H45" i="20"/>
  <c r="H44" i="20"/>
  <c r="I44" i="20"/>
  <c r="J44" i="20" s="1"/>
  <c r="R44" i="20" s="1"/>
  <c r="I43" i="20"/>
  <c r="H43" i="20"/>
  <c r="I42" i="20"/>
  <c r="H42" i="20"/>
  <c r="I41" i="20"/>
  <c r="H41" i="20"/>
  <c r="I40" i="20"/>
  <c r="H40" i="20"/>
  <c r="I39" i="20"/>
  <c r="H39" i="20"/>
  <c r="I38" i="20"/>
  <c r="J38" i="20" s="1"/>
  <c r="R38" i="20" s="1"/>
  <c r="H38" i="20"/>
  <c r="I37" i="20"/>
  <c r="J37" i="20" s="1"/>
  <c r="R37" i="20" s="1"/>
  <c r="H37" i="20"/>
  <c r="I36" i="20"/>
  <c r="H36" i="20"/>
  <c r="I35" i="20"/>
  <c r="H35" i="20"/>
  <c r="I34" i="20"/>
  <c r="H34" i="20"/>
  <c r="J33" i="20"/>
  <c r="R33" i="20" s="1"/>
  <c r="I33" i="20"/>
  <c r="H33" i="20"/>
  <c r="I32" i="20"/>
  <c r="J32" i="20" s="1"/>
  <c r="R32" i="20" s="1"/>
  <c r="H32" i="20"/>
  <c r="I31" i="20"/>
  <c r="J31" i="20" s="1"/>
  <c r="R31" i="20" s="1"/>
  <c r="H31" i="20"/>
  <c r="I30" i="20"/>
  <c r="H30" i="20"/>
  <c r="I29" i="20"/>
  <c r="J29" i="20" s="1"/>
  <c r="R29" i="20" s="1"/>
  <c r="H29" i="20"/>
  <c r="I28" i="20"/>
  <c r="H28" i="20"/>
  <c r="I27" i="20"/>
  <c r="J27" i="20" s="1"/>
  <c r="R27" i="20" s="1"/>
  <c r="H27" i="20"/>
  <c r="I26" i="20"/>
  <c r="J26" i="20" s="1"/>
  <c r="R26" i="20" s="1"/>
  <c r="H26" i="20"/>
  <c r="I25" i="20"/>
  <c r="J25" i="20" s="1"/>
  <c r="R25" i="20" s="1"/>
  <c r="H25" i="20"/>
  <c r="I24" i="20"/>
  <c r="J24" i="20" s="1"/>
  <c r="R24" i="20" s="1"/>
  <c r="H24" i="20"/>
  <c r="J23" i="20"/>
  <c r="R23" i="20" s="1"/>
  <c r="I23" i="20"/>
  <c r="H23" i="20"/>
  <c r="I22" i="20"/>
  <c r="J22" i="20" s="1"/>
  <c r="R22" i="20" s="1"/>
  <c r="H22" i="20"/>
  <c r="I21" i="20"/>
  <c r="J21" i="20" s="1"/>
  <c r="R21" i="20" s="1"/>
  <c r="H21" i="20"/>
  <c r="I20" i="20"/>
  <c r="J20" i="20" s="1"/>
  <c r="R20" i="20" s="1"/>
  <c r="H20" i="20"/>
  <c r="I19" i="20"/>
  <c r="J19" i="20" s="1"/>
  <c r="R19" i="20" s="1"/>
  <c r="H19" i="20"/>
  <c r="I18" i="20"/>
  <c r="J18" i="20" s="1"/>
  <c r="R18" i="20" s="1"/>
  <c r="H18" i="20"/>
  <c r="I17" i="20"/>
  <c r="J17" i="20" s="1"/>
  <c r="R17" i="20" s="1"/>
  <c r="H17" i="20"/>
  <c r="I16" i="20"/>
  <c r="J16" i="20" s="1"/>
  <c r="R16" i="20" s="1"/>
  <c r="H16" i="20"/>
  <c r="I15" i="20"/>
  <c r="H15" i="20"/>
  <c r="I14" i="20"/>
  <c r="H14" i="20"/>
  <c r="I13" i="20"/>
  <c r="H13" i="20"/>
  <c r="I12" i="20"/>
  <c r="H12" i="20"/>
  <c r="I11" i="20"/>
  <c r="H11" i="20"/>
  <c r="I10" i="20"/>
  <c r="H10" i="20"/>
  <c r="I9" i="20"/>
  <c r="J9" i="20" s="1"/>
  <c r="R9" i="20" s="1"/>
  <c r="H9" i="20"/>
  <c r="I8" i="20"/>
  <c r="L8" i="20" s="1"/>
  <c r="H8" i="20"/>
  <c r="I7" i="20"/>
  <c r="L7" i="20" s="1"/>
  <c r="H7" i="20"/>
  <c r="J12" i="20" l="1"/>
  <c r="R12" i="20" s="1"/>
  <c r="J14" i="20"/>
  <c r="R14" i="20" s="1"/>
  <c r="J44" i="21"/>
  <c r="R44" i="21" s="1"/>
  <c r="M49" i="32"/>
  <c r="S49" i="32" s="1"/>
  <c r="L50" i="32"/>
  <c r="J7" i="20"/>
  <c r="R7" i="20" s="1"/>
  <c r="J13" i="20"/>
  <c r="R13" i="20" s="1"/>
  <c r="J15" i="20"/>
  <c r="R15" i="20" s="1"/>
  <c r="J28" i="21"/>
  <c r="R28" i="21" s="1"/>
  <c r="J40" i="21"/>
  <c r="R40" i="21" s="1"/>
  <c r="J43" i="21"/>
  <c r="R43" i="21" s="1"/>
  <c r="M37" i="25"/>
  <c r="S37" i="25" s="1"/>
  <c r="L38" i="25"/>
  <c r="M34" i="23"/>
  <c r="S34" i="23" s="1"/>
  <c r="L35" i="23"/>
  <c r="M11" i="22"/>
  <c r="S11" i="22" s="1"/>
  <c r="L12" i="22"/>
  <c r="J41" i="21"/>
  <c r="R41" i="21" s="1"/>
  <c r="J39" i="21"/>
  <c r="R39" i="21" s="1"/>
  <c r="J38" i="21"/>
  <c r="R38" i="21" s="1"/>
  <c r="J37" i="21"/>
  <c r="R37" i="21" s="1"/>
  <c r="J35" i="21"/>
  <c r="R35" i="21" s="1"/>
  <c r="J34" i="21"/>
  <c r="R34" i="21" s="1"/>
  <c r="J33" i="21"/>
  <c r="R33" i="21" s="1"/>
  <c r="J32" i="21"/>
  <c r="R32" i="21" s="1"/>
  <c r="J31" i="21"/>
  <c r="R31" i="21" s="1"/>
  <c r="J30" i="21"/>
  <c r="R30" i="21" s="1"/>
  <c r="J22" i="21"/>
  <c r="R22" i="21" s="1"/>
  <c r="J20" i="21"/>
  <c r="R20" i="21" s="1"/>
  <c r="J24" i="21"/>
  <c r="R24" i="21" s="1"/>
  <c r="J21" i="21"/>
  <c r="R21" i="21" s="1"/>
  <c r="J25" i="21"/>
  <c r="R25" i="21" s="1"/>
  <c r="K10" i="2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J8" i="21"/>
  <c r="R8" i="21" s="1"/>
  <c r="J12" i="21"/>
  <c r="R12" i="21" s="1"/>
  <c r="J10" i="21"/>
  <c r="R10" i="21" s="1"/>
  <c r="J14" i="21"/>
  <c r="R14" i="21" s="1"/>
  <c r="J7" i="21"/>
  <c r="R7" i="21" s="1"/>
  <c r="L7" i="21"/>
  <c r="J30" i="20"/>
  <c r="R30" i="20" s="1"/>
  <c r="J28" i="20"/>
  <c r="R28" i="20" s="1"/>
  <c r="J11" i="20"/>
  <c r="R11" i="20" s="1"/>
  <c r="J10" i="20"/>
  <c r="R10" i="20" s="1"/>
  <c r="L9" i="20"/>
  <c r="L10" i="20" s="1"/>
  <c r="J8" i="20"/>
  <c r="R8" i="20" s="1"/>
  <c r="L11" i="20"/>
  <c r="J41" i="20"/>
  <c r="R41" i="20" s="1"/>
  <c r="K7" i="20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J40" i="20"/>
  <c r="R40" i="20" s="1"/>
  <c r="J45" i="20"/>
  <c r="R45" i="20" s="1"/>
  <c r="J47" i="20"/>
  <c r="R47" i="20" s="1"/>
  <c r="J35" i="20"/>
  <c r="R35" i="20" s="1"/>
  <c r="J43" i="20"/>
  <c r="R43" i="20" s="1"/>
  <c r="J46" i="20"/>
  <c r="R46" i="20" s="1"/>
  <c r="J36" i="20"/>
  <c r="R36" i="20" s="1"/>
  <c r="M9" i="20"/>
  <c r="S9" i="20" s="1"/>
  <c r="J39" i="20"/>
  <c r="R39" i="20" s="1"/>
  <c r="J34" i="20"/>
  <c r="R34" i="20" s="1"/>
  <c r="J42" i="20"/>
  <c r="R42" i="20" s="1"/>
  <c r="M38" i="25" l="1"/>
  <c r="S38" i="25" s="1"/>
  <c r="L39" i="25"/>
  <c r="M50" i="32"/>
  <c r="S50" i="32" s="1"/>
  <c r="L51" i="32"/>
  <c r="M35" i="23"/>
  <c r="S35" i="23" s="1"/>
  <c r="L36" i="23"/>
  <c r="M12" i="22"/>
  <c r="S12" i="22" s="1"/>
  <c r="L13" i="22"/>
  <c r="M7" i="21"/>
  <c r="S7" i="21" s="1"/>
  <c r="L8" i="21"/>
  <c r="M7" i="20"/>
  <c r="S7" i="20" s="1"/>
  <c r="M8" i="20"/>
  <c r="S8" i="20" s="1"/>
  <c r="M11" i="20"/>
  <c r="S11" i="20" s="1"/>
  <c r="L12" i="20"/>
  <c r="M10" i="20"/>
  <c r="S10" i="20" s="1"/>
  <c r="L52" i="32" l="1"/>
  <c r="M51" i="32"/>
  <c r="S51" i="32" s="1"/>
  <c r="L40" i="25"/>
  <c r="M39" i="25"/>
  <c r="S39" i="25" s="1"/>
  <c r="M36" i="23"/>
  <c r="S36" i="23" s="1"/>
  <c r="L37" i="23"/>
  <c r="L14" i="22"/>
  <c r="M13" i="22"/>
  <c r="S13" i="22" s="1"/>
  <c r="M8" i="21"/>
  <c r="S8" i="21" s="1"/>
  <c r="L9" i="21"/>
  <c r="M12" i="20"/>
  <c r="S12" i="20" s="1"/>
  <c r="L13" i="20"/>
  <c r="M40" i="25" l="1"/>
  <c r="S40" i="25" s="1"/>
  <c r="L41" i="25"/>
  <c r="M41" i="25" s="1"/>
  <c r="S41" i="25" s="1"/>
  <c r="L53" i="32"/>
  <c r="M52" i="32"/>
  <c r="S52" i="32" s="1"/>
  <c r="L38" i="23"/>
  <c r="M37" i="23"/>
  <c r="S37" i="23" s="1"/>
  <c r="L15" i="22"/>
  <c r="M14" i="22"/>
  <c r="S14" i="22" s="1"/>
  <c r="M9" i="21"/>
  <c r="S9" i="21" s="1"/>
  <c r="L10" i="21"/>
  <c r="M13" i="20"/>
  <c r="S13" i="20" s="1"/>
  <c r="L14" i="20"/>
  <c r="M53" i="32" l="1"/>
  <c r="S53" i="32" s="1"/>
  <c r="L54" i="32"/>
  <c r="M54" i="32" s="1"/>
  <c r="S54" i="32" s="1"/>
  <c r="M38" i="23"/>
  <c r="S38" i="23" s="1"/>
  <c r="L39" i="23"/>
  <c r="L16" i="22"/>
  <c r="M15" i="22"/>
  <c r="S15" i="22" s="1"/>
  <c r="M10" i="21"/>
  <c r="S10" i="21" s="1"/>
  <c r="L11" i="21"/>
  <c r="M14" i="20"/>
  <c r="S14" i="20" s="1"/>
  <c r="L15" i="20"/>
  <c r="L40" i="23" l="1"/>
  <c r="M39" i="23"/>
  <c r="S39" i="23" s="1"/>
  <c r="M16" i="22"/>
  <c r="S16" i="22" s="1"/>
  <c r="L17" i="22"/>
  <c r="M11" i="21"/>
  <c r="S11" i="21" s="1"/>
  <c r="L12" i="21"/>
  <c r="M15" i="20"/>
  <c r="S15" i="20" s="1"/>
  <c r="L16" i="20"/>
  <c r="M40" i="23" l="1"/>
  <c r="S40" i="23" s="1"/>
  <c r="L41" i="23"/>
  <c r="M17" i="22"/>
  <c r="S17" i="22" s="1"/>
  <c r="L18" i="22"/>
  <c r="M12" i="21"/>
  <c r="S12" i="21" s="1"/>
  <c r="L13" i="21"/>
  <c r="L17" i="20"/>
  <c r="M16" i="20"/>
  <c r="S16" i="20" s="1"/>
  <c r="L42" i="23" l="1"/>
  <c r="M41" i="23"/>
  <c r="S41" i="23" s="1"/>
  <c r="M18" i="22"/>
  <c r="S18" i="22" s="1"/>
  <c r="L19" i="22"/>
  <c r="M13" i="21"/>
  <c r="S13" i="21" s="1"/>
  <c r="L14" i="21"/>
  <c r="M17" i="20"/>
  <c r="S17" i="20" s="1"/>
  <c r="L18" i="20"/>
  <c r="M42" i="23" l="1"/>
  <c r="S42" i="23" s="1"/>
  <c r="L43" i="23"/>
  <c r="M19" i="22"/>
  <c r="S19" i="22" s="1"/>
  <c r="L20" i="22"/>
  <c r="M14" i="21"/>
  <c r="S14" i="21" s="1"/>
  <c r="L15" i="21"/>
  <c r="M18" i="20"/>
  <c r="S18" i="20" s="1"/>
  <c r="L19" i="20"/>
  <c r="M43" i="23" l="1"/>
  <c r="S43" i="23" s="1"/>
  <c r="L44" i="23"/>
  <c r="M20" i="22"/>
  <c r="S20" i="22" s="1"/>
  <c r="L21" i="22"/>
  <c r="M15" i="21"/>
  <c r="S15" i="21" s="1"/>
  <c r="L16" i="21"/>
  <c r="M19" i="20"/>
  <c r="S19" i="20" s="1"/>
  <c r="L20" i="20"/>
  <c r="M44" i="23" l="1"/>
  <c r="S44" i="23" s="1"/>
  <c r="L45" i="23"/>
  <c r="M45" i="23" s="1"/>
  <c r="S45" i="23" s="1"/>
  <c r="M21" i="22"/>
  <c r="S21" i="22" s="1"/>
  <c r="L22" i="22"/>
  <c r="M16" i="21"/>
  <c r="S16" i="21" s="1"/>
  <c r="L17" i="21"/>
  <c r="M20" i="20"/>
  <c r="S20" i="20" s="1"/>
  <c r="L21" i="20"/>
  <c r="M22" i="22" l="1"/>
  <c r="S22" i="22" s="1"/>
  <c r="L23" i="22"/>
  <c r="M17" i="21"/>
  <c r="S17" i="21" s="1"/>
  <c r="L18" i="21"/>
  <c r="M21" i="20"/>
  <c r="S21" i="20" s="1"/>
  <c r="L22" i="20"/>
  <c r="M23" i="22" l="1"/>
  <c r="S23" i="22" s="1"/>
  <c r="L24" i="22"/>
  <c r="M18" i="21"/>
  <c r="S18" i="21" s="1"/>
  <c r="L19" i="21"/>
  <c r="M22" i="20"/>
  <c r="S22" i="20" s="1"/>
  <c r="L23" i="20"/>
  <c r="L25" i="22" l="1"/>
  <c r="M24" i="22"/>
  <c r="S24" i="22" s="1"/>
  <c r="M19" i="21"/>
  <c r="S19" i="21" s="1"/>
  <c r="L20" i="21"/>
  <c r="M23" i="20"/>
  <c r="S23" i="20" s="1"/>
  <c r="L24" i="20"/>
  <c r="M25" i="22" l="1"/>
  <c r="S25" i="22" s="1"/>
  <c r="L26" i="22"/>
  <c r="M20" i="21"/>
  <c r="S20" i="21" s="1"/>
  <c r="L21" i="21"/>
  <c r="M24" i="20"/>
  <c r="S24" i="20" s="1"/>
  <c r="L25" i="20"/>
  <c r="M26" i="22" l="1"/>
  <c r="S26" i="22" s="1"/>
  <c r="L27" i="22"/>
  <c r="L22" i="21"/>
  <c r="M21" i="21"/>
  <c r="S21" i="21" s="1"/>
  <c r="M25" i="20"/>
  <c r="S25" i="20" s="1"/>
  <c r="L26" i="20"/>
  <c r="L28" i="22" l="1"/>
  <c r="M27" i="22"/>
  <c r="S27" i="22" s="1"/>
  <c r="M22" i="21"/>
  <c r="S22" i="21" s="1"/>
  <c r="L23" i="21"/>
  <c r="M26" i="20"/>
  <c r="S26" i="20" s="1"/>
  <c r="L27" i="20"/>
  <c r="M28" i="22" l="1"/>
  <c r="S28" i="22" s="1"/>
  <c r="L29" i="22"/>
  <c r="M23" i="21"/>
  <c r="S23" i="21" s="1"/>
  <c r="L24" i="21"/>
  <c r="M27" i="20"/>
  <c r="S27" i="20" s="1"/>
  <c r="L28" i="20"/>
  <c r="L30" i="22" l="1"/>
  <c r="M29" i="22"/>
  <c r="S29" i="22" s="1"/>
  <c r="L25" i="21"/>
  <c r="M24" i="21"/>
  <c r="S24" i="21" s="1"/>
  <c r="M28" i="20"/>
  <c r="S28" i="20" s="1"/>
  <c r="L29" i="20"/>
  <c r="L31" i="22" l="1"/>
  <c r="M30" i="22"/>
  <c r="S30" i="22" s="1"/>
  <c r="M25" i="21"/>
  <c r="S25" i="21" s="1"/>
  <c r="L26" i="21"/>
  <c r="M29" i="20"/>
  <c r="S29" i="20" s="1"/>
  <c r="L30" i="20"/>
  <c r="M31" i="22" l="1"/>
  <c r="S31" i="22" s="1"/>
  <c r="L32" i="22"/>
  <c r="M26" i="21"/>
  <c r="S26" i="21" s="1"/>
  <c r="L27" i="21"/>
  <c r="M30" i="20"/>
  <c r="S30" i="20" s="1"/>
  <c r="L31" i="20"/>
  <c r="L33" i="22" l="1"/>
  <c r="M32" i="22"/>
  <c r="S32" i="22" s="1"/>
  <c r="L28" i="21"/>
  <c r="M27" i="21"/>
  <c r="S27" i="21" s="1"/>
  <c r="M31" i="20"/>
  <c r="S31" i="20" s="1"/>
  <c r="L32" i="20"/>
  <c r="M33" i="22" l="1"/>
  <c r="S33" i="22" s="1"/>
  <c r="L34" i="22"/>
  <c r="M28" i="21"/>
  <c r="S28" i="21" s="1"/>
  <c r="L29" i="21"/>
  <c r="M32" i="20"/>
  <c r="S32" i="20" s="1"/>
  <c r="L33" i="20"/>
  <c r="M34" i="22" l="1"/>
  <c r="S34" i="22" s="1"/>
  <c r="L35" i="22"/>
  <c r="M29" i="21"/>
  <c r="S29" i="21" s="1"/>
  <c r="L30" i="21"/>
  <c r="L34" i="20"/>
  <c r="M33" i="20"/>
  <c r="S33" i="20" s="1"/>
  <c r="M35" i="22" l="1"/>
  <c r="S35" i="22" s="1"/>
  <c r="L36" i="22"/>
  <c r="L31" i="21"/>
  <c r="M30" i="21"/>
  <c r="S30" i="21" s="1"/>
  <c r="M34" i="20"/>
  <c r="S34" i="20" s="1"/>
  <c r="L35" i="20"/>
  <c r="M31" i="21" l="1"/>
  <c r="S31" i="21" s="1"/>
  <c r="L32" i="21"/>
  <c r="L37" i="22"/>
  <c r="M36" i="22"/>
  <c r="S36" i="22" s="1"/>
  <c r="M35" i="20"/>
  <c r="S35" i="20" s="1"/>
  <c r="L36" i="20"/>
  <c r="M32" i="21" l="1"/>
  <c r="S32" i="21" s="1"/>
  <c r="L33" i="21"/>
  <c r="L38" i="22"/>
  <c r="M37" i="22"/>
  <c r="S37" i="22" s="1"/>
  <c r="M36" i="20"/>
  <c r="S36" i="20" s="1"/>
  <c r="L37" i="20"/>
  <c r="M33" i="21" l="1"/>
  <c r="S33" i="21" s="1"/>
  <c r="L34" i="21"/>
  <c r="L39" i="22"/>
  <c r="M38" i="22"/>
  <c r="S38" i="22" s="1"/>
  <c r="M37" i="20"/>
  <c r="S37" i="20" s="1"/>
  <c r="L38" i="20"/>
  <c r="L35" i="21" l="1"/>
  <c r="M34" i="21"/>
  <c r="S34" i="21" s="1"/>
  <c r="L40" i="22"/>
  <c r="M39" i="22"/>
  <c r="S39" i="22" s="1"/>
  <c r="M38" i="20"/>
  <c r="S38" i="20" s="1"/>
  <c r="L39" i="20"/>
  <c r="M35" i="21" l="1"/>
  <c r="S35" i="21" s="1"/>
  <c r="L36" i="21"/>
  <c r="L41" i="22"/>
  <c r="M40" i="22"/>
  <c r="S40" i="22" s="1"/>
  <c r="M39" i="20"/>
  <c r="S39" i="20" s="1"/>
  <c r="L40" i="20"/>
  <c r="L37" i="21" l="1"/>
  <c r="M36" i="21"/>
  <c r="S36" i="21" s="1"/>
  <c r="L42" i="22"/>
  <c r="M41" i="22"/>
  <c r="S41" i="22" s="1"/>
  <c r="M40" i="20"/>
  <c r="S40" i="20" s="1"/>
  <c r="L41" i="20"/>
  <c r="L38" i="21" l="1"/>
  <c r="M37" i="21"/>
  <c r="S37" i="21" s="1"/>
  <c r="L43" i="22"/>
  <c r="M42" i="22"/>
  <c r="S42" i="22" s="1"/>
  <c r="M41" i="20"/>
  <c r="S41" i="20" s="1"/>
  <c r="L42" i="20"/>
  <c r="L39" i="21" l="1"/>
  <c r="M38" i="21"/>
  <c r="S38" i="21" s="1"/>
  <c r="L44" i="22"/>
  <c r="M43" i="22"/>
  <c r="S43" i="22" s="1"/>
  <c r="M42" i="20"/>
  <c r="S42" i="20" s="1"/>
  <c r="L43" i="20"/>
  <c r="L40" i="21" l="1"/>
  <c r="M39" i="21"/>
  <c r="S39" i="21" s="1"/>
  <c r="L45" i="22"/>
  <c r="M45" i="22" s="1"/>
  <c r="S45" i="22" s="1"/>
  <c r="M44" i="22"/>
  <c r="S44" i="22" s="1"/>
  <c r="L44" i="20"/>
  <c r="M43" i="20"/>
  <c r="S43" i="20" s="1"/>
  <c r="M40" i="21" l="1"/>
  <c r="S40" i="21" s="1"/>
  <c r="L41" i="21"/>
  <c r="L45" i="20"/>
  <c r="M44" i="20"/>
  <c r="S44" i="20" s="1"/>
  <c r="G51" i="19"/>
  <c r="G48" i="19"/>
  <c r="G44" i="19"/>
  <c r="G34" i="19"/>
  <c r="G17" i="19"/>
  <c r="G7" i="19"/>
  <c r="S112" i="19"/>
  <c r="R112" i="19"/>
  <c r="M112" i="19"/>
  <c r="L112" i="19"/>
  <c r="K112" i="19"/>
  <c r="J112" i="19"/>
  <c r="I112" i="19"/>
  <c r="H112" i="19"/>
  <c r="S111" i="19"/>
  <c r="R111" i="19"/>
  <c r="M111" i="19"/>
  <c r="L111" i="19"/>
  <c r="K111" i="19"/>
  <c r="J111" i="19"/>
  <c r="I111" i="19"/>
  <c r="H111" i="19"/>
  <c r="S110" i="19"/>
  <c r="R110" i="19"/>
  <c r="M110" i="19"/>
  <c r="L110" i="19"/>
  <c r="K110" i="19"/>
  <c r="J110" i="19"/>
  <c r="I110" i="19"/>
  <c r="H110" i="19"/>
  <c r="S109" i="19"/>
  <c r="R109" i="19"/>
  <c r="M109" i="19"/>
  <c r="L109" i="19"/>
  <c r="K109" i="19"/>
  <c r="J109" i="19"/>
  <c r="I109" i="19"/>
  <c r="H109" i="19"/>
  <c r="S108" i="19"/>
  <c r="R108" i="19"/>
  <c r="M108" i="19"/>
  <c r="L108" i="19"/>
  <c r="K108" i="19"/>
  <c r="J108" i="19"/>
  <c r="I108" i="19"/>
  <c r="H108" i="19"/>
  <c r="S107" i="19"/>
  <c r="R107" i="19"/>
  <c r="M107" i="19"/>
  <c r="L107" i="19"/>
  <c r="K107" i="19"/>
  <c r="J107" i="19"/>
  <c r="I107" i="19"/>
  <c r="H107" i="19"/>
  <c r="S106" i="19"/>
  <c r="R106" i="19"/>
  <c r="M106" i="19"/>
  <c r="L106" i="19"/>
  <c r="K106" i="19"/>
  <c r="J106" i="19"/>
  <c r="I106" i="19"/>
  <c r="H106" i="19"/>
  <c r="S105" i="19"/>
  <c r="R105" i="19"/>
  <c r="M105" i="19"/>
  <c r="L105" i="19"/>
  <c r="K105" i="19"/>
  <c r="J105" i="19"/>
  <c r="I105" i="19"/>
  <c r="H105" i="19"/>
  <c r="S104" i="19"/>
  <c r="R104" i="19"/>
  <c r="M104" i="19"/>
  <c r="L104" i="19"/>
  <c r="K104" i="19"/>
  <c r="J104" i="19"/>
  <c r="I104" i="19"/>
  <c r="H104" i="19"/>
  <c r="S103" i="19"/>
  <c r="R103" i="19"/>
  <c r="M103" i="19"/>
  <c r="L103" i="19"/>
  <c r="K103" i="19"/>
  <c r="J103" i="19"/>
  <c r="I103" i="19"/>
  <c r="H103" i="19"/>
  <c r="S102" i="19"/>
  <c r="R102" i="19"/>
  <c r="M102" i="19"/>
  <c r="L102" i="19"/>
  <c r="K102" i="19"/>
  <c r="J102" i="19"/>
  <c r="I102" i="19"/>
  <c r="H102" i="19"/>
  <c r="S101" i="19"/>
  <c r="R101" i="19"/>
  <c r="M101" i="19"/>
  <c r="L101" i="19"/>
  <c r="K101" i="19"/>
  <c r="J101" i="19"/>
  <c r="I101" i="19"/>
  <c r="H101" i="19"/>
  <c r="S100" i="19"/>
  <c r="R100" i="19"/>
  <c r="M100" i="19"/>
  <c r="L100" i="19"/>
  <c r="K100" i="19"/>
  <c r="J100" i="19"/>
  <c r="I100" i="19"/>
  <c r="H100" i="19"/>
  <c r="S99" i="19"/>
  <c r="R99" i="19"/>
  <c r="M99" i="19"/>
  <c r="L99" i="19"/>
  <c r="K99" i="19"/>
  <c r="J99" i="19"/>
  <c r="I99" i="19"/>
  <c r="H99" i="19"/>
  <c r="S98" i="19"/>
  <c r="R98" i="19"/>
  <c r="M98" i="19"/>
  <c r="L98" i="19"/>
  <c r="K98" i="19"/>
  <c r="J98" i="19"/>
  <c r="I98" i="19"/>
  <c r="H98" i="19"/>
  <c r="S97" i="19"/>
  <c r="R97" i="19"/>
  <c r="M97" i="19"/>
  <c r="L97" i="19"/>
  <c r="K97" i="19"/>
  <c r="J97" i="19"/>
  <c r="I97" i="19"/>
  <c r="H97" i="19"/>
  <c r="S96" i="19"/>
  <c r="R96" i="19"/>
  <c r="M96" i="19"/>
  <c r="L96" i="19"/>
  <c r="K96" i="19"/>
  <c r="J96" i="19"/>
  <c r="I96" i="19"/>
  <c r="H96" i="19"/>
  <c r="S95" i="19"/>
  <c r="R95" i="19"/>
  <c r="M95" i="19"/>
  <c r="L95" i="19"/>
  <c r="K95" i="19"/>
  <c r="J95" i="19"/>
  <c r="I95" i="19"/>
  <c r="H95" i="19"/>
  <c r="S94" i="19"/>
  <c r="R94" i="19"/>
  <c r="M94" i="19"/>
  <c r="L94" i="19"/>
  <c r="K94" i="19"/>
  <c r="J94" i="19"/>
  <c r="I94" i="19"/>
  <c r="H94" i="19"/>
  <c r="S93" i="19"/>
  <c r="R93" i="19"/>
  <c r="M93" i="19"/>
  <c r="L93" i="19"/>
  <c r="K93" i="19"/>
  <c r="J93" i="19"/>
  <c r="I93" i="19"/>
  <c r="H93" i="19"/>
  <c r="S92" i="19"/>
  <c r="R92" i="19"/>
  <c r="M92" i="19"/>
  <c r="L92" i="19"/>
  <c r="K92" i="19"/>
  <c r="J92" i="19"/>
  <c r="I92" i="19"/>
  <c r="H92" i="19"/>
  <c r="S91" i="19"/>
  <c r="R91" i="19"/>
  <c r="M91" i="19"/>
  <c r="L91" i="19"/>
  <c r="K91" i="19"/>
  <c r="J91" i="19"/>
  <c r="I91" i="19"/>
  <c r="H91" i="19"/>
  <c r="S90" i="19"/>
  <c r="R90" i="19"/>
  <c r="M90" i="19"/>
  <c r="L90" i="19"/>
  <c r="K90" i="19"/>
  <c r="J90" i="19"/>
  <c r="I90" i="19"/>
  <c r="H90" i="19"/>
  <c r="S89" i="19"/>
  <c r="R89" i="19"/>
  <c r="M89" i="19"/>
  <c r="L89" i="19"/>
  <c r="K89" i="19"/>
  <c r="J89" i="19"/>
  <c r="I89" i="19"/>
  <c r="H89" i="19"/>
  <c r="S88" i="19"/>
  <c r="R88" i="19"/>
  <c r="M88" i="19"/>
  <c r="L88" i="19"/>
  <c r="K88" i="19"/>
  <c r="J88" i="19"/>
  <c r="I88" i="19"/>
  <c r="H88" i="19"/>
  <c r="S87" i="19"/>
  <c r="R87" i="19"/>
  <c r="M87" i="19"/>
  <c r="L87" i="19"/>
  <c r="K87" i="19"/>
  <c r="J87" i="19"/>
  <c r="I87" i="19"/>
  <c r="H87" i="19"/>
  <c r="S86" i="19"/>
  <c r="R86" i="19"/>
  <c r="M86" i="19"/>
  <c r="L86" i="19"/>
  <c r="K86" i="19"/>
  <c r="J86" i="19"/>
  <c r="I86" i="19"/>
  <c r="H86" i="19"/>
  <c r="S85" i="19"/>
  <c r="R85" i="19"/>
  <c r="M85" i="19"/>
  <c r="L85" i="19"/>
  <c r="K85" i="19"/>
  <c r="J85" i="19"/>
  <c r="I85" i="19"/>
  <c r="H85" i="19"/>
  <c r="S84" i="19"/>
  <c r="R84" i="19"/>
  <c r="M84" i="19"/>
  <c r="L84" i="19"/>
  <c r="K84" i="19"/>
  <c r="J84" i="19"/>
  <c r="I84" i="19"/>
  <c r="H84" i="19"/>
  <c r="S83" i="19"/>
  <c r="R83" i="19"/>
  <c r="M83" i="19"/>
  <c r="L83" i="19"/>
  <c r="K83" i="19"/>
  <c r="J83" i="19"/>
  <c r="I83" i="19"/>
  <c r="H83" i="19"/>
  <c r="S82" i="19"/>
  <c r="R82" i="19"/>
  <c r="M82" i="19"/>
  <c r="L82" i="19"/>
  <c r="K82" i="19"/>
  <c r="J82" i="19"/>
  <c r="I82" i="19"/>
  <c r="H82" i="19"/>
  <c r="S81" i="19"/>
  <c r="R81" i="19"/>
  <c r="M81" i="19"/>
  <c r="L81" i="19"/>
  <c r="K81" i="19"/>
  <c r="J81" i="19"/>
  <c r="I81" i="19"/>
  <c r="H81" i="19"/>
  <c r="S80" i="19"/>
  <c r="R80" i="19"/>
  <c r="M80" i="19"/>
  <c r="L80" i="19"/>
  <c r="K80" i="19"/>
  <c r="J80" i="19"/>
  <c r="I80" i="19"/>
  <c r="H80" i="19"/>
  <c r="S79" i="19"/>
  <c r="R79" i="19"/>
  <c r="M79" i="19"/>
  <c r="L79" i="19"/>
  <c r="K79" i="19"/>
  <c r="J79" i="19"/>
  <c r="I79" i="19"/>
  <c r="H79" i="19"/>
  <c r="S78" i="19"/>
  <c r="R78" i="19"/>
  <c r="M78" i="19"/>
  <c r="L78" i="19"/>
  <c r="K78" i="19"/>
  <c r="J78" i="19"/>
  <c r="I78" i="19"/>
  <c r="H78" i="19"/>
  <c r="S77" i="19"/>
  <c r="R77" i="19"/>
  <c r="M77" i="19"/>
  <c r="L77" i="19"/>
  <c r="K77" i="19"/>
  <c r="J77" i="19"/>
  <c r="I77" i="19"/>
  <c r="H77" i="19"/>
  <c r="S76" i="19"/>
  <c r="R76" i="19"/>
  <c r="M76" i="19"/>
  <c r="L76" i="19"/>
  <c r="K76" i="19"/>
  <c r="J76" i="19"/>
  <c r="I76" i="19"/>
  <c r="H76" i="19"/>
  <c r="S75" i="19"/>
  <c r="R75" i="19"/>
  <c r="M75" i="19"/>
  <c r="L75" i="19"/>
  <c r="K75" i="19"/>
  <c r="J75" i="19"/>
  <c r="I75" i="19"/>
  <c r="H75" i="19"/>
  <c r="S74" i="19"/>
  <c r="R74" i="19"/>
  <c r="M74" i="19"/>
  <c r="L74" i="19"/>
  <c r="K74" i="19"/>
  <c r="J74" i="19"/>
  <c r="I74" i="19"/>
  <c r="H74" i="19"/>
  <c r="S73" i="19"/>
  <c r="R73" i="19"/>
  <c r="M73" i="19"/>
  <c r="L73" i="19"/>
  <c r="K73" i="19"/>
  <c r="J73" i="19"/>
  <c r="I73" i="19"/>
  <c r="H73" i="19"/>
  <c r="S72" i="19"/>
  <c r="R72" i="19"/>
  <c r="M72" i="19"/>
  <c r="L72" i="19"/>
  <c r="K72" i="19"/>
  <c r="J72" i="19"/>
  <c r="I72" i="19"/>
  <c r="H72" i="19"/>
  <c r="S71" i="19"/>
  <c r="R71" i="19"/>
  <c r="M71" i="19"/>
  <c r="L71" i="19"/>
  <c r="K71" i="19"/>
  <c r="J71" i="19"/>
  <c r="I71" i="19"/>
  <c r="H71" i="19"/>
  <c r="S70" i="19"/>
  <c r="R70" i="19"/>
  <c r="M70" i="19"/>
  <c r="L70" i="19"/>
  <c r="K70" i="19"/>
  <c r="J70" i="19"/>
  <c r="I70" i="19"/>
  <c r="H70" i="19"/>
  <c r="S69" i="19"/>
  <c r="R69" i="19"/>
  <c r="M69" i="19"/>
  <c r="L69" i="19"/>
  <c r="K69" i="19"/>
  <c r="J69" i="19"/>
  <c r="I69" i="19"/>
  <c r="H69" i="19"/>
  <c r="S68" i="19"/>
  <c r="R68" i="19"/>
  <c r="M68" i="19"/>
  <c r="L68" i="19"/>
  <c r="K68" i="19"/>
  <c r="J68" i="19"/>
  <c r="I68" i="19"/>
  <c r="H68" i="19"/>
  <c r="S67" i="19"/>
  <c r="R67" i="19"/>
  <c r="M67" i="19"/>
  <c r="L67" i="19"/>
  <c r="K67" i="19"/>
  <c r="J67" i="19"/>
  <c r="I67" i="19"/>
  <c r="H67" i="19"/>
  <c r="S66" i="19"/>
  <c r="R66" i="19"/>
  <c r="M66" i="19"/>
  <c r="L66" i="19"/>
  <c r="K66" i="19"/>
  <c r="J66" i="19"/>
  <c r="I66" i="19"/>
  <c r="H66" i="19"/>
  <c r="S65" i="19"/>
  <c r="R65" i="19"/>
  <c r="M65" i="19"/>
  <c r="L65" i="19"/>
  <c r="K65" i="19"/>
  <c r="J65" i="19"/>
  <c r="I65" i="19"/>
  <c r="H65" i="19"/>
  <c r="S64" i="19"/>
  <c r="R64" i="19"/>
  <c r="M64" i="19"/>
  <c r="L64" i="19"/>
  <c r="K64" i="19"/>
  <c r="J64" i="19"/>
  <c r="I64" i="19"/>
  <c r="H64" i="19"/>
  <c r="S63" i="19"/>
  <c r="R63" i="19"/>
  <c r="M63" i="19"/>
  <c r="L63" i="19"/>
  <c r="K63" i="19"/>
  <c r="J63" i="19"/>
  <c r="I63" i="19"/>
  <c r="H63" i="19"/>
  <c r="S62" i="19"/>
  <c r="R62" i="19"/>
  <c r="M62" i="19"/>
  <c r="L62" i="19"/>
  <c r="K62" i="19"/>
  <c r="J62" i="19"/>
  <c r="I62" i="19"/>
  <c r="H62" i="19"/>
  <c r="S61" i="19"/>
  <c r="R61" i="19"/>
  <c r="M61" i="19"/>
  <c r="L61" i="19"/>
  <c r="K61" i="19"/>
  <c r="J61" i="19"/>
  <c r="I61" i="19"/>
  <c r="H61" i="19"/>
  <c r="S60" i="19"/>
  <c r="R60" i="19"/>
  <c r="M60" i="19"/>
  <c r="L60" i="19"/>
  <c r="K60" i="19"/>
  <c r="J60" i="19"/>
  <c r="I60" i="19"/>
  <c r="H60" i="19"/>
  <c r="S59" i="19"/>
  <c r="R59" i="19"/>
  <c r="M59" i="19"/>
  <c r="L59" i="19"/>
  <c r="K59" i="19"/>
  <c r="J59" i="19"/>
  <c r="I59" i="19"/>
  <c r="H59" i="19"/>
  <c r="S58" i="19"/>
  <c r="R58" i="19"/>
  <c r="M58" i="19"/>
  <c r="L58" i="19"/>
  <c r="K58" i="19"/>
  <c r="J58" i="19"/>
  <c r="I58" i="19"/>
  <c r="H58" i="19"/>
  <c r="S57" i="19"/>
  <c r="R57" i="19"/>
  <c r="M57" i="19"/>
  <c r="L57" i="19"/>
  <c r="K57" i="19"/>
  <c r="J57" i="19"/>
  <c r="I57" i="19"/>
  <c r="H57" i="19"/>
  <c r="S56" i="19"/>
  <c r="R56" i="19"/>
  <c r="M56" i="19"/>
  <c r="L56" i="19"/>
  <c r="K56" i="19"/>
  <c r="J56" i="19"/>
  <c r="I56" i="19"/>
  <c r="H56" i="19"/>
  <c r="I55" i="19"/>
  <c r="J55" i="19" s="1"/>
  <c r="R55" i="19" s="1"/>
  <c r="H55" i="19"/>
  <c r="I54" i="19"/>
  <c r="H54" i="19"/>
  <c r="I53" i="19"/>
  <c r="H53" i="19"/>
  <c r="I52" i="19"/>
  <c r="H52" i="19"/>
  <c r="I51" i="19"/>
  <c r="H51" i="19"/>
  <c r="I50" i="19"/>
  <c r="H50" i="19"/>
  <c r="I49" i="19"/>
  <c r="H49" i="19"/>
  <c r="J49" i="19" s="1"/>
  <c r="R49" i="19" s="1"/>
  <c r="I48" i="19"/>
  <c r="J48" i="19" s="1"/>
  <c r="R48" i="19" s="1"/>
  <c r="H48" i="19"/>
  <c r="I47" i="19"/>
  <c r="J47" i="19" s="1"/>
  <c r="R47" i="19" s="1"/>
  <c r="H47" i="19"/>
  <c r="I46" i="19"/>
  <c r="H46" i="19"/>
  <c r="I45" i="19"/>
  <c r="J45" i="19" s="1"/>
  <c r="R45" i="19" s="1"/>
  <c r="H45" i="19"/>
  <c r="I44" i="19"/>
  <c r="H44" i="19"/>
  <c r="J43" i="19"/>
  <c r="R43" i="19" s="1"/>
  <c r="I43" i="19"/>
  <c r="H43" i="19"/>
  <c r="I42" i="19"/>
  <c r="J42" i="19" s="1"/>
  <c r="R42" i="19" s="1"/>
  <c r="H42" i="19"/>
  <c r="I41" i="19"/>
  <c r="H41" i="19"/>
  <c r="I40" i="19"/>
  <c r="J40" i="19" s="1"/>
  <c r="R40" i="19" s="1"/>
  <c r="H40" i="19"/>
  <c r="I39" i="19"/>
  <c r="H39" i="19"/>
  <c r="I38" i="19"/>
  <c r="J38" i="19" s="1"/>
  <c r="R38" i="19" s="1"/>
  <c r="H38" i="19"/>
  <c r="I37" i="19"/>
  <c r="H37" i="19"/>
  <c r="I36" i="19"/>
  <c r="H36" i="19"/>
  <c r="I35" i="19"/>
  <c r="J35" i="19" s="1"/>
  <c r="R35" i="19" s="1"/>
  <c r="H35" i="19"/>
  <c r="J34" i="19"/>
  <c r="R34" i="19" s="1"/>
  <c r="I34" i="19"/>
  <c r="H34" i="19"/>
  <c r="I33" i="19"/>
  <c r="J33" i="19" s="1"/>
  <c r="R33" i="19" s="1"/>
  <c r="H33" i="19"/>
  <c r="I32" i="19"/>
  <c r="H32" i="19"/>
  <c r="I31" i="19"/>
  <c r="H31" i="19"/>
  <c r="I30" i="19"/>
  <c r="J30" i="19" s="1"/>
  <c r="R30" i="19" s="1"/>
  <c r="H30" i="19"/>
  <c r="I29" i="19"/>
  <c r="J29" i="19" s="1"/>
  <c r="R29" i="19" s="1"/>
  <c r="H29" i="19"/>
  <c r="I28" i="19"/>
  <c r="J28" i="19" s="1"/>
  <c r="R28" i="19" s="1"/>
  <c r="H28" i="19"/>
  <c r="I27" i="19"/>
  <c r="J27" i="19" s="1"/>
  <c r="R27" i="19" s="1"/>
  <c r="H27" i="19"/>
  <c r="I26" i="19"/>
  <c r="J26" i="19" s="1"/>
  <c r="R26" i="19" s="1"/>
  <c r="H26" i="19"/>
  <c r="I25" i="19"/>
  <c r="J25" i="19" s="1"/>
  <c r="R25" i="19" s="1"/>
  <c r="H25" i="19"/>
  <c r="I24" i="19"/>
  <c r="J24" i="19" s="1"/>
  <c r="R24" i="19" s="1"/>
  <c r="H24" i="19"/>
  <c r="J23" i="19"/>
  <c r="R23" i="19" s="1"/>
  <c r="I23" i="19"/>
  <c r="H23" i="19"/>
  <c r="J22" i="19"/>
  <c r="R22" i="19" s="1"/>
  <c r="I22" i="19"/>
  <c r="H22" i="19"/>
  <c r="J21" i="19"/>
  <c r="R21" i="19" s="1"/>
  <c r="I21" i="19"/>
  <c r="H21" i="19"/>
  <c r="I20" i="19"/>
  <c r="H20" i="19"/>
  <c r="I19" i="19"/>
  <c r="J19" i="19" s="1"/>
  <c r="R19" i="19" s="1"/>
  <c r="H19" i="19"/>
  <c r="I18" i="19"/>
  <c r="J18" i="19" s="1"/>
  <c r="R18" i="19" s="1"/>
  <c r="H18" i="19"/>
  <c r="I17" i="19"/>
  <c r="J17" i="19" s="1"/>
  <c r="R17" i="19" s="1"/>
  <c r="H17" i="19"/>
  <c r="I16" i="19"/>
  <c r="J16" i="19" s="1"/>
  <c r="R16" i="19" s="1"/>
  <c r="H16" i="19"/>
  <c r="I15" i="19"/>
  <c r="J15" i="19" s="1"/>
  <c r="R15" i="19" s="1"/>
  <c r="H15" i="19"/>
  <c r="I14" i="19"/>
  <c r="J14" i="19" s="1"/>
  <c r="R14" i="19" s="1"/>
  <c r="H14" i="19"/>
  <c r="I13" i="19"/>
  <c r="H13" i="19"/>
  <c r="I12" i="19"/>
  <c r="J12" i="19" s="1"/>
  <c r="R12" i="19" s="1"/>
  <c r="H12" i="19"/>
  <c r="I11" i="19"/>
  <c r="J11" i="19" s="1"/>
  <c r="R11" i="19" s="1"/>
  <c r="H11" i="19"/>
  <c r="I10" i="19"/>
  <c r="H10" i="19"/>
  <c r="I9" i="19"/>
  <c r="J9" i="19" s="1"/>
  <c r="R9" i="19" s="1"/>
  <c r="H9" i="19"/>
  <c r="I8" i="19"/>
  <c r="J8" i="19" s="1"/>
  <c r="R8" i="19" s="1"/>
  <c r="H8" i="19"/>
  <c r="I7" i="19"/>
  <c r="L7" i="19" s="1"/>
  <c r="H7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G12" i="18"/>
  <c r="G10" i="18"/>
  <c r="I8" i="18"/>
  <c r="S112" i="18"/>
  <c r="R112" i="18"/>
  <c r="M112" i="18"/>
  <c r="L112" i="18"/>
  <c r="K112" i="18"/>
  <c r="J112" i="18"/>
  <c r="I112" i="18"/>
  <c r="H112" i="18"/>
  <c r="S111" i="18"/>
  <c r="R111" i="18"/>
  <c r="M111" i="18"/>
  <c r="L111" i="18"/>
  <c r="K111" i="18"/>
  <c r="J111" i="18"/>
  <c r="I111" i="18"/>
  <c r="H111" i="18"/>
  <c r="S110" i="18"/>
  <c r="R110" i="18"/>
  <c r="M110" i="18"/>
  <c r="L110" i="18"/>
  <c r="K110" i="18"/>
  <c r="J110" i="18"/>
  <c r="I110" i="18"/>
  <c r="H110" i="18"/>
  <c r="S109" i="18"/>
  <c r="R109" i="18"/>
  <c r="M109" i="18"/>
  <c r="L109" i="18"/>
  <c r="K109" i="18"/>
  <c r="J109" i="18"/>
  <c r="I109" i="18"/>
  <c r="H109" i="18"/>
  <c r="S108" i="18"/>
  <c r="R108" i="18"/>
  <c r="M108" i="18"/>
  <c r="L108" i="18"/>
  <c r="K108" i="18"/>
  <c r="J108" i="18"/>
  <c r="I108" i="18"/>
  <c r="H108" i="18"/>
  <c r="S107" i="18"/>
  <c r="R107" i="18"/>
  <c r="M107" i="18"/>
  <c r="L107" i="18"/>
  <c r="K107" i="18"/>
  <c r="J107" i="18"/>
  <c r="I107" i="18"/>
  <c r="H107" i="18"/>
  <c r="S106" i="18"/>
  <c r="R106" i="18"/>
  <c r="M106" i="18"/>
  <c r="L106" i="18"/>
  <c r="K106" i="18"/>
  <c r="J106" i="18"/>
  <c r="I106" i="18"/>
  <c r="H106" i="18"/>
  <c r="S105" i="18"/>
  <c r="R105" i="18"/>
  <c r="M105" i="18"/>
  <c r="L105" i="18"/>
  <c r="K105" i="18"/>
  <c r="J105" i="18"/>
  <c r="I105" i="18"/>
  <c r="H105" i="18"/>
  <c r="S104" i="18"/>
  <c r="R104" i="18"/>
  <c r="M104" i="18"/>
  <c r="L104" i="18"/>
  <c r="K104" i="18"/>
  <c r="J104" i="18"/>
  <c r="I104" i="18"/>
  <c r="H104" i="18"/>
  <c r="S103" i="18"/>
  <c r="R103" i="18"/>
  <c r="M103" i="18"/>
  <c r="L103" i="18"/>
  <c r="K103" i="18"/>
  <c r="J103" i="18"/>
  <c r="I103" i="18"/>
  <c r="H103" i="18"/>
  <c r="S102" i="18"/>
  <c r="R102" i="18"/>
  <c r="M102" i="18"/>
  <c r="L102" i="18"/>
  <c r="K102" i="18"/>
  <c r="J102" i="18"/>
  <c r="I102" i="18"/>
  <c r="H102" i="18"/>
  <c r="S101" i="18"/>
  <c r="R101" i="18"/>
  <c r="M101" i="18"/>
  <c r="L101" i="18"/>
  <c r="K101" i="18"/>
  <c r="J101" i="18"/>
  <c r="I101" i="18"/>
  <c r="H101" i="18"/>
  <c r="S100" i="18"/>
  <c r="R100" i="18"/>
  <c r="M100" i="18"/>
  <c r="L100" i="18"/>
  <c r="K100" i="18"/>
  <c r="J100" i="18"/>
  <c r="I100" i="18"/>
  <c r="H100" i="18"/>
  <c r="S99" i="18"/>
  <c r="R99" i="18"/>
  <c r="M99" i="18"/>
  <c r="L99" i="18"/>
  <c r="K99" i="18"/>
  <c r="J99" i="18"/>
  <c r="I99" i="18"/>
  <c r="H99" i="18"/>
  <c r="S98" i="18"/>
  <c r="R98" i="18"/>
  <c r="M98" i="18"/>
  <c r="L98" i="18"/>
  <c r="K98" i="18"/>
  <c r="J98" i="18"/>
  <c r="I98" i="18"/>
  <c r="H98" i="18"/>
  <c r="S97" i="18"/>
  <c r="R97" i="18"/>
  <c r="M97" i="18"/>
  <c r="L97" i="18"/>
  <c r="K97" i="18"/>
  <c r="J97" i="18"/>
  <c r="I97" i="18"/>
  <c r="H97" i="18"/>
  <c r="S96" i="18"/>
  <c r="R96" i="18"/>
  <c r="M96" i="18"/>
  <c r="L96" i="18"/>
  <c r="K96" i="18"/>
  <c r="J96" i="18"/>
  <c r="I96" i="18"/>
  <c r="H96" i="18"/>
  <c r="S95" i="18"/>
  <c r="R95" i="18"/>
  <c r="M95" i="18"/>
  <c r="L95" i="18"/>
  <c r="K95" i="18"/>
  <c r="J95" i="18"/>
  <c r="I95" i="18"/>
  <c r="H95" i="18"/>
  <c r="S94" i="18"/>
  <c r="R94" i="18"/>
  <c r="M94" i="18"/>
  <c r="L94" i="18"/>
  <c r="K94" i="18"/>
  <c r="J94" i="18"/>
  <c r="I94" i="18"/>
  <c r="H94" i="18"/>
  <c r="S93" i="18"/>
  <c r="R93" i="18"/>
  <c r="M93" i="18"/>
  <c r="L93" i="18"/>
  <c r="K93" i="18"/>
  <c r="J93" i="18"/>
  <c r="I93" i="18"/>
  <c r="H93" i="18"/>
  <c r="S92" i="18"/>
  <c r="R92" i="18"/>
  <c r="M92" i="18"/>
  <c r="L92" i="18"/>
  <c r="K92" i="18"/>
  <c r="J92" i="18"/>
  <c r="I92" i="18"/>
  <c r="H92" i="18"/>
  <c r="S91" i="18"/>
  <c r="R91" i="18"/>
  <c r="M91" i="18"/>
  <c r="L91" i="18"/>
  <c r="K91" i="18"/>
  <c r="J91" i="18"/>
  <c r="I91" i="18"/>
  <c r="H91" i="18"/>
  <c r="S90" i="18"/>
  <c r="R90" i="18"/>
  <c r="M90" i="18"/>
  <c r="L90" i="18"/>
  <c r="K90" i="18"/>
  <c r="J90" i="18"/>
  <c r="I90" i="18"/>
  <c r="H90" i="18"/>
  <c r="S89" i="18"/>
  <c r="R89" i="18"/>
  <c r="M89" i="18"/>
  <c r="L89" i="18"/>
  <c r="K89" i="18"/>
  <c r="J89" i="18"/>
  <c r="I89" i="18"/>
  <c r="H89" i="18"/>
  <c r="S88" i="18"/>
  <c r="R88" i="18"/>
  <c r="M88" i="18"/>
  <c r="L88" i="18"/>
  <c r="K88" i="18"/>
  <c r="J88" i="18"/>
  <c r="I88" i="18"/>
  <c r="H88" i="18"/>
  <c r="S87" i="18"/>
  <c r="R87" i="18"/>
  <c r="M87" i="18"/>
  <c r="L87" i="18"/>
  <c r="K87" i="18"/>
  <c r="J87" i="18"/>
  <c r="I87" i="18"/>
  <c r="H87" i="18"/>
  <c r="S86" i="18"/>
  <c r="R86" i="18"/>
  <c r="M86" i="18"/>
  <c r="L86" i="18"/>
  <c r="K86" i="18"/>
  <c r="J86" i="18"/>
  <c r="I86" i="18"/>
  <c r="H86" i="18"/>
  <c r="S85" i="18"/>
  <c r="R85" i="18"/>
  <c r="M85" i="18"/>
  <c r="L85" i="18"/>
  <c r="K85" i="18"/>
  <c r="J85" i="18"/>
  <c r="I85" i="18"/>
  <c r="H85" i="18"/>
  <c r="S84" i="18"/>
  <c r="R84" i="18"/>
  <c r="M84" i="18"/>
  <c r="L84" i="18"/>
  <c r="K84" i="18"/>
  <c r="J84" i="18"/>
  <c r="I84" i="18"/>
  <c r="H84" i="18"/>
  <c r="S83" i="18"/>
  <c r="R83" i="18"/>
  <c r="M83" i="18"/>
  <c r="L83" i="18"/>
  <c r="K83" i="18"/>
  <c r="J83" i="18"/>
  <c r="I83" i="18"/>
  <c r="H83" i="18"/>
  <c r="S82" i="18"/>
  <c r="R82" i="18"/>
  <c r="M82" i="18"/>
  <c r="L82" i="18"/>
  <c r="K82" i="18"/>
  <c r="J82" i="18"/>
  <c r="I82" i="18"/>
  <c r="H82" i="18"/>
  <c r="S81" i="18"/>
  <c r="R81" i="18"/>
  <c r="M81" i="18"/>
  <c r="L81" i="18"/>
  <c r="K81" i="18"/>
  <c r="J81" i="18"/>
  <c r="I81" i="18"/>
  <c r="H81" i="18"/>
  <c r="S80" i="18"/>
  <c r="R80" i="18"/>
  <c r="M80" i="18"/>
  <c r="L80" i="18"/>
  <c r="K80" i="18"/>
  <c r="J80" i="18"/>
  <c r="I80" i="18"/>
  <c r="H80" i="18"/>
  <c r="S79" i="18"/>
  <c r="R79" i="18"/>
  <c r="M79" i="18"/>
  <c r="L79" i="18"/>
  <c r="K79" i="18"/>
  <c r="J79" i="18"/>
  <c r="I79" i="18"/>
  <c r="H79" i="18"/>
  <c r="S78" i="18"/>
  <c r="R78" i="18"/>
  <c r="M78" i="18"/>
  <c r="L78" i="18"/>
  <c r="K78" i="18"/>
  <c r="J78" i="18"/>
  <c r="I78" i="18"/>
  <c r="H78" i="18"/>
  <c r="S77" i="18"/>
  <c r="R77" i="18"/>
  <c r="M77" i="18"/>
  <c r="L77" i="18"/>
  <c r="K77" i="18"/>
  <c r="J77" i="18"/>
  <c r="I77" i="18"/>
  <c r="H77" i="18"/>
  <c r="S76" i="18"/>
  <c r="R76" i="18"/>
  <c r="M76" i="18"/>
  <c r="L76" i="18"/>
  <c r="K76" i="18"/>
  <c r="J76" i="18"/>
  <c r="I76" i="18"/>
  <c r="H76" i="18"/>
  <c r="S75" i="18"/>
  <c r="R75" i="18"/>
  <c r="M75" i="18"/>
  <c r="L75" i="18"/>
  <c r="K75" i="18"/>
  <c r="J75" i="18"/>
  <c r="I75" i="18"/>
  <c r="H75" i="18"/>
  <c r="S74" i="18"/>
  <c r="R74" i="18"/>
  <c r="M74" i="18"/>
  <c r="L74" i="18"/>
  <c r="K74" i="18"/>
  <c r="J74" i="18"/>
  <c r="I74" i="18"/>
  <c r="H74" i="18"/>
  <c r="S73" i="18"/>
  <c r="R73" i="18"/>
  <c r="M73" i="18"/>
  <c r="L73" i="18"/>
  <c r="K73" i="18"/>
  <c r="J73" i="18"/>
  <c r="I73" i="18"/>
  <c r="H73" i="18"/>
  <c r="S72" i="18"/>
  <c r="R72" i="18"/>
  <c r="M72" i="18"/>
  <c r="L72" i="18"/>
  <c r="K72" i="18"/>
  <c r="J72" i="18"/>
  <c r="I72" i="18"/>
  <c r="H72" i="18"/>
  <c r="S71" i="18"/>
  <c r="R71" i="18"/>
  <c r="M71" i="18"/>
  <c r="L71" i="18"/>
  <c r="K71" i="18"/>
  <c r="J71" i="18"/>
  <c r="I71" i="18"/>
  <c r="H71" i="18"/>
  <c r="S70" i="18"/>
  <c r="R70" i="18"/>
  <c r="M70" i="18"/>
  <c r="L70" i="18"/>
  <c r="K70" i="18"/>
  <c r="J70" i="18"/>
  <c r="I70" i="18"/>
  <c r="H70" i="18"/>
  <c r="S69" i="18"/>
  <c r="R69" i="18"/>
  <c r="M69" i="18"/>
  <c r="L69" i="18"/>
  <c r="K69" i="18"/>
  <c r="J69" i="18"/>
  <c r="I69" i="18"/>
  <c r="H69" i="18"/>
  <c r="S68" i="18"/>
  <c r="R68" i="18"/>
  <c r="M68" i="18"/>
  <c r="L68" i="18"/>
  <c r="K68" i="18"/>
  <c r="J68" i="18"/>
  <c r="I68" i="18"/>
  <c r="H68" i="18"/>
  <c r="S67" i="18"/>
  <c r="R67" i="18"/>
  <c r="M67" i="18"/>
  <c r="L67" i="18"/>
  <c r="K67" i="18"/>
  <c r="J67" i="18"/>
  <c r="I67" i="18"/>
  <c r="H67" i="18"/>
  <c r="S66" i="18"/>
  <c r="R66" i="18"/>
  <c r="M66" i="18"/>
  <c r="L66" i="18"/>
  <c r="K66" i="18"/>
  <c r="J66" i="18"/>
  <c r="I66" i="18"/>
  <c r="H66" i="18"/>
  <c r="S65" i="18"/>
  <c r="R65" i="18"/>
  <c r="M65" i="18"/>
  <c r="L65" i="18"/>
  <c r="K65" i="18"/>
  <c r="J65" i="18"/>
  <c r="I65" i="18"/>
  <c r="H65" i="18"/>
  <c r="S64" i="18"/>
  <c r="R64" i="18"/>
  <c r="M64" i="18"/>
  <c r="L64" i="18"/>
  <c r="K64" i="18"/>
  <c r="J64" i="18"/>
  <c r="I64" i="18"/>
  <c r="H64" i="18"/>
  <c r="S63" i="18"/>
  <c r="R63" i="18"/>
  <c r="M63" i="18"/>
  <c r="L63" i="18"/>
  <c r="K63" i="18"/>
  <c r="J63" i="18"/>
  <c r="I63" i="18"/>
  <c r="H63" i="18"/>
  <c r="S62" i="18"/>
  <c r="R62" i="18"/>
  <c r="M62" i="18"/>
  <c r="L62" i="18"/>
  <c r="K62" i="18"/>
  <c r="J62" i="18"/>
  <c r="I62" i="18"/>
  <c r="H62" i="18"/>
  <c r="S61" i="18"/>
  <c r="R61" i="18"/>
  <c r="M61" i="18"/>
  <c r="L61" i="18"/>
  <c r="K61" i="18"/>
  <c r="J61" i="18"/>
  <c r="I61" i="18"/>
  <c r="H61" i="18"/>
  <c r="S60" i="18"/>
  <c r="R60" i="18"/>
  <c r="M60" i="18"/>
  <c r="L60" i="18"/>
  <c r="K60" i="18"/>
  <c r="J60" i="18"/>
  <c r="I60" i="18"/>
  <c r="H60" i="18"/>
  <c r="S59" i="18"/>
  <c r="R59" i="18"/>
  <c r="M59" i="18"/>
  <c r="L59" i="18"/>
  <c r="K59" i="18"/>
  <c r="J59" i="18"/>
  <c r="I59" i="18"/>
  <c r="H59" i="18"/>
  <c r="S58" i="18"/>
  <c r="R58" i="18"/>
  <c r="M58" i="18"/>
  <c r="L58" i="18"/>
  <c r="K58" i="18"/>
  <c r="J58" i="18"/>
  <c r="I58" i="18"/>
  <c r="H58" i="18"/>
  <c r="S57" i="18"/>
  <c r="R57" i="18"/>
  <c r="M57" i="18"/>
  <c r="L57" i="18"/>
  <c r="K57" i="18"/>
  <c r="J57" i="18"/>
  <c r="I57" i="18"/>
  <c r="H57" i="18"/>
  <c r="S56" i="18"/>
  <c r="R56" i="18"/>
  <c r="M56" i="18"/>
  <c r="L56" i="18"/>
  <c r="K56" i="18"/>
  <c r="J56" i="18"/>
  <c r="I56" i="18"/>
  <c r="H56" i="18"/>
  <c r="S55" i="18"/>
  <c r="R55" i="18"/>
  <c r="M55" i="18"/>
  <c r="L55" i="18"/>
  <c r="K55" i="18"/>
  <c r="J55" i="18"/>
  <c r="I55" i="18"/>
  <c r="H55" i="18"/>
  <c r="S54" i="18"/>
  <c r="R54" i="18"/>
  <c r="M54" i="18"/>
  <c r="L54" i="18"/>
  <c r="K54" i="18"/>
  <c r="J54" i="18"/>
  <c r="I54" i="18"/>
  <c r="H54" i="18"/>
  <c r="S53" i="18"/>
  <c r="R53" i="18"/>
  <c r="M53" i="18"/>
  <c r="L53" i="18"/>
  <c r="K53" i="18"/>
  <c r="J53" i="18"/>
  <c r="I53" i="18"/>
  <c r="H53" i="18"/>
  <c r="S52" i="18"/>
  <c r="R52" i="18"/>
  <c r="M52" i="18"/>
  <c r="L52" i="18"/>
  <c r="K52" i="18"/>
  <c r="J52" i="18"/>
  <c r="I52" i="18"/>
  <c r="H52" i="18"/>
  <c r="S51" i="18"/>
  <c r="R51" i="18"/>
  <c r="M51" i="18"/>
  <c r="L51" i="18"/>
  <c r="K51" i="18"/>
  <c r="J51" i="18"/>
  <c r="I51" i="18"/>
  <c r="H51" i="18"/>
  <c r="S50" i="18"/>
  <c r="R50" i="18"/>
  <c r="M50" i="18"/>
  <c r="L50" i="18"/>
  <c r="K50" i="18"/>
  <c r="J50" i="18"/>
  <c r="I50" i="18"/>
  <c r="H50" i="18"/>
  <c r="S49" i="18"/>
  <c r="R49" i="18"/>
  <c r="M49" i="18"/>
  <c r="L49" i="18"/>
  <c r="K49" i="18"/>
  <c r="J49" i="18"/>
  <c r="I49" i="18"/>
  <c r="H49" i="18"/>
  <c r="S48" i="18"/>
  <c r="R48" i="18"/>
  <c r="M48" i="18"/>
  <c r="L48" i="18"/>
  <c r="K48" i="18"/>
  <c r="J48" i="18"/>
  <c r="I48" i="18"/>
  <c r="H48" i="18"/>
  <c r="S47" i="18"/>
  <c r="R47" i="18"/>
  <c r="M47" i="18"/>
  <c r="L47" i="18"/>
  <c r="K47" i="18"/>
  <c r="J47" i="18"/>
  <c r="I47" i="18"/>
  <c r="H47" i="18"/>
  <c r="S46" i="18"/>
  <c r="R46" i="18"/>
  <c r="M46" i="18"/>
  <c r="L46" i="18"/>
  <c r="K46" i="18"/>
  <c r="J46" i="18"/>
  <c r="I46" i="18"/>
  <c r="H46" i="18"/>
  <c r="S45" i="18"/>
  <c r="R45" i="18"/>
  <c r="M45" i="18"/>
  <c r="L45" i="18"/>
  <c r="K45" i="18"/>
  <c r="J45" i="18"/>
  <c r="I45" i="18"/>
  <c r="H45" i="18"/>
  <c r="S44" i="18"/>
  <c r="R44" i="18"/>
  <c r="M44" i="18"/>
  <c r="L44" i="18"/>
  <c r="K44" i="18"/>
  <c r="J44" i="18"/>
  <c r="I44" i="18"/>
  <c r="H44" i="18"/>
  <c r="S43" i="18"/>
  <c r="R43" i="18"/>
  <c r="M43" i="18"/>
  <c r="L43" i="18"/>
  <c r="K43" i="18"/>
  <c r="J43" i="18"/>
  <c r="I43" i="18"/>
  <c r="H43" i="18"/>
  <c r="S42" i="18"/>
  <c r="R42" i="18"/>
  <c r="M42" i="18"/>
  <c r="L42" i="18"/>
  <c r="K42" i="18"/>
  <c r="J42" i="18"/>
  <c r="I42" i="18"/>
  <c r="H42" i="18"/>
  <c r="S41" i="18"/>
  <c r="R41" i="18"/>
  <c r="M41" i="18"/>
  <c r="L41" i="18"/>
  <c r="K41" i="18"/>
  <c r="J41" i="18"/>
  <c r="I41" i="18"/>
  <c r="H41" i="18"/>
  <c r="S40" i="18"/>
  <c r="R40" i="18"/>
  <c r="M40" i="18"/>
  <c r="L40" i="18"/>
  <c r="K40" i="18"/>
  <c r="J40" i="18"/>
  <c r="I40" i="18"/>
  <c r="H40" i="18"/>
  <c r="S39" i="18"/>
  <c r="R39" i="18"/>
  <c r="M39" i="18"/>
  <c r="L39" i="18"/>
  <c r="K39" i="18"/>
  <c r="J39" i="18"/>
  <c r="I39" i="18"/>
  <c r="H39" i="18"/>
  <c r="S38" i="18"/>
  <c r="R38" i="18"/>
  <c r="M38" i="18"/>
  <c r="L38" i="18"/>
  <c r="K38" i="18"/>
  <c r="J38" i="18"/>
  <c r="I38" i="18"/>
  <c r="H38" i="18"/>
  <c r="S37" i="18"/>
  <c r="R37" i="18"/>
  <c r="M37" i="18"/>
  <c r="L37" i="18"/>
  <c r="K37" i="18"/>
  <c r="J37" i="18"/>
  <c r="I37" i="18"/>
  <c r="H37" i="18"/>
  <c r="S36" i="18"/>
  <c r="R36" i="18"/>
  <c r="M36" i="18"/>
  <c r="L36" i="18"/>
  <c r="K36" i="18"/>
  <c r="J36" i="18"/>
  <c r="I36" i="18"/>
  <c r="H36" i="18"/>
  <c r="S35" i="18"/>
  <c r="R35" i="18"/>
  <c r="M35" i="18"/>
  <c r="L35" i="18"/>
  <c r="K35" i="18"/>
  <c r="J35" i="18"/>
  <c r="I35" i="18"/>
  <c r="H35" i="18"/>
  <c r="S34" i="18"/>
  <c r="R34" i="18"/>
  <c r="M34" i="18"/>
  <c r="L34" i="18"/>
  <c r="K34" i="18"/>
  <c r="J34" i="18"/>
  <c r="I34" i="18"/>
  <c r="H34" i="18"/>
  <c r="S33" i="18"/>
  <c r="R33" i="18"/>
  <c r="M33" i="18"/>
  <c r="L33" i="18"/>
  <c r="K33" i="18"/>
  <c r="J33" i="18"/>
  <c r="I33" i="18"/>
  <c r="H33" i="18"/>
  <c r="S32" i="18"/>
  <c r="R32" i="18"/>
  <c r="M32" i="18"/>
  <c r="L32" i="18"/>
  <c r="K32" i="18"/>
  <c r="J32" i="18"/>
  <c r="I32" i="18"/>
  <c r="H32" i="18"/>
  <c r="S31" i="18"/>
  <c r="R31" i="18"/>
  <c r="M31" i="18"/>
  <c r="L31" i="18"/>
  <c r="K31" i="18"/>
  <c r="J31" i="18"/>
  <c r="I31" i="18"/>
  <c r="H31" i="18"/>
  <c r="S30" i="18"/>
  <c r="R30" i="18"/>
  <c r="M30" i="18"/>
  <c r="L30" i="18"/>
  <c r="K30" i="18"/>
  <c r="J30" i="18"/>
  <c r="I30" i="18"/>
  <c r="H30" i="18"/>
  <c r="S29" i="18"/>
  <c r="R29" i="18"/>
  <c r="M29" i="18"/>
  <c r="L29" i="18"/>
  <c r="K29" i="18"/>
  <c r="J29" i="18"/>
  <c r="I29" i="18"/>
  <c r="H29" i="18"/>
  <c r="S28" i="18"/>
  <c r="R28" i="18"/>
  <c r="M28" i="18"/>
  <c r="L28" i="18"/>
  <c r="K28" i="18"/>
  <c r="J28" i="18"/>
  <c r="I28" i="18"/>
  <c r="H28" i="18"/>
  <c r="S27" i="18"/>
  <c r="R27" i="18"/>
  <c r="M27" i="18"/>
  <c r="L27" i="18"/>
  <c r="K27" i="18"/>
  <c r="J27" i="18"/>
  <c r="I27" i="18"/>
  <c r="H27" i="18"/>
  <c r="S26" i="18"/>
  <c r="R26" i="18"/>
  <c r="M26" i="18"/>
  <c r="L26" i="18"/>
  <c r="K26" i="18"/>
  <c r="J26" i="18"/>
  <c r="I26" i="18"/>
  <c r="H26" i="18"/>
  <c r="S25" i="18"/>
  <c r="R25" i="18"/>
  <c r="M25" i="18"/>
  <c r="L25" i="18"/>
  <c r="K25" i="18"/>
  <c r="J25" i="18"/>
  <c r="I25" i="18"/>
  <c r="H25" i="18"/>
  <c r="S24" i="18"/>
  <c r="R24" i="18"/>
  <c r="M24" i="18"/>
  <c r="L24" i="18"/>
  <c r="K24" i="18"/>
  <c r="J24" i="18"/>
  <c r="I24" i="18"/>
  <c r="H24" i="18"/>
  <c r="S23" i="18"/>
  <c r="R23" i="18"/>
  <c r="M23" i="18"/>
  <c r="L23" i="18"/>
  <c r="K23" i="18"/>
  <c r="J23" i="18"/>
  <c r="I23" i="18"/>
  <c r="H23" i="18"/>
  <c r="S22" i="18"/>
  <c r="R22" i="18"/>
  <c r="M22" i="18"/>
  <c r="L22" i="18"/>
  <c r="K22" i="18"/>
  <c r="J22" i="18"/>
  <c r="I22" i="18"/>
  <c r="H22" i="18"/>
  <c r="S21" i="18"/>
  <c r="R21" i="18"/>
  <c r="M21" i="18"/>
  <c r="L21" i="18"/>
  <c r="K21" i="18"/>
  <c r="J21" i="18"/>
  <c r="I21" i="18"/>
  <c r="H21" i="18"/>
  <c r="S20" i="18"/>
  <c r="R20" i="18"/>
  <c r="M20" i="18"/>
  <c r="L20" i="18"/>
  <c r="K20" i="18"/>
  <c r="J20" i="18"/>
  <c r="I20" i="18"/>
  <c r="H20" i="18"/>
  <c r="S19" i="18"/>
  <c r="R19" i="18"/>
  <c r="M19" i="18"/>
  <c r="L19" i="18"/>
  <c r="K19" i="18"/>
  <c r="J19" i="18"/>
  <c r="I19" i="18"/>
  <c r="H19" i="18"/>
  <c r="S18" i="18"/>
  <c r="R18" i="18"/>
  <c r="M18" i="18"/>
  <c r="L18" i="18"/>
  <c r="K18" i="18"/>
  <c r="J18" i="18"/>
  <c r="I18" i="18"/>
  <c r="H18" i="18"/>
  <c r="S17" i="18"/>
  <c r="R17" i="18"/>
  <c r="M17" i="18"/>
  <c r="L17" i="18"/>
  <c r="K17" i="18"/>
  <c r="J17" i="18"/>
  <c r="I17" i="18"/>
  <c r="H17" i="18"/>
  <c r="S16" i="18"/>
  <c r="R16" i="18"/>
  <c r="M16" i="18"/>
  <c r="L16" i="18"/>
  <c r="K16" i="18"/>
  <c r="J16" i="18"/>
  <c r="I16" i="18"/>
  <c r="H16" i="18"/>
  <c r="S15" i="18"/>
  <c r="R15" i="18"/>
  <c r="M15" i="18"/>
  <c r="L15" i="18"/>
  <c r="K15" i="18"/>
  <c r="J15" i="18"/>
  <c r="I15" i="18"/>
  <c r="H15" i="18"/>
  <c r="S14" i="18"/>
  <c r="R14" i="18"/>
  <c r="M14" i="18"/>
  <c r="L14" i="18"/>
  <c r="K14" i="18"/>
  <c r="J14" i="18"/>
  <c r="I14" i="18"/>
  <c r="H14" i="18"/>
  <c r="S13" i="18"/>
  <c r="R13" i="18"/>
  <c r="M13" i="18"/>
  <c r="L13" i="18"/>
  <c r="K13" i="18"/>
  <c r="J13" i="18"/>
  <c r="I13" i="18"/>
  <c r="H13" i="18"/>
  <c r="I12" i="18"/>
  <c r="J12" i="18" s="1"/>
  <c r="R12" i="18" s="1"/>
  <c r="H12" i="18"/>
  <c r="I11" i="18"/>
  <c r="H11" i="18"/>
  <c r="I10" i="18"/>
  <c r="H10" i="18"/>
  <c r="I9" i="18"/>
  <c r="H9" i="18"/>
  <c r="H8" i="18"/>
  <c r="I7" i="18"/>
  <c r="L7" i="18" s="1"/>
  <c r="H7" i="18"/>
  <c r="K7" i="18" s="1"/>
  <c r="K8" i="18" s="1"/>
  <c r="K9" i="18" s="1"/>
  <c r="K10" i="18" s="1"/>
  <c r="K11" i="18" s="1"/>
  <c r="K12" i="18" s="1"/>
  <c r="J10" i="18" l="1"/>
  <c r="R10" i="18" s="1"/>
  <c r="K22" i="19"/>
  <c r="K23" i="19" s="1"/>
  <c r="J39" i="19"/>
  <c r="R39" i="19" s="1"/>
  <c r="J44" i="19"/>
  <c r="R44" i="19" s="1"/>
  <c r="J52" i="19"/>
  <c r="R52" i="19" s="1"/>
  <c r="J54" i="19"/>
  <c r="R54" i="19" s="1"/>
  <c r="J9" i="18"/>
  <c r="R9" i="18" s="1"/>
  <c r="J11" i="18"/>
  <c r="R11" i="18" s="1"/>
  <c r="L42" i="21"/>
  <c r="M41" i="21"/>
  <c r="S41" i="21" s="1"/>
  <c r="J8" i="18"/>
  <c r="R8" i="18" s="1"/>
  <c r="J20" i="19"/>
  <c r="R20" i="19" s="1"/>
  <c r="L46" i="20"/>
  <c r="M45" i="20"/>
  <c r="S45" i="20" s="1"/>
  <c r="J53" i="19"/>
  <c r="R53" i="19" s="1"/>
  <c r="J51" i="19"/>
  <c r="R51" i="19" s="1"/>
  <c r="J50" i="19"/>
  <c r="R50" i="19" s="1"/>
  <c r="J46" i="19"/>
  <c r="R46" i="19" s="1"/>
  <c r="J41" i="19"/>
  <c r="R41" i="19" s="1"/>
  <c r="J37" i="19"/>
  <c r="R37" i="19" s="1"/>
  <c r="J36" i="19"/>
  <c r="R36" i="19" s="1"/>
  <c r="J32" i="19"/>
  <c r="R32" i="19" s="1"/>
  <c r="J31" i="19"/>
  <c r="R31" i="19" s="1"/>
  <c r="K24" i="19"/>
  <c r="J13" i="19"/>
  <c r="R13" i="19" s="1"/>
  <c r="J10" i="19"/>
  <c r="R10" i="19" s="1"/>
  <c r="J7" i="19"/>
  <c r="R7" i="19" s="1"/>
  <c r="M7" i="19"/>
  <c r="S7" i="19" s="1"/>
  <c r="L8" i="19"/>
  <c r="M7" i="18"/>
  <c r="S7" i="18" s="1"/>
  <c r="L8" i="18"/>
  <c r="J7" i="18"/>
  <c r="R7" i="18" s="1"/>
  <c r="G8" i="17"/>
  <c r="S112" i="17"/>
  <c r="R112" i="17"/>
  <c r="M112" i="17"/>
  <c r="L112" i="17"/>
  <c r="K112" i="17"/>
  <c r="J112" i="17"/>
  <c r="I112" i="17"/>
  <c r="H112" i="17"/>
  <c r="S111" i="17"/>
  <c r="R111" i="17"/>
  <c r="M111" i="17"/>
  <c r="L111" i="17"/>
  <c r="K111" i="17"/>
  <c r="J111" i="17"/>
  <c r="I111" i="17"/>
  <c r="H111" i="17"/>
  <c r="S110" i="17"/>
  <c r="R110" i="17"/>
  <c r="M110" i="17"/>
  <c r="L110" i="17"/>
  <c r="K110" i="17"/>
  <c r="J110" i="17"/>
  <c r="I110" i="17"/>
  <c r="H110" i="17"/>
  <c r="S109" i="17"/>
  <c r="R109" i="17"/>
  <c r="M109" i="17"/>
  <c r="L109" i="17"/>
  <c r="K109" i="17"/>
  <c r="J109" i="17"/>
  <c r="I109" i="17"/>
  <c r="H109" i="17"/>
  <c r="S108" i="17"/>
  <c r="R108" i="17"/>
  <c r="M108" i="17"/>
  <c r="L108" i="17"/>
  <c r="K108" i="17"/>
  <c r="J108" i="17"/>
  <c r="I108" i="17"/>
  <c r="H108" i="17"/>
  <c r="S107" i="17"/>
  <c r="R107" i="17"/>
  <c r="M107" i="17"/>
  <c r="L107" i="17"/>
  <c r="K107" i="17"/>
  <c r="J107" i="17"/>
  <c r="I107" i="17"/>
  <c r="H107" i="17"/>
  <c r="S106" i="17"/>
  <c r="R106" i="17"/>
  <c r="M106" i="17"/>
  <c r="L106" i="17"/>
  <c r="K106" i="17"/>
  <c r="J106" i="17"/>
  <c r="I106" i="17"/>
  <c r="H106" i="17"/>
  <c r="S105" i="17"/>
  <c r="R105" i="17"/>
  <c r="M105" i="17"/>
  <c r="L105" i="17"/>
  <c r="K105" i="17"/>
  <c r="J105" i="17"/>
  <c r="I105" i="17"/>
  <c r="H105" i="17"/>
  <c r="S104" i="17"/>
  <c r="R104" i="17"/>
  <c r="M104" i="17"/>
  <c r="L104" i="17"/>
  <c r="K104" i="17"/>
  <c r="J104" i="17"/>
  <c r="I104" i="17"/>
  <c r="H104" i="17"/>
  <c r="S103" i="17"/>
  <c r="R103" i="17"/>
  <c r="M103" i="17"/>
  <c r="L103" i="17"/>
  <c r="K103" i="17"/>
  <c r="J103" i="17"/>
  <c r="I103" i="17"/>
  <c r="H103" i="17"/>
  <c r="S102" i="17"/>
  <c r="R102" i="17"/>
  <c r="M102" i="17"/>
  <c r="L102" i="17"/>
  <c r="K102" i="17"/>
  <c r="J102" i="17"/>
  <c r="I102" i="17"/>
  <c r="H102" i="17"/>
  <c r="S101" i="17"/>
  <c r="R101" i="17"/>
  <c r="M101" i="17"/>
  <c r="L101" i="17"/>
  <c r="K101" i="17"/>
  <c r="J101" i="17"/>
  <c r="I101" i="17"/>
  <c r="H101" i="17"/>
  <c r="S100" i="17"/>
  <c r="R100" i="17"/>
  <c r="M100" i="17"/>
  <c r="L100" i="17"/>
  <c r="K100" i="17"/>
  <c r="J100" i="17"/>
  <c r="I100" i="17"/>
  <c r="H100" i="17"/>
  <c r="S99" i="17"/>
  <c r="R99" i="17"/>
  <c r="M99" i="17"/>
  <c r="L99" i="17"/>
  <c r="K99" i="17"/>
  <c r="J99" i="17"/>
  <c r="I99" i="17"/>
  <c r="H99" i="17"/>
  <c r="S98" i="17"/>
  <c r="R98" i="17"/>
  <c r="M98" i="17"/>
  <c r="L98" i="17"/>
  <c r="K98" i="17"/>
  <c r="J98" i="17"/>
  <c r="I98" i="17"/>
  <c r="H98" i="17"/>
  <c r="S97" i="17"/>
  <c r="R97" i="17"/>
  <c r="M97" i="17"/>
  <c r="L97" i="17"/>
  <c r="K97" i="17"/>
  <c r="J97" i="17"/>
  <c r="I97" i="17"/>
  <c r="H97" i="17"/>
  <c r="S96" i="17"/>
  <c r="R96" i="17"/>
  <c r="M96" i="17"/>
  <c r="L96" i="17"/>
  <c r="K96" i="17"/>
  <c r="J96" i="17"/>
  <c r="I96" i="17"/>
  <c r="H96" i="17"/>
  <c r="S95" i="17"/>
  <c r="R95" i="17"/>
  <c r="M95" i="17"/>
  <c r="L95" i="17"/>
  <c r="K95" i="17"/>
  <c r="J95" i="17"/>
  <c r="I95" i="17"/>
  <c r="H95" i="17"/>
  <c r="S94" i="17"/>
  <c r="R94" i="17"/>
  <c r="M94" i="17"/>
  <c r="L94" i="17"/>
  <c r="K94" i="17"/>
  <c r="J94" i="17"/>
  <c r="I94" i="17"/>
  <c r="H94" i="17"/>
  <c r="S93" i="17"/>
  <c r="R93" i="17"/>
  <c r="M93" i="17"/>
  <c r="L93" i="17"/>
  <c r="K93" i="17"/>
  <c r="J93" i="17"/>
  <c r="I93" i="17"/>
  <c r="H93" i="17"/>
  <c r="S92" i="17"/>
  <c r="R92" i="17"/>
  <c r="M92" i="17"/>
  <c r="L92" i="17"/>
  <c r="K92" i="17"/>
  <c r="J92" i="17"/>
  <c r="I92" i="17"/>
  <c r="H92" i="17"/>
  <c r="S91" i="17"/>
  <c r="R91" i="17"/>
  <c r="M91" i="17"/>
  <c r="L91" i="17"/>
  <c r="K91" i="17"/>
  <c r="J91" i="17"/>
  <c r="I91" i="17"/>
  <c r="H91" i="17"/>
  <c r="S90" i="17"/>
  <c r="R90" i="17"/>
  <c r="M90" i="17"/>
  <c r="L90" i="17"/>
  <c r="K90" i="17"/>
  <c r="J90" i="17"/>
  <c r="I90" i="17"/>
  <c r="H90" i="17"/>
  <c r="S89" i="17"/>
  <c r="R89" i="17"/>
  <c r="M89" i="17"/>
  <c r="L89" i="17"/>
  <c r="K89" i="17"/>
  <c r="J89" i="17"/>
  <c r="I89" i="17"/>
  <c r="H89" i="17"/>
  <c r="S88" i="17"/>
  <c r="R88" i="17"/>
  <c r="M88" i="17"/>
  <c r="L88" i="17"/>
  <c r="K88" i="17"/>
  <c r="J88" i="17"/>
  <c r="I88" i="17"/>
  <c r="H88" i="17"/>
  <c r="S87" i="17"/>
  <c r="R87" i="17"/>
  <c r="M87" i="17"/>
  <c r="L87" i="17"/>
  <c r="K87" i="17"/>
  <c r="J87" i="17"/>
  <c r="I87" i="17"/>
  <c r="H87" i="17"/>
  <c r="S86" i="17"/>
  <c r="R86" i="17"/>
  <c r="M86" i="17"/>
  <c r="L86" i="17"/>
  <c r="K86" i="17"/>
  <c r="J86" i="17"/>
  <c r="I86" i="17"/>
  <c r="H86" i="17"/>
  <c r="S85" i="17"/>
  <c r="R85" i="17"/>
  <c r="M85" i="17"/>
  <c r="L85" i="17"/>
  <c r="K85" i="17"/>
  <c r="J85" i="17"/>
  <c r="I85" i="17"/>
  <c r="H85" i="17"/>
  <c r="S84" i="17"/>
  <c r="R84" i="17"/>
  <c r="M84" i="17"/>
  <c r="L84" i="17"/>
  <c r="K84" i="17"/>
  <c r="J84" i="17"/>
  <c r="I84" i="17"/>
  <c r="H84" i="17"/>
  <c r="S83" i="17"/>
  <c r="R83" i="17"/>
  <c r="M83" i="17"/>
  <c r="L83" i="17"/>
  <c r="K83" i="17"/>
  <c r="J83" i="17"/>
  <c r="I83" i="17"/>
  <c r="H83" i="17"/>
  <c r="S82" i="17"/>
  <c r="R82" i="17"/>
  <c r="M82" i="17"/>
  <c r="L82" i="17"/>
  <c r="K82" i="17"/>
  <c r="J82" i="17"/>
  <c r="I82" i="17"/>
  <c r="H82" i="17"/>
  <c r="S81" i="17"/>
  <c r="R81" i="17"/>
  <c r="M81" i="17"/>
  <c r="L81" i="17"/>
  <c r="K81" i="17"/>
  <c r="J81" i="17"/>
  <c r="I81" i="17"/>
  <c r="H81" i="17"/>
  <c r="S80" i="17"/>
  <c r="R80" i="17"/>
  <c r="M80" i="17"/>
  <c r="L80" i="17"/>
  <c r="K80" i="17"/>
  <c r="J80" i="17"/>
  <c r="I80" i="17"/>
  <c r="H80" i="17"/>
  <c r="S79" i="17"/>
  <c r="R79" i="17"/>
  <c r="M79" i="17"/>
  <c r="L79" i="17"/>
  <c r="K79" i="17"/>
  <c r="J79" i="17"/>
  <c r="I79" i="17"/>
  <c r="H79" i="17"/>
  <c r="S78" i="17"/>
  <c r="R78" i="17"/>
  <c r="M78" i="17"/>
  <c r="L78" i="17"/>
  <c r="K78" i="17"/>
  <c r="J78" i="17"/>
  <c r="I78" i="17"/>
  <c r="H78" i="17"/>
  <c r="S77" i="17"/>
  <c r="R77" i="17"/>
  <c r="M77" i="17"/>
  <c r="L77" i="17"/>
  <c r="K77" i="17"/>
  <c r="J77" i="17"/>
  <c r="I77" i="17"/>
  <c r="H77" i="17"/>
  <c r="S76" i="17"/>
  <c r="R76" i="17"/>
  <c r="M76" i="17"/>
  <c r="L76" i="17"/>
  <c r="K76" i="17"/>
  <c r="J76" i="17"/>
  <c r="I76" i="17"/>
  <c r="H76" i="17"/>
  <c r="S75" i="17"/>
  <c r="R75" i="17"/>
  <c r="M75" i="17"/>
  <c r="L75" i="17"/>
  <c r="K75" i="17"/>
  <c r="J75" i="17"/>
  <c r="I75" i="17"/>
  <c r="H75" i="17"/>
  <c r="S74" i="17"/>
  <c r="R74" i="17"/>
  <c r="M74" i="17"/>
  <c r="L74" i="17"/>
  <c r="K74" i="17"/>
  <c r="J74" i="17"/>
  <c r="I74" i="17"/>
  <c r="H74" i="17"/>
  <c r="S73" i="17"/>
  <c r="R73" i="17"/>
  <c r="M73" i="17"/>
  <c r="L73" i="17"/>
  <c r="K73" i="17"/>
  <c r="J73" i="17"/>
  <c r="I73" i="17"/>
  <c r="H73" i="17"/>
  <c r="S72" i="17"/>
  <c r="R72" i="17"/>
  <c r="M72" i="17"/>
  <c r="L72" i="17"/>
  <c r="K72" i="17"/>
  <c r="J72" i="17"/>
  <c r="I72" i="17"/>
  <c r="H72" i="17"/>
  <c r="S71" i="17"/>
  <c r="R71" i="17"/>
  <c r="M71" i="17"/>
  <c r="L71" i="17"/>
  <c r="K71" i="17"/>
  <c r="J71" i="17"/>
  <c r="I71" i="17"/>
  <c r="H71" i="17"/>
  <c r="S70" i="17"/>
  <c r="R70" i="17"/>
  <c r="M70" i="17"/>
  <c r="L70" i="17"/>
  <c r="K70" i="17"/>
  <c r="J70" i="17"/>
  <c r="I70" i="17"/>
  <c r="H70" i="17"/>
  <c r="S69" i="17"/>
  <c r="R69" i="17"/>
  <c r="M69" i="17"/>
  <c r="L69" i="17"/>
  <c r="K69" i="17"/>
  <c r="J69" i="17"/>
  <c r="I69" i="17"/>
  <c r="H69" i="17"/>
  <c r="S68" i="17"/>
  <c r="R68" i="17"/>
  <c r="M68" i="17"/>
  <c r="L68" i="17"/>
  <c r="K68" i="17"/>
  <c r="J68" i="17"/>
  <c r="I68" i="17"/>
  <c r="H68" i="17"/>
  <c r="S67" i="17"/>
  <c r="R67" i="17"/>
  <c r="M67" i="17"/>
  <c r="L67" i="17"/>
  <c r="K67" i="17"/>
  <c r="J67" i="17"/>
  <c r="I67" i="17"/>
  <c r="H67" i="17"/>
  <c r="S66" i="17"/>
  <c r="R66" i="17"/>
  <c r="M66" i="17"/>
  <c r="L66" i="17"/>
  <c r="K66" i="17"/>
  <c r="J66" i="17"/>
  <c r="I66" i="17"/>
  <c r="H66" i="17"/>
  <c r="S65" i="17"/>
  <c r="R65" i="17"/>
  <c r="M65" i="17"/>
  <c r="L65" i="17"/>
  <c r="K65" i="17"/>
  <c r="J65" i="17"/>
  <c r="I65" i="17"/>
  <c r="H65" i="17"/>
  <c r="S64" i="17"/>
  <c r="R64" i="17"/>
  <c r="M64" i="17"/>
  <c r="L64" i="17"/>
  <c r="K64" i="17"/>
  <c r="J64" i="17"/>
  <c r="I64" i="17"/>
  <c r="H64" i="17"/>
  <c r="S63" i="17"/>
  <c r="R63" i="17"/>
  <c r="M63" i="17"/>
  <c r="L63" i="17"/>
  <c r="K63" i="17"/>
  <c r="J63" i="17"/>
  <c r="I63" i="17"/>
  <c r="H63" i="17"/>
  <c r="S62" i="17"/>
  <c r="R62" i="17"/>
  <c r="M62" i="17"/>
  <c r="L62" i="17"/>
  <c r="K62" i="17"/>
  <c r="J62" i="17"/>
  <c r="I62" i="17"/>
  <c r="H62" i="17"/>
  <c r="S61" i="17"/>
  <c r="R61" i="17"/>
  <c r="M61" i="17"/>
  <c r="L61" i="17"/>
  <c r="K61" i="17"/>
  <c r="J61" i="17"/>
  <c r="I61" i="17"/>
  <c r="H61" i="17"/>
  <c r="S60" i="17"/>
  <c r="R60" i="17"/>
  <c r="M60" i="17"/>
  <c r="L60" i="17"/>
  <c r="K60" i="17"/>
  <c r="J60" i="17"/>
  <c r="I60" i="17"/>
  <c r="H60" i="17"/>
  <c r="S59" i="17"/>
  <c r="R59" i="17"/>
  <c r="M59" i="17"/>
  <c r="L59" i="17"/>
  <c r="K59" i="17"/>
  <c r="J59" i="17"/>
  <c r="I59" i="17"/>
  <c r="H59" i="17"/>
  <c r="S58" i="17"/>
  <c r="R58" i="17"/>
  <c r="M58" i="17"/>
  <c r="L58" i="17"/>
  <c r="K58" i="17"/>
  <c r="J58" i="17"/>
  <c r="I58" i="17"/>
  <c r="H58" i="17"/>
  <c r="S57" i="17"/>
  <c r="R57" i="17"/>
  <c r="M57" i="17"/>
  <c r="L57" i="17"/>
  <c r="K57" i="17"/>
  <c r="J57" i="17"/>
  <c r="I57" i="17"/>
  <c r="H57" i="17"/>
  <c r="S56" i="17"/>
  <c r="R56" i="17"/>
  <c r="M56" i="17"/>
  <c r="L56" i="17"/>
  <c r="K56" i="17"/>
  <c r="J56" i="17"/>
  <c r="I56" i="17"/>
  <c r="H56" i="17"/>
  <c r="S55" i="17"/>
  <c r="R55" i="17"/>
  <c r="M55" i="17"/>
  <c r="L55" i="17"/>
  <c r="K55" i="17"/>
  <c r="J55" i="17"/>
  <c r="I55" i="17"/>
  <c r="H55" i="17"/>
  <c r="S54" i="17"/>
  <c r="R54" i="17"/>
  <c r="M54" i="17"/>
  <c r="L54" i="17"/>
  <c r="K54" i="17"/>
  <c r="J54" i="17"/>
  <c r="I54" i="17"/>
  <c r="H54" i="17"/>
  <c r="S53" i="17"/>
  <c r="R53" i="17"/>
  <c r="M53" i="17"/>
  <c r="L53" i="17"/>
  <c r="K53" i="17"/>
  <c r="J53" i="17"/>
  <c r="I53" i="17"/>
  <c r="H53" i="17"/>
  <c r="S52" i="17"/>
  <c r="R52" i="17"/>
  <c r="M52" i="17"/>
  <c r="L52" i="17"/>
  <c r="K52" i="17"/>
  <c r="J52" i="17"/>
  <c r="I52" i="17"/>
  <c r="H52" i="17"/>
  <c r="S51" i="17"/>
  <c r="R51" i="17"/>
  <c r="M51" i="17"/>
  <c r="L51" i="17"/>
  <c r="K51" i="17"/>
  <c r="J51" i="17"/>
  <c r="I51" i="17"/>
  <c r="H51" i="17"/>
  <c r="S50" i="17"/>
  <c r="R50" i="17"/>
  <c r="M50" i="17"/>
  <c r="L50" i="17"/>
  <c r="K50" i="17"/>
  <c r="J50" i="17"/>
  <c r="I50" i="17"/>
  <c r="H50" i="17"/>
  <c r="S49" i="17"/>
  <c r="R49" i="17"/>
  <c r="M49" i="17"/>
  <c r="L49" i="17"/>
  <c r="K49" i="17"/>
  <c r="J49" i="17"/>
  <c r="I49" i="17"/>
  <c r="H49" i="17"/>
  <c r="I48" i="17"/>
  <c r="J48" i="17" s="1"/>
  <c r="R48" i="17" s="1"/>
  <c r="H48" i="17"/>
  <c r="H47" i="17"/>
  <c r="I47" i="17"/>
  <c r="J47" i="17" s="1"/>
  <c r="R47" i="17" s="1"/>
  <c r="I46" i="17"/>
  <c r="J46" i="17" s="1"/>
  <c r="R46" i="17" s="1"/>
  <c r="H46" i="17"/>
  <c r="I45" i="17"/>
  <c r="H45" i="17"/>
  <c r="I44" i="17"/>
  <c r="J44" i="17" s="1"/>
  <c r="R44" i="17" s="1"/>
  <c r="H44" i="17"/>
  <c r="I43" i="17"/>
  <c r="J43" i="17" s="1"/>
  <c r="R43" i="17" s="1"/>
  <c r="H43" i="17"/>
  <c r="J42" i="17"/>
  <c r="R42" i="17" s="1"/>
  <c r="H42" i="17"/>
  <c r="I42" i="17"/>
  <c r="H41" i="17"/>
  <c r="I41" i="17"/>
  <c r="J41" i="17" s="1"/>
  <c r="R41" i="17" s="1"/>
  <c r="I40" i="17"/>
  <c r="J40" i="17" s="1"/>
  <c r="R40" i="17" s="1"/>
  <c r="H40" i="17"/>
  <c r="I39" i="17"/>
  <c r="J39" i="17" s="1"/>
  <c r="R39" i="17" s="1"/>
  <c r="H39" i="17"/>
  <c r="I38" i="17"/>
  <c r="J38" i="17" s="1"/>
  <c r="R38" i="17" s="1"/>
  <c r="H38" i="17"/>
  <c r="I37" i="17"/>
  <c r="J37" i="17" s="1"/>
  <c r="R37" i="17" s="1"/>
  <c r="H37" i="17"/>
  <c r="I36" i="17"/>
  <c r="J36" i="17" s="1"/>
  <c r="R36" i="17" s="1"/>
  <c r="H36" i="17"/>
  <c r="J35" i="17"/>
  <c r="R35" i="17" s="1"/>
  <c r="I35" i="17"/>
  <c r="H35" i="17"/>
  <c r="J34" i="17"/>
  <c r="R34" i="17" s="1"/>
  <c r="I34" i="17"/>
  <c r="H34" i="17"/>
  <c r="H33" i="17"/>
  <c r="I33" i="17"/>
  <c r="J33" i="17" s="1"/>
  <c r="R33" i="17" s="1"/>
  <c r="I32" i="17"/>
  <c r="J32" i="17" s="1"/>
  <c r="R32" i="17" s="1"/>
  <c r="H32" i="17"/>
  <c r="H31" i="17"/>
  <c r="I31" i="17"/>
  <c r="J31" i="17" s="1"/>
  <c r="R31" i="17" s="1"/>
  <c r="I30" i="17"/>
  <c r="H30" i="17"/>
  <c r="I29" i="17"/>
  <c r="H29" i="17"/>
  <c r="I28" i="17"/>
  <c r="H28" i="17"/>
  <c r="I27" i="17"/>
  <c r="J27" i="17" s="1"/>
  <c r="R27" i="17" s="1"/>
  <c r="H27" i="17"/>
  <c r="I26" i="17"/>
  <c r="J26" i="17" s="1"/>
  <c r="R26" i="17" s="1"/>
  <c r="H26" i="17"/>
  <c r="I25" i="17"/>
  <c r="J25" i="17" s="1"/>
  <c r="R25" i="17" s="1"/>
  <c r="H25" i="17"/>
  <c r="I24" i="17"/>
  <c r="J24" i="17" s="1"/>
  <c r="R24" i="17" s="1"/>
  <c r="H24" i="17"/>
  <c r="I23" i="17"/>
  <c r="J23" i="17" s="1"/>
  <c r="R23" i="17" s="1"/>
  <c r="H23" i="17"/>
  <c r="J22" i="17"/>
  <c r="R22" i="17" s="1"/>
  <c r="I22" i="17"/>
  <c r="H22" i="17"/>
  <c r="J21" i="17"/>
  <c r="R21" i="17" s="1"/>
  <c r="H21" i="17"/>
  <c r="I21" i="17"/>
  <c r="K20" i="17"/>
  <c r="K21" i="17" s="1"/>
  <c r="K22" i="17" s="1"/>
  <c r="K23" i="17" s="1"/>
  <c r="K24" i="17" s="1"/>
  <c r="K25" i="17" s="1"/>
  <c r="K26" i="17" s="1"/>
  <c r="K27" i="17" s="1"/>
  <c r="I20" i="17"/>
  <c r="J20" i="17" s="1"/>
  <c r="R20" i="17" s="1"/>
  <c r="H20" i="17"/>
  <c r="K19" i="17"/>
  <c r="H19" i="17"/>
  <c r="I19" i="17"/>
  <c r="J19" i="17" s="1"/>
  <c r="R19" i="17" s="1"/>
  <c r="I18" i="17"/>
  <c r="J18" i="17" s="1"/>
  <c r="R18" i="17" s="1"/>
  <c r="H18" i="17"/>
  <c r="I17" i="17"/>
  <c r="J17" i="17" s="1"/>
  <c r="R17" i="17" s="1"/>
  <c r="H17" i="17"/>
  <c r="I16" i="17"/>
  <c r="J16" i="17" s="1"/>
  <c r="R16" i="17" s="1"/>
  <c r="H16" i="17"/>
  <c r="I15" i="17"/>
  <c r="J15" i="17" s="1"/>
  <c r="R15" i="17" s="1"/>
  <c r="H15" i="17"/>
  <c r="I14" i="17"/>
  <c r="J14" i="17" s="1"/>
  <c r="R14" i="17" s="1"/>
  <c r="H14" i="17"/>
  <c r="I13" i="17"/>
  <c r="J13" i="17" s="1"/>
  <c r="R13" i="17" s="1"/>
  <c r="H13" i="17"/>
  <c r="I12" i="17"/>
  <c r="J12" i="17" s="1"/>
  <c r="R12" i="17" s="1"/>
  <c r="H12" i="17"/>
  <c r="I11" i="17"/>
  <c r="J11" i="17" s="1"/>
  <c r="R11" i="17" s="1"/>
  <c r="H11" i="17"/>
  <c r="I10" i="17"/>
  <c r="J10" i="17" s="1"/>
  <c r="R10" i="17" s="1"/>
  <c r="H10" i="17"/>
  <c r="I9" i="17"/>
  <c r="J9" i="17" s="1"/>
  <c r="R9" i="17" s="1"/>
  <c r="H9" i="17"/>
  <c r="I8" i="17"/>
  <c r="J8" i="17" s="1"/>
  <c r="R8" i="17" s="1"/>
  <c r="H8" i="17"/>
  <c r="H7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I7" i="17"/>
  <c r="G49" i="16"/>
  <c r="G47" i="16"/>
  <c r="G45" i="16"/>
  <c r="G43" i="16"/>
  <c r="G42" i="16"/>
  <c r="G41" i="16"/>
  <c r="G40" i="16"/>
  <c r="G36" i="16"/>
  <c r="G33" i="16"/>
  <c r="G31" i="16"/>
  <c r="G28" i="16"/>
  <c r="G23" i="16"/>
  <c r="G21" i="16"/>
  <c r="G19" i="16"/>
  <c r="G15" i="16"/>
  <c r="G9" i="16"/>
  <c r="G7" i="16"/>
  <c r="I7" i="16" s="1"/>
  <c r="S112" i="16"/>
  <c r="R112" i="16"/>
  <c r="M112" i="16"/>
  <c r="L112" i="16"/>
  <c r="K112" i="16"/>
  <c r="J112" i="16"/>
  <c r="I112" i="16"/>
  <c r="H112" i="16"/>
  <c r="S111" i="16"/>
  <c r="R111" i="16"/>
  <c r="M111" i="16"/>
  <c r="L111" i="16"/>
  <c r="K111" i="16"/>
  <c r="J111" i="16"/>
  <c r="I111" i="16"/>
  <c r="H111" i="16"/>
  <c r="S110" i="16"/>
  <c r="R110" i="16"/>
  <c r="M110" i="16"/>
  <c r="L110" i="16"/>
  <c r="K110" i="16"/>
  <c r="J110" i="16"/>
  <c r="I110" i="16"/>
  <c r="H110" i="16"/>
  <c r="S109" i="16"/>
  <c r="R109" i="16"/>
  <c r="M109" i="16"/>
  <c r="L109" i="16"/>
  <c r="K109" i="16"/>
  <c r="J109" i="16"/>
  <c r="I109" i="16"/>
  <c r="H109" i="16"/>
  <c r="S108" i="16"/>
  <c r="R108" i="16"/>
  <c r="M108" i="16"/>
  <c r="L108" i="16"/>
  <c r="K108" i="16"/>
  <c r="J108" i="16"/>
  <c r="I108" i="16"/>
  <c r="H108" i="16"/>
  <c r="S107" i="16"/>
  <c r="R107" i="16"/>
  <c r="M107" i="16"/>
  <c r="L107" i="16"/>
  <c r="K107" i="16"/>
  <c r="J107" i="16"/>
  <c r="I107" i="16"/>
  <c r="H107" i="16"/>
  <c r="S106" i="16"/>
  <c r="R106" i="16"/>
  <c r="M106" i="16"/>
  <c r="L106" i="16"/>
  <c r="K106" i="16"/>
  <c r="J106" i="16"/>
  <c r="I106" i="16"/>
  <c r="H106" i="16"/>
  <c r="S105" i="16"/>
  <c r="R105" i="16"/>
  <c r="M105" i="16"/>
  <c r="L105" i="16"/>
  <c r="K105" i="16"/>
  <c r="J105" i="16"/>
  <c r="I105" i="16"/>
  <c r="H105" i="16"/>
  <c r="S104" i="16"/>
  <c r="R104" i="16"/>
  <c r="M104" i="16"/>
  <c r="L104" i="16"/>
  <c r="K104" i="16"/>
  <c r="J104" i="16"/>
  <c r="I104" i="16"/>
  <c r="H104" i="16"/>
  <c r="S103" i="16"/>
  <c r="R103" i="16"/>
  <c r="M103" i="16"/>
  <c r="L103" i="16"/>
  <c r="K103" i="16"/>
  <c r="J103" i="16"/>
  <c r="I103" i="16"/>
  <c r="H103" i="16"/>
  <c r="S102" i="16"/>
  <c r="R102" i="16"/>
  <c r="M102" i="16"/>
  <c r="L102" i="16"/>
  <c r="K102" i="16"/>
  <c r="J102" i="16"/>
  <c r="I102" i="16"/>
  <c r="H102" i="16"/>
  <c r="S101" i="16"/>
  <c r="R101" i="16"/>
  <c r="M101" i="16"/>
  <c r="L101" i="16"/>
  <c r="K101" i="16"/>
  <c r="J101" i="16"/>
  <c r="I101" i="16"/>
  <c r="H101" i="16"/>
  <c r="S100" i="16"/>
  <c r="R100" i="16"/>
  <c r="M100" i="16"/>
  <c r="L100" i="16"/>
  <c r="K100" i="16"/>
  <c r="J100" i="16"/>
  <c r="I100" i="16"/>
  <c r="H100" i="16"/>
  <c r="S99" i="16"/>
  <c r="R99" i="16"/>
  <c r="M99" i="16"/>
  <c r="L99" i="16"/>
  <c r="K99" i="16"/>
  <c r="J99" i="16"/>
  <c r="I99" i="16"/>
  <c r="H99" i="16"/>
  <c r="S98" i="16"/>
  <c r="R98" i="16"/>
  <c r="M98" i="16"/>
  <c r="L98" i="16"/>
  <c r="K98" i="16"/>
  <c r="J98" i="16"/>
  <c r="I98" i="16"/>
  <c r="H98" i="16"/>
  <c r="S97" i="16"/>
  <c r="R97" i="16"/>
  <c r="M97" i="16"/>
  <c r="L97" i="16"/>
  <c r="K97" i="16"/>
  <c r="J97" i="16"/>
  <c r="I97" i="16"/>
  <c r="H97" i="16"/>
  <c r="S96" i="16"/>
  <c r="R96" i="16"/>
  <c r="M96" i="16"/>
  <c r="L96" i="16"/>
  <c r="K96" i="16"/>
  <c r="J96" i="16"/>
  <c r="I96" i="16"/>
  <c r="H96" i="16"/>
  <c r="S95" i="16"/>
  <c r="R95" i="16"/>
  <c r="M95" i="16"/>
  <c r="L95" i="16"/>
  <c r="K95" i="16"/>
  <c r="J95" i="16"/>
  <c r="I95" i="16"/>
  <c r="H95" i="16"/>
  <c r="S94" i="16"/>
  <c r="R94" i="16"/>
  <c r="M94" i="16"/>
  <c r="L94" i="16"/>
  <c r="K94" i="16"/>
  <c r="J94" i="16"/>
  <c r="I94" i="16"/>
  <c r="H94" i="16"/>
  <c r="S93" i="16"/>
  <c r="R93" i="16"/>
  <c r="M93" i="16"/>
  <c r="L93" i="16"/>
  <c r="K93" i="16"/>
  <c r="J93" i="16"/>
  <c r="I93" i="16"/>
  <c r="H93" i="16"/>
  <c r="S92" i="16"/>
  <c r="R92" i="16"/>
  <c r="M92" i="16"/>
  <c r="L92" i="16"/>
  <c r="K92" i="16"/>
  <c r="J92" i="16"/>
  <c r="I92" i="16"/>
  <c r="H92" i="16"/>
  <c r="S91" i="16"/>
  <c r="R91" i="16"/>
  <c r="M91" i="16"/>
  <c r="L91" i="16"/>
  <c r="K91" i="16"/>
  <c r="J91" i="16"/>
  <c r="I91" i="16"/>
  <c r="H91" i="16"/>
  <c r="S90" i="16"/>
  <c r="R90" i="16"/>
  <c r="M90" i="16"/>
  <c r="L90" i="16"/>
  <c r="K90" i="16"/>
  <c r="J90" i="16"/>
  <c r="I90" i="16"/>
  <c r="H90" i="16"/>
  <c r="S89" i="16"/>
  <c r="R89" i="16"/>
  <c r="M89" i="16"/>
  <c r="L89" i="16"/>
  <c r="K89" i="16"/>
  <c r="J89" i="16"/>
  <c r="I89" i="16"/>
  <c r="H89" i="16"/>
  <c r="S88" i="16"/>
  <c r="R88" i="16"/>
  <c r="M88" i="16"/>
  <c r="L88" i="16"/>
  <c r="K88" i="16"/>
  <c r="J88" i="16"/>
  <c r="I88" i="16"/>
  <c r="H88" i="16"/>
  <c r="S87" i="16"/>
  <c r="R87" i="16"/>
  <c r="M87" i="16"/>
  <c r="L87" i="16"/>
  <c r="K87" i="16"/>
  <c r="J87" i="16"/>
  <c r="I87" i="16"/>
  <c r="H87" i="16"/>
  <c r="S86" i="16"/>
  <c r="R86" i="16"/>
  <c r="M86" i="16"/>
  <c r="L86" i="16"/>
  <c r="K86" i="16"/>
  <c r="J86" i="16"/>
  <c r="I86" i="16"/>
  <c r="H86" i="16"/>
  <c r="S85" i="16"/>
  <c r="R85" i="16"/>
  <c r="M85" i="16"/>
  <c r="L85" i="16"/>
  <c r="K85" i="16"/>
  <c r="J85" i="16"/>
  <c r="I85" i="16"/>
  <c r="H85" i="16"/>
  <c r="S84" i="16"/>
  <c r="R84" i="16"/>
  <c r="M84" i="16"/>
  <c r="L84" i="16"/>
  <c r="K84" i="16"/>
  <c r="J84" i="16"/>
  <c r="I84" i="16"/>
  <c r="H84" i="16"/>
  <c r="S83" i="16"/>
  <c r="R83" i="16"/>
  <c r="M83" i="16"/>
  <c r="L83" i="16"/>
  <c r="K83" i="16"/>
  <c r="J83" i="16"/>
  <c r="I83" i="16"/>
  <c r="H83" i="16"/>
  <c r="S82" i="16"/>
  <c r="R82" i="16"/>
  <c r="M82" i="16"/>
  <c r="L82" i="16"/>
  <c r="K82" i="16"/>
  <c r="J82" i="16"/>
  <c r="I82" i="16"/>
  <c r="H82" i="16"/>
  <c r="S81" i="16"/>
  <c r="R81" i="16"/>
  <c r="M81" i="16"/>
  <c r="L81" i="16"/>
  <c r="K81" i="16"/>
  <c r="J81" i="16"/>
  <c r="I81" i="16"/>
  <c r="H81" i="16"/>
  <c r="S80" i="16"/>
  <c r="R80" i="16"/>
  <c r="M80" i="16"/>
  <c r="L80" i="16"/>
  <c r="K80" i="16"/>
  <c r="J80" i="16"/>
  <c r="I80" i="16"/>
  <c r="H80" i="16"/>
  <c r="S79" i="16"/>
  <c r="R79" i="16"/>
  <c r="M79" i="16"/>
  <c r="L79" i="16"/>
  <c r="K79" i="16"/>
  <c r="J79" i="16"/>
  <c r="I79" i="16"/>
  <c r="H79" i="16"/>
  <c r="S78" i="16"/>
  <c r="R78" i="16"/>
  <c r="M78" i="16"/>
  <c r="L78" i="16"/>
  <c r="K78" i="16"/>
  <c r="J78" i="16"/>
  <c r="I78" i="16"/>
  <c r="H78" i="16"/>
  <c r="S77" i="16"/>
  <c r="R77" i="16"/>
  <c r="M77" i="16"/>
  <c r="L77" i="16"/>
  <c r="K77" i="16"/>
  <c r="J77" i="16"/>
  <c r="I77" i="16"/>
  <c r="H77" i="16"/>
  <c r="S76" i="16"/>
  <c r="R76" i="16"/>
  <c r="M76" i="16"/>
  <c r="L76" i="16"/>
  <c r="K76" i="16"/>
  <c r="J76" i="16"/>
  <c r="I76" i="16"/>
  <c r="H76" i="16"/>
  <c r="S75" i="16"/>
  <c r="R75" i="16"/>
  <c r="M75" i="16"/>
  <c r="L75" i="16"/>
  <c r="K75" i="16"/>
  <c r="J75" i="16"/>
  <c r="I75" i="16"/>
  <c r="H75" i="16"/>
  <c r="S74" i="16"/>
  <c r="R74" i="16"/>
  <c r="M74" i="16"/>
  <c r="L74" i="16"/>
  <c r="K74" i="16"/>
  <c r="J74" i="16"/>
  <c r="I74" i="16"/>
  <c r="H74" i="16"/>
  <c r="S73" i="16"/>
  <c r="R73" i="16"/>
  <c r="M73" i="16"/>
  <c r="L73" i="16"/>
  <c r="K73" i="16"/>
  <c r="J73" i="16"/>
  <c r="I73" i="16"/>
  <c r="H73" i="16"/>
  <c r="S72" i="16"/>
  <c r="R72" i="16"/>
  <c r="M72" i="16"/>
  <c r="L72" i="16"/>
  <c r="K72" i="16"/>
  <c r="J72" i="16"/>
  <c r="I72" i="16"/>
  <c r="H72" i="16"/>
  <c r="S71" i="16"/>
  <c r="R71" i="16"/>
  <c r="M71" i="16"/>
  <c r="L71" i="16"/>
  <c r="K71" i="16"/>
  <c r="J71" i="16"/>
  <c r="I71" i="16"/>
  <c r="H71" i="16"/>
  <c r="S70" i="16"/>
  <c r="R70" i="16"/>
  <c r="M70" i="16"/>
  <c r="L70" i="16"/>
  <c r="K70" i="16"/>
  <c r="J70" i="16"/>
  <c r="I70" i="16"/>
  <c r="H70" i="16"/>
  <c r="S69" i="16"/>
  <c r="R69" i="16"/>
  <c r="M69" i="16"/>
  <c r="L69" i="16"/>
  <c r="K69" i="16"/>
  <c r="J69" i="16"/>
  <c r="I69" i="16"/>
  <c r="H69" i="16"/>
  <c r="S68" i="16"/>
  <c r="R68" i="16"/>
  <c r="M68" i="16"/>
  <c r="L68" i="16"/>
  <c r="K68" i="16"/>
  <c r="J68" i="16"/>
  <c r="I68" i="16"/>
  <c r="H68" i="16"/>
  <c r="S67" i="16"/>
  <c r="R67" i="16"/>
  <c r="M67" i="16"/>
  <c r="L67" i="16"/>
  <c r="K67" i="16"/>
  <c r="J67" i="16"/>
  <c r="I67" i="16"/>
  <c r="H67" i="16"/>
  <c r="S66" i="16"/>
  <c r="R66" i="16"/>
  <c r="M66" i="16"/>
  <c r="L66" i="16"/>
  <c r="K66" i="16"/>
  <c r="J66" i="16"/>
  <c r="I66" i="16"/>
  <c r="H66" i="16"/>
  <c r="S65" i="16"/>
  <c r="R65" i="16"/>
  <c r="M65" i="16"/>
  <c r="L65" i="16"/>
  <c r="K65" i="16"/>
  <c r="J65" i="16"/>
  <c r="I65" i="16"/>
  <c r="H65" i="16"/>
  <c r="S64" i="16"/>
  <c r="R64" i="16"/>
  <c r="M64" i="16"/>
  <c r="L64" i="16"/>
  <c r="K64" i="16"/>
  <c r="J64" i="16"/>
  <c r="I64" i="16"/>
  <c r="H64" i="16"/>
  <c r="S63" i="16"/>
  <c r="R63" i="16"/>
  <c r="M63" i="16"/>
  <c r="L63" i="16"/>
  <c r="K63" i="16"/>
  <c r="J63" i="16"/>
  <c r="I63" i="16"/>
  <c r="H63" i="16"/>
  <c r="S62" i="16"/>
  <c r="R62" i="16"/>
  <c r="M62" i="16"/>
  <c r="L62" i="16"/>
  <c r="K62" i="16"/>
  <c r="J62" i="16"/>
  <c r="I62" i="16"/>
  <c r="H62" i="16"/>
  <c r="S61" i="16"/>
  <c r="R61" i="16"/>
  <c r="M61" i="16"/>
  <c r="L61" i="16"/>
  <c r="K61" i="16"/>
  <c r="J61" i="16"/>
  <c r="I61" i="16"/>
  <c r="H61" i="16"/>
  <c r="S60" i="16"/>
  <c r="R60" i="16"/>
  <c r="M60" i="16"/>
  <c r="L60" i="16"/>
  <c r="K60" i="16"/>
  <c r="J60" i="16"/>
  <c r="I60" i="16"/>
  <c r="H60" i="16"/>
  <c r="S59" i="16"/>
  <c r="R59" i="16"/>
  <c r="M59" i="16"/>
  <c r="L59" i="16"/>
  <c r="K59" i="16"/>
  <c r="J59" i="16"/>
  <c r="I59" i="16"/>
  <c r="H59" i="16"/>
  <c r="S58" i="16"/>
  <c r="R58" i="16"/>
  <c r="M58" i="16"/>
  <c r="L58" i="16"/>
  <c r="K58" i="16"/>
  <c r="J58" i="16"/>
  <c r="I58" i="16"/>
  <c r="H58" i="16"/>
  <c r="S57" i="16"/>
  <c r="R57" i="16"/>
  <c r="M57" i="16"/>
  <c r="L57" i="16"/>
  <c r="K57" i="16"/>
  <c r="J57" i="16"/>
  <c r="I57" i="16"/>
  <c r="H57" i="16"/>
  <c r="S56" i="16"/>
  <c r="R56" i="16"/>
  <c r="M56" i="16"/>
  <c r="L56" i="16"/>
  <c r="K56" i="16"/>
  <c r="J56" i="16"/>
  <c r="I56" i="16"/>
  <c r="H56" i="16"/>
  <c r="S55" i="16"/>
  <c r="R55" i="16"/>
  <c r="M55" i="16"/>
  <c r="L55" i="16"/>
  <c r="K55" i="16"/>
  <c r="J55" i="16"/>
  <c r="I55" i="16"/>
  <c r="H55" i="16"/>
  <c r="S54" i="16"/>
  <c r="R54" i="16"/>
  <c r="M54" i="16"/>
  <c r="L54" i="16"/>
  <c r="K54" i="16"/>
  <c r="J54" i="16"/>
  <c r="I54" i="16"/>
  <c r="H54" i="16"/>
  <c r="S53" i="16"/>
  <c r="R53" i="16"/>
  <c r="M53" i="16"/>
  <c r="L53" i="16"/>
  <c r="K53" i="16"/>
  <c r="J53" i="16"/>
  <c r="I53" i="16"/>
  <c r="H53" i="16"/>
  <c r="S52" i="16"/>
  <c r="R52" i="16"/>
  <c r="M52" i="16"/>
  <c r="L52" i="16"/>
  <c r="K52" i="16"/>
  <c r="J52" i="16"/>
  <c r="I52" i="16"/>
  <c r="H52" i="16"/>
  <c r="S51" i="16"/>
  <c r="R51" i="16"/>
  <c r="M51" i="16"/>
  <c r="L51" i="16"/>
  <c r="K51" i="16"/>
  <c r="J51" i="16"/>
  <c r="I51" i="16"/>
  <c r="H51" i="16"/>
  <c r="S50" i="16"/>
  <c r="R50" i="16"/>
  <c r="M50" i="16"/>
  <c r="L50" i="16"/>
  <c r="K50" i="16"/>
  <c r="J50" i="16"/>
  <c r="I50" i="16"/>
  <c r="H50" i="16"/>
  <c r="S49" i="16"/>
  <c r="R49" i="16"/>
  <c r="M49" i="16"/>
  <c r="L49" i="16"/>
  <c r="K49" i="16"/>
  <c r="J49" i="16"/>
  <c r="I49" i="16"/>
  <c r="H49" i="16"/>
  <c r="I48" i="16"/>
  <c r="J48" i="16" s="1"/>
  <c r="R48" i="16" s="1"/>
  <c r="H48" i="16"/>
  <c r="I47" i="16"/>
  <c r="H47" i="16"/>
  <c r="I46" i="16"/>
  <c r="H46" i="16"/>
  <c r="I45" i="16"/>
  <c r="H45" i="16"/>
  <c r="I44" i="16"/>
  <c r="H44" i="16"/>
  <c r="I43" i="16"/>
  <c r="H43" i="16"/>
  <c r="I42" i="16"/>
  <c r="H42" i="16"/>
  <c r="I41" i="16"/>
  <c r="J41" i="16" s="1"/>
  <c r="R41" i="16" s="1"/>
  <c r="H41" i="16"/>
  <c r="I40" i="16"/>
  <c r="H40" i="16"/>
  <c r="I39" i="16"/>
  <c r="J39" i="16" s="1"/>
  <c r="R39" i="16" s="1"/>
  <c r="H39" i="16"/>
  <c r="I38" i="16"/>
  <c r="H38" i="16"/>
  <c r="J37" i="16"/>
  <c r="R37" i="16" s="1"/>
  <c r="I37" i="16"/>
  <c r="H37" i="16"/>
  <c r="I36" i="16"/>
  <c r="H36" i="16"/>
  <c r="I35" i="16"/>
  <c r="H35" i="16"/>
  <c r="I34" i="16"/>
  <c r="J34" i="16" s="1"/>
  <c r="R34" i="16" s="1"/>
  <c r="H34" i="16"/>
  <c r="I33" i="16"/>
  <c r="H33" i="16"/>
  <c r="I32" i="16"/>
  <c r="J32" i="16" s="1"/>
  <c r="R32" i="16" s="1"/>
  <c r="H32" i="16"/>
  <c r="I31" i="16"/>
  <c r="H31" i="16"/>
  <c r="I30" i="16"/>
  <c r="H30" i="16"/>
  <c r="J29" i="16"/>
  <c r="R29" i="16" s="1"/>
  <c r="I29" i="16"/>
  <c r="H29" i="16"/>
  <c r="I28" i="16"/>
  <c r="H28" i="16"/>
  <c r="I27" i="16"/>
  <c r="J27" i="16" s="1"/>
  <c r="R27" i="16" s="1"/>
  <c r="H27" i="16"/>
  <c r="I26" i="16"/>
  <c r="H26" i="16"/>
  <c r="I25" i="16"/>
  <c r="H25" i="16"/>
  <c r="I24" i="16"/>
  <c r="H24" i="16"/>
  <c r="I23" i="16"/>
  <c r="H23" i="16"/>
  <c r="I22" i="16"/>
  <c r="H22" i="16"/>
  <c r="I21" i="16"/>
  <c r="H21" i="16"/>
  <c r="J21" i="16" s="1"/>
  <c r="R21" i="16" s="1"/>
  <c r="H20" i="16"/>
  <c r="I20" i="16"/>
  <c r="J20" i="16" s="1"/>
  <c r="R20" i="16" s="1"/>
  <c r="I19" i="16"/>
  <c r="H19" i="16"/>
  <c r="I18" i="16"/>
  <c r="H18" i="16"/>
  <c r="I17" i="16"/>
  <c r="H17" i="16"/>
  <c r="H16" i="16"/>
  <c r="I16" i="16"/>
  <c r="J16" i="16" s="1"/>
  <c r="R16" i="16" s="1"/>
  <c r="I15" i="16"/>
  <c r="H15" i="16"/>
  <c r="H14" i="16"/>
  <c r="I14" i="16"/>
  <c r="J14" i="16" s="1"/>
  <c r="R14" i="16" s="1"/>
  <c r="I13" i="16"/>
  <c r="J13" i="16" s="1"/>
  <c r="R13" i="16" s="1"/>
  <c r="H13" i="16"/>
  <c r="I12" i="16"/>
  <c r="H12" i="16"/>
  <c r="I11" i="16"/>
  <c r="J11" i="16" s="1"/>
  <c r="R11" i="16" s="1"/>
  <c r="H11" i="16"/>
  <c r="I10" i="16"/>
  <c r="H10" i="16"/>
  <c r="I9" i="16"/>
  <c r="H9" i="16"/>
  <c r="I8" i="16"/>
  <c r="H8" i="16"/>
  <c r="H7" i="16"/>
  <c r="K7" i="16" s="1"/>
  <c r="G20" i="15"/>
  <c r="G16" i="15"/>
  <c r="G14" i="15"/>
  <c r="S112" i="15"/>
  <c r="R112" i="15"/>
  <c r="M112" i="15"/>
  <c r="L112" i="15"/>
  <c r="K112" i="15"/>
  <c r="J112" i="15"/>
  <c r="I112" i="15"/>
  <c r="H112" i="15"/>
  <c r="S111" i="15"/>
  <c r="R111" i="15"/>
  <c r="M111" i="15"/>
  <c r="L111" i="15"/>
  <c r="K111" i="15"/>
  <c r="J111" i="15"/>
  <c r="I111" i="15"/>
  <c r="H111" i="15"/>
  <c r="S110" i="15"/>
  <c r="R110" i="15"/>
  <c r="M110" i="15"/>
  <c r="L110" i="15"/>
  <c r="K110" i="15"/>
  <c r="J110" i="15"/>
  <c r="I110" i="15"/>
  <c r="H110" i="15"/>
  <c r="S109" i="15"/>
  <c r="R109" i="15"/>
  <c r="M109" i="15"/>
  <c r="L109" i="15"/>
  <c r="K109" i="15"/>
  <c r="J109" i="15"/>
  <c r="I109" i="15"/>
  <c r="H109" i="15"/>
  <c r="S108" i="15"/>
  <c r="R108" i="15"/>
  <c r="M108" i="15"/>
  <c r="L108" i="15"/>
  <c r="K108" i="15"/>
  <c r="J108" i="15"/>
  <c r="I108" i="15"/>
  <c r="H108" i="15"/>
  <c r="S107" i="15"/>
  <c r="R107" i="15"/>
  <c r="M107" i="15"/>
  <c r="L107" i="15"/>
  <c r="K107" i="15"/>
  <c r="J107" i="15"/>
  <c r="I107" i="15"/>
  <c r="H107" i="15"/>
  <c r="S106" i="15"/>
  <c r="R106" i="15"/>
  <c r="M106" i="15"/>
  <c r="L106" i="15"/>
  <c r="K106" i="15"/>
  <c r="J106" i="15"/>
  <c r="I106" i="15"/>
  <c r="H106" i="15"/>
  <c r="S105" i="15"/>
  <c r="R105" i="15"/>
  <c r="M105" i="15"/>
  <c r="L105" i="15"/>
  <c r="K105" i="15"/>
  <c r="J105" i="15"/>
  <c r="I105" i="15"/>
  <c r="H105" i="15"/>
  <c r="S104" i="15"/>
  <c r="R104" i="15"/>
  <c r="M104" i="15"/>
  <c r="L104" i="15"/>
  <c r="K104" i="15"/>
  <c r="J104" i="15"/>
  <c r="I104" i="15"/>
  <c r="H104" i="15"/>
  <c r="S103" i="15"/>
  <c r="R103" i="15"/>
  <c r="M103" i="15"/>
  <c r="L103" i="15"/>
  <c r="K103" i="15"/>
  <c r="J103" i="15"/>
  <c r="I103" i="15"/>
  <c r="H103" i="15"/>
  <c r="S102" i="15"/>
  <c r="R102" i="15"/>
  <c r="M102" i="15"/>
  <c r="L102" i="15"/>
  <c r="K102" i="15"/>
  <c r="J102" i="15"/>
  <c r="I102" i="15"/>
  <c r="H102" i="15"/>
  <c r="S101" i="15"/>
  <c r="R101" i="15"/>
  <c r="M101" i="15"/>
  <c r="L101" i="15"/>
  <c r="K101" i="15"/>
  <c r="J101" i="15"/>
  <c r="I101" i="15"/>
  <c r="H101" i="15"/>
  <c r="S100" i="15"/>
  <c r="R100" i="15"/>
  <c r="M100" i="15"/>
  <c r="L100" i="15"/>
  <c r="K100" i="15"/>
  <c r="J100" i="15"/>
  <c r="I100" i="15"/>
  <c r="H100" i="15"/>
  <c r="S99" i="15"/>
  <c r="R99" i="15"/>
  <c r="M99" i="15"/>
  <c r="L99" i="15"/>
  <c r="K99" i="15"/>
  <c r="J99" i="15"/>
  <c r="I99" i="15"/>
  <c r="H99" i="15"/>
  <c r="S98" i="15"/>
  <c r="R98" i="15"/>
  <c r="M98" i="15"/>
  <c r="L98" i="15"/>
  <c r="K98" i="15"/>
  <c r="J98" i="15"/>
  <c r="I98" i="15"/>
  <c r="H98" i="15"/>
  <c r="S97" i="15"/>
  <c r="R97" i="15"/>
  <c r="M97" i="15"/>
  <c r="L97" i="15"/>
  <c r="K97" i="15"/>
  <c r="J97" i="15"/>
  <c r="I97" i="15"/>
  <c r="H97" i="15"/>
  <c r="S96" i="15"/>
  <c r="R96" i="15"/>
  <c r="M96" i="15"/>
  <c r="L96" i="15"/>
  <c r="K96" i="15"/>
  <c r="J96" i="15"/>
  <c r="I96" i="15"/>
  <c r="H96" i="15"/>
  <c r="S95" i="15"/>
  <c r="R95" i="15"/>
  <c r="M95" i="15"/>
  <c r="L95" i="15"/>
  <c r="K95" i="15"/>
  <c r="J95" i="15"/>
  <c r="I95" i="15"/>
  <c r="H95" i="15"/>
  <c r="S94" i="15"/>
  <c r="R94" i="15"/>
  <c r="M94" i="15"/>
  <c r="L94" i="15"/>
  <c r="K94" i="15"/>
  <c r="J94" i="15"/>
  <c r="I94" i="15"/>
  <c r="H94" i="15"/>
  <c r="S93" i="15"/>
  <c r="R93" i="15"/>
  <c r="M93" i="15"/>
  <c r="L93" i="15"/>
  <c r="K93" i="15"/>
  <c r="J93" i="15"/>
  <c r="I93" i="15"/>
  <c r="H93" i="15"/>
  <c r="S92" i="15"/>
  <c r="R92" i="15"/>
  <c r="M92" i="15"/>
  <c r="L92" i="15"/>
  <c r="K92" i="15"/>
  <c r="J92" i="15"/>
  <c r="I92" i="15"/>
  <c r="H92" i="15"/>
  <c r="S91" i="15"/>
  <c r="R91" i="15"/>
  <c r="M91" i="15"/>
  <c r="L91" i="15"/>
  <c r="K91" i="15"/>
  <c r="J91" i="15"/>
  <c r="I91" i="15"/>
  <c r="H91" i="15"/>
  <c r="S90" i="15"/>
  <c r="R90" i="15"/>
  <c r="M90" i="15"/>
  <c r="L90" i="15"/>
  <c r="K90" i="15"/>
  <c r="J90" i="15"/>
  <c r="I90" i="15"/>
  <c r="H90" i="15"/>
  <c r="S89" i="15"/>
  <c r="R89" i="15"/>
  <c r="M89" i="15"/>
  <c r="L89" i="15"/>
  <c r="K89" i="15"/>
  <c r="J89" i="15"/>
  <c r="I89" i="15"/>
  <c r="H89" i="15"/>
  <c r="S88" i="15"/>
  <c r="R88" i="15"/>
  <c r="M88" i="15"/>
  <c r="L88" i="15"/>
  <c r="K88" i="15"/>
  <c r="J88" i="15"/>
  <c r="I88" i="15"/>
  <c r="H88" i="15"/>
  <c r="S87" i="15"/>
  <c r="R87" i="15"/>
  <c r="M87" i="15"/>
  <c r="L87" i="15"/>
  <c r="K87" i="15"/>
  <c r="J87" i="15"/>
  <c r="I87" i="15"/>
  <c r="H87" i="15"/>
  <c r="S86" i="15"/>
  <c r="R86" i="15"/>
  <c r="M86" i="15"/>
  <c r="L86" i="15"/>
  <c r="K86" i="15"/>
  <c r="J86" i="15"/>
  <c r="I86" i="15"/>
  <c r="H86" i="15"/>
  <c r="S85" i="15"/>
  <c r="R85" i="15"/>
  <c r="M85" i="15"/>
  <c r="L85" i="15"/>
  <c r="K85" i="15"/>
  <c r="J85" i="15"/>
  <c r="I85" i="15"/>
  <c r="H85" i="15"/>
  <c r="S84" i="15"/>
  <c r="R84" i="15"/>
  <c r="M84" i="15"/>
  <c r="L84" i="15"/>
  <c r="K84" i="15"/>
  <c r="J84" i="15"/>
  <c r="I84" i="15"/>
  <c r="H84" i="15"/>
  <c r="S83" i="15"/>
  <c r="R83" i="15"/>
  <c r="M83" i="15"/>
  <c r="L83" i="15"/>
  <c r="K83" i="15"/>
  <c r="J83" i="15"/>
  <c r="I83" i="15"/>
  <c r="H83" i="15"/>
  <c r="S82" i="15"/>
  <c r="R82" i="15"/>
  <c r="M82" i="15"/>
  <c r="L82" i="15"/>
  <c r="K82" i="15"/>
  <c r="J82" i="15"/>
  <c r="I82" i="15"/>
  <c r="H82" i="15"/>
  <c r="S81" i="15"/>
  <c r="R81" i="15"/>
  <c r="M81" i="15"/>
  <c r="L81" i="15"/>
  <c r="K81" i="15"/>
  <c r="J81" i="15"/>
  <c r="I81" i="15"/>
  <c r="H81" i="15"/>
  <c r="S80" i="15"/>
  <c r="R80" i="15"/>
  <c r="M80" i="15"/>
  <c r="L80" i="15"/>
  <c r="K80" i="15"/>
  <c r="J80" i="15"/>
  <c r="I80" i="15"/>
  <c r="H80" i="15"/>
  <c r="S79" i="15"/>
  <c r="R79" i="15"/>
  <c r="M79" i="15"/>
  <c r="L79" i="15"/>
  <c r="K79" i="15"/>
  <c r="J79" i="15"/>
  <c r="I79" i="15"/>
  <c r="H79" i="15"/>
  <c r="S78" i="15"/>
  <c r="R78" i="15"/>
  <c r="M78" i="15"/>
  <c r="L78" i="15"/>
  <c r="K78" i="15"/>
  <c r="J78" i="15"/>
  <c r="I78" i="15"/>
  <c r="H78" i="15"/>
  <c r="S77" i="15"/>
  <c r="R77" i="15"/>
  <c r="M77" i="15"/>
  <c r="L77" i="15"/>
  <c r="K77" i="15"/>
  <c r="J77" i="15"/>
  <c r="I77" i="15"/>
  <c r="H77" i="15"/>
  <c r="S76" i="15"/>
  <c r="R76" i="15"/>
  <c r="M76" i="15"/>
  <c r="L76" i="15"/>
  <c r="K76" i="15"/>
  <c r="J76" i="15"/>
  <c r="I76" i="15"/>
  <c r="H76" i="15"/>
  <c r="S75" i="15"/>
  <c r="R75" i="15"/>
  <c r="M75" i="15"/>
  <c r="L75" i="15"/>
  <c r="K75" i="15"/>
  <c r="J75" i="15"/>
  <c r="I75" i="15"/>
  <c r="H75" i="15"/>
  <c r="S74" i="15"/>
  <c r="R74" i="15"/>
  <c r="M74" i="15"/>
  <c r="L74" i="15"/>
  <c r="K74" i="15"/>
  <c r="J74" i="15"/>
  <c r="I74" i="15"/>
  <c r="H74" i="15"/>
  <c r="S73" i="15"/>
  <c r="R73" i="15"/>
  <c r="M73" i="15"/>
  <c r="L73" i="15"/>
  <c r="K73" i="15"/>
  <c r="J73" i="15"/>
  <c r="I73" i="15"/>
  <c r="H73" i="15"/>
  <c r="S72" i="15"/>
  <c r="R72" i="15"/>
  <c r="M72" i="15"/>
  <c r="L72" i="15"/>
  <c r="K72" i="15"/>
  <c r="J72" i="15"/>
  <c r="I72" i="15"/>
  <c r="H72" i="15"/>
  <c r="S71" i="15"/>
  <c r="R71" i="15"/>
  <c r="M71" i="15"/>
  <c r="L71" i="15"/>
  <c r="K71" i="15"/>
  <c r="J71" i="15"/>
  <c r="I71" i="15"/>
  <c r="H71" i="15"/>
  <c r="S70" i="15"/>
  <c r="R70" i="15"/>
  <c r="M70" i="15"/>
  <c r="L70" i="15"/>
  <c r="K70" i="15"/>
  <c r="J70" i="15"/>
  <c r="I70" i="15"/>
  <c r="H70" i="15"/>
  <c r="S69" i="15"/>
  <c r="R69" i="15"/>
  <c r="M69" i="15"/>
  <c r="L69" i="15"/>
  <c r="K69" i="15"/>
  <c r="J69" i="15"/>
  <c r="I69" i="15"/>
  <c r="H69" i="15"/>
  <c r="S68" i="15"/>
  <c r="R68" i="15"/>
  <c r="M68" i="15"/>
  <c r="L68" i="15"/>
  <c r="K68" i="15"/>
  <c r="J68" i="15"/>
  <c r="I68" i="15"/>
  <c r="H68" i="15"/>
  <c r="S67" i="15"/>
  <c r="R67" i="15"/>
  <c r="M67" i="15"/>
  <c r="L67" i="15"/>
  <c r="K67" i="15"/>
  <c r="J67" i="15"/>
  <c r="I67" i="15"/>
  <c r="H67" i="15"/>
  <c r="S66" i="15"/>
  <c r="R66" i="15"/>
  <c r="M66" i="15"/>
  <c r="L66" i="15"/>
  <c r="K66" i="15"/>
  <c r="J66" i="15"/>
  <c r="I66" i="15"/>
  <c r="H66" i="15"/>
  <c r="S65" i="15"/>
  <c r="R65" i="15"/>
  <c r="M65" i="15"/>
  <c r="L65" i="15"/>
  <c r="K65" i="15"/>
  <c r="J65" i="15"/>
  <c r="I65" i="15"/>
  <c r="H65" i="15"/>
  <c r="S64" i="15"/>
  <c r="R64" i="15"/>
  <c r="M64" i="15"/>
  <c r="L64" i="15"/>
  <c r="K64" i="15"/>
  <c r="J64" i="15"/>
  <c r="I64" i="15"/>
  <c r="H64" i="15"/>
  <c r="S63" i="15"/>
  <c r="R63" i="15"/>
  <c r="M63" i="15"/>
  <c r="L63" i="15"/>
  <c r="K63" i="15"/>
  <c r="J63" i="15"/>
  <c r="I63" i="15"/>
  <c r="H63" i="15"/>
  <c r="S62" i="15"/>
  <c r="R62" i="15"/>
  <c r="M62" i="15"/>
  <c r="L62" i="15"/>
  <c r="K62" i="15"/>
  <c r="J62" i="15"/>
  <c r="I62" i="15"/>
  <c r="H62" i="15"/>
  <c r="S61" i="15"/>
  <c r="R61" i="15"/>
  <c r="M61" i="15"/>
  <c r="L61" i="15"/>
  <c r="K61" i="15"/>
  <c r="J61" i="15"/>
  <c r="I61" i="15"/>
  <c r="H61" i="15"/>
  <c r="S60" i="15"/>
  <c r="R60" i="15"/>
  <c r="M60" i="15"/>
  <c r="L60" i="15"/>
  <c r="K60" i="15"/>
  <c r="J60" i="15"/>
  <c r="I60" i="15"/>
  <c r="H60" i="15"/>
  <c r="S59" i="15"/>
  <c r="R59" i="15"/>
  <c r="M59" i="15"/>
  <c r="L59" i="15"/>
  <c r="K59" i="15"/>
  <c r="J59" i="15"/>
  <c r="I59" i="15"/>
  <c r="H59" i="15"/>
  <c r="S58" i="15"/>
  <c r="R58" i="15"/>
  <c r="M58" i="15"/>
  <c r="L58" i="15"/>
  <c r="K58" i="15"/>
  <c r="J58" i="15"/>
  <c r="I58" i="15"/>
  <c r="H58" i="15"/>
  <c r="S57" i="15"/>
  <c r="R57" i="15"/>
  <c r="M57" i="15"/>
  <c r="L57" i="15"/>
  <c r="K57" i="15"/>
  <c r="J57" i="15"/>
  <c r="I57" i="15"/>
  <c r="H57" i="15"/>
  <c r="S56" i="15"/>
  <c r="R56" i="15"/>
  <c r="M56" i="15"/>
  <c r="L56" i="15"/>
  <c r="K56" i="15"/>
  <c r="J56" i="15"/>
  <c r="I56" i="15"/>
  <c r="H56" i="15"/>
  <c r="S55" i="15"/>
  <c r="R55" i="15"/>
  <c r="M55" i="15"/>
  <c r="L55" i="15"/>
  <c r="K55" i="15"/>
  <c r="J55" i="15"/>
  <c r="I55" i="15"/>
  <c r="H55" i="15"/>
  <c r="S54" i="15"/>
  <c r="R54" i="15"/>
  <c r="M54" i="15"/>
  <c r="L54" i="15"/>
  <c r="K54" i="15"/>
  <c r="J54" i="15"/>
  <c r="I54" i="15"/>
  <c r="H54" i="15"/>
  <c r="S53" i="15"/>
  <c r="R53" i="15"/>
  <c r="M53" i="15"/>
  <c r="L53" i="15"/>
  <c r="K53" i="15"/>
  <c r="J53" i="15"/>
  <c r="I53" i="15"/>
  <c r="H53" i="15"/>
  <c r="S52" i="15"/>
  <c r="R52" i="15"/>
  <c r="M52" i="15"/>
  <c r="L52" i="15"/>
  <c r="K52" i="15"/>
  <c r="J52" i="15"/>
  <c r="I52" i="15"/>
  <c r="H52" i="15"/>
  <c r="S51" i="15"/>
  <c r="R51" i="15"/>
  <c r="M51" i="15"/>
  <c r="L51" i="15"/>
  <c r="K51" i="15"/>
  <c r="J51" i="15"/>
  <c r="I51" i="15"/>
  <c r="H51" i="15"/>
  <c r="S50" i="15"/>
  <c r="R50" i="15"/>
  <c r="M50" i="15"/>
  <c r="L50" i="15"/>
  <c r="K50" i="15"/>
  <c r="J50" i="15"/>
  <c r="I50" i="15"/>
  <c r="H50" i="15"/>
  <c r="S49" i="15"/>
  <c r="R49" i="15"/>
  <c r="M49" i="15"/>
  <c r="L49" i="15"/>
  <c r="K49" i="15"/>
  <c r="J49" i="15"/>
  <c r="I49" i="15"/>
  <c r="H49" i="15"/>
  <c r="S48" i="15"/>
  <c r="R48" i="15"/>
  <c r="M48" i="15"/>
  <c r="L48" i="15"/>
  <c r="K48" i="15"/>
  <c r="J48" i="15"/>
  <c r="I48" i="15"/>
  <c r="H48" i="15"/>
  <c r="S47" i="15"/>
  <c r="R47" i="15"/>
  <c r="M47" i="15"/>
  <c r="L47" i="15"/>
  <c r="K47" i="15"/>
  <c r="J47" i="15"/>
  <c r="I47" i="15"/>
  <c r="H47" i="15"/>
  <c r="S46" i="15"/>
  <c r="R46" i="15"/>
  <c r="M46" i="15"/>
  <c r="L46" i="15"/>
  <c r="K46" i="15"/>
  <c r="J46" i="15"/>
  <c r="I46" i="15"/>
  <c r="H46" i="15"/>
  <c r="S45" i="15"/>
  <c r="R45" i="15"/>
  <c r="M45" i="15"/>
  <c r="L45" i="15"/>
  <c r="K45" i="15"/>
  <c r="J45" i="15"/>
  <c r="I45" i="15"/>
  <c r="H45" i="15"/>
  <c r="S44" i="15"/>
  <c r="R44" i="15"/>
  <c r="M44" i="15"/>
  <c r="L44" i="15"/>
  <c r="K44" i="15"/>
  <c r="J44" i="15"/>
  <c r="I44" i="15"/>
  <c r="H44" i="15"/>
  <c r="S43" i="15"/>
  <c r="R43" i="15"/>
  <c r="M43" i="15"/>
  <c r="L43" i="15"/>
  <c r="K43" i="15"/>
  <c r="J43" i="15"/>
  <c r="I43" i="15"/>
  <c r="H43" i="15"/>
  <c r="S42" i="15"/>
  <c r="R42" i="15"/>
  <c r="M42" i="15"/>
  <c r="L42" i="15"/>
  <c r="K42" i="15"/>
  <c r="J42" i="15"/>
  <c r="I42" i="15"/>
  <c r="H42" i="15"/>
  <c r="S41" i="15"/>
  <c r="R41" i="15"/>
  <c r="M41" i="15"/>
  <c r="L41" i="15"/>
  <c r="K41" i="15"/>
  <c r="J41" i="15"/>
  <c r="I41" i="15"/>
  <c r="H41" i="15"/>
  <c r="S40" i="15"/>
  <c r="R40" i="15"/>
  <c r="M40" i="15"/>
  <c r="L40" i="15"/>
  <c r="K40" i="15"/>
  <c r="J40" i="15"/>
  <c r="I40" i="15"/>
  <c r="H40" i="15"/>
  <c r="S39" i="15"/>
  <c r="R39" i="15"/>
  <c r="M39" i="15"/>
  <c r="L39" i="15"/>
  <c r="K39" i="15"/>
  <c r="J39" i="15"/>
  <c r="I39" i="15"/>
  <c r="H39" i="15"/>
  <c r="S38" i="15"/>
  <c r="R38" i="15"/>
  <c r="M38" i="15"/>
  <c r="L38" i="15"/>
  <c r="K38" i="15"/>
  <c r="J38" i="15"/>
  <c r="I38" i="15"/>
  <c r="H38" i="15"/>
  <c r="S37" i="15"/>
  <c r="R37" i="15"/>
  <c r="M37" i="15"/>
  <c r="L37" i="15"/>
  <c r="K37" i="15"/>
  <c r="J37" i="15"/>
  <c r="I37" i="15"/>
  <c r="H37" i="15"/>
  <c r="S36" i="15"/>
  <c r="R36" i="15"/>
  <c r="M36" i="15"/>
  <c r="L36" i="15"/>
  <c r="K36" i="15"/>
  <c r="J36" i="15"/>
  <c r="I36" i="15"/>
  <c r="H36" i="15"/>
  <c r="S35" i="15"/>
  <c r="R35" i="15"/>
  <c r="M35" i="15"/>
  <c r="L35" i="15"/>
  <c r="K35" i="15"/>
  <c r="J35" i="15"/>
  <c r="I35" i="15"/>
  <c r="H35" i="15"/>
  <c r="S34" i="15"/>
  <c r="R34" i="15"/>
  <c r="M34" i="15"/>
  <c r="L34" i="15"/>
  <c r="K34" i="15"/>
  <c r="J34" i="15"/>
  <c r="I34" i="15"/>
  <c r="H34" i="15"/>
  <c r="S33" i="15"/>
  <c r="R33" i="15"/>
  <c r="M33" i="15"/>
  <c r="L33" i="15"/>
  <c r="K33" i="15"/>
  <c r="J33" i="15"/>
  <c r="I33" i="15"/>
  <c r="H33" i="15"/>
  <c r="S32" i="15"/>
  <c r="R32" i="15"/>
  <c r="M32" i="15"/>
  <c r="L32" i="15"/>
  <c r="K32" i="15"/>
  <c r="J32" i="15"/>
  <c r="I32" i="15"/>
  <c r="H32" i="15"/>
  <c r="S31" i="15"/>
  <c r="R31" i="15"/>
  <c r="M31" i="15"/>
  <c r="L31" i="15"/>
  <c r="K31" i="15"/>
  <c r="J31" i="15"/>
  <c r="I31" i="15"/>
  <c r="H31" i="15"/>
  <c r="S30" i="15"/>
  <c r="R30" i="15"/>
  <c r="M30" i="15"/>
  <c r="L30" i="15"/>
  <c r="K30" i="15"/>
  <c r="J30" i="15"/>
  <c r="I30" i="15"/>
  <c r="H30" i="15"/>
  <c r="J29" i="15"/>
  <c r="R29" i="15" s="1"/>
  <c r="I29" i="15"/>
  <c r="H29" i="15"/>
  <c r="J28" i="15"/>
  <c r="R28" i="15" s="1"/>
  <c r="I28" i="15"/>
  <c r="H28" i="15"/>
  <c r="I27" i="15"/>
  <c r="J27" i="15" s="1"/>
  <c r="R27" i="15" s="1"/>
  <c r="H27" i="15"/>
  <c r="I26" i="15"/>
  <c r="J26" i="15" s="1"/>
  <c r="R26" i="15" s="1"/>
  <c r="H26" i="15"/>
  <c r="I25" i="15"/>
  <c r="J25" i="15" s="1"/>
  <c r="R25" i="15" s="1"/>
  <c r="H25" i="15"/>
  <c r="I24" i="15"/>
  <c r="J24" i="15" s="1"/>
  <c r="R24" i="15" s="1"/>
  <c r="H24" i="15"/>
  <c r="I23" i="15"/>
  <c r="J23" i="15" s="1"/>
  <c r="R23" i="15" s="1"/>
  <c r="H23" i="15"/>
  <c r="I22" i="15"/>
  <c r="J22" i="15" s="1"/>
  <c r="R22" i="15" s="1"/>
  <c r="H22" i="15"/>
  <c r="I21" i="15"/>
  <c r="J21" i="15" s="1"/>
  <c r="R21" i="15" s="1"/>
  <c r="H21" i="15"/>
  <c r="I20" i="15"/>
  <c r="J20" i="15" s="1"/>
  <c r="R20" i="15" s="1"/>
  <c r="H20" i="15"/>
  <c r="I19" i="15"/>
  <c r="J19" i="15" s="1"/>
  <c r="R19" i="15" s="1"/>
  <c r="H19" i="15"/>
  <c r="J18" i="15"/>
  <c r="R18" i="15" s="1"/>
  <c r="I18" i="15"/>
  <c r="H18" i="15"/>
  <c r="I17" i="15"/>
  <c r="H17" i="15"/>
  <c r="I16" i="15"/>
  <c r="H16" i="15"/>
  <c r="H15" i="15"/>
  <c r="I15" i="15"/>
  <c r="J15" i="15" s="1"/>
  <c r="R15" i="15" s="1"/>
  <c r="I14" i="15"/>
  <c r="H14" i="15"/>
  <c r="I13" i="15"/>
  <c r="H13" i="15"/>
  <c r="H12" i="15"/>
  <c r="I12" i="15"/>
  <c r="J12" i="15" s="1"/>
  <c r="R12" i="15" s="1"/>
  <c r="I11" i="15"/>
  <c r="H11" i="15"/>
  <c r="I10" i="15"/>
  <c r="H10" i="15"/>
  <c r="I9" i="15"/>
  <c r="H9" i="15"/>
  <c r="I8" i="15"/>
  <c r="H8" i="15"/>
  <c r="I7" i="15"/>
  <c r="L7" i="15" s="1"/>
  <c r="H7" i="15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G28" i="14"/>
  <c r="G22" i="14"/>
  <c r="G16" i="14"/>
  <c r="G15" i="14"/>
  <c r="G12" i="14"/>
  <c r="S112" i="14"/>
  <c r="R112" i="14"/>
  <c r="M112" i="14"/>
  <c r="L112" i="14"/>
  <c r="K112" i="14"/>
  <c r="J112" i="14"/>
  <c r="I112" i="14"/>
  <c r="H112" i="14"/>
  <c r="S111" i="14"/>
  <c r="R111" i="14"/>
  <c r="M111" i="14"/>
  <c r="L111" i="14"/>
  <c r="K111" i="14"/>
  <c r="J111" i="14"/>
  <c r="I111" i="14"/>
  <c r="H111" i="14"/>
  <c r="S110" i="14"/>
  <c r="R110" i="14"/>
  <c r="M110" i="14"/>
  <c r="L110" i="14"/>
  <c r="K110" i="14"/>
  <c r="J110" i="14"/>
  <c r="I110" i="14"/>
  <c r="H110" i="14"/>
  <c r="S109" i="14"/>
  <c r="R109" i="14"/>
  <c r="M109" i="14"/>
  <c r="L109" i="14"/>
  <c r="K109" i="14"/>
  <c r="J109" i="14"/>
  <c r="I109" i="14"/>
  <c r="H109" i="14"/>
  <c r="S108" i="14"/>
  <c r="R108" i="14"/>
  <c r="M108" i="14"/>
  <c r="L108" i="14"/>
  <c r="K108" i="14"/>
  <c r="J108" i="14"/>
  <c r="I108" i="14"/>
  <c r="H108" i="14"/>
  <c r="S107" i="14"/>
  <c r="R107" i="14"/>
  <c r="M107" i="14"/>
  <c r="L107" i="14"/>
  <c r="K107" i="14"/>
  <c r="J107" i="14"/>
  <c r="I107" i="14"/>
  <c r="H107" i="14"/>
  <c r="S106" i="14"/>
  <c r="R106" i="14"/>
  <c r="M106" i="14"/>
  <c r="L106" i="14"/>
  <c r="K106" i="14"/>
  <c r="J106" i="14"/>
  <c r="I106" i="14"/>
  <c r="H106" i="14"/>
  <c r="S105" i="14"/>
  <c r="R105" i="14"/>
  <c r="M105" i="14"/>
  <c r="L105" i="14"/>
  <c r="K105" i="14"/>
  <c r="J105" i="14"/>
  <c r="I105" i="14"/>
  <c r="H105" i="14"/>
  <c r="S104" i="14"/>
  <c r="R104" i="14"/>
  <c r="M104" i="14"/>
  <c r="L104" i="14"/>
  <c r="K104" i="14"/>
  <c r="J104" i="14"/>
  <c r="I104" i="14"/>
  <c r="H104" i="14"/>
  <c r="S103" i="14"/>
  <c r="R103" i="14"/>
  <c r="M103" i="14"/>
  <c r="L103" i="14"/>
  <c r="K103" i="14"/>
  <c r="J103" i="14"/>
  <c r="I103" i="14"/>
  <c r="H103" i="14"/>
  <c r="S102" i="14"/>
  <c r="R102" i="14"/>
  <c r="M102" i="14"/>
  <c r="L102" i="14"/>
  <c r="K102" i="14"/>
  <c r="J102" i="14"/>
  <c r="I102" i="14"/>
  <c r="H102" i="14"/>
  <c r="S101" i="14"/>
  <c r="R101" i="14"/>
  <c r="M101" i="14"/>
  <c r="L101" i="14"/>
  <c r="K101" i="14"/>
  <c r="J101" i="14"/>
  <c r="I101" i="14"/>
  <c r="H101" i="14"/>
  <c r="S100" i="14"/>
  <c r="R100" i="14"/>
  <c r="M100" i="14"/>
  <c r="L100" i="14"/>
  <c r="K100" i="14"/>
  <c r="J100" i="14"/>
  <c r="I100" i="14"/>
  <c r="H100" i="14"/>
  <c r="S99" i="14"/>
  <c r="R99" i="14"/>
  <c r="M99" i="14"/>
  <c r="L99" i="14"/>
  <c r="K99" i="14"/>
  <c r="J99" i="14"/>
  <c r="I99" i="14"/>
  <c r="H99" i="14"/>
  <c r="S98" i="14"/>
  <c r="R98" i="14"/>
  <c r="M98" i="14"/>
  <c r="L98" i="14"/>
  <c r="K98" i="14"/>
  <c r="J98" i="14"/>
  <c r="I98" i="14"/>
  <c r="H98" i="14"/>
  <c r="S97" i="14"/>
  <c r="R97" i="14"/>
  <c r="M97" i="14"/>
  <c r="L97" i="14"/>
  <c r="K97" i="14"/>
  <c r="J97" i="14"/>
  <c r="I97" i="14"/>
  <c r="H97" i="14"/>
  <c r="S96" i="14"/>
  <c r="R96" i="14"/>
  <c r="M96" i="14"/>
  <c r="L96" i="14"/>
  <c r="K96" i="14"/>
  <c r="J96" i="14"/>
  <c r="I96" i="14"/>
  <c r="H96" i="14"/>
  <c r="S95" i="14"/>
  <c r="R95" i="14"/>
  <c r="M95" i="14"/>
  <c r="L95" i="14"/>
  <c r="K95" i="14"/>
  <c r="J95" i="14"/>
  <c r="I95" i="14"/>
  <c r="H95" i="14"/>
  <c r="S94" i="14"/>
  <c r="R94" i="14"/>
  <c r="M94" i="14"/>
  <c r="L94" i="14"/>
  <c r="K94" i="14"/>
  <c r="J94" i="14"/>
  <c r="I94" i="14"/>
  <c r="H94" i="14"/>
  <c r="S93" i="14"/>
  <c r="R93" i="14"/>
  <c r="M93" i="14"/>
  <c r="L93" i="14"/>
  <c r="K93" i="14"/>
  <c r="J93" i="14"/>
  <c r="I93" i="14"/>
  <c r="H93" i="14"/>
  <c r="S92" i="14"/>
  <c r="R92" i="14"/>
  <c r="M92" i="14"/>
  <c r="L92" i="14"/>
  <c r="K92" i="14"/>
  <c r="J92" i="14"/>
  <c r="I92" i="14"/>
  <c r="H92" i="14"/>
  <c r="S91" i="14"/>
  <c r="R91" i="14"/>
  <c r="M91" i="14"/>
  <c r="L91" i="14"/>
  <c r="K91" i="14"/>
  <c r="J91" i="14"/>
  <c r="I91" i="14"/>
  <c r="H91" i="14"/>
  <c r="S90" i="14"/>
  <c r="R90" i="14"/>
  <c r="M90" i="14"/>
  <c r="L90" i="14"/>
  <c r="K90" i="14"/>
  <c r="J90" i="14"/>
  <c r="I90" i="14"/>
  <c r="H90" i="14"/>
  <c r="S89" i="14"/>
  <c r="R89" i="14"/>
  <c r="M89" i="14"/>
  <c r="L89" i="14"/>
  <c r="K89" i="14"/>
  <c r="J89" i="14"/>
  <c r="I89" i="14"/>
  <c r="H89" i="14"/>
  <c r="S88" i="14"/>
  <c r="R88" i="14"/>
  <c r="M88" i="14"/>
  <c r="L88" i="14"/>
  <c r="K88" i="14"/>
  <c r="J88" i="14"/>
  <c r="I88" i="14"/>
  <c r="H88" i="14"/>
  <c r="S87" i="14"/>
  <c r="R87" i="14"/>
  <c r="M87" i="14"/>
  <c r="L87" i="14"/>
  <c r="K87" i="14"/>
  <c r="J87" i="14"/>
  <c r="I87" i="14"/>
  <c r="H87" i="14"/>
  <c r="S86" i="14"/>
  <c r="R86" i="14"/>
  <c r="M86" i="14"/>
  <c r="L86" i="14"/>
  <c r="K86" i="14"/>
  <c r="J86" i="14"/>
  <c r="I86" i="14"/>
  <c r="H86" i="14"/>
  <c r="S85" i="14"/>
  <c r="R85" i="14"/>
  <c r="M85" i="14"/>
  <c r="L85" i="14"/>
  <c r="K85" i="14"/>
  <c r="J85" i="14"/>
  <c r="I85" i="14"/>
  <c r="H85" i="14"/>
  <c r="S84" i="14"/>
  <c r="R84" i="14"/>
  <c r="M84" i="14"/>
  <c r="L84" i="14"/>
  <c r="K84" i="14"/>
  <c r="J84" i="14"/>
  <c r="I84" i="14"/>
  <c r="H84" i="14"/>
  <c r="S83" i="14"/>
  <c r="R83" i="14"/>
  <c r="M83" i="14"/>
  <c r="L83" i="14"/>
  <c r="K83" i="14"/>
  <c r="J83" i="14"/>
  <c r="I83" i="14"/>
  <c r="H83" i="14"/>
  <c r="S82" i="14"/>
  <c r="R82" i="14"/>
  <c r="M82" i="14"/>
  <c r="L82" i="14"/>
  <c r="K82" i="14"/>
  <c r="J82" i="14"/>
  <c r="I82" i="14"/>
  <c r="H82" i="14"/>
  <c r="S81" i="14"/>
  <c r="R81" i="14"/>
  <c r="M81" i="14"/>
  <c r="L81" i="14"/>
  <c r="K81" i="14"/>
  <c r="J81" i="14"/>
  <c r="I81" i="14"/>
  <c r="H81" i="14"/>
  <c r="S80" i="14"/>
  <c r="R80" i="14"/>
  <c r="M80" i="14"/>
  <c r="L80" i="14"/>
  <c r="K80" i="14"/>
  <c r="J80" i="14"/>
  <c r="I80" i="14"/>
  <c r="H80" i="14"/>
  <c r="S79" i="14"/>
  <c r="R79" i="14"/>
  <c r="M79" i="14"/>
  <c r="L79" i="14"/>
  <c r="K79" i="14"/>
  <c r="J79" i="14"/>
  <c r="I79" i="14"/>
  <c r="H79" i="14"/>
  <c r="S78" i="14"/>
  <c r="R78" i="14"/>
  <c r="M78" i="14"/>
  <c r="L78" i="14"/>
  <c r="K78" i="14"/>
  <c r="J78" i="14"/>
  <c r="I78" i="14"/>
  <c r="H78" i="14"/>
  <c r="S77" i="14"/>
  <c r="R77" i="14"/>
  <c r="M77" i="14"/>
  <c r="L77" i="14"/>
  <c r="K77" i="14"/>
  <c r="J77" i="14"/>
  <c r="I77" i="14"/>
  <c r="H77" i="14"/>
  <c r="S76" i="14"/>
  <c r="R76" i="14"/>
  <c r="M76" i="14"/>
  <c r="L76" i="14"/>
  <c r="K76" i="14"/>
  <c r="J76" i="14"/>
  <c r="I76" i="14"/>
  <c r="H76" i="14"/>
  <c r="S75" i="14"/>
  <c r="R75" i="14"/>
  <c r="M75" i="14"/>
  <c r="L75" i="14"/>
  <c r="K75" i="14"/>
  <c r="J75" i="14"/>
  <c r="I75" i="14"/>
  <c r="H75" i="14"/>
  <c r="S74" i="14"/>
  <c r="R74" i="14"/>
  <c r="M74" i="14"/>
  <c r="L74" i="14"/>
  <c r="K74" i="14"/>
  <c r="J74" i="14"/>
  <c r="I74" i="14"/>
  <c r="H74" i="14"/>
  <c r="S73" i="14"/>
  <c r="R73" i="14"/>
  <c r="M73" i="14"/>
  <c r="L73" i="14"/>
  <c r="K73" i="14"/>
  <c r="J73" i="14"/>
  <c r="I73" i="14"/>
  <c r="H73" i="14"/>
  <c r="S72" i="14"/>
  <c r="R72" i="14"/>
  <c r="M72" i="14"/>
  <c r="L72" i="14"/>
  <c r="K72" i="14"/>
  <c r="J72" i="14"/>
  <c r="I72" i="14"/>
  <c r="H72" i="14"/>
  <c r="S71" i="14"/>
  <c r="R71" i="14"/>
  <c r="M71" i="14"/>
  <c r="L71" i="14"/>
  <c r="K71" i="14"/>
  <c r="J71" i="14"/>
  <c r="I71" i="14"/>
  <c r="H71" i="14"/>
  <c r="S70" i="14"/>
  <c r="R70" i="14"/>
  <c r="M70" i="14"/>
  <c r="L70" i="14"/>
  <c r="K70" i="14"/>
  <c r="J70" i="14"/>
  <c r="I70" i="14"/>
  <c r="H70" i="14"/>
  <c r="S69" i="14"/>
  <c r="R69" i="14"/>
  <c r="M69" i="14"/>
  <c r="L69" i="14"/>
  <c r="K69" i="14"/>
  <c r="J69" i="14"/>
  <c r="I69" i="14"/>
  <c r="H69" i="14"/>
  <c r="S68" i="14"/>
  <c r="R68" i="14"/>
  <c r="M68" i="14"/>
  <c r="L68" i="14"/>
  <c r="K68" i="14"/>
  <c r="J68" i="14"/>
  <c r="I68" i="14"/>
  <c r="H68" i="14"/>
  <c r="S67" i="14"/>
  <c r="R67" i="14"/>
  <c r="M67" i="14"/>
  <c r="L67" i="14"/>
  <c r="K67" i="14"/>
  <c r="J67" i="14"/>
  <c r="I67" i="14"/>
  <c r="H67" i="14"/>
  <c r="S66" i="14"/>
  <c r="R66" i="14"/>
  <c r="M66" i="14"/>
  <c r="L66" i="14"/>
  <c r="K66" i="14"/>
  <c r="J66" i="14"/>
  <c r="I66" i="14"/>
  <c r="H66" i="14"/>
  <c r="S65" i="14"/>
  <c r="R65" i="14"/>
  <c r="M65" i="14"/>
  <c r="L65" i="14"/>
  <c r="K65" i="14"/>
  <c r="J65" i="14"/>
  <c r="I65" i="14"/>
  <c r="H65" i="14"/>
  <c r="S64" i="14"/>
  <c r="R64" i="14"/>
  <c r="M64" i="14"/>
  <c r="L64" i="14"/>
  <c r="K64" i="14"/>
  <c r="J64" i="14"/>
  <c r="I64" i="14"/>
  <c r="H64" i="14"/>
  <c r="S63" i="14"/>
  <c r="R63" i="14"/>
  <c r="M63" i="14"/>
  <c r="L63" i="14"/>
  <c r="K63" i="14"/>
  <c r="J63" i="14"/>
  <c r="I63" i="14"/>
  <c r="H63" i="14"/>
  <c r="S62" i="14"/>
  <c r="R62" i="14"/>
  <c r="M62" i="14"/>
  <c r="L62" i="14"/>
  <c r="K62" i="14"/>
  <c r="J62" i="14"/>
  <c r="I62" i="14"/>
  <c r="H62" i="14"/>
  <c r="S61" i="14"/>
  <c r="R61" i="14"/>
  <c r="M61" i="14"/>
  <c r="L61" i="14"/>
  <c r="K61" i="14"/>
  <c r="J61" i="14"/>
  <c r="I61" i="14"/>
  <c r="H61" i="14"/>
  <c r="S60" i="14"/>
  <c r="R60" i="14"/>
  <c r="M60" i="14"/>
  <c r="L60" i="14"/>
  <c r="K60" i="14"/>
  <c r="J60" i="14"/>
  <c r="I60" i="14"/>
  <c r="H60" i="14"/>
  <c r="S59" i="14"/>
  <c r="R59" i="14"/>
  <c r="M59" i="14"/>
  <c r="L59" i="14"/>
  <c r="K59" i="14"/>
  <c r="J59" i="14"/>
  <c r="I59" i="14"/>
  <c r="H59" i="14"/>
  <c r="S58" i="14"/>
  <c r="R58" i="14"/>
  <c r="M58" i="14"/>
  <c r="L58" i="14"/>
  <c r="K58" i="14"/>
  <c r="J58" i="14"/>
  <c r="I58" i="14"/>
  <c r="H58" i="14"/>
  <c r="S57" i="14"/>
  <c r="R57" i="14"/>
  <c r="M57" i="14"/>
  <c r="L57" i="14"/>
  <c r="K57" i="14"/>
  <c r="J57" i="14"/>
  <c r="I57" i="14"/>
  <c r="H57" i="14"/>
  <c r="S56" i="14"/>
  <c r="R56" i="14"/>
  <c r="M56" i="14"/>
  <c r="L56" i="14"/>
  <c r="K56" i="14"/>
  <c r="J56" i="14"/>
  <c r="I56" i="14"/>
  <c r="H56" i="14"/>
  <c r="S55" i="14"/>
  <c r="R55" i="14"/>
  <c r="M55" i="14"/>
  <c r="L55" i="14"/>
  <c r="K55" i="14"/>
  <c r="J55" i="14"/>
  <c r="I55" i="14"/>
  <c r="H55" i="14"/>
  <c r="S54" i="14"/>
  <c r="R54" i="14"/>
  <c r="M54" i="14"/>
  <c r="L54" i="14"/>
  <c r="K54" i="14"/>
  <c r="J54" i="14"/>
  <c r="I54" i="14"/>
  <c r="H54" i="14"/>
  <c r="S53" i="14"/>
  <c r="R53" i="14"/>
  <c r="M53" i="14"/>
  <c r="L53" i="14"/>
  <c r="K53" i="14"/>
  <c r="J53" i="14"/>
  <c r="I53" i="14"/>
  <c r="H53" i="14"/>
  <c r="S52" i="14"/>
  <c r="R52" i="14"/>
  <c r="M52" i="14"/>
  <c r="L52" i="14"/>
  <c r="K52" i="14"/>
  <c r="J52" i="14"/>
  <c r="I52" i="14"/>
  <c r="H52" i="14"/>
  <c r="S51" i="14"/>
  <c r="R51" i="14"/>
  <c r="M51" i="14"/>
  <c r="L51" i="14"/>
  <c r="K51" i="14"/>
  <c r="J51" i="14"/>
  <c r="I51" i="14"/>
  <c r="H51" i="14"/>
  <c r="S50" i="14"/>
  <c r="R50" i="14"/>
  <c r="M50" i="14"/>
  <c r="L50" i="14"/>
  <c r="K50" i="14"/>
  <c r="J50" i="14"/>
  <c r="I50" i="14"/>
  <c r="H50" i="14"/>
  <c r="S49" i="14"/>
  <c r="R49" i="14"/>
  <c r="M49" i="14"/>
  <c r="L49" i="14"/>
  <c r="K49" i="14"/>
  <c r="J49" i="14"/>
  <c r="I49" i="14"/>
  <c r="H49" i="14"/>
  <c r="S48" i="14"/>
  <c r="R48" i="14"/>
  <c r="M48" i="14"/>
  <c r="L48" i="14"/>
  <c r="K48" i="14"/>
  <c r="J48" i="14"/>
  <c r="I48" i="14"/>
  <c r="H48" i="14"/>
  <c r="S47" i="14"/>
  <c r="R47" i="14"/>
  <c r="M47" i="14"/>
  <c r="L47" i="14"/>
  <c r="K47" i="14"/>
  <c r="J47" i="14"/>
  <c r="I47" i="14"/>
  <c r="H47" i="14"/>
  <c r="S46" i="14"/>
  <c r="R46" i="14"/>
  <c r="M46" i="14"/>
  <c r="L46" i="14"/>
  <c r="K46" i="14"/>
  <c r="J46" i="14"/>
  <c r="I46" i="14"/>
  <c r="H46" i="14"/>
  <c r="S45" i="14"/>
  <c r="R45" i="14"/>
  <c r="M45" i="14"/>
  <c r="L45" i="14"/>
  <c r="K45" i="14"/>
  <c r="J45" i="14"/>
  <c r="I45" i="14"/>
  <c r="H45" i="14"/>
  <c r="S44" i="14"/>
  <c r="R44" i="14"/>
  <c r="M44" i="14"/>
  <c r="L44" i="14"/>
  <c r="K44" i="14"/>
  <c r="J44" i="14"/>
  <c r="I44" i="14"/>
  <c r="H44" i="14"/>
  <c r="S43" i="14"/>
  <c r="R43" i="14"/>
  <c r="M43" i="14"/>
  <c r="L43" i="14"/>
  <c r="K43" i="14"/>
  <c r="J43" i="14"/>
  <c r="I43" i="14"/>
  <c r="H43" i="14"/>
  <c r="S42" i="14"/>
  <c r="R42" i="14"/>
  <c r="M42" i="14"/>
  <c r="L42" i="14"/>
  <c r="K42" i="14"/>
  <c r="J42" i="14"/>
  <c r="I42" i="14"/>
  <c r="H42" i="14"/>
  <c r="S41" i="14"/>
  <c r="R41" i="14"/>
  <c r="M41" i="14"/>
  <c r="L41" i="14"/>
  <c r="K41" i="14"/>
  <c r="J41" i="14"/>
  <c r="I41" i="14"/>
  <c r="H41" i="14"/>
  <c r="S40" i="14"/>
  <c r="R40" i="14"/>
  <c r="M40" i="14"/>
  <c r="L40" i="14"/>
  <c r="K40" i="14"/>
  <c r="J40" i="14"/>
  <c r="I40" i="14"/>
  <c r="H40" i="14"/>
  <c r="S39" i="14"/>
  <c r="R39" i="14"/>
  <c r="M39" i="14"/>
  <c r="L39" i="14"/>
  <c r="K39" i="14"/>
  <c r="J39" i="14"/>
  <c r="I39" i="14"/>
  <c r="H39" i="14"/>
  <c r="S38" i="14"/>
  <c r="R38" i="14"/>
  <c r="M38" i="14"/>
  <c r="L38" i="14"/>
  <c r="K38" i="14"/>
  <c r="J38" i="14"/>
  <c r="I38" i="14"/>
  <c r="H38" i="14"/>
  <c r="S37" i="14"/>
  <c r="R37" i="14"/>
  <c r="M37" i="14"/>
  <c r="L37" i="14"/>
  <c r="K37" i="14"/>
  <c r="J37" i="14"/>
  <c r="I37" i="14"/>
  <c r="H37" i="14"/>
  <c r="S36" i="14"/>
  <c r="R36" i="14"/>
  <c r="M36" i="14"/>
  <c r="L36" i="14"/>
  <c r="K36" i="14"/>
  <c r="J36" i="14"/>
  <c r="I36" i="14"/>
  <c r="H36" i="14"/>
  <c r="S35" i="14"/>
  <c r="R35" i="14"/>
  <c r="M35" i="14"/>
  <c r="L35" i="14"/>
  <c r="K35" i="14"/>
  <c r="J35" i="14"/>
  <c r="I35" i="14"/>
  <c r="H35" i="14"/>
  <c r="S34" i="14"/>
  <c r="R34" i="14"/>
  <c r="M34" i="14"/>
  <c r="L34" i="14"/>
  <c r="K34" i="14"/>
  <c r="J34" i="14"/>
  <c r="I34" i="14"/>
  <c r="H34" i="14"/>
  <c r="S33" i="14"/>
  <c r="R33" i="14"/>
  <c r="M33" i="14"/>
  <c r="L33" i="14"/>
  <c r="K33" i="14"/>
  <c r="J33" i="14"/>
  <c r="I33" i="14"/>
  <c r="H33" i="14"/>
  <c r="S32" i="14"/>
  <c r="R32" i="14"/>
  <c r="M32" i="14"/>
  <c r="L32" i="14"/>
  <c r="K32" i="14"/>
  <c r="J32" i="14"/>
  <c r="I32" i="14"/>
  <c r="H32" i="14"/>
  <c r="S31" i="14"/>
  <c r="R31" i="14"/>
  <c r="M31" i="14"/>
  <c r="L31" i="14"/>
  <c r="K31" i="14"/>
  <c r="J31" i="14"/>
  <c r="I31" i="14"/>
  <c r="H31" i="14"/>
  <c r="S30" i="14"/>
  <c r="R30" i="14"/>
  <c r="M30" i="14"/>
  <c r="L30" i="14"/>
  <c r="K30" i="14"/>
  <c r="J30" i="14"/>
  <c r="I30" i="14"/>
  <c r="H30" i="14"/>
  <c r="I29" i="14"/>
  <c r="J29" i="14" s="1"/>
  <c r="R29" i="14" s="1"/>
  <c r="H29" i="14"/>
  <c r="J28" i="14"/>
  <c r="R28" i="14" s="1"/>
  <c r="I28" i="14"/>
  <c r="H28" i="14"/>
  <c r="I27" i="14"/>
  <c r="H27" i="14"/>
  <c r="I26" i="14"/>
  <c r="J26" i="14" s="1"/>
  <c r="R26" i="14" s="1"/>
  <c r="H26" i="14"/>
  <c r="I25" i="14"/>
  <c r="H25" i="14"/>
  <c r="I24" i="14"/>
  <c r="H24" i="14"/>
  <c r="J23" i="14"/>
  <c r="R23" i="14" s="1"/>
  <c r="I23" i="14"/>
  <c r="H23" i="14"/>
  <c r="I22" i="14"/>
  <c r="H22" i="14"/>
  <c r="I21" i="14"/>
  <c r="H21" i="14"/>
  <c r="I20" i="14"/>
  <c r="J20" i="14" s="1"/>
  <c r="R20" i="14" s="1"/>
  <c r="H20" i="14"/>
  <c r="I19" i="14"/>
  <c r="J19" i="14" s="1"/>
  <c r="R19" i="14" s="1"/>
  <c r="H19" i="14"/>
  <c r="I18" i="14"/>
  <c r="H18" i="14"/>
  <c r="I17" i="14"/>
  <c r="J17" i="14" s="1"/>
  <c r="R17" i="14" s="1"/>
  <c r="H17" i="14"/>
  <c r="H16" i="14"/>
  <c r="I16" i="14"/>
  <c r="J16" i="14" s="1"/>
  <c r="R16" i="14" s="1"/>
  <c r="I15" i="14"/>
  <c r="H15" i="14"/>
  <c r="H14" i="14"/>
  <c r="I14" i="14"/>
  <c r="J14" i="14" s="1"/>
  <c r="R14" i="14" s="1"/>
  <c r="I13" i="14"/>
  <c r="J13" i="14" s="1"/>
  <c r="R13" i="14" s="1"/>
  <c r="H13" i="14"/>
  <c r="I12" i="14"/>
  <c r="H12" i="14"/>
  <c r="I11" i="14"/>
  <c r="H11" i="14"/>
  <c r="I10" i="14"/>
  <c r="H10" i="14"/>
  <c r="I9" i="14"/>
  <c r="H9" i="14"/>
  <c r="I8" i="14"/>
  <c r="H8" i="14"/>
  <c r="I7" i="14"/>
  <c r="L7" i="14" s="1"/>
  <c r="H7" i="14"/>
  <c r="K7" i="14" s="1"/>
  <c r="G16" i="13"/>
  <c r="G14" i="13"/>
  <c r="S112" i="13"/>
  <c r="R112" i="13"/>
  <c r="M112" i="13"/>
  <c r="L112" i="13"/>
  <c r="K112" i="13"/>
  <c r="J112" i="13"/>
  <c r="I112" i="13"/>
  <c r="H112" i="13"/>
  <c r="S111" i="13"/>
  <c r="R111" i="13"/>
  <c r="M111" i="13"/>
  <c r="L111" i="13"/>
  <c r="K111" i="13"/>
  <c r="J111" i="13"/>
  <c r="I111" i="13"/>
  <c r="H111" i="13"/>
  <c r="S110" i="13"/>
  <c r="R110" i="13"/>
  <c r="M110" i="13"/>
  <c r="L110" i="13"/>
  <c r="K110" i="13"/>
  <c r="J110" i="13"/>
  <c r="I110" i="13"/>
  <c r="H110" i="13"/>
  <c r="S109" i="13"/>
  <c r="R109" i="13"/>
  <c r="M109" i="13"/>
  <c r="L109" i="13"/>
  <c r="K109" i="13"/>
  <c r="J109" i="13"/>
  <c r="I109" i="13"/>
  <c r="H109" i="13"/>
  <c r="S108" i="13"/>
  <c r="R108" i="13"/>
  <c r="M108" i="13"/>
  <c r="L108" i="13"/>
  <c r="K108" i="13"/>
  <c r="J108" i="13"/>
  <c r="I108" i="13"/>
  <c r="H108" i="13"/>
  <c r="S107" i="13"/>
  <c r="R107" i="13"/>
  <c r="M107" i="13"/>
  <c r="L107" i="13"/>
  <c r="K107" i="13"/>
  <c r="J107" i="13"/>
  <c r="I107" i="13"/>
  <c r="H107" i="13"/>
  <c r="S106" i="13"/>
  <c r="R106" i="13"/>
  <c r="M106" i="13"/>
  <c r="L106" i="13"/>
  <c r="K106" i="13"/>
  <c r="J106" i="13"/>
  <c r="I106" i="13"/>
  <c r="H106" i="13"/>
  <c r="S105" i="13"/>
  <c r="R105" i="13"/>
  <c r="M105" i="13"/>
  <c r="L105" i="13"/>
  <c r="K105" i="13"/>
  <c r="J105" i="13"/>
  <c r="I105" i="13"/>
  <c r="H105" i="13"/>
  <c r="S104" i="13"/>
  <c r="R104" i="13"/>
  <c r="M104" i="13"/>
  <c r="L104" i="13"/>
  <c r="K104" i="13"/>
  <c r="J104" i="13"/>
  <c r="I104" i="13"/>
  <c r="H104" i="13"/>
  <c r="S103" i="13"/>
  <c r="R103" i="13"/>
  <c r="M103" i="13"/>
  <c r="L103" i="13"/>
  <c r="K103" i="13"/>
  <c r="J103" i="13"/>
  <c r="I103" i="13"/>
  <c r="H103" i="13"/>
  <c r="S102" i="13"/>
  <c r="R102" i="13"/>
  <c r="M102" i="13"/>
  <c r="L102" i="13"/>
  <c r="K102" i="13"/>
  <c r="J102" i="13"/>
  <c r="I102" i="13"/>
  <c r="H102" i="13"/>
  <c r="S101" i="13"/>
  <c r="R101" i="13"/>
  <c r="M101" i="13"/>
  <c r="L101" i="13"/>
  <c r="K101" i="13"/>
  <c r="J101" i="13"/>
  <c r="I101" i="13"/>
  <c r="H101" i="13"/>
  <c r="S100" i="13"/>
  <c r="R100" i="13"/>
  <c r="M100" i="13"/>
  <c r="L100" i="13"/>
  <c r="K100" i="13"/>
  <c r="J100" i="13"/>
  <c r="I100" i="13"/>
  <c r="H100" i="13"/>
  <c r="S99" i="13"/>
  <c r="R99" i="13"/>
  <c r="M99" i="13"/>
  <c r="L99" i="13"/>
  <c r="K99" i="13"/>
  <c r="J99" i="13"/>
  <c r="I99" i="13"/>
  <c r="H99" i="13"/>
  <c r="S98" i="13"/>
  <c r="R98" i="13"/>
  <c r="M98" i="13"/>
  <c r="L98" i="13"/>
  <c r="K98" i="13"/>
  <c r="J98" i="13"/>
  <c r="I98" i="13"/>
  <c r="H98" i="13"/>
  <c r="S97" i="13"/>
  <c r="R97" i="13"/>
  <c r="M97" i="13"/>
  <c r="L97" i="13"/>
  <c r="K97" i="13"/>
  <c r="J97" i="13"/>
  <c r="I97" i="13"/>
  <c r="H97" i="13"/>
  <c r="S96" i="13"/>
  <c r="R96" i="13"/>
  <c r="M96" i="13"/>
  <c r="L96" i="13"/>
  <c r="K96" i="13"/>
  <c r="J96" i="13"/>
  <c r="I96" i="13"/>
  <c r="H96" i="13"/>
  <c r="S95" i="13"/>
  <c r="R95" i="13"/>
  <c r="M95" i="13"/>
  <c r="L95" i="13"/>
  <c r="K95" i="13"/>
  <c r="J95" i="13"/>
  <c r="I95" i="13"/>
  <c r="H95" i="13"/>
  <c r="S94" i="13"/>
  <c r="R94" i="13"/>
  <c r="M94" i="13"/>
  <c r="L94" i="13"/>
  <c r="K94" i="13"/>
  <c r="J94" i="13"/>
  <c r="I94" i="13"/>
  <c r="H94" i="13"/>
  <c r="S93" i="13"/>
  <c r="R93" i="13"/>
  <c r="M93" i="13"/>
  <c r="L93" i="13"/>
  <c r="K93" i="13"/>
  <c r="J93" i="13"/>
  <c r="I93" i="13"/>
  <c r="H93" i="13"/>
  <c r="S92" i="13"/>
  <c r="R92" i="13"/>
  <c r="M92" i="13"/>
  <c r="L92" i="13"/>
  <c r="K92" i="13"/>
  <c r="J92" i="13"/>
  <c r="I92" i="13"/>
  <c r="H92" i="13"/>
  <c r="S91" i="13"/>
  <c r="R91" i="13"/>
  <c r="M91" i="13"/>
  <c r="L91" i="13"/>
  <c r="K91" i="13"/>
  <c r="J91" i="13"/>
  <c r="I91" i="13"/>
  <c r="H91" i="13"/>
  <c r="S90" i="13"/>
  <c r="R90" i="13"/>
  <c r="M90" i="13"/>
  <c r="L90" i="13"/>
  <c r="K90" i="13"/>
  <c r="J90" i="13"/>
  <c r="I90" i="13"/>
  <c r="H90" i="13"/>
  <c r="S89" i="13"/>
  <c r="R89" i="13"/>
  <c r="M89" i="13"/>
  <c r="L89" i="13"/>
  <c r="K89" i="13"/>
  <c r="J89" i="13"/>
  <c r="I89" i="13"/>
  <c r="H89" i="13"/>
  <c r="S88" i="13"/>
  <c r="R88" i="13"/>
  <c r="M88" i="13"/>
  <c r="L88" i="13"/>
  <c r="K88" i="13"/>
  <c r="J88" i="13"/>
  <c r="I88" i="13"/>
  <c r="H88" i="13"/>
  <c r="S87" i="13"/>
  <c r="R87" i="13"/>
  <c r="M87" i="13"/>
  <c r="L87" i="13"/>
  <c r="K87" i="13"/>
  <c r="J87" i="13"/>
  <c r="I87" i="13"/>
  <c r="H87" i="13"/>
  <c r="S86" i="13"/>
  <c r="R86" i="13"/>
  <c r="M86" i="13"/>
  <c r="L86" i="13"/>
  <c r="K86" i="13"/>
  <c r="J86" i="13"/>
  <c r="I86" i="13"/>
  <c r="H86" i="13"/>
  <c r="S85" i="13"/>
  <c r="R85" i="13"/>
  <c r="M85" i="13"/>
  <c r="L85" i="13"/>
  <c r="K85" i="13"/>
  <c r="J85" i="13"/>
  <c r="I85" i="13"/>
  <c r="H85" i="13"/>
  <c r="S84" i="13"/>
  <c r="R84" i="13"/>
  <c r="M84" i="13"/>
  <c r="L84" i="13"/>
  <c r="K84" i="13"/>
  <c r="J84" i="13"/>
  <c r="I84" i="13"/>
  <c r="H84" i="13"/>
  <c r="S83" i="13"/>
  <c r="R83" i="13"/>
  <c r="M83" i="13"/>
  <c r="L83" i="13"/>
  <c r="K83" i="13"/>
  <c r="J83" i="13"/>
  <c r="I83" i="13"/>
  <c r="H83" i="13"/>
  <c r="S82" i="13"/>
  <c r="R82" i="13"/>
  <c r="M82" i="13"/>
  <c r="L82" i="13"/>
  <c r="K82" i="13"/>
  <c r="J82" i="13"/>
  <c r="I82" i="13"/>
  <c r="H82" i="13"/>
  <c r="S81" i="13"/>
  <c r="R81" i="13"/>
  <c r="M81" i="13"/>
  <c r="L81" i="13"/>
  <c r="K81" i="13"/>
  <c r="J81" i="13"/>
  <c r="I81" i="13"/>
  <c r="H81" i="13"/>
  <c r="S80" i="13"/>
  <c r="R80" i="13"/>
  <c r="M80" i="13"/>
  <c r="L80" i="13"/>
  <c r="K80" i="13"/>
  <c r="J80" i="13"/>
  <c r="I80" i="13"/>
  <c r="H80" i="13"/>
  <c r="S79" i="13"/>
  <c r="R79" i="13"/>
  <c r="M79" i="13"/>
  <c r="L79" i="13"/>
  <c r="K79" i="13"/>
  <c r="J79" i="13"/>
  <c r="I79" i="13"/>
  <c r="H79" i="13"/>
  <c r="S78" i="13"/>
  <c r="R78" i="13"/>
  <c r="M78" i="13"/>
  <c r="L78" i="13"/>
  <c r="K78" i="13"/>
  <c r="J78" i="13"/>
  <c r="I78" i="13"/>
  <c r="H78" i="13"/>
  <c r="S77" i="13"/>
  <c r="R77" i="13"/>
  <c r="M77" i="13"/>
  <c r="L77" i="13"/>
  <c r="K77" i="13"/>
  <c r="J77" i="13"/>
  <c r="I77" i="13"/>
  <c r="H77" i="13"/>
  <c r="S76" i="13"/>
  <c r="R76" i="13"/>
  <c r="M76" i="13"/>
  <c r="L76" i="13"/>
  <c r="K76" i="13"/>
  <c r="J76" i="13"/>
  <c r="I76" i="13"/>
  <c r="H76" i="13"/>
  <c r="S75" i="13"/>
  <c r="R75" i="13"/>
  <c r="M75" i="13"/>
  <c r="L75" i="13"/>
  <c r="K75" i="13"/>
  <c r="J75" i="13"/>
  <c r="I75" i="13"/>
  <c r="H75" i="13"/>
  <c r="S74" i="13"/>
  <c r="R74" i="13"/>
  <c r="M74" i="13"/>
  <c r="L74" i="13"/>
  <c r="K74" i="13"/>
  <c r="J74" i="13"/>
  <c r="I74" i="13"/>
  <c r="H74" i="13"/>
  <c r="S73" i="13"/>
  <c r="R73" i="13"/>
  <c r="M73" i="13"/>
  <c r="L73" i="13"/>
  <c r="K73" i="13"/>
  <c r="J73" i="13"/>
  <c r="I73" i="13"/>
  <c r="H73" i="13"/>
  <c r="S72" i="13"/>
  <c r="R72" i="13"/>
  <c r="M72" i="13"/>
  <c r="L72" i="13"/>
  <c r="K72" i="13"/>
  <c r="J72" i="13"/>
  <c r="I72" i="13"/>
  <c r="H72" i="13"/>
  <c r="S71" i="13"/>
  <c r="R71" i="13"/>
  <c r="M71" i="13"/>
  <c r="L71" i="13"/>
  <c r="K71" i="13"/>
  <c r="J71" i="13"/>
  <c r="I71" i="13"/>
  <c r="H71" i="13"/>
  <c r="S70" i="13"/>
  <c r="R70" i="13"/>
  <c r="M70" i="13"/>
  <c r="L70" i="13"/>
  <c r="K70" i="13"/>
  <c r="J70" i="13"/>
  <c r="I70" i="13"/>
  <c r="H70" i="13"/>
  <c r="S69" i="13"/>
  <c r="R69" i="13"/>
  <c r="M69" i="13"/>
  <c r="L69" i="13"/>
  <c r="K69" i="13"/>
  <c r="J69" i="13"/>
  <c r="I69" i="13"/>
  <c r="H69" i="13"/>
  <c r="S68" i="13"/>
  <c r="R68" i="13"/>
  <c r="M68" i="13"/>
  <c r="L68" i="13"/>
  <c r="K68" i="13"/>
  <c r="J68" i="13"/>
  <c r="I68" i="13"/>
  <c r="H68" i="13"/>
  <c r="S67" i="13"/>
  <c r="R67" i="13"/>
  <c r="M67" i="13"/>
  <c r="L67" i="13"/>
  <c r="K67" i="13"/>
  <c r="J67" i="13"/>
  <c r="I67" i="13"/>
  <c r="H67" i="13"/>
  <c r="S66" i="13"/>
  <c r="R66" i="13"/>
  <c r="M66" i="13"/>
  <c r="L66" i="13"/>
  <c r="K66" i="13"/>
  <c r="J66" i="13"/>
  <c r="I66" i="13"/>
  <c r="H66" i="13"/>
  <c r="S65" i="13"/>
  <c r="R65" i="13"/>
  <c r="M65" i="13"/>
  <c r="L65" i="13"/>
  <c r="K65" i="13"/>
  <c r="J65" i="13"/>
  <c r="I65" i="13"/>
  <c r="H65" i="13"/>
  <c r="S64" i="13"/>
  <c r="R64" i="13"/>
  <c r="M64" i="13"/>
  <c r="L64" i="13"/>
  <c r="K64" i="13"/>
  <c r="J64" i="13"/>
  <c r="I64" i="13"/>
  <c r="H64" i="13"/>
  <c r="S63" i="13"/>
  <c r="R63" i="13"/>
  <c r="M63" i="13"/>
  <c r="L63" i="13"/>
  <c r="K63" i="13"/>
  <c r="J63" i="13"/>
  <c r="I63" i="13"/>
  <c r="H63" i="13"/>
  <c r="S62" i="13"/>
  <c r="R62" i="13"/>
  <c r="M62" i="13"/>
  <c r="L62" i="13"/>
  <c r="K62" i="13"/>
  <c r="J62" i="13"/>
  <c r="I62" i="13"/>
  <c r="H62" i="13"/>
  <c r="S61" i="13"/>
  <c r="R61" i="13"/>
  <c r="M61" i="13"/>
  <c r="L61" i="13"/>
  <c r="K61" i="13"/>
  <c r="J61" i="13"/>
  <c r="I61" i="13"/>
  <c r="H61" i="13"/>
  <c r="S60" i="13"/>
  <c r="R60" i="13"/>
  <c r="M60" i="13"/>
  <c r="L60" i="13"/>
  <c r="K60" i="13"/>
  <c r="J60" i="13"/>
  <c r="I60" i="13"/>
  <c r="H60" i="13"/>
  <c r="S59" i="13"/>
  <c r="R59" i="13"/>
  <c r="M59" i="13"/>
  <c r="L59" i="13"/>
  <c r="K59" i="13"/>
  <c r="J59" i="13"/>
  <c r="I59" i="13"/>
  <c r="H59" i="13"/>
  <c r="S58" i="13"/>
  <c r="R58" i="13"/>
  <c r="M58" i="13"/>
  <c r="L58" i="13"/>
  <c r="K58" i="13"/>
  <c r="J58" i="13"/>
  <c r="I58" i="13"/>
  <c r="H58" i="13"/>
  <c r="S57" i="13"/>
  <c r="R57" i="13"/>
  <c r="M57" i="13"/>
  <c r="L57" i="13"/>
  <c r="K57" i="13"/>
  <c r="J57" i="13"/>
  <c r="I57" i="13"/>
  <c r="H57" i="13"/>
  <c r="S56" i="13"/>
  <c r="R56" i="13"/>
  <c r="M56" i="13"/>
  <c r="L56" i="13"/>
  <c r="K56" i="13"/>
  <c r="J56" i="13"/>
  <c r="I56" i="13"/>
  <c r="H56" i="13"/>
  <c r="S55" i="13"/>
  <c r="R55" i="13"/>
  <c r="M55" i="13"/>
  <c r="L55" i="13"/>
  <c r="K55" i="13"/>
  <c r="J55" i="13"/>
  <c r="I55" i="13"/>
  <c r="H55" i="13"/>
  <c r="S54" i="13"/>
  <c r="R54" i="13"/>
  <c r="M54" i="13"/>
  <c r="L54" i="13"/>
  <c r="K54" i="13"/>
  <c r="J54" i="13"/>
  <c r="I54" i="13"/>
  <c r="H54" i="13"/>
  <c r="S53" i="13"/>
  <c r="R53" i="13"/>
  <c r="M53" i="13"/>
  <c r="L53" i="13"/>
  <c r="K53" i="13"/>
  <c r="J53" i="13"/>
  <c r="I53" i="13"/>
  <c r="H53" i="13"/>
  <c r="S52" i="13"/>
  <c r="R52" i="13"/>
  <c r="M52" i="13"/>
  <c r="L52" i="13"/>
  <c r="K52" i="13"/>
  <c r="J52" i="13"/>
  <c r="I52" i="13"/>
  <c r="H52" i="13"/>
  <c r="S51" i="13"/>
  <c r="R51" i="13"/>
  <c r="M51" i="13"/>
  <c r="L51" i="13"/>
  <c r="K51" i="13"/>
  <c r="J51" i="13"/>
  <c r="I51" i="13"/>
  <c r="H51" i="13"/>
  <c r="S50" i="13"/>
  <c r="R50" i="13"/>
  <c r="M50" i="13"/>
  <c r="L50" i="13"/>
  <c r="K50" i="13"/>
  <c r="J50" i="13"/>
  <c r="I50" i="13"/>
  <c r="H50" i="13"/>
  <c r="S49" i="13"/>
  <c r="R49" i="13"/>
  <c r="M49" i="13"/>
  <c r="L49" i="13"/>
  <c r="K49" i="13"/>
  <c r="J49" i="13"/>
  <c r="I49" i="13"/>
  <c r="H49" i="13"/>
  <c r="S48" i="13"/>
  <c r="R48" i="13"/>
  <c r="M48" i="13"/>
  <c r="L48" i="13"/>
  <c r="K48" i="13"/>
  <c r="J48" i="13"/>
  <c r="I48" i="13"/>
  <c r="H48" i="13"/>
  <c r="S47" i="13"/>
  <c r="R47" i="13"/>
  <c r="M47" i="13"/>
  <c r="L47" i="13"/>
  <c r="K47" i="13"/>
  <c r="J47" i="13"/>
  <c r="I47" i="13"/>
  <c r="H47" i="13"/>
  <c r="S46" i="13"/>
  <c r="R46" i="13"/>
  <c r="M46" i="13"/>
  <c r="L46" i="13"/>
  <c r="K46" i="13"/>
  <c r="J46" i="13"/>
  <c r="I46" i="13"/>
  <c r="H46" i="13"/>
  <c r="S45" i="13"/>
  <c r="R45" i="13"/>
  <c r="M45" i="13"/>
  <c r="L45" i="13"/>
  <c r="K45" i="13"/>
  <c r="J45" i="13"/>
  <c r="I45" i="13"/>
  <c r="H45" i="13"/>
  <c r="S44" i="13"/>
  <c r="R44" i="13"/>
  <c r="M44" i="13"/>
  <c r="L44" i="13"/>
  <c r="K44" i="13"/>
  <c r="J44" i="13"/>
  <c r="I44" i="13"/>
  <c r="H44" i="13"/>
  <c r="S43" i="13"/>
  <c r="R43" i="13"/>
  <c r="M43" i="13"/>
  <c r="L43" i="13"/>
  <c r="K43" i="13"/>
  <c r="J43" i="13"/>
  <c r="I43" i="13"/>
  <c r="H43" i="13"/>
  <c r="S42" i="13"/>
  <c r="R42" i="13"/>
  <c r="M42" i="13"/>
  <c r="L42" i="13"/>
  <c r="K42" i="13"/>
  <c r="J42" i="13"/>
  <c r="I42" i="13"/>
  <c r="H42" i="13"/>
  <c r="S41" i="13"/>
  <c r="R41" i="13"/>
  <c r="M41" i="13"/>
  <c r="L41" i="13"/>
  <c r="K41" i="13"/>
  <c r="J41" i="13"/>
  <c r="I41" i="13"/>
  <c r="H41" i="13"/>
  <c r="S40" i="13"/>
  <c r="R40" i="13"/>
  <c r="M40" i="13"/>
  <c r="L40" i="13"/>
  <c r="K40" i="13"/>
  <c r="J40" i="13"/>
  <c r="I40" i="13"/>
  <c r="H40" i="13"/>
  <c r="S39" i="13"/>
  <c r="R39" i="13"/>
  <c r="M39" i="13"/>
  <c r="L39" i="13"/>
  <c r="K39" i="13"/>
  <c r="J39" i="13"/>
  <c r="I39" i="13"/>
  <c r="H39" i="13"/>
  <c r="S38" i="13"/>
  <c r="R38" i="13"/>
  <c r="M38" i="13"/>
  <c r="L38" i="13"/>
  <c r="K38" i="13"/>
  <c r="J38" i="13"/>
  <c r="I38" i="13"/>
  <c r="H38" i="13"/>
  <c r="S37" i="13"/>
  <c r="R37" i="13"/>
  <c r="M37" i="13"/>
  <c r="L37" i="13"/>
  <c r="K37" i="13"/>
  <c r="J37" i="13"/>
  <c r="I37" i="13"/>
  <c r="H37" i="13"/>
  <c r="S36" i="13"/>
  <c r="R36" i="13"/>
  <c r="M36" i="13"/>
  <c r="L36" i="13"/>
  <c r="K36" i="13"/>
  <c r="J36" i="13"/>
  <c r="I36" i="13"/>
  <c r="H36" i="13"/>
  <c r="S35" i="13"/>
  <c r="R35" i="13"/>
  <c r="M35" i="13"/>
  <c r="L35" i="13"/>
  <c r="K35" i="13"/>
  <c r="J35" i="13"/>
  <c r="I35" i="13"/>
  <c r="H35" i="13"/>
  <c r="S34" i="13"/>
  <c r="R34" i="13"/>
  <c r="M34" i="13"/>
  <c r="L34" i="13"/>
  <c r="K34" i="13"/>
  <c r="J34" i="13"/>
  <c r="I34" i="13"/>
  <c r="H34" i="13"/>
  <c r="S33" i="13"/>
  <c r="R33" i="13"/>
  <c r="M33" i="13"/>
  <c r="L33" i="13"/>
  <c r="K33" i="13"/>
  <c r="J33" i="13"/>
  <c r="I33" i="13"/>
  <c r="H33" i="13"/>
  <c r="S32" i="13"/>
  <c r="R32" i="13"/>
  <c r="M32" i="13"/>
  <c r="L32" i="13"/>
  <c r="K32" i="13"/>
  <c r="J32" i="13"/>
  <c r="I32" i="13"/>
  <c r="H32" i="13"/>
  <c r="S31" i="13"/>
  <c r="R31" i="13"/>
  <c r="M31" i="13"/>
  <c r="L31" i="13"/>
  <c r="K31" i="13"/>
  <c r="J31" i="13"/>
  <c r="I31" i="13"/>
  <c r="H31" i="13"/>
  <c r="S30" i="13"/>
  <c r="R30" i="13"/>
  <c r="M30" i="13"/>
  <c r="L30" i="13"/>
  <c r="K30" i="13"/>
  <c r="J30" i="13"/>
  <c r="I30" i="13"/>
  <c r="H30" i="13"/>
  <c r="S29" i="13"/>
  <c r="R29" i="13"/>
  <c r="M29" i="13"/>
  <c r="L29" i="13"/>
  <c r="K29" i="13"/>
  <c r="J29" i="13"/>
  <c r="I29" i="13"/>
  <c r="H29" i="13"/>
  <c r="S28" i="13"/>
  <c r="R28" i="13"/>
  <c r="M28" i="13"/>
  <c r="L28" i="13"/>
  <c r="K28" i="13"/>
  <c r="J28" i="13"/>
  <c r="I28" i="13"/>
  <c r="H28" i="13"/>
  <c r="S27" i="13"/>
  <c r="R27" i="13"/>
  <c r="M27" i="13"/>
  <c r="L27" i="13"/>
  <c r="K27" i="13"/>
  <c r="J27" i="13"/>
  <c r="I27" i="13"/>
  <c r="H27" i="13"/>
  <c r="S26" i="13"/>
  <c r="R26" i="13"/>
  <c r="M26" i="13"/>
  <c r="L26" i="13"/>
  <c r="K26" i="13"/>
  <c r="J26" i="13"/>
  <c r="I26" i="13"/>
  <c r="H26" i="13"/>
  <c r="S25" i="13"/>
  <c r="R25" i="13"/>
  <c r="M25" i="13"/>
  <c r="L25" i="13"/>
  <c r="K25" i="13"/>
  <c r="J25" i="13"/>
  <c r="I25" i="13"/>
  <c r="H25" i="13"/>
  <c r="I24" i="13"/>
  <c r="J24" i="13" s="1"/>
  <c r="R24" i="13" s="1"/>
  <c r="H24" i="13"/>
  <c r="H23" i="13"/>
  <c r="I23" i="13"/>
  <c r="J23" i="13" s="1"/>
  <c r="R23" i="13" s="1"/>
  <c r="I22" i="13"/>
  <c r="J22" i="13" s="1"/>
  <c r="R22" i="13" s="1"/>
  <c r="H22" i="13"/>
  <c r="I21" i="13"/>
  <c r="J21" i="13" s="1"/>
  <c r="R21" i="13" s="1"/>
  <c r="H21" i="13"/>
  <c r="I20" i="13"/>
  <c r="J20" i="13" s="1"/>
  <c r="R20" i="13" s="1"/>
  <c r="H20" i="13"/>
  <c r="J19" i="13"/>
  <c r="R19" i="13" s="1"/>
  <c r="I19" i="13"/>
  <c r="H19" i="13"/>
  <c r="J18" i="13"/>
  <c r="R18" i="13" s="1"/>
  <c r="I18" i="13"/>
  <c r="H18" i="13"/>
  <c r="R17" i="13"/>
  <c r="J17" i="13"/>
  <c r="I17" i="13"/>
  <c r="H17" i="13"/>
  <c r="H16" i="13"/>
  <c r="I16" i="13"/>
  <c r="I15" i="13"/>
  <c r="H15" i="13"/>
  <c r="J15" i="13" s="1"/>
  <c r="R15" i="13" s="1"/>
  <c r="I14" i="13"/>
  <c r="H14" i="13"/>
  <c r="I13" i="13"/>
  <c r="H13" i="13"/>
  <c r="J13" i="13" s="1"/>
  <c r="R13" i="13" s="1"/>
  <c r="I12" i="13"/>
  <c r="H12" i="13"/>
  <c r="I11" i="13"/>
  <c r="H11" i="13"/>
  <c r="J11" i="13" s="1"/>
  <c r="R11" i="13" s="1"/>
  <c r="I10" i="13"/>
  <c r="H10" i="13"/>
  <c r="I9" i="13"/>
  <c r="H9" i="13"/>
  <c r="I8" i="13"/>
  <c r="J8" i="13" s="1"/>
  <c r="R8" i="13" s="1"/>
  <c r="H8" i="13"/>
  <c r="I7" i="13"/>
  <c r="L7" i="13" s="1"/>
  <c r="H7" i="13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G20" i="12"/>
  <c r="G17" i="12"/>
  <c r="S112" i="12"/>
  <c r="R112" i="12"/>
  <c r="M112" i="12"/>
  <c r="L112" i="12"/>
  <c r="K112" i="12"/>
  <c r="J112" i="12"/>
  <c r="I112" i="12"/>
  <c r="H112" i="12"/>
  <c r="S111" i="12"/>
  <c r="R111" i="12"/>
  <c r="M111" i="12"/>
  <c r="L111" i="12"/>
  <c r="K111" i="12"/>
  <c r="J111" i="12"/>
  <c r="I111" i="12"/>
  <c r="H111" i="12"/>
  <c r="S110" i="12"/>
  <c r="R110" i="12"/>
  <c r="M110" i="12"/>
  <c r="L110" i="12"/>
  <c r="K110" i="12"/>
  <c r="J110" i="12"/>
  <c r="I110" i="12"/>
  <c r="H110" i="12"/>
  <c r="S109" i="12"/>
  <c r="R109" i="12"/>
  <c r="M109" i="12"/>
  <c r="L109" i="12"/>
  <c r="K109" i="12"/>
  <c r="J109" i="12"/>
  <c r="I109" i="12"/>
  <c r="H109" i="12"/>
  <c r="S108" i="12"/>
  <c r="R108" i="12"/>
  <c r="M108" i="12"/>
  <c r="L108" i="12"/>
  <c r="K108" i="12"/>
  <c r="J108" i="12"/>
  <c r="I108" i="12"/>
  <c r="H108" i="12"/>
  <c r="S107" i="12"/>
  <c r="R107" i="12"/>
  <c r="M107" i="12"/>
  <c r="L107" i="12"/>
  <c r="K107" i="12"/>
  <c r="J107" i="12"/>
  <c r="I107" i="12"/>
  <c r="H107" i="12"/>
  <c r="S106" i="12"/>
  <c r="R106" i="12"/>
  <c r="M106" i="12"/>
  <c r="L106" i="12"/>
  <c r="K106" i="12"/>
  <c r="J106" i="12"/>
  <c r="I106" i="12"/>
  <c r="H106" i="12"/>
  <c r="S105" i="12"/>
  <c r="R105" i="12"/>
  <c r="M105" i="12"/>
  <c r="L105" i="12"/>
  <c r="K105" i="12"/>
  <c r="J105" i="12"/>
  <c r="I105" i="12"/>
  <c r="H105" i="12"/>
  <c r="S104" i="12"/>
  <c r="R104" i="12"/>
  <c r="M104" i="12"/>
  <c r="L104" i="12"/>
  <c r="K104" i="12"/>
  <c r="J104" i="12"/>
  <c r="I104" i="12"/>
  <c r="H104" i="12"/>
  <c r="S103" i="12"/>
  <c r="R103" i="12"/>
  <c r="M103" i="12"/>
  <c r="L103" i="12"/>
  <c r="K103" i="12"/>
  <c r="J103" i="12"/>
  <c r="I103" i="12"/>
  <c r="H103" i="12"/>
  <c r="S102" i="12"/>
  <c r="R102" i="12"/>
  <c r="M102" i="12"/>
  <c r="L102" i="12"/>
  <c r="K102" i="12"/>
  <c r="J102" i="12"/>
  <c r="I102" i="12"/>
  <c r="H102" i="12"/>
  <c r="S101" i="12"/>
  <c r="R101" i="12"/>
  <c r="M101" i="12"/>
  <c r="L101" i="12"/>
  <c r="K101" i="12"/>
  <c r="J101" i="12"/>
  <c r="I101" i="12"/>
  <c r="H101" i="12"/>
  <c r="S100" i="12"/>
  <c r="R100" i="12"/>
  <c r="M100" i="12"/>
  <c r="L100" i="12"/>
  <c r="K100" i="12"/>
  <c r="J100" i="12"/>
  <c r="I100" i="12"/>
  <c r="H100" i="12"/>
  <c r="S99" i="12"/>
  <c r="R99" i="12"/>
  <c r="M99" i="12"/>
  <c r="L99" i="12"/>
  <c r="K99" i="12"/>
  <c r="J99" i="12"/>
  <c r="I99" i="12"/>
  <c r="H99" i="12"/>
  <c r="S98" i="12"/>
  <c r="R98" i="12"/>
  <c r="M98" i="12"/>
  <c r="L98" i="12"/>
  <c r="K98" i="12"/>
  <c r="J98" i="12"/>
  <c r="I98" i="12"/>
  <c r="H98" i="12"/>
  <c r="S97" i="12"/>
  <c r="R97" i="12"/>
  <c r="M97" i="12"/>
  <c r="L97" i="12"/>
  <c r="K97" i="12"/>
  <c r="J97" i="12"/>
  <c r="I97" i="12"/>
  <c r="H97" i="12"/>
  <c r="S96" i="12"/>
  <c r="R96" i="12"/>
  <c r="M96" i="12"/>
  <c r="L96" i="12"/>
  <c r="K96" i="12"/>
  <c r="J96" i="12"/>
  <c r="I96" i="12"/>
  <c r="H96" i="12"/>
  <c r="S95" i="12"/>
  <c r="R95" i="12"/>
  <c r="M95" i="12"/>
  <c r="L95" i="12"/>
  <c r="K95" i="12"/>
  <c r="J95" i="12"/>
  <c r="I95" i="12"/>
  <c r="H95" i="12"/>
  <c r="S94" i="12"/>
  <c r="R94" i="12"/>
  <c r="M94" i="12"/>
  <c r="L94" i="12"/>
  <c r="K94" i="12"/>
  <c r="J94" i="12"/>
  <c r="I94" i="12"/>
  <c r="H94" i="12"/>
  <c r="S93" i="12"/>
  <c r="R93" i="12"/>
  <c r="M93" i="12"/>
  <c r="L93" i="12"/>
  <c r="K93" i="12"/>
  <c r="J93" i="12"/>
  <c r="I93" i="12"/>
  <c r="H93" i="12"/>
  <c r="S92" i="12"/>
  <c r="R92" i="12"/>
  <c r="M92" i="12"/>
  <c r="L92" i="12"/>
  <c r="K92" i="12"/>
  <c r="J92" i="12"/>
  <c r="I92" i="12"/>
  <c r="H92" i="12"/>
  <c r="S91" i="12"/>
  <c r="R91" i="12"/>
  <c r="M91" i="12"/>
  <c r="L91" i="12"/>
  <c r="K91" i="12"/>
  <c r="J91" i="12"/>
  <c r="I91" i="12"/>
  <c r="H91" i="12"/>
  <c r="S90" i="12"/>
  <c r="R90" i="12"/>
  <c r="M90" i="12"/>
  <c r="L90" i="12"/>
  <c r="K90" i="12"/>
  <c r="J90" i="12"/>
  <c r="I90" i="12"/>
  <c r="H90" i="12"/>
  <c r="S89" i="12"/>
  <c r="R89" i="12"/>
  <c r="M89" i="12"/>
  <c r="L89" i="12"/>
  <c r="K89" i="12"/>
  <c r="J89" i="12"/>
  <c r="I89" i="12"/>
  <c r="H89" i="12"/>
  <c r="S88" i="12"/>
  <c r="R88" i="12"/>
  <c r="M88" i="12"/>
  <c r="L88" i="12"/>
  <c r="K88" i="12"/>
  <c r="J88" i="12"/>
  <c r="I88" i="12"/>
  <c r="H88" i="12"/>
  <c r="S87" i="12"/>
  <c r="R87" i="12"/>
  <c r="M87" i="12"/>
  <c r="L87" i="12"/>
  <c r="K87" i="12"/>
  <c r="J87" i="12"/>
  <c r="I87" i="12"/>
  <c r="H87" i="12"/>
  <c r="S86" i="12"/>
  <c r="R86" i="12"/>
  <c r="M86" i="12"/>
  <c r="L86" i="12"/>
  <c r="K86" i="12"/>
  <c r="J86" i="12"/>
  <c r="I86" i="12"/>
  <c r="H86" i="12"/>
  <c r="S85" i="12"/>
  <c r="R85" i="12"/>
  <c r="M85" i="12"/>
  <c r="L85" i="12"/>
  <c r="K85" i="12"/>
  <c r="J85" i="12"/>
  <c r="I85" i="12"/>
  <c r="H85" i="12"/>
  <c r="S84" i="12"/>
  <c r="R84" i="12"/>
  <c r="M84" i="12"/>
  <c r="L84" i="12"/>
  <c r="K84" i="12"/>
  <c r="J84" i="12"/>
  <c r="I84" i="12"/>
  <c r="H84" i="12"/>
  <c r="S83" i="12"/>
  <c r="R83" i="12"/>
  <c r="M83" i="12"/>
  <c r="L83" i="12"/>
  <c r="K83" i="12"/>
  <c r="J83" i="12"/>
  <c r="I83" i="12"/>
  <c r="H83" i="12"/>
  <c r="S82" i="12"/>
  <c r="R82" i="12"/>
  <c r="M82" i="12"/>
  <c r="L82" i="12"/>
  <c r="K82" i="12"/>
  <c r="J82" i="12"/>
  <c r="I82" i="12"/>
  <c r="H82" i="12"/>
  <c r="S81" i="12"/>
  <c r="R81" i="12"/>
  <c r="M81" i="12"/>
  <c r="L81" i="12"/>
  <c r="K81" i="12"/>
  <c r="J81" i="12"/>
  <c r="I81" i="12"/>
  <c r="H81" i="12"/>
  <c r="S80" i="12"/>
  <c r="R80" i="12"/>
  <c r="M80" i="12"/>
  <c r="L80" i="12"/>
  <c r="K80" i="12"/>
  <c r="J80" i="12"/>
  <c r="I80" i="12"/>
  <c r="H80" i="12"/>
  <c r="S79" i="12"/>
  <c r="R79" i="12"/>
  <c r="M79" i="12"/>
  <c r="L79" i="12"/>
  <c r="K79" i="12"/>
  <c r="J79" i="12"/>
  <c r="I79" i="12"/>
  <c r="H79" i="12"/>
  <c r="S78" i="12"/>
  <c r="R78" i="12"/>
  <c r="M78" i="12"/>
  <c r="L78" i="12"/>
  <c r="K78" i="12"/>
  <c r="J78" i="12"/>
  <c r="I78" i="12"/>
  <c r="H78" i="12"/>
  <c r="S77" i="12"/>
  <c r="R77" i="12"/>
  <c r="M77" i="12"/>
  <c r="L77" i="12"/>
  <c r="K77" i="12"/>
  <c r="J77" i="12"/>
  <c r="I77" i="12"/>
  <c r="H77" i="12"/>
  <c r="S76" i="12"/>
  <c r="R76" i="12"/>
  <c r="M76" i="12"/>
  <c r="L76" i="12"/>
  <c r="K76" i="12"/>
  <c r="J76" i="12"/>
  <c r="I76" i="12"/>
  <c r="H76" i="12"/>
  <c r="S75" i="12"/>
  <c r="R75" i="12"/>
  <c r="M75" i="12"/>
  <c r="L75" i="12"/>
  <c r="K75" i="12"/>
  <c r="J75" i="12"/>
  <c r="I75" i="12"/>
  <c r="H75" i="12"/>
  <c r="S74" i="12"/>
  <c r="R74" i="12"/>
  <c r="M74" i="12"/>
  <c r="L74" i="12"/>
  <c r="K74" i="12"/>
  <c r="J74" i="12"/>
  <c r="I74" i="12"/>
  <c r="H74" i="12"/>
  <c r="S73" i="12"/>
  <c r="R73" i="12"/>
  <c r="M73" i="12"/>
  <c r="L73" i="12"/>
  <c r="K73" i="12"/>
  <c r="J73" i="12"/>
  <c r="I73" i="12"/>
  <c r="H73" i="12"/>
  <c r="S72" i="12"/>
  <c r="R72" i="12"/>
  <c r="M72" i="12"/>
  <c r="L72" i="12"/>
  <c r="K72" i="12"/>
  <c r="J72" i="12"/>
  <c r="I72" i="12"/>
  <c r="H72" i="12"/>
  <c r="S71" i="12"/>
  <c r="R71" i="12"/>
  <c r="M71" i="12"/>
  <c r="L71" i="12"/>
  <c r="K71" i="12"/>
  <c r="J71" i="12"/>
  <c r="I71" i="12"/>
  <c r="H71" i="12"/>
  <c r="S70" i="12"/>
  <c r="R70" i="12"/>
  <c r="M70" i="12"/>
  <c r="L70" i="12"/>
  <c r="K70" i="12"/>
  <c r="J70" i="12"/>
  <c r="I70" i="12"/>
  <c r="H70" i="12"/>
  <c r="S69" i="12"/>
  <c r="R69" i="12"/>
  <c r="M69" i="12"/>
  <c r="L69" i="12"/>
  <c r="K69" i="12"/>
  <c r="J69" i="12"/>
  <c r="I69" i="12"/>
  <c r="H69" i="12"/>
  <c r="S68" i="12"/>
  <c r="R68" i="12"/>
  <c r="M68" i="12"/>
  <c r="L68" i="12"/>
  <c r="K68" i="12"/>
  <c r="J68" i="12"/>
  <c r="I68" i="12"/>
  <c r="H68" i="12"/>
  <c r="S67" i="12"/>
  <c r="R67" i="12"/>
  <c r="M67" i="12"/>
  <c r="L67" i="12"/>
  <c r="K67" i="12"/>
  <c r="J67" i="12"/>
  <c r="I67" i="12"/>
  <c r="H67" i="12"/>
  <c r="S66" i="12"/>
  <c r="R66" i="12"/>
  <c r="M66" i="12"/>
  <c r="L66" i="12"/>
  <c r="K66" i="12"/>
  <c r="J66" i="12"/>
  <c r="I66" i="12"/>
  <c r="H66" i="12"/>
  <c r="S65" i="12"/>
  <c r="R65" i="12"/>
  <c r="M65" i="12"/>
  <c r="L65" i="12"/>
  <c r="K65" i="12"/>
  <c r="J65" i="12"/>
  <c r="I65" i="12"/>
  <c r="H65" i="12"/>
  <c r="S64" i="12"/>
  <c r="R64" i="12"/>
  <c r="M64" i="12"/>
  <c r="L64" i="12"/>
  <c r="K64" i="12"/>
  <c r="J64" i="12"/>
  <c r="I64" i="12"/>
  <c r="H64" i="12"/>
  <c r="S63" i="12"/>
  <c r="R63" i="12"/>
  <c r="M63" i="12"/>
  <c r="L63" i="12"/>
  <c r="K63" i="12"/>
  <c r="J63" i="12"/>
  <c r="I63" i="12"/>
  <c r="H63" i="12"/>
  <c r="S62" i="12"/>
  <c r="R62" i="12"/>
  <c r="M62" i="12"/>
  <c r="L62" i="12"/>
  <c r="K62" i="12"/>
  <c r="J62" i="12"/>
  <c r="I62" i="12"/>
  <c r="H62" i="12"/>
  <c r="S61" i="12"/>
  <c r="R61" i="12"/>
  <c r="M61" i="12"/>
  <c r="L61" i="12"/>
  <c r="K61" i="12"/>
  <c r="J61" i="12"/>
  <c r="I61" i="12"/>
  <c r="H61" i="12"/>
  <c r="S60" i="12"/>
  <c r="R60" i="12"/>
  <c r="M60" i="12"/>
  <c r="L60" i="12"/>
  <c r="K60" i="12"/>
  <c r="J60" i="12"/>
  <c r="I60" i="12"/>
  <c r="H60" i="12"/>
  <c r="S59" i="12"/>
  <c r="R59" i="12"/>
  <c r="M59" i="12"/>
  <c r="L59" i="12"/>
  <c r="K59" i="12"/>
  <c r="J59" i="12"/>
  <c r="I59" i="12"/>
  <c r="H59" i="12"/>
  <c r="S58" i="12"/>
  <c r="R58" i="12"/>
  <c r="M58" i="12"/>
  <c r="L58" i="12"/>
  <c r="K58" i="12"/>
  <c r="J58" i="12"/>
  <c r="I58" i="12"/>
  <c r="H58" i="12"/>
  <c r="S57" i="12"/>
  <c r="R57" i="12"/>
  <c r="M57" i="12"/>
  <c r="L57" i="12"/>
  <c r="K57" i="12"/>
  <c r="J57" i="12"/>
  <c r="I57" i="12"/>
  <c r="H57" i="12"/>
  <c r="S56" i="12"/>
  <c r="R56" i="12"/>
  <c r="M56" i="12"/>
  <c r="L56" i="12"/>
  <c r="K56" i="12"/>
  <c r="J56" i="12"/>
  <c r="I56" i="12"/>
  <c r="H56" i="12"/>
  <c r="S55" i="12"/>
  <c r="R55" i="12"/>
  <c r="M55" i="12"/>
  <c r="L55" i="12"/>
  <c r="K55" i="12"/>
  <c r="J55" i="12"/>
  <c r="I55" i="12"/>
  <c r="H55" i="12"/>
  <c r="S54" i="12"/>
  <c r="R54" i="12"/>
  <c r="M54" i="12"/>
  <c r="L54" i="12"/>
  <c r="K54" i="12"/>
  <c r="J54" i="12"/>
  <c r="I54" i="12"/>
  <c r="H54" i="12"/>
  <c r="S53" i="12"/>
  <c r="R53" i="12"/>
  <c r="M53" i="12"/>
  <c r="L53" i="12"/>
  <c r="K53" i="12"/>
  <c r="J53" i="12"/>
  <c r="I53" i="12"/>
  <c r="H53" i="12"/>
  <c r="S52" i="12"/>
  <c r="R52" i="12"/>
  <c r="M52" i="12"/>
  <c r="L52" i="12"/>
  <c r="K52" i="12"/>
  <c r="J52" i="12"/>
  <c r="I52" i="12"/>
  <c r="H52" i="12"/>
  <c r="S51" i="12"/>
  <c r="R51" i="12"/>
  <c r="M51" i="12"/>
  <c r="L51" i="12"/>
  <c r="K51" i="12"/>
  <c r="J51" i="12"/>
  <c r="I51" i="12"/>
  <c r="H51" i="12"/>
  <c r="S50" i="12"/>
  <c r="R50" i="12"/>
  <c r="M50" i="12"/>
  <c r="L50" i="12"/>
  <c r="K50" i="12"/>
  <c r="J50" i="12"/>
  <c r="I50" i="12"/>
  <c r="H50" i="12"/>
  <c r="S49" i="12"/>
  <c r="R49" i="12"/>
  <c r="M49" i="12"/>
  <c r="L49" i="12"/>
  <c r="K49" i="12"/>
  <c r="J49" i="12"/>
  <c r="I49" i="12"/>
  <c r="H49" i="12"/>
  <c r="S48" i="12"/>
  <c r="R48" i="12"/>
  <c r="M48" i="12"/>
  <c r="L48" i="12"/>
  <c r="K48" i="12"/>
  <c r="J48" i="12"/>
  <c r="I48" i="12"/>
  <c r="H48" i="12"/>
  <c r="S47" i="12"/>
  <c r="R47" i="12"/>
  <c r="M47" i="12"/>
  <c r="L47" i="12"/>
  <c r="K47" i="12"/>
  <c r="J47" i="12"/>
  <c r="I47" i="12"/>
  <c r="H47" i="12"/>
  <c r="S46" i="12"/>
  <c r="R46" i="12"/>
  <c r="M46" i="12"/>
  <c r="L46" i="12"/>
  <c r="K46" i="12"/>
  <c r="J46" i="12"/>
  <c r="I46" i="12"/>
  <c r="H46" i="12"/>
  <c r="S45" i="12"/>
  <c r="R45" i="12"/>
  <c r="M45" i="12"/>
  <c r="L45" i="12"/>
  <c r="K45" i="12"/>
  <c r="J45" i="12"/>
  <c r="I45" i="12"/>
  <c r="H45" i="12"/>
  <c r="S44" i="12"/>
  <c r="R44" i="12"/>
  <c r="M44" i="12"/>
  <c r="L44" i="12"/>
  <c r="K44" i="12"/>
  <c r="J44" i="12"/>
  <c r="I44" i="12"/>
  <c r="H44" i="12"/>
  <c r="S43" i="12"/>
  <c r="R43" i="12"/>
  <c r="M43" i="12"/>
  <c r="L43" i="12"/>
  <c r="K43" i="12"/>
  <c r="J43" i="12"/>
  <c r="I43" i="12"/>
  <c r="H43" i="12"/>
  <c r="S42" i="12"/>
  <c r="R42" i="12"/>
  <c r="M42" i="12"/>
  <c r="L42" i="12"/>
  <c r="K42" i="12"/>
  <c r="J42" i="12"/>
  <c r="I42" i="12"/>
  <c r="H42" i="12"/>
  <c r="S41" i="12"/>
  <c r="R41" i="12"/>
  <c r="M41" i="12"/>
  <c r="L41" i="12"/>
  <c r="K41" i="12"/>
  <c r="J41" i="12"/>
  <c r="I41" i="12"/>
  <c r="H41" i="12"/>
  <c r="S40" i="12"/>
  <c r="R40" i="12"/>
  <c r="M40" i="12"/>
  <c r="L40" i="12"/>
  <c r="K40" i="12"/>
  <c r="J40" i="12"/>
  <c r="I40" i="12"/>
  <c r="H40" i="12"/>
  <c r="S39" i="12"/>
  <c r="R39" i="12"/>
  <c r="M39" i="12"/>
  <c r="L39" i="12"/>
  <c r="K39" i="12"/>
  <c r="J39" i="12"/>
  <c r="I39" i="12"/>
  <c r="H39" i="12"/>
  <c r="S38" i="12"/>
  <c r="R38" i="12"/>
  <c r="M38" i="12"/>
  <c r="L38" i="12"/>
  <c r="K38" i="12"/>
  <c r="J38" i="12"/>
  <c r="I38" i="12"/>
  <c r="H38" i="12"/>
  <c r="S37" i="12"/>
  <c r="R37" i="12"/>
  <c r="M37" i="12"/>
  <c r="L37" i="12"/>
  <c r="K37" i="12"/>
  <c r="J37" i="12"/>
  <c r="I37" i="12"/>
  <c r="H37" i="12"/>
  <c r="S36" i="12"/>
  <c r="R36" i="12"/>
  <c r="M36" i="12"/>
  <c r="L36" i="12"/>
  <c r="K36" i="12"/>
  <c r="J36" i="12"/>
  <c r="I36" i="12"/>
  <c r="H36" i="12"/>
  <c r="S35" i="12"/>
  <c r="R35" i="12"/>
  <c r="M35" i="12"/>
  <c r="L35" i="12"/>
  <c r="K35" i="12"/>
  <c r="J35" i="12"/>
  <c r="I35" i="12"/>
  <c r="H35" i="12"/>
  <c r="S34" i="12"/>
  <c r="R34" i="12"/>
  <c r="M34" i="12"/>
  <c r="L34" i="12"/>
  <c r="K34" i="12"/>
  <c r="J34" i="12"/>
  <c r="I34" i="12"/>
  <c r="H34" i="12"/>
  <c r="S33" i="12"/>
  <c r="R33" i="12"/>
  <c r="M33" i="12"/>
  <c r="L33" i="12"/>
  <c r="K33" i="12"/>
  <c r="J33" i="12"/>
  <c r="I33" i="12"/>
  <c r="H33" i="12"/>
  <c r="S32" i="12"/>
  <c r="R32" i="12"/>
  <c r="M32" i="12"/>
  <c r="L32" i="12"/>
  <c r="K32" i="12"/>
  <c r="J32" i="12"/>
  <c r="I32" i="12"/>
  <c r="H32" i="12"/>
  <c r="S31" i="12"/>
  <c r="R31" i="12"/>
  <c r="M31" i="12"/>
  <c r="L31" i="12"/>
  <c r="K31" i="12"/>
  <c r="J31" i="12"/>
  <c r="I31" i="12"/>
  <c r="H31" i="12"/>
  <c r="S30" i="12"/>
  <c r="R30" i="12"/>
  <c r="M30" i="12"/>
  <c r="L30" i="12"/>
  <c r="K30" i="12"/>
  <c r="J30" i="12"/>
  <c r="I30" i="12"/>
  <c r="H30" i="12"/>
  <c r="S29" i="12"/>
  <c r="R29" i="12"/>
  <c r="M29" i="12"/>
  <c r="L29" i="12"/>
  <c r="K29" i="12"/>
  <c r="J29" i="12"/>
  <c r="I29" i="12"/>
  <c r="H29" i="12"/>
  <c r="S28" i="12"/>
  <c r="R28" i="12"/>
  <c r="M28" i="12"/>
  <c r="L28" i="12"/>
  <c r="K28" i="12"/>
  <c r="J28" i="12"/>
  <c r="I28" i="12"/>
  <c r="H28" i="12"/>
  <c r="S27" i="12"/>
  <c r="R27" i="12"/>
  <c r="M27" i="12"/>
  <c r="L27" i="12"/>
  <c r="K27" i="12"/>
  <c r="J27" i="12"/>
  <c r="I27" i="12"/>
  <c r="H27" i="12"/>
  <c r="S26" i="12"/>
  <c r="R26" i="12"/>
  <c r="M26" i="12"/>
  <c r="L26" i="12"/>
  <c r="K26" i="12"/>
  <c r="J26" i="12"/>
  <c r="I26" i="12"/>
  <c r="H26" i="12"/>
  <c r="S25" i="12"/>
  <c r="R25" i="12"/>
  <c r="M25" i="12"/>
  <c r="L25" i="12"/>
  <c r="K25" i="12"/>
  <c r="J25" i="12"/>
  <c r="I25" i="12"/>
  <c r="H25" i="12"/>
  <c r="S24" i="12"/>
  <c r="R24" i="12"/>
  <c r="M24" i="12"/>
  <c r="L24" i="12"/>
  <c r="K24" i="12"/>
  <c r="J24" i="12"/>
  <c r="I24" i="12"/>
  <c r="H24" i="12"/>
  <c r="S23" i="12"/>
  <c r="R23" i="12"/>
  <c r="M23" i="12"/>
  <c r="L23" i="12"/>
  <c r="K23" i="12"/>
  <c r="J23" i="12"/>
  <c r="I23" i="12"/>
  <c r="H23" i="12"/>
  <c r="I22" i="12"/>
  <c r="J22" i="12" s="1"/>
  <c r="R22" i="12" s="1"/>
  <c r="H22" i="12"/>
  <c r="I21" i="12"/>
  <c r="J21" i="12" s="1"/>
  <c r="R21" i="12" s="1"/>
  <c r="H21" i="12"/>
  <c r="I20" i="12"/>
  <c r="H20" i="12"/>
  <c r="I19" i="12"/>
  <c r="J19" i="12" s="1"/>
  <c r="R19" i="12" s="1"/>
  <c r="H19" i="12"/>
  <c r="I18" i="12"/>
  <c r="H18" i="12"/>
  <c r="I17" i="12"/>
  <c r="H17" i="12"/>
  <c r="I16" i="12"/>
  <c r="H16" i="12"/>
  <c r="I15" i="12"/>
  <c r="J15" i="12" s="1"/>
  <c r="R15" i="12" s="1"/>
  <c r="H15" i="12"/>
  <c r="I14" i="12"/>
  <c r="H14" i="12"/>
  <c r="I13" i="12"/>
  <c r="H13" i="12"/>
  <c r="I12" i="12"/>
  <c r="H12" i="12"/>
  <c r="I11" i="12"/>
  <c r="J11" i="12" s="1"/>
  <c r="R11" i="12" s="1"/>
  <c r="H11" i="12"/>
  <c r="I10" i="12"/>
  <c r="H10" i="12"/>
  <c r="H9" i="12"/>
  <c r="I9" i="12"/>
  <c r="H8" i="12"/>
  <c r="I8" i="12"/>
  <c r="J8" i="12" s="1"/>
  <c r="R8" i="12" s="1"/>
  <c r="I7" i="12"/>
  <c r="L7" i="12" s="1"/>
  <c r="H7" i="12"/>
  <c r="K7" i="12" s="1"/>
  <c r="G23" i="11"/>
  <c r="G20" i="11"/>
  <c r="G18" i="11"/>
  <c r="G16" i="11"/>
  <c r="I16" i="11"/>
  <c r="I15" i="11"/>
  <c r="S112" i="11"/>
  <c r="R112" i="11"/>
  <c r="M112" i="11"/>
  <c r="L112" i="11"/>
  <c r="K112" i="11"/>
  <c r="J112" i="11"/>
  <c r="I112" i="11"/>
  <c r="H112" i="11"/>
  <c r="S111" i="11"/>
  <c r="R111" i="11"/>
  <c r="M111" i="11"/>
  <c r="L111" i="11"/>
  <c r="K111" i="11"/>
  <c r="J111" i="11"/>
  <c r="I111" i="11"/>
  <c r="H111" i="11"/>
  <c r="S110" i="11"/>
  <c r="R110" i="11"/>
  <c r="M110" i="11"/>
  <c r="L110" i="11"/>
  <c r="K110" i="11"/>
  <c r="J110" i="11"/>
  <c r="I110" i="11"/>
  <c r="H110" i="11"/>
  <c r="S109" i="11"/>
  <c r="R109" i="11"/>
  <c r="M109" i="11"/>
  <c r="L109" i="11"/>
  <c r="K109" i="11"/>
  <c r="J109" i="11"/>
  <c r="I109" i="11"/>
  <c r="H109" i="11"/>
  <c r="S108" i="11"/>
  <c r="R108" i="11"/>
  <c r="M108" i="11"/>
  <c r="L108" i="11"/>
  <c r="K108" i="11"/>
  <c r="J108" i="11"/>
  <c r="I108" i="11"/>
  <c r="H108" i="11"/>
  <c r="S107" i="11"/>
  <c r="R107" i="11"/>
  <c r="M107" i="11"/>
  <c r="L107" i="11"/>
  <c r="K107" i="11"/>
  <c r="J107" i="11"/>
  <c r="I107" i="11"/>
  <c r="H107" i="11"/>
  <c r="S106" i="11"/>
  <c r="R106" i="11"/>
  <c r="M106" i="11"/>
  <c r="L106" i="11"/>
  <c r="K106" i="11"/>
  <c r="J106" i="11"/>
  <c r="I106" i="11"/>
  <c r="H106" i="11"/>
  <c r="S105" i="11"/>
  <c r="R105" i="11"/>
  <c r="M105" i="11"/>
  <c r="L105" i="11"/>
  <c r="K105" i="11"/>
  <c r="J105" i="11"/>
  <c r="I105" i="11"/>
  <c r="H105" i="11"/>
  <c r="S104" i="11"/>
  <c r="R104" i="11"/>
  <c r="M104" i="11"/>
  <c r="L104" i="11"/>
  <c r="K104" i="11"/>
  <c r="J104" i="11"/>
  <c r="I104" i="11"/>
  <c r="H104" i="11"/>
  <c r="S103" i="11"/>
  <c r="R103" i="11"/>
  <c r="M103" i="11"/>
  <c r="L103" i="11"/>
  <c r="K103" i="11"/>
  <c r="J103" i="11"/>
  <c r="I103" i="11"/>
  <c r="H103" i="11"/>
  <c r="S102" i="11"/>
  <c r="R102" i="11"/>
  <c r="M102" i="11"/>
  <c r="L102" i="11"/>
  <c r="K102" i="11"/>
  <c r="J102" i="11"/>
  <c r="I102" i="11"/>
  <c r="H102" i="11"/>
  <c r="S101" i="11"/>
  <c r="R101" i="11"/>
  <c r="M101" i="11"/>
  <c r="L101" i="11"/>
  <c r="K101" i="11"/>
  <c r="J101" i="11"/>
  <c r="I101" i="11"/>
  <c r="H101" i="11"/>
  <c r="S100" i="11"/>
  <c r="R100" i="11"/>
  <c r="M100" i="11"/>
  <c r="L100" i="11"/>
  <c r="K100" i="11"/>
  <c r="J100" i="11"/>
  <c r="I100" i="11"/>
  <c r="H100" i="11"/>
  <c r="S99" i="11"/>
  <c r="R99" i="11"/>
  <c r="M99" i="11"/>
  <c r="L99" i="11"/>
  <c r="K99" i="11"/>
  <c r="J99" i="11"/>
  <c r="I99" i="11"/>
  <c r="H99" i="11"/>
  <c r="S98" i="11"/>
  <c r="R98" i="11"/>
  <c r="M98" i="11"/>
  <c r="L98" i="11"/>
  <c r="K98" i="11"/>
  <c r="J98" i="11"/>
  <c r="I98" i="11"/>
  <c r="H98" i="11"/>
  <c r="S97" i="11"/>
  <c r="R97" i="11"/>
  <c r="M97" i="11"/>
  <c r="L97" i="11"/>
  <c r="K97" i="11"/>
  <c r="J97" i="11"/>
  <c r="I97" i="11"/>
  <c r="H97" i="11"/>
  <c r="S96" i="11"/>
  <c r="R96" i="11"/>
  <c r="M96" i="11"/>
  <c r="L96" i="11"/>
  <c r="K96" i="11"/>
  <c r="J96" i="11"/>
  <c r="I96" i="11"/>
  <c r="H96" i="11"/>
  <c r="S95" i="11"/>
  <c r="R95" i="11"/>
  <c r="M95" i="11"/>
  <c r="L95" i="11"/>
  <c r="K95" i="11"/>
  <c r="J95" i="11"/>
  <c r="I95" i="11"/>
  <c r="H95" i="11"/>
  <c r="S94" i="11"/>
  <c r="R94" i="11"/>
  <c r="M94" i="11"/>
  <c r="L94" i="11"/>
  <c r="K94" i="11"/>
  <c r="J94" i="11"/>
  <c r="I94" i="11"/>
  <c r="H94" i="11"/>
  <c r="S93" i="11"/>
  <c r="R93" i="11"/>
  <c r="M93" i="11"/>
  <c r="L93" i="11"/>
  <c r="K93" i="11"/>
  <c r="J93" i="11"/>
  <c r="I93" i="11"/>
  <c r="H93" i="11"/>
  <c r="S92" i="11"/>
  <c r="R92" i="11"/>
  <c r="M92" i="11"/>
  <c r="L92" i="11"/>
  <c r="K92" i="11"/>
  <c r="J92" i="11"/>
  <c r="I92" i="11"/>
  <c r="H92" i="11"/>
  <c r="S91" i="11"/>
  <c r="R91" i="11"/>
  <c r="M91" i="11"/>
  <c r="L91" i="11"/>
  <c r="K91" i="11"/>
  <c r="J91" i="11"/>
  <c r="I91" i="11"/>
  <c r="H91" i="11"/>
  <c r="S90" i="11"/>
  <c r="R90" i="11"/>
  <c r="M90" i="11"/>
  <c r="L90" i="11"/>
  <c r="K90" i="11"/>
  <c r="J90" i="11"/>
  <c r="I90" i="11"/>
  <c r="H90" i="11"/>
  <c r="S89" i="11"/>
  <c r="R89" i="11"/>
  <c r="M89" i="11"/>
  <c r="L89" i="11"/>
  <c r="K89" i="11"/>
  <c r="J89" i="11"/>
  <c r="I89" i="11"/>
  <c r="H89" i="11"/>
  <c r="S88" i="11"/>
  <c r="R88" i="11"/>
  <c r="M88" i="11"/>
  <c r="L88" i="11"/>
  <c r="K88" i="11"/>
  <c r="J88" i="11"/>
  <c r="I88" i="11"/>
  <c r="H88" i="11"/>
  <c r="S87" i="11"/>
  <c r="R87" i="11"/>
  <c r="M87" i="11"/>
  <c r="L87" i="11"/>
  <c r="K87" i="11"/>
  <c r="J87" i="11"/>
  <c r="I87" i="11"/>
  <c r="H87" i="11"/>
  <c r="S86" i="11"/>
  <c r="R86" i="11"/>
  <c r="M86" i="11"/>
  <c r="L86" i="11"/>
  <c r="K86" i="11"/>
  <c r="J86" i="11"/>
  <c r="I86" i="11"/>
  <c r="H86" i="11"/>
  <c r="S85" i="11"/>
  <c r="R85" i="11"/>
  <c r="M85" i="11"/>
  <c r="L85" i="11"/>
  <c r="K85" i="11"/>
  <c r="J85" i="11"/>
  <c r="I85" i="11"/>
  <c r="H85" i="11"/>
  <c r="S84" i="11"/>
  <c r="R84" i="11"/>
  <c r="M84" i="11"/>
  <c r="L84" i="11"/>
  <c r="K84" i="11"/>
  <c r="J84" i="11"/>
  <c r="I84" i="11"/>
  <c r="H84" i="11"/>
  <c r="S83" i="11"/>
  <c r="R83" i="11"/>
  <c r="M83" i="11"/>
  <c r="L83" i="11"/>
  <c r="K83" i="11"/>
  <c r="J83" i="11"/>
  <c r="I83" i="11"/>
  <c r="H83" i="11"/>
  <c r="S82" i="11"/>
  <c r="R82" i="11"/>
  <c r="M82" i="11"/>
  <c r="L82" i="11"/>
  <c r="K82" i="11"/>
  <c r="J82" i="11"/>
  <c r="I82" i="11"/>
  <c r="H82" i="11"/>
  <c r="S81" i="11"/>
  <c r="R81" i="11"/>
  <c r="M81" i="11"/>
  <c r="L81" i="11"/>
  <c r="K81" i="11"/>
  <c r="J81" i="11"/>
  <c r="I81" i="11"/>
  <c r="H81" i="11"/>
  <c r="S80" i="11"/>
  <c r="R80" i="11"/>
  <c r="M80" i="11"/>
  <c r="L80" i="11"/>
  <c r="K80" i="11"/>
  <c r="J80" i="11"/>
  <c r="I80" i="11"/>
  <c r="H80" i="11"/>
  <c r="S79" i="11"/>
  <c r="R79" i="11"/>
  <c r="M79" i="11"/>
  <c r="L79" i="11"/>
  <c r="K79" i="11"/>
  <c r="J79" i="11"/>
  <c r="I79" i="11"/>
  <c r="H79" i="11"/>
  <c r="S78" i="11"/>
  <c r="R78" i="11"/>
  <c r="M78" i="11"/>
  <c r="L78" i="11"/>
  <c r="K78" i="11"/>
  <c r="J78" i="11"/>
  <c r="I78" i="11"/>
  <c r="H78" i="11"/>
  <c r="S77" i="11"/>
  <c r="R77" i="11"/>
  <c r="M77" i="11"/>
  <c r="L77" i="11"/>
  <c r="K77" i="11"/>
  <c r="J77" i="11"/>
  <c r="I77" i="11"/>
  <c r="H77" i="11"/>
  <c r="S76" i="11"/>
  <c r="R76" i="11"/>
  <c r="M76" i="11"/>
  <c r="L76" i="11"/>
  <c r="K76" i="11"/>
  <c r="J76" i="11"/>
  <c r="I76" i="11"/>
  <c r="H76" i="11"/>
  <c r="S75" i="11"/>
  <c r="R75" i="11"/>
  <c r="M75" i="11"/>
  <c r="L75" i="11"/>
  <c r="K75" i="11"/>
  <c r="J75" i="11"/>
  <c r="I75" i="11"/>
  <c r="H75" i="11"/>
  <c r="S74" i="11"/>
  <c r="R74" i="11"/>
  <c r="M74" i="11"/>
  <c r="L74" i="11"/>
  <c r="K74" i="11"/>
  <c r="J74" i="11"/>
  <c r="I74" i="11"/>
  <c r="H74" i="11"/>
  <c r="S73" i="11"/>
  <c r="R73" i="11"/>
  <c r="M73" i="11"/>
  <c r="L73" i="11"/>
  <c r="K73" i="11"/>
  <c r="J73" i="11"/>
  <c r="I73" i="11"/>
  <c r="H73" i="11"/>
  <c r="S72" i="11"/>
  <c r="R72" i="11"/>
  <c r="M72" i="11"/>
  <c r="L72" i="11"/>
  <c r="K72" i="11"/>
  <c r="J72" i="11"/>
  <c r="I72" i="11"/>
  <c r="H72" i="11"/>
  <c r="S71" i="11"/>
  <c r="R71" i="11"/>
  <c r="M71" i="11"/>
  <c r="L71" i="11"/>
  <c r="K71" i="11"/>
  <c r="J71" i="11"/>
  <c r="I71" i="11"/>
  <c r="H71" i="11"/>
  <c r="S70" i="11"/>
  <c r="R70" i="11"/>
  <c r="M70" i="11"/>
  <c r="L70" i="11"/>
  <c r="K70" i="11"/>
  <c r="J70" i="11"/>
  <c r="I70" i="11"/>
  <c r="H70" i="11"/>
  <c r="S69" i="11"/>
  <c r="R69" i="11"/>
  <c r="M69" i="11"/>
  <c r="L69" i="11"/>
  <c r="K69" i="11"/>
  <c r="J69" i="11"/>
  <c r="I69" i="11"/>
  <c r="H69" i="11"/>
  <c r="S68" i="11"/>
  <c r="R68" i="11"/>
  <c r="M68" i="11"/>
  <c r="L68" i="11"/>
  <c r="K68" i="11"/>
  <c r="J68" i="11"/>
  <c r="I68" i="11"/>
  <c r="H68" i="11"/>
  <c r="S67" i="11"/>
  <c r="R67" i="11"/>
  <c r="M67" i="11"/>
  <c r="L67" i="11"/>
  <c r="K67" i="11"/>
  <c r="J67" i="11"/>
  <c r="I67" i="11"/>
  <c r="H67" i="11"/>
  <c r="S66" i="11"/>
  <c r="R66" i="11"/>
  <c r="M66" i="11"/>
  <c r="L66" i="11"/>
  <c r="K66" i="11"/>
  <c r="J66" i="11"/>
  <c r="I66" i="11"/>
  <c r="H66" i="11"/>
  <c r="S65" i="11"/>
  <c r="R65" i="11"/>
  <c r="M65" i="11"/>
  <c r="L65" i="11"/>
  <c r="K65" i="11"/>
  <c r="J65" i="11"/>
  <c r="I65" i="11"/>
  <c r="H65" i="11"/>
  <c r="S64" i="11"/>
  <c r="R64" i="11"/>
  <c r="M64" i="11"/>
  <c r="L64" i="11"/>
  <c r="K64" i="11"/>
  <c r="J64" i="11"/>
  <c r="I64" i="11"/>
  <c r="H64" i="11"/>
  <c r="S63" i="11"/>
  <c r="R63" i="11"/>
  <c r="M63" i="11"/>
  <c r="L63" i="11"/>
  <c r="K63" i="11"/>
  <c r="J63" i="11"/>
  <c r="I63" i="11"/>
  <c r="H63" i="11"/>
  <c r="S62" i="11"/>
  <c r="R62" i="11"/>
  <c r="M62" i="11"/>
  <c r="L62" i="11"/>
  <c r="K62" i="11"/>
  <c r="J62" i="11"/>
  <c r="I62" i="11"/>
  <c r="H62" i="11"/>
  <c r="S61" i="11"/>
  <c r="R61" i="11"/>
  <c r="M61" i="11"/>
  <c r="L61" i="11"/>
  <c r="K61" i="11"/>
  <c r="J61" i="11"/>
  <c r="I61" i="11"/>
  <c r="H61" i="11"/>
  <c r="S60" i="11"/>
  <c r="R60" i="11"/>
  <c r="M60" i="11"/>
  <c r="L60" i="11"/>
  <c r="K60" i="11"/>
  <c r="J60" i="11"/>
  <c r="I60" i="11"/>
  <c r="H60" i="11"/>
  <c r="S59" i="11"/>
  <c r="R59" i="11"/>
  <c r="M59" i="11"/>
  <c r="L59" i="11"/>
  <c r="K59" i="11"/>
  <c r="J59" i="11"/>
  <c r="I59" i="11"/>
  <c r="H59" i="11"/>
  <c r="S58" i="11"/>
  <c r="R58" i="11"/>
  <c r="M58" i="11"/>
  <c r="L58" i="11"/>
  <c r="K58" i="11"/>
  <c r="J58" i="11"/>
  <c r="I58" i="11"/>
  <c r="H58" i="11"/>
  <c r="S57" i="11"/>
  <c r="R57" i="11"/>
  <c r="M57" i="11"/>
  <c r="L57" i="11"/>
  <c r="K57" i="11"/>
  <c r="J57" i="11"/>
  <c r="I57" i="11"/>
  <c r="H57" i="11"/>
  <c r="S56" i="11"/>
  <c r="R56" i="11"/>
  <c r="M56" i="11"/>
  <c r="L56" i="11"/>
  <c r="K56" i="11"/>
  <c r="J56" i="11"/>
  <c r="I56" i="11"/>
  <c r="H56" i="11"/>
  <c r="S55" i="11"/>
  <c r="R55" i="11"/>
  <c r="M55" i="11"/>
  <c r="L55" i="11"/>
  <c r="K55" i="11"/>
  <c r="J55" i="11"/>
  <c r="I55" i="11"/>
  <c r="H55" i="11"/>
  <c r="S54" i="11"/>
  <c r="R54" i="11"/>
  <c r="M54" i="11"/>
  <c r="L54" i="11"/>
  <c r="K54" i="11"/>
  <c r="J54" i="11"/>
  <c r="I54" i="11"/>
  <c r="H54" i="11"/>
  <c r="S53" i="11"/>
  <c r="R53" i="11"/>
  <c r="M53" i="11"/>
  <c r="L53" i="11"/>
  <c r="K53" i="11"/>
  <c r="J53" i="11"/>
  <c r="I53" i="11"/>
  <c r="H53" i="11"/>
  <c r="S52" i="11"/>
  <c r="R52" i="11"/>
  <c r="M52" i="11"/>
  <c r="L52" i="11"/>
  <c r="K52" i="11"/>
  <c r="J52" i="11"/>
  <c r="I52" i="11"/>
  <c r="H52" i="11"/>
  <c r="S51" i="11"/>
  <c r="R51" i="11"/>
  <c r="M51" i="11"/>
  <c r="L51" i="11"/>
  <c r="K51" i="11"/>
  <c r="J51" i="11"/>
  <c r="I51" i="11"/>
  <c r="H51" i="11"/>
  <c r="S50" i="11"/>
  <c r="R50" i="11"/>
  <c r="M50" i="11"/>
  <c r="L50" i="11"/>
  <c r="K50" i="11"/>
  <c r="J50" i="11"/>
  <c r="I50" i="11"/>
  <c r="H50" i="11"/>
  <c r="S49" i="11"/>
  <c r="R49" i="11"/>
  <c r="M49" i="11"/>
  <c r="L49" i="11"/>
  <c r="K49" i="11"/>
  <c r="J49" i="11"/>
  <c r="I49" i="11"/>
  <c r="H49" i="11"/>
  <c r="S48" i="11"/>
  <c r="R48" i="11"/>
  <c r="M48" i="11"/>
  <c r="L48" i="11"/>
  <c r="K48" i="11"/>
  <c r="J48" i="11"/>
  <c r="I48" i="11"/>
  <c r="H48" i="11"/>
  <c r="S47" i="11"/>
  <c r="R47" i="11"/>
  <c r="M47" i="11"/>
  <c r="L47" i="11"/>
  <c r="K47" i="11"/>
  <c r="J47" i="11"/>
  <c r="I47" i="11"/>
  <c r="H47" i="11"/>
  <c r="S46" i="11"/>
  <c r="R46" i="11"/>
  <c r="M46" i="11"/>
  <c r="L46" i="11"/>
  <c r="K46" i="11"/>
  <c r="J46" i="11"/>
  <c r="I46" i="11"/>
  <c r="H46" i="11"/>
  <c r="S45" i="11"/>
  <c r="R45" i="11"/>
  <c r="M45" i="11"/>
  <c r="L45" i="11"/>
  <c r="K45" i="11"/>
  <c r="J45" i="11"/>
  <c r="I45" i="11"/>
  <c r="H45" i="11"/>
  <c r="S44" i="11"/>
  <c r="R44" i="11"/>
  <c r="M44" i="11"/>
  <c r="L44" i="11"/>
  <c r="K44" i="11"/>
  <c r="J44" i="11"/>
  <c r="I44" i="11"/>
  <c r="H44" i="11"/>
  <c r="S43" i="11"/>
  <c r="R43" i="11"/>
  <c r="M43" i="11"/>
  <c r="L43" i="11"/>
  <c r="K43" i="11"/>
  <c r="J43" i="11"/>
  <c r="I43" i="11"/>
  <c r="H43" i="11"/>
  <c r="S42" i="11"/>
  <c r="R42" i="11"/>
  <c r="M42" i="11"/>
  <c r="L42" i="11"/>
  <c r="K42" i="11"/>
  <c r="J42" i="11"/>
  <c r="I42" i="11"/>
  <c r="H42" i="11"/>
  <c r="S41" i="11"/>
  <c r="R41" i="11"/>
  <c r="M41" i="11"/>
  <c r="L41" i="11"/>
  <c r="K41" i="11"/>
  <c r="J41" i="11"/>
  <c r="I41" i="11"/>
  <c r="H41" i="11"/>
  <c r="S40" i="11"/>
  <c r="R40" i="11"/>
  <c r="M40" i="11"/>
  <c r="L40" i="11"/>
  <c r="K40" i="11"/>
  <c r="J40" i="11"/>
  <c r="I40" i="11"/>
  <c r="H40" i="11"/>
  <c r="S39" i="11"/>
  <c r="R39" i="11"/>
  <c r="M39" i="11"/>
  <c r="L39" i="11"/>
  <c r="K39" i="11"/>
  <c r="J39" i="11"/>
  <c r="I39" i="11"/>
  <c r="H39" i="11"/>
  <c r="S38" i="11"/>
  <c r="R38" i="11"/>
  <c r="M38" i="11"/>
  <c r="L38" i="11"/>
  <c r="K38" i="11"/>
  <c r="J38" i="11"/>
  <c r="I38" i="11"/>
  <c r="H38" i="11"/>
  <c r="S37" i="11"/>
  <c r="R37" i="11"/>
  <c r="M37" i="11"/>
  <c r="L37" i="11"/>
  <c r="K37" i="11"/>
  <c r="J37" i="11"/>
  <c r="I37" i="11"/>
  <c r="H37" i="11"/>
  <c r="S36" i="11"/>
  <c r="R36" i="11"/>
  <c r="M36" i="11"/>
  <c r="L36" i="11"/>
  <c r="K36" i="11"/>
  <c r="J36" i="11"/>
  <c r="I36" i="11"/>
  <c r="H36" i="11"/>
  <c r="S35" i="11"/>
  <c r="R35" i="11"/>
  <c r="M35" i="11"/>
  <c r="L35" i="11"/>
  <c r="K35" i="11"/>
  <c r="J35" i="11"/>
  <c r="I35" i="11"/>
  <c r="H35" i="11"/>
  <c r="S34" i="11"/>
  <c r="R34" i="11"/>
  <c r="M34" i="11"/>
  <c r="L34" i="11"/>
  <c r="K34" i="11"/>
  <c r="J34" i="11"/>
  <c r="I34" i="11"/>
  <c r="H34" i="11"/>
  <c r="S33" i="11"/>
  <c r="R33" i="11"/>
  <c r="M33" i="11"/>
  <c r="L33" i="11"/>
  <c r="K33" i="11"/>
  <c r="J33" i="11"/>
  <c r="I33" i="11"/>
  <c r="H33" i="11"/>
  <c r="S32" i="11"/>
  <c r="R32" i="11"/>
  <c r="M32" i="11"/>
  <c r="L32" i="11"/>
  <c r="K32" i="11"/>
  <c r="J32" i="11"/>
  <c r="I32" i="11"/>
  <c r="H32" i="11"/>
  <c r="S31" i="11"/>
  <c r="R31" i="11"/>
  <c r="M31" i="11"/>
  <c r="L31" i="11"/>
  <c r="K31" i="11"/>
  <c r="J31" i="11"/>
  <c r="I31" i="11"/>
  <c r="H31" i="11"/>
  <c r="S30" i="11"/>
  <c r="R30" i="11"/>
  <c r="M30" i="11"/>
  <c r="L30" i="11"/>
  <c r="K30" i="11"/>
  <c r="J30" i="11"/>
  <c r="I30" i="11"/>
  <c r="H30" i="11"/>
  <c r="S29" i="11"/>
  <c r="R29" i="11"/>
  <c r="M29" i="11"/>
  <c r="L29" i="11"/>
  <c r="K29" i="11"/>
  <c r="J29" i="11"/>
  <c r="I29" i="11"/>
  <c r="H29" i="11"/>
  <c r="S28" i="11"/>
  <c r="R28" i="11"/>
  <c r="M28" i="11"/>
  <c r="L28" i="11"/>
  <c r="K28" i="11"/>
  <c r="J28" i="11"/>
  <c r="I28" i="11"/>
  <c r="H28" i="11"/>
  <c r="S27" i="11"/>
  <c r="R27" i="11"/>
  <c r="M27" i="11"/>
  <c r="L27" i="11"/>
  <c r="K27" i="11"/>
  <c r="J27" i="11"/>
  <c r="I27" i="11"/>
  <c r="H27" i="11"/>
  <c r="S26" i="11"/>
  <c r="R26" i="11"/>
  <c r="M26" i="11"/>
  <c r="L26" i="11"/>
  <c r="K26" i="11"/>
  <c r="J26" i="11"/>
  <c r="I26" i="11"/>
  <c r="H26" i="11"/>
  <c r="S25" i="11"/>
  <c r="R25" i="11"/>
  <c r="M25" i="11"/>
  <c r="L25" i="11"/>
  <c r="K25" i="11"/>
  <c r="J25" i="11"/>
  <c r="I25" i="11"/>
  <c r="H25" i="11"/>
  <c r="I24" i="11"/>
  <c r="J24" i="11" s="1"/>
  <c r="R24" i="11" s="1"/>
  <c r="H24" i="11"/>
  <c r="I23" i="11"/>
  <c r="H23" i="11"/>
  <c r="I22" i="11"/>
  <c r="J22" i="11" s="1"/>
  <c r="R22" i="11" s="1"/>
  <c r="H22" i="11"/>
  <c r="I21" i="11"/>
  <c r="H21" i="11"/>
  <c r="I20" i="11"/>
  <c r="J20" i="11" s="1"/>
  <c r="R20" i="11" s="1"/>
  <c r="H20" i="11"/>
  <c r="I19" i="11"/>
  <c r="H19" i="11"/>
  <c r="J18" i="11"/>
  <c r="R18" i="11" s="1"/>
  <c r="I18" i="11"/>
  <c r="H18" i="11"/>
  <c r="I17" i="11"/>
  <c r="H17" i="11"/>
  <c r="H16" i="11"/>
  <c r="H15" i="11"/>
  <c r="I14" i="11"/>
  <c r="H14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7" i="11"/>
  <c r="L7" i="11" s="1"/>
  <c r="H7" i="11"/>
  <c r="K7" i="11" s="1"/>
  <c r="G9" i="10"/>
  <c r="G8" i="10"/>
  <c r="G21" i="9"/>
  <c r="S112" i="10"/>
  <c r="R112" i="10"/>
  <c r="M112" i="10"/>
  <c r="L112" i="10"/>
  <c r="K112" i="10"/>
  <c r="J112" i="10"/>
  <c r="I112" i="10"/>
  <c r="H112" i="10"/>
  <c r="S111" i="10"/>
  <c r="R111" i="10"/>
  <c r="M111" i="10"/>
  <c r="L111" i="10"/>
  <c r="K111" i="10"/>
  <c r="J111" i="10"/>
  <c r="I111" i="10"/>
  <c r="H111" i="10"/>
  <c r="S110" i="10"/>
  <c r="R110" i="10"/>
  <c r="M110" i="10"/>
  <c r="L110" i="10"/>
  <c r="K110" i="10"/>
  <c r="J110" i="10"/>
  <c r="I110" i="10"/>
  <c r="H110" i="10"/>
  <c r="S109" i="10"/>
  <c r="R109" i="10"/>
  <c r="M109" i="10"/>
  <c r="L109" i="10"/>
  <c r="K109" i="10"/>
  <c r="J109" i="10"/>
  <c r="I109" i="10"/>
  <c r="H109" i="10"/>
  <c r="S108" i="10"/>
  <c r="R108" i="10"/>
  <c r="M108" i="10"/>
  <c r="L108" i="10"/>
  <c r="K108" i="10"/>
  <c r="J108" i="10"/>
  <c r="I108" i="10"/>
  <c r="H108" i="10"/>
  <c r="S107" i="10"/>
  <c r="R107" i="10"/>
  <c r="M107" i="10"/>
  <c r="L107" i="10"/>
  <c r="K107" i="10"/>
  <c r="J107" i="10"/>
  <c r="I107" i="10"/>
  <c r="H107" i="10"/>
  <c r="S106" i="10"/>
  <c r="R106" i="10"/>
  <c r="M106" i="10"/>
  <c r="L106" i="10"/>
  <c r="K106" i="10"/>
  <c r="J106" i="10"/>
  <c r="I106" i="10"/>
  <c r="H106" i="10"/>
  <c r="S105" i="10"/>
  <c r="R105" i="10"/>
  <c r="M105" i="10"/>
  <c r="L105" i="10"/>
  <c r="K105" i="10"/>
  <c r="J105" i="10"/>
  <c r="I105" i="10"/>
  <c r="H105" i="10"/>
  <c r="S104" i="10"/>
  <c r="R104" i="10"/>
  <c r="M104" i="10"/>
  <c r="L104" i="10"/>
  <c r="K104" i="10"/>
  <c r="J104" i="10"/>
  <c r="I104" i="10"/>
  <c r="H104" i="10"/>
  <c r="S103" i="10"/>
  <c r="R103" i="10"/>
  <c r="M103" i="10"/>
  <c r="L103" i="10"/>
  <c r="K103" i="10"/>
  <c r="J103" i="10"/>
  <c r="I103" i="10"/>
  <c r="H103" i="10"/>
  <c r="S102" i="10"/>
  <c r="R102" i="10"/>
  <c r="M102" i="10"/>
  <c r="L102" i="10"/>
  <c r="K102" i="10"/>
  <c r="J102" i="10"/>
  <c r="I102" i="10"/>
  <c r="H102" i="10"/>
  <c r="S101" i="10"/>
  <c r="R101" i="10"/>
  <c r="M101" i="10"/>
  <c r="L101" i="10"/>
  <c r="K101" i="10"/>
  <c r="J101" i="10"/>
  <c r="I101" i="10"/>
  <c r="H101" i="10"/>
  <c r="S100" i="10"/>
  <c r="R100" i="10"/>
  <c r="M100" i="10"/>
  <c r="L100" i="10"/>
  <c r="K100" i="10"/>
  <c r="J100" i="10"/>
  <c r="I100" i="10"/>
  <c r="H100" i="10"/>
  <c r="S99" i="10"/>
  <c r="R99" i="10"/>
  <c r="M99" i="10"/>
  <c r="L99" i="10"/>
  <c r="K99" i="10"/>
  <c r="J99" i="10"/>
  <c r="I99" i="10"/>
  <c r="H99" i="10"/>
  <c r="S98" i="10"/>
  <c r="R98" i="10"/>
  <c r="M98" i="10"/>
  <c r="L98" i="10"/>
  <c r="K98" i="10"/>
  <c r="J98" i="10"/>
  <c r="I98" i="10"/>
  <c r="H98" i="10"/>
  <c r="S97" i="10"/>
  <c r="R97" i="10"/>
  <c r="M97" i="10"/>
  <c r="L97" i="10"/>
  <c r="K97" i="10"/>
  <c r="J97" i="10"/>
  <c r="I97" i="10"/>
  <c r="H97" i="10"/>
  <c r="S96" i="10"/>
  <c r="R96" i="10"/>
  <c r="M96" i="10"/>
  <c r="L96" i="10"/>
  <c r="K96" i="10"/>
  <c r="J96" i="10"/>
  <c r="I96" i="10"/>
  <c r="H96" i="10"/>
  <c r="S95" i="10"/>
  <c r="R95" i="10"/>
  <c r="M95" i="10"/>
  <c r="L95" i="10"/>
  <c r="K95" i="10"/>
  <c r="J95" i="10"/>
  <c r="I95" i="10"/>
  <c r="H95" i="10"/>
  <c r="S94" i="10"/>
  <c r="R94" i="10"/>
  <c r="M94" i="10"/>
  <c r="L94" i="10"/>
  <c r="K94" i="10"/>
  <c r="J94" i="10"/>
  <c r="I94" i="10"/>
  <c r="H94" i="10"/>
  <c r="S93" i="10"/>
  <c r="R93" i="10"/>
  <c r="M93" i="10"/>
  <c r="L93" i="10"/>
  <c r="K93" i="10"/>
  <c r="J93" i="10"/>
  <c r="I93" i="10"/>
  <c r="H93" i="10"/>
  <c r="S92" i="10"/>
  <c r="R92" i="10"/>
  <c r="M92" i="10"/>
  <c r="L92" i="10"/>
  <c r="K92" i="10"/>
  <c r="J92" i="10"/>
  <c r="I92" i="10"/>
  <c r="H92" i="10"/>
  <c r="S91" i="10"/>
  <c r="R91" i="10"/>
  <c r="M91" i="10"/>
  <c r="L91" i="10"/>
  <c r="K91" i="10"/>
  <c r="J91" i="10"/>
  <c r="I91" i="10"/>
  <c r="H91" i="10"/>
  <c r="S90" i="10"/>
  <c r="R90" i="10"/>
  <c r="M90" i="10"/>
  <c r="L90" i="10"/>
  <c r="K90" i="10"/>
  <c r="J90" i="10"/>
  <c r="I90" i="10"/>
  <c r="H90" i="10"/>
  <c r="S89" i="10"/>
  <c r="R89" i="10"/>
  <c r="M89" i="10"/>
  <c r="L89" i="10"/>
  <c r="K89" i="10"/>
  <c r="J89" i="10"/>
  <c r="I89" i="10"/>
  <c r="H89" i="10"/>
  <c r="S88" i="10"/>
  <c r="R88" i="10"/>
  <c r="M88" i="10"/>
  <c r="L88" i="10"/>
  <c r="K88" i="10"/>
  <c r="J88" i="10"/>
  <c r="I88" i="10"/>
  <c r="H88" i="10"/>
  <c r="S87" i="10"/>
  <c r="R87" i="10"/>
  <c r="M87" i="10"/>
  <c r="L87" i="10"/>
  <c r="K87" i="10"/>
  <c r="J87" i="10"/>
  <c r="I87" i="10"/>
  <c r="H87" i="10"/>
  <c r="S86" i="10"/>
  <c r="R86" i="10"/>
  <c r="M86" i="10"/>
  <c r="L86" i="10"/>
  <c r="K86" i="10"/>
  <c r="J86" i="10"/>
  <c r="I86" i="10"/>
  <c r="H86" i="10"/>
  <c r="S85" i="10"/>
  <c r="R85" i="10"/>
  <c r="M85" i="10"/>
  <c r="L85" i="10"/>
  <c r="K85" i="10"/>
  <c r="J85" i="10"/>
  <c r="I85" i="10"/>
  <c r="H85" i="10"/>
  <c r="S84" i="10"/>
  <c r="R84" i="10"/>
  <c r="M84" i="10"/>
  <c r="L84" i="10"/>
  <c r="K84" i="10"/>
  <c r="J84" i="10"/>
  <c r="I84" i="10"/>
  <c r="H84" i="10"/>
  <c r="S83" i="10"/>
  <c r="R83" i="10"/>
  <c r="M83" i="10"/>
  <c r="L83" i="10"/>
  <c r="K83" i="10"/>
  <c r="J83" i="10"/>
  <c r="I83" i="10"/>
  <c r="H83" i="10"/>
  <c r="S82" i="10"/>
  <c r="R82" i="10"/>
  <c r="M82" i="10"/>
  <c r="L82" i="10"/>
  <c r="K82" i="10"/>
  <c r="J82" i="10"/>
  <c r="I82" i="10"/>
  <c r="H82" i="10"/>
  <c r="S81" i="10"/>
  <c r="R81" i="10"/>
  <c r="M81" i="10"/>
  <c r="L81" i="10"/>
  <c r="K81" i="10"/>
  <c r="J81" i="10"/>
  <c r="I81" i="10"/>
  <c r="H81" i="10"/>
  <c r="S80" i="10"/>
  <c r="R80" i="10"/>
  <c r="M80" i="10"/>
  <c r="L80" i="10"/>
  <c r="K80" i="10"/>
  <c r="J80" i="10"/>
  <c r="I80" i="10"/>
  <c r="H80" i="10"/>
  <c r="S79" i="10"/>
  <c r="R79" i="10"/>
  <c r="M79" i="10"/>
  <c r="L79" i="10"/>
  <c r="K79" i="10"/>
  <c r="J79" i="10"/>
  <c r="I79" i="10"/>
  <c r="H79" i="10"/>
  <c r="S78" i="10"/>
  <c r="R78" i="10"/>
  <c r="M78" i="10"/>
  <c r="L78" i="10"/>
  <c r="K78" i="10"/>
  <c r="J78" i="10"/>
  <c r="I78" i="10"/>
  <c r="H78" i="10"/>
  <c r="S77" i="10"/>
  <c r="R77" i="10"/>
  <c r="M77" i="10"/>
  <c r="L77" i="10"/>
  <c r="K77" i="10"/>
  <c r="J77" i="10"/>
  <c r="I77" i="10"/>
  <c r="H77" i="10"/>
  <c r="S76" i="10"/>
  <c r="R76" i="10"/>
  <c r="M76" i="10"/>
  <c r="L76" i="10"/>
  <c r="K76" i="10"/>
  <c r="J76" i="10"/>
  <c r="I76" i="10"/>
  <c r="H76" i="10"/>
  <c r="S75" i="10"/>
  <c r="R75" i="10"/>
  <c r="M75" i="10"/>
  <c r="L75" i="10"/>
  <c r="K75" i="10"/>
  <c r="J75" i="10"/>
  <c r="I75" i="10"/>
  <c r="H75" i="10"/>
  <c r="S74" i="10"/>
  <c r="R74" i="10"/>
  <c r="M74" i="10"/>
  <c r="L74" i="10"/>
  <c r="K74" i="10"/>
  <c r="J74" i="10"/>
  <c r="I74" i="10"/>
  <c r="H74" i="10"/>
  <c r="S73" i="10"/>
  <c r="R73" i="10"/>
  <c r="M73" i="10"/>
  <c r="L73" i="10"/>
  <c r="K73" i="10"/>
  <c r="J73" i="10"/>
  <c r="I73" i="10"/>
  <c r="H73" i="10"/>
  <c r="S72" i="10"/>
  <c r="R72" i="10"/>
  <c r="M72" i="10"/>
  <c r="L72" i="10"/>
  <c r="K72" i="10"/>
  <c r="J72" i="10"/>
  <c r="I72" i="10"/>
  <c r="H72" i="10"/>
  <c r="S71" i="10"/>
  <c r="R71" i="10"/>
  <c r="M71" i="10"/>
  <c r="L71" i="10"/>
  <c r="K71" i="10"/>
  <c r="J71" i="10"/>
  <c r="I71" i="10"/>
  <c r="H71" i="10"/>
  <c r="S70" i="10"/>
  <c r="R70" i="10"/>
  <c r="M70" i="10"/>
  <c r="L70" i="10"/>
  <c r="K70" i="10"/>
  <c r="J70" i="10"/>
  <c r="I70" i="10"/>
  <c r="H70" i="10"/>
  <c r="S69" i="10"/>
  <c r="R69" i="10"/>
  <c r="M69" i="10"/>
  <c r="L69" i="10"/>
  <c r="K69" i="10"/>
  <c r="J69" i="10"/>
  <c r="I69" i="10"/>
  <c r="H69" i="10"/>
  <c r="S68" i="10"/>
  <c r="R68" i="10"/>
  <c r="M68" i="10"/>
  <c r="L68" i="10"/>
  <c r="K68" i="10"/>
  <c r="J68" i="10"/>
  <c r="I68" i="10"/>
  <c r="H68" i="10"/>
  <c r="S67" i="10"/>
  <c r="R67" i="10"/>
  <c r="M67" i="10"/>
  <c r="L67" i="10"/>
  <c r="K67" i="10"/>
  <c r="J67" i="10"/>
  <c r="I67" i="10"/>
  <c r="H67" i="10"/>
  <c r="S66" i="10"/>
  <c r="R66" i="10"/>
  <c r="M66" i="10"/>
  <c r="L66" i="10"/>
  <c r="K66" i="10"/>
  <c r="J66" i="10"/>
  <c r="I66" i="10"/>
  <c r="H66" i="10"/>
  <c r="S65" i="10"/>
  <c r="R65" i="10"/>
  <c r="M65" i="10"/>
  <c r="L65" i="10"/>
  <c r="K65" i="10"/>
  <c r="J65" i="10"/>
  <c r="I65" i="10"/>
  <c r="H65" i="10"/>
  <c r="S64" i="10"/>
  <c r="R64" i="10"/>
  <c r="M64" i="10"/>
  <c r="L64" i="10"/>
  <c r="K64" i="10"/>
  <c r="J64" i="10"/>
  <c r="I64" i="10"/>
  <c r="H64" i="10"/>
  <c r="S63" i="10"/>
  <c r="R63" i="10"/>
  <c r="M63" i="10"/>
  <c r="L63" i="10"/>
  <c r="K63" i="10"/>
  <c r="J63" i="10"/>
  <c r="I63" i="10"/>
  <c r="H63" i="10"/>
  <c r="S62" i="10"/>
  <c r="R62" i="10"/>
  <c r="M62" i="10"/>
  <c r="L62" i="10"/>
  <c r="K62" i="10"/>
  <c r="J62" i="10"/>
  <c r="I62" i="10"/>
  <c r="H62" i="10"/>
  <c r="S61" i="10"/>
  <c r="R61" i="10"/>
  <c r="M61" i="10"/>
  <c r="L61" i="10"/>
  <c r="K61" i="10"/>
  <c r="J61" i="10"/>
  <c r="I61" i="10"/>
  <c r="H61" i="10"/>
  <c r="S60" i="10"/>
  <c r="R60" i="10"/>
  <c r="M60" i="10"/>
  <c r="L60" i="10"/>
  <c r="K60" i="10"/>
  <c r="J60" i="10"/>
  <c r="I60" i="10"/>
  <c r="H60" i="10"/>
  <c r="S59" i="10"/>
  <c r="R59" i="10"/>
  <c r="M59" i="10"/>
  <c r="L59" i="10"/>
  <c r="K59" i="10"/>
  <c r="J59" i="10"/>
  <c r="I59" i="10"/>
  <c r="H59" i="10"/>
  <c r="S58" i="10"/>
  <c r="R58" i="10"/>
  <c r="M58" i="10"/>
  <c r="L58" i="10"/>
  <c r="K58" i="10"/>
  <c r="J58" i="10"/>
  <c r="I58" i="10"/>
  <c r="H58" i="10"/>
  <c r="S57" i="10"/>
  <c r="R57" i="10"/>
  <c r="M57" i="10"/>
  <c r="L57" i="10"/>
  <c r="K57" i="10"/>
  <c r="J57" i="10"/>
  <c r="I57" i="10"/>
  <c r="H57" i="10"/>
  <c r="S56" i="10"/>
  <c r="R56" i="10"/>
  <c r="M56" i="10"/>
  <c r="L56" i="10"/>
  <c r="K56" i="10"/>
  <c r="J56" i="10"/>
  <c r="I56" i="10"/>
  <c r="H56" i="10"/>
  <c r="S55" i="10"/>
  <c r="R55" i="10"/>
  <c r="M55" i="10"/>
  <c r="L55" i="10"/>
  <c r="K55" i="10"/>
  <c r="J55" i="10"/>
  <c r="I55" i="10"/>
  <c r="H55" i="10"/>
  <c r="S54" i="10"/>
  <c r="R54" i="10"/>
  <c r="M54" i="10"/>
  <c r="L54" i="10"/>
  <c r="K54" i="10"/>
  <c r="J54" i="10"/>
  <c r="I54" i="10"/>
  <c r="H54" i="10"/>
  <c r="S53" i="10"/>
  <c r="R53" i="10"/>
  <c r="M53" i="10"/>
  <c r="L53" i="10"/>
  <c r="K53" i="10"/>
  <c r="J53" i="10"/>
  <c r="I53" i="10"/>
  <c r="H53" i="10"/>
  <c r="S52" i="10"/>
  <c r="R52" i="10"/>
  <c r="M52" i="10"/>
  <c r="L52" i="10"/>
  <c r="K52" i="10"/>
  <c r="J52" i="10"/>
  <c r="I52" i="10"/>
  <c r="H52" i="10"/>
  <c r="S51" i="10"/>
  <c r="R51" i="10"/>
  <c r="M51" i="10"/>
  <c r="L51" i="10"/>
  <c r="K51" i="10"/>
  <c r="J51" i="10"/>
  <c r="I51" i="10"/>
  <c r="H51" i="10"/>
  <c r="S50" i="10"/>
  <c r="R50" i="10"/>
  <c r="M50" i="10"/>
  <c r="L50" i="10"/>
  <c r="K50" i="10"/>
  <c r="J50" i="10"/>
  <c r="I50" i="10"/>
  <c r="H50" i="10"/>
  <c r="S49" i="10"/>
  <c r="R49" i="10"/>
  <c r="M49" i="10"/>
  <c r="L49" i="10"/>
  <c r="K49" i="10"/>
  <c r="J49" i="10"/>
  <c r="I49" i="10"/>
  <c r="H49" i="10"/>
  <c r="S48" i="10"/>
  <c r="R48" i="10"/>
  <c r="M48" i="10"/>
  <c r="L48" i="10"/>
  <c r="K48" i="10"/>
  <c r="J48" i="10"/>
  <c r="I48" i="10"/>
  <c r="H48" i="10"/>
  <c r="S47" i="10"/>
  <c r="R47" i="10"/>
  <c r="M47" i="10"/>
  <c r="L47" i="10"/>
  <c r="K47" i="10"/>
  <c r="J47" i="10"/>
  <c r="I47" i="10"/>
  <c r="H47" i="10"/>
  <c r="S46" i="10"/>
  <c r="R46" i="10"/>
  <c r="M46" i="10"/>
  <c r="L46" i="10"/>
  <c r="K46" i="10"/>
  <c r="J46" i="10"/>
  <c r="I46" i="10"/>
  <c r="H46" i="10"/>
  <c r="S45" i="10"/>
  <c r="R45" i="10"/>
  <c r="M45" i="10"/>
  <c r="L45" i="10"/>
  <c r="K45" i="10"/>
  <c r="J45" i="10"/>
  <c r="I45" i="10"/>
  <c r="H45" i="10"/>
  <c r="S44" i="10"/>
  <c r="R44" i="10"/>
  <c r="M44" i="10"/>
  <c r="L44" i="10"/>
  <c r="K44" i="10"/>
  <c r="J44" i="10"/>
  <c r="I44" i="10"/>
  <c r="H44" i="10"/>
  <c r="S43" i="10"/>
  <c r="R43" i="10"/>
  <c r="M43" i="10"/>
  <c r="L43" i="10"/>
  <c r="K43" i="10"/>
  <c r="J43" i="10"/>
  <c r="I43" i="10"/>
  <c r="H43" i="10"/>
  <c r="S42" i="10"/>
  <c r="R42" i="10"/>
  <c r="M42" i="10"/>
  <c r="L42" i="10"/>
  <c r="K42" i="10"/>
  <c r="J42" i="10"/>
  <c r="I42" i="10"/>
  <c r="H42" i="10"/>
  <c r="S41" i="10"/>
  <c r="R41" i="10"/>
  <c r="M41" i="10"/>
  <c r="L41" i="10"/>
  <c r="K41" i="10"/>
  <c r="J41" i="10"/>
  <c r="I41" i="10"/>
  <c r="H41" i="10"/>
  <c r="S40" i="10"/>
  <c r="R40" i="10"/>
  <c r="M40" i="10"/>
  <c r="L40" i="10"/>
  <c r="K40" i="10"/>
  <c r="J40" i="10"/>
  <c r="I40" i="10"/>
  <c r="H40" i="10"/>
  <c r="S39" i="10"/>
  <c r="R39" i="10"/>
  <c r="M39" i="10"/>
  <c r="L39" i="10"/>
  <c r="K39" i="10"/>
  <c r="J39" i="10"/>
  <c r="I39" i="10"/>
  <c r="H39" i="10"/>
  <c r="S38" i="10"/>
  <c r="R38" i="10"/>
  <c r="M38" i="10"/>
  <c r="L38" i="10"/>
  <c r="K38" i="10"/>
  <c r="J38" i="10"/>
  <c r="I38" i="10"/>
  <c r="H38" i="10"/>
  <c r="S37" i="10"/>
  <c r="R37" i="10"/>
  <c r="M37" i="10"/>
  <c r="L37" i="10"/>
  <c r="K37" i="10"/>
  <c r="J37" i="10"/>
  <c r="I37" i="10"/>
  <c r="H37" i="10"/>
  <c r="S36" i="10"/>
  <c r="R36" i="10"/>
  <c r="M36" i="10"/>
  <c r="L36" i="10"/>
  <c r="K36" i="10"/>
  <c r="J36" i="10"/>
  <c r="I36" i="10"/>
  <c r="H36" i="10"/>
  <c r="S35" i="10"/>
  <c r="R35" i="10"/>
  <c r="M35" i="10"/>
  <c r="L35" i="10"/>
  <c r="K35" i="10"/>
  <c r="J35" i="10"/>
  <c r="I35" i="10"/>
  <c r="H35" i="10"/>
  <c r="S34" i="10"/>
  <c r="R34" i="10"/>
  <c r="M34" i="10"/>
  <c r="L34" i="10"/>
  <c r="K34" i="10"/>
  <c r="J34" i="10"/>
  <c r="I34" i="10"/>
  <c r="H34" i="10"/>
  <c r="S33" i="10"/>
  <c r="R33" i="10"/>
  <c r="M33" i="10"/>
  <c r="L33" i="10"/>
  <c r="K33" i="10"/>
  <c r="J33" i="10"/>
  <c r="I33" i="10"/>
  <c r="H33" i="10"/>
  <c r="S32" i="10"/>
  <c r="R32" i="10"/>
  <c r="M32" i="10"/>
  <c r="L32" i="10"/>
  <c r="K32" i="10"/>
  <c r="J32" i="10"/>
  <c r="I32" i="10"/>
  <c r="H32" i="10"/>
  <c r="S31" i="10"/>
  <c r="R31" i="10"/>
  <c r="M31" i="10"/>
  <c r="L31" i="10"/>
  <c r="K31" i="10"/>
  <c r="J31" i="10"/>
  <c r="I31" i="10"/>
  <c r="H31" i="10"/>
  <c r="S30" i="10"/>
  <c r="R30" i="10"/>
  <c r="M30" i="10"/>
  <c r="L30" i="10"/>
  <c r="K30" i="10"/>
  <c r="J30" i="10"/>
  <c r="I30" i="10"/>
  <c r="H30" i="10"/>
  <c r="J29" i="10"/>
  <c r="R29" i="10" s="1"/>
  <c r="I29" i="10"/>
  <c r="H29" i="10"/>
  <c r="J28" i="10"/>
  <c r="R28" i="10" s="1"/>
  <c r="I28" i="10"/>
  <c r="H28" i="10"/>
  <c r="I27" i="10"/>
  <c r="J27" i="10" s="1"/>
  <c r="R27" i="10" s="1"/>
  <c r="H27" i="10"/>
  <c r="I26" i="10"/>
  <c r="J26" i="10" s="1"/>
  <c r="R26" i="10" s="1"/>
  <c r="H26" i="10"/>
  <c r="I25" i="10"/>
  <c r="J25" i="10" s="1"/>
  <c r="R25" i="10" s="1"/>
  <c r="H25" i="10"/>
  <c r="J24" i="10"/>
  <c r="R24" i="10" s="1"/>
  <c r="I24" i="10"/>
  <c r="H24" i="10"/>
  <c r="I23" i="10"/>
  <c r="H23" i="10"/>
  <c r="H22" i="10"/>
  <c r="I22" i="10"/>
  <c r="J22" i="10" s="1"/>
  <c r="R22" i="10" s="1"/>
  <c r="I21" i="10"/>
  <c r="H21" i="10"/>
  <c r="I20" i="10"/>
  <c r="H20" i="10"/>
  <c r="I19" i="10"/>
  <c r="H19" i="10"/>
  <c r="J19" i="10" s="1"/>
  <c r="R19" i="10" s="1"/>
  <c r="I18" i="10"/>
  <c r="H18" i="10"/>
  <c r="J18" i="10" s="1"/>
  <c r="R18" i="10" s="1"/>
  <c r="I17" i="10"/>
  <c r="H17" i="10"/>
  <c r="I16" i="10"/>
  <c r="H16" i="10"/>
  <c r="I15" i="10"/>
  <c r="H15" i="10"/>
  <c r="J15" i="10" s="1"/>
  <c r="R15" i="10" s="1"/>
  <c r="H14" i="10"/>
  <c r="I14" i="10"/>
  <c r="J14" i="10" s="1"/>
  <c r="R14" i="10" s="1"/>
  <c r="I13" i="10"/>
  <c r="H13" i="10"/>
  <c r="H12" i="10"/>
  <c r="I12" i="10"/>
  <c r="J12" i="10" s="1"/>
  <c r="R12" i="10" s="1"/>
  <c r="H11" i="10"/>
  <c r="I11" i="10"/>
  <c r="J11" i="10" s="1"/>
  <c r="R11" i="10" s="1"/>
  <c r="I10" i="10"/>
  <c r="H10" i="10"/>
  <c r="I9" i="10"/>
  <c r="H9" i="10"/>
  <c r="I8" i="10"/>
  <c r="H8" i="10"/>
  <c r="I7" i="10"/>
  <c r="L7" i="10" s="1"/>
  <c r="H7" i="10"/>
  <c r="K7" i="10" s="1"/>
  <c r="K8" i="10" s="1"/>
  <c r="K9" i="10" s="1"/>
  <c r="K10" i="10" s="1"/>
  <c r="K11" i="10" s="1"/>
  <c r="K12" i="10" s="1"/>
  <c r="K13" i="10" s="1"/>
  <c r="K14" i="10" s="1"/>
  <c r="G18" i="9"/>
  <c r="G19" i="9"/>
  <c r="S112" i="9"/>
  <c r="R112" i="9"/>
  <c r="M112" i="9"/>
  <c r="L112" i="9"/>
  <c r="K112" i="9"/>
  <c r="J112" i="9"/>
  <c r="I112" i="9"/>
  <c r="H112" i="9"/>
  <c r="S111" i="9"/>
  <c r="R111" i="9"/>
  <c r="M111" i="9"/>
  <c r="L111" i="9"/>
  <c r="K111" i="9"/>
  <c r="J111" i="9"/>
  <c r="I111" i="9"/>
  <c r="H111" i="9"/>
  <c r="S110" i="9"/>
  <c r="R110" i="9"/>
  <c r="M110" i="9"/>
  <c r="L110" i="9"/>
  <c r="K110" i="9"/>
  <c r="J110" i="9"/>
  <c r="I110" i="9"/>
  <c r="H110" i="9"/>
  <c r="S109" i="9"/>
  <c r="R109" i="9"/>
  <c r="M109" i="9"/>
  <c r="L109" i="9"/>
  <c r="K109" i="9"/>
  <c r="J109" i="9"/>
  <c r="I109" i="9"/>
  <c r="H109" i="9"/>
  <c r="S108" i="9"/>
  <c r="R108" i="9"/>
  <c r="M108" i="9"/>
  <c r="L108" i="9"/>
  <c r="K108" i="9"/>
  <c r="J108" i="9"/>
  <c r="I108" i="9"/>
  <c r="H108" i="9"/>
  <c r="S107" i="9"/>
  <c r="R107" i="9"/>
  <c r="M107" i="9"/>
  <c r="L107" i="9"/>
  <c r="K107" i="9"/>
  <c r="J107" i="9"/>
  <c r="I107" i="9"/>
  <c r="H107" i="9"/>
  <c r="S106" i="9"/>
  <c r="R106" i="9"/>
  <c r="M106" i="9"/>
  <c r="L106" i="9"/>
  <c r="K106" i="9"/>
  <c r="J106" i="9"/>
  <c r="I106" i="9"/>
  <c r="H106" i="9"/>
  <c r="S105" i="9"/>
  <c r="R105" i="9"/>
  <c r="M105" i="9"/>
  <c r="L105" i="9"/>
  <c r="K105" i="9"/>
  <c r="J105" i="9"/>
  <c r="I105" i="9"/>
  <c r="H105" i="9"/>
  <c r="S104" i="9"/>
  <c r="R104" i="9"/>
  <c r="M104" i="9"/>
  <c r="L104" i="9"/>
  <c r="K104" i="9"/>
  <c r="J104" i="9"/>
  <c r="I104" i="9"/>
  <c r="H104" i="9"/>
  <c r="S103" i="9"/>
  <c r="R103" i="9"/>
  <c r="M103" i="9"/>
  <c r="L103" i="9"/>
  <c r="K103" i="9"/>
  <c r="J103" i="9"/>
  <c r="I103" i="9"/>
  <c r="H103" i="9"/>
  <c r="S102" i="9"/>
  <c r="R102" i="9"/>
  <c r="M102" i="9"/>
  <c r="L102" i="9"/>
  <c r="K102" i="9"/>
  <c r="J102" i="9"/>
  <c r="I102" i="9"/>
  <c r="H102" i="9"/>
  <c r="S101" i="9"/>
  <c r="R101" i="9"/>
  <c r="M101" i="9"/>
  <c r="L101" i="9"/>
  <c r="K101" i="9"/>
  <c r="J101" i="9"/>
  <c r="I101" i="9"/>
  <c r="H101" i="9"/>
  <c r="S100" i="9"/>
  <c r="R100" i="9"/>
  <c r="M100" i="9"/>
  <c r="L100" i="9"/>
  <c r="K100" i="9"/>
  <c r="J100" i="9"/>
  <c r="I100" i="9"/>
  <c r="H100" i="9"/>
  <c r="S99" i="9"/>
  <c r="R99" i="9"/>
  <c r="M99" i="9"/>
  <c r="L99" i="9"/>
  <c r="K99" i="9"/>
  <c r="J99" i="9"/>
  <c r="I99" i="9"/>
  <c r="H99" i="9"/>
  <c r="S98" i="9"/>
  <c r="R98" i="9"/>
  <c r="M98" i="9"/>
  <c r="L98" i="9"/>
  <c r="K98" i="9"/>
  <c r="J98" i="9"/>
  <c r="I98" i="9"/>
  <c r="H98" i="9"/>
  <c r="S97" i="9"/>
  <c r="R97" i="9"/>
  <c r="M97" i="9"/>
  <c r="L97" i="9"/>
  <c r="K97" i="9"/>
  <c r="J97" i="9"/>
  <c r="I97" i="9"/>
  <c r="H97" i="9"/>
  <c r="S96" i="9"/>
  <c r="R96" i="9"/>
  <c r="M96" i="9"/>
  <c r="L96" i="9"/>
  <c r="K96" i="9"/>
  <c r="J96" i="9"/>
  <c r="I96" i="9"/>
  <c r="H96" i="9"/>
  <c r="S95" i="9"/>
  <c r="R95" i="9"/>
  <c r="M95" i="9"/>
  <c r="L95" i="9"/>
  <c r="K95" i="9"/>
  <c r="J95" i="9"/>
  <c r="I95" i="9"/>
  <c r="H95" i="9"/>
  <c r="S94" i="9"/>
  <c r="R94" i="9"/>
  <c r="M94" i="9"/>
  <c r="L94" i="9"/>
  <c r="K94" i="9"/>
  <c r="J94" i="9"/>
  <c r="I94" i="9"/>
  <c r="H94" i="9"/>
  <c r="S93" i="9"/>
  <c r="R93" i="9"/>
  <c r="M93" i="9"/>
  <c r="L93" i="9"/>
  <c r="K93" i="9"/>
  <c r="J93" i="9"/>
  <c r="I93" i="9"/>
  <c r="H93" i="9"/>
  <c r="S92" i="9"/>
  <c r="R92" i="9"/>
  <c r="M92" i="9"/>
  <c r="L92" i="9"/>
  <c r="K92" i="9"/>
  <c r="J92" i="9"/>
  <c r="I92" i="9"/>
  <c r="H92" i="9"/>
  <c r="S91" i="9"/>
  <c r="R91" i="9"/>
  <c r="M91" i="9"/>
  <c r="L91" i="9"/>
  <c r="K91" i="9"/>
  <c r="J91" i="9"/>
  <c r="I91" i="9"/>
  <c r="H91" i="9"/>
  <c r="S90" i="9"/>
  <c r="R90" i="9"/>
  <c r="M90" i="9"/>
  <c r="L90" i="9"/>
  <c r="K90" i="9"/>
  <c r="J90" i="9"/>
  <c r="I90" i="9"/>
  <c r="H90" i="9"/>
  <c r="S89" i="9"/>
  <c r="R89" i="9"/>
  <c r="M89" i="9"/>
  <c r="L89" i="9"/>
  <c r="K89" i="9"/>
  <c r="J89" i="9"/>
  <c r="I89" i="9"/>
  <c r="H89" i="9"/>
  <c r="S88" i="9"/>
  <c r="R88" i="9"/>
  <c r="M88" i="9"/>
  <c r="L88" i="9"/>
  <c r="K88" i="9"/>
  <c r="J88" i="9"/>
  <c r="I88" i="9"/>
  <c r="H88" i="9"/>
  <c r="S87" i="9"/>
  <c r="R87" i="9"/>
  <c r="M87" i="9"/>
  <c r="L87" i="9"/>
  <c r="K87" i="9"/>
  <c r="J87" i="9"/>
  <c r="I87" i="9"/>
  <c r="H87" i="9"/>
  <c r="S86" i="9"/>
  <c r="R86" i="9"/>
  <c r="M86" i="9"/>
  <c r="L86" i="9"/>
  <c r="K86" i="9"/>
  <c r="J86" i="9"/>
  <c r="I86" i="9"/>
  <c r="H86" i="9"/>
  <c r="S85" i="9"/>
  <c r="R85" i="9"/>
  <c r="M85" i="9"/>
  <c r="L85" i="9"/>
  <c r="K85" i="9"/>
  <c r="J85" i="9"/>
  <c r="I85" i="9"/>
  <c r="H85" i="9"/>
  <c r="S84" i="9"/>
  <c r="R84" i="9"/>
  <c r="M84" i="9"/>
  <c r="L84" i="9"/>
  <c r="K84" i="9"/>
  <c r="J84" i="9"/>
  <c r="I84" i="9"/>
  <c r="H84" i="9"/>
  <c r="S83" i="9"/>
  <c r="R83" i="9"/>
  <c r="M83" i="9"/>
  <c r="L83" i="9"/>
  <c r="K83" i="9"/>
  <c r="J83" i="9"/>
  <c r="I83" i="9"/>
  <c r="H83" i="9"/>
  <c r="S82" i="9"/>
  <c r="R82" i="9"/>
  <c r="M82" i="9"/>
  <c r="L82" i="9"/>
  <c r="K82" i="9"/>
  <c r="J82" i="9"/>
  <c r="I82" i="9"/>
  <c r="H82" i="9"/>
  <c r="S81" i="9"/>
  <c r="R81" i="9"/>
  <c r="M81" i="9"/>
  <c r="L81" i="9"/>
  <c r="K81" i="9"/>
  <c r="J81" i="9"/>
  <c r="I81" i="9"/>
  <c r="H81" i="9"/>
  <c r="S80" i="9"/>
  <c r="R80" i="9"/>
  <c r="M80" i="9"/>
  <c r="L80" i="9"/>
  <c r="K80" i="9"/>
  <c r="J80" i="9"/>
  <c r="I80" i="9"/>
  <c r="H80" i="9"/>
  <c r="S79" i="9"/>
  <c r="R79" i="9"/>
  <c r="M79" i="9"/>
  <c r="L79" i="9"/>
  <c r="K79" i="9"/>
  <c r="J79" i="9"/>
  <c r="I79" i="9"/>
  <c r="H79" i="9"/>
  <c r="S78" i="9"/>
  <c r="R78" i="9"/>
  <c r="M78" i="9"/>
  <c r="L78" i="9"/>
  <c r="K78" i="9"/>
  <c r="J78" i="9"/>
  <c r="I78" i="9"/>
  <c r="H78" i="9"/>
  <c r="S77" i="9"/>
  <c r="R77" i="9"/>
  <c r="M77" i="9"/>
  <c r="L77" i="9"/>
  <c r="K77" i="9"/>
  <c r="J77" i="9"/>
  <c r="I77" i="9"/>
  <c r="H77" i="9"/>
  <c r="S76" i="9"/>
  <c r="R76" i="9"/>
  <c r="M76" i="9"/>
  <c r="L76" i="9"/>
  <c r="K76" i="9"/>
  <c r="J76" i="9"/>
  <c r="I76" i="9"/>
  <c r="H76" i="9"/>
  <c r="S75" i="9"/>
  <c r="R75" i="9"/>
  <c r="M75" i="9"/>
  <c r="L75" i="9"/>
  <c r="K75" i="9"/>
  <c r="J75" i="9"/>
  <c r="I75" i="9"/>
  <c r="H75" i="9"/>
  <c r="S74" i="9"/>
  <c r="R74" i="9"/>
  <c r="M74" i="9"/>
  <c r="L74" i="9"/>
  <c r="K74" i="9"/>
  <c r="J74" i="9"/>
  <c r="I74" i="9"/>
  <c r="H74" i="9"/>
  <c r="S73" i="9"/>
  <c r="R73" i="9"/>
  <c r="M73" i="9"/>
  <c r="L73" i="9"/>
  <c r="K73" i="9"/>
  <c r="J73" i="9"/>
  <c r="I73" i="9"/>
  <c r="H73" i="9"/>
  <c r="S72" i="9"/>
  <c r="R72" i="9"/>
  <c r="M72" i="9"/>
  <c r="L72" i="9"/>
  <c r="K72" i="9"/>
  <c r="J72" i="9"/>
  <c r="I72" i="9"/>
  <c r="H72" i="9"/>
  <c r="S71" i="9"/>
  <c r="R71" i="9"/>
  <c r="M71" i="9"/>
  <c r="L71" i="9"/>
  <c r="K71" i="9"/>
  <c r="J71" i="9"/>
  <c r="I71" i="9"/>
  <c r="H71" i="9"/>
  <c r="S70" i="9"/>
  <c r="R70" i="9"/>
  <c r="M70" i="9"/>
  <c r="L70" i="9"/>
  <c r="K70" i="9"/>
  <c r="J70" i="9"/>
  <c r="I70" i="9"/>
  <c r="H70" i="9"/>
  <c r="S69" i="9"/>
  <c r="R69" i="9"/>
  <c r="M69" i="9"/>
  <c r="L69" i="9"/>
  <c r="K69" i="9"/>
  <c r="J69" i="9"/>
  <c r="I69" i="9"/>
  <c r="H69" i="9"/>
  <c r="S68" i="9"/>
  <c r="R68" i="9"/>
  <c r="M68" i="9"/>
  <c r="L68" i="9"/>
  <c r="K68" i="9"/>
  <c r="J68" i="9"/>
  <c r="I68" i="9"/>
  <c r="H68" i="9"/>
  <c r="S67" i="9"/>
  <c r="R67" i="9"/>
  <c r="M67" i="9"/>
  <c r="L67" i="9"/>
  <c r="K67" i="9"/>
  <c r="J67" i="9"/>
  <c r="I67" i="9"/>
  <c r="H67" i="9"/>
  <c r="S66" i="9"/>
  <c r="R66" i="9"/>
  <c r="M66" i="9"/>
  <c r="L66" i="9"/>
  <c r="K66" i="9"/>
  <c r="J66" i="9"/>
  <c r="I66" i="9"/>
  <c r="H66" i="9"/>
  <c r="S65" i="9"/>
  <c r="R65" i="9"/>
  <c r="M65" i="9"/>
  <c r="L65" i="9"/>
  <c r="K65" i="9"/>
  <c r="J65" i="9"/>
  <c r="I65" i="9"/>
  <c r="H65" i="9"/>
  <c r="S64" i="9"/>
  <c r="R64" i="9"/>
  <c r="M64" i="9"/>
  <c r="L64" i="9"/>
  <c r="K64" i="9"/>
  <c r="J64" i="9"/>
  <c r="I64" i="9"/>
  <c r="H64" i="9"/>
  <c r="S63" i="9"/>
  <c r="R63" i="9"/>
  <c r="M63" i="9"/>
  <c r="L63" i="9"/>
  <c r="K63" i="9"/>
  <c r="J63" i="9"/>
  <c r="I63" i="9"/>
  <c r="H63" i="9"/>
  <c r="S62" i="9"/>
  <c r="R62" i="9"/>
  <c r="M62" i="9"/>
  <c r="L62" i="9"/>
  <c r="K62" i="9"/>
  <c r="J62" i="9"/>
  <c r="I62" i="9"/>
  <c r="H62" i="9"/>
  <c r="S61" i="9"/>
  <c r="R61" i="9"/>
  <c r="M61" i="9"/>
  <c r="L61" i="9"/>
  <c r="K61" i="9"/>
  <c r="J61" i="9"/>
  <c r="I61" i="9"/>
  <c r="H61" i="9"/>
  <c r="S60" i="9"/>
  <c r="R60" i="9"/>
  <c r="M60" i="9"/>
  <c r="L60" i="9"/>
  <c r="K60" i="9"/>
  <c r="J60" i="9"/>
  <c r="I60" i="9"/>
  <c r="H60" i="9"/>
  <c r="S59" i="9"/>
  <c r="R59" i="9"/>
  <c r="M59" i="9"/>
  <c r="L59" i="9"/>
  <c r="K59" i="9"/>
  <c r="J59" i="9"/>
  <c r="I59" i="9"/>
  <c r="H59" i="9"/>
  <c r="S58" i="9"/>
  <c r="R58" i="9"/>
  <c r="M58" i="9"/>
  <c r="L58" i="9"/>
  <c r="K58" i="9"/>
  <c r="J58" i="9"/>
  <c r="I58" i="9"/>
  <c r="H58" i="9"/>
  <c r="S57" i="9"/>
  <c r="R57" i="9"/>
  <c r="M57" i="9"/>
  <c r="L57" i="9"/>
  <c r="K57" i="9"/>
  <c r="J57" i="9"/>
  <c r="I57" i="9"/>
  <c r="H57" i="9"/>
  <c r="S56" i="9"/>
  <c r="R56" i="9"/>
  <c r="M56" i="9"/>
  <c r="L56" i="9"/>
  <c r="K56" i="9"/>
  <c r="J56" i="9"/>
  <c r="I56" i="9"/>
  <c r="H56" i="9"/>
  <c r="S55" i="9"/>
  <c r="R55" i="9"/>
  <c r="M55" i="9"/>
  <c r="L55" i="9"/>
  <c r="K55" i="9"/>
  <c r="J55" i="9"/>
  <c r="I55" i="9"/>
  <c r="H55" i="9"/>
  <c r="S54" i="9"/>
  <c r="R54" i="9"/>
  <c r="M54" i="9"/>
  <c r="L54" i="9"/>
  <c r="K54" i="9"/>
  <c r="J54" i="9"/>
  <c r="I54" i="9"/>
  <c r="H54" i="9"/>
  <c r="S53" i="9"/>
  <c r="R53" i="9"/>
  <c r="M53" i="9"/>
  <c r="L53" i="9"/>
  <c r="K53" i="9"/>
  <c r="J53" i="9"/>
  <c r="I53" i="9"/>
  <c r="H53" i="9"/>
  <c r="S52" i="9"/>
  <c r="R52" i="9"/>
  <c r="M52" i="9"/>
  <c r="L52" i="9"/>
  <c r="K52" i="9"/>
  <c r="J52" i="9"/>
  <c r="I52" i="9"/>
  <c r="H52" i="9"/>
  <c r="S51" i="9"/>
  <c r="R51" i="9"/>
  <c r="M51" i="9"/>
  <c r="L51" i="9"/>
  <c r="K51" i="9"/>
  <c r="J51" i="9"/>
  <c r="I51" i="9"/>
  <c r="H51" i="9"/>
  <c r="S50" i="9"/>
  <c r="R50" i="9"/>
  <c r="M50" i="9"/>
  <c r="L50" i="9"/>
  <c r="K50" i="9"/>
  <c r="J50" i="9"/>
  <c r="I50" i="9"/>
  <c r="H50" i="9"/>
  <c r="S49" i="9"/>
  <c r="R49" i="9"/>
  <c r="M49" i="9"/>
  <c r="L49" i="9"/>
  <c r="K49" i="9"/>
  <c r="J49" i="9"/>
  <c r="I49" i="9"/>
  <c r="H49" i="9"/>
  <c r="S48" i="9"/>
  <c r="R48" i="9"/>
  <c r="M48" i="9"/>
  <c r="L48" i="9"/>
  <c r="K48" i="9"/>
  <c r="J48" i="9"/>
  <c r="I48" i="9"/>
  <c r="H48" i="9"/>
  <c r="S47" i="9"/>
  <c r="R47" i="9"/>
  <c r="M47" i="9"/>
  <c r="L47" i="9"/>
  <c r="K47" i="9"/>
  <c r="J47" i="9"/>
  <c r="I47" i="9"/>
  <c r="H47" i="9"/>
  <c r="S46" i="9"/>
  <c r="R46" i="9"/>
  <c r="M46" i="9"/>
  <c r="L46" i="9"/>
  <c r="K46" i="9"/>
  <c r="J46" i="9"/>
  <c r="I46" i="9"/>
  <c r="H46" i="9"/>
  <c r="S45" i="9"/>
  <c r="R45" i="9"/>
  <c r="M45" i="9"/>
  <c r="L45" i="9"/>
  <c r="K45" i="9"/>
  <c r="J45" i="9"/>
  <c r="I45" i="9"/>
  <c r="H45" i="9"/>
  <c r="S44" i="9"/>
  <c r="R44" i="9"/>
  <c r="M44" i="9"/>
  <c r="L44" i="9"/>
  <c r="K44" i="9"/>
  <c r="J44" i="9"/>
  <c r="I44" i="9"/>
  <c r="H44" i="9"/>
  <c r="S43" i="9"/>
  <c r="R43" i="9"/>
  <c r="M43" i="9"/>
  <c r="L43" i="9"/>
  <c r="K43" i="9"/>
  <c r="J43" i="9"/>
  <c r="I43" i="9"/>
  <c r="H43" i="9"/>
  <c r="S42" i="9"/>
  <c r="R42" i="9"/>
  <c r="M42" i="9"/>
  <c r="L42" i="9"/>
  <c r="K42" i="9"/>
  <c r="J42" i="9"/>
  <c r="I42" i="9"/>
  <c r="H42" i="9"/>
  <c r="S41" i="9"/>
  <c r="R41" i="9"/>
  <c r="M41" i="9"/>
  <c r="L41" i="9"/>
  <c r="K41" i="9"/>
  <c r="J41" i="9"/>
  <c r="I41" i="9"/>
  <c r="H41" i="9"/>
  <c r="S40" i="9"/>
  <c r="R40" i="9"/>
  <c r="M40" i="9"/>
  <c r="L40" i="9"/>
  <c r="K40" i="9"/>
  <c r="J40" i="9"/>
  <c r="I40" i="9"/>
  <c r="H40" i="9"/>
  <c r="S39" i="9"/>
  <c r="R39" i="9"/>
  <c r="M39" i="9"/>
  <c r="L39" i="9"/>
  <c r="K39" i="9"/>
  <c r="J39" i="9"/>
  <c r="I39" i="9"/>
  <c r="H39" i="9"/>
  <c r="S38" i="9"/>
  <c r="R38" i="9"/>
  <c r="M38" i="9"/>
  <c r="L38" i="9"/>
  <c r="K38" i="9"/>
  <c r="J38" i="9"/>
  <c r="I38" i="9"/>
  <c r="H38" i="9"/>
  <c r="S37" i="9"/>
  <c r="R37" i="9"/>
  <c r="M37" i="9"/>
  <c r="L37" i="9"/>
  <c r="K37" i="9"/>
  <c r="J37" i="9"/>
  <c r="I37" i="9"/>
  <c r="H37" i="9"/>
  <c r="S36" i="9"/>
  <c r="R36" i="9"/>
  <c r="M36" i="9"/>
  <c r="L36" i="9"/>
  <c r="K36" i="9"/>
  <c r="J36" i="9"/>
  <c r="I36" i="9"/>
  <c r="H36" i="9"/>
  <c r="S35" i="9"/>
  <c r="R35" i="9"/>
  <c r="M35" i="9"/>
  <c r="L35" i="9"/>
  <c r="K35" i="9"/>
  <c r="J35" i="9"/>
  <c r="I35" i="9"/>
  <c r="H35" i="9"/>
  <c r="S34" i="9"/>
  <c r="R34" i="9"/>
  <c r="M34" i="9"/>
  <c r="L34" i="9"/>
  <c r="K34" i="9"/>
  <c r="J34" i="9"/>
  <c r="I34" i="9"/>
  <c r="H34" i="9"/>
  <c r="S33" i="9"/>
  <c r="R33" i="9"/>
  <c r="M33" i="9"/>
  <c r="L33" i="9"/>
  <c r="K33" i="9"/>
  <c r="J33" i="9"/>
  <c r="I33" i="9"/>
  <c r="H33" i="9"/>
  <c r="S32" i="9"/>
  <c r="R32" i="9"/>
  <c r="M32" i="9"/>
  <c r="L32" i="9"/>
  <c r="K32" i="9"/>
  <c r="J32" i="9"/>
  <c r="I32" i="9"/>
  <c r="H32" i="9"/>
  <c r="S31" i="9"/>
  <c r="R31" i="9"/>
  <c r="M31" i="9"/>
  <c r="L31" i="9"/>
  <c r="K31" i="9"/>
  <c r="J31" i="9"/>
  <c r="I31" i="9"/>
  <c r="H31" i="9"/>
  <c r="S30" i="9"/>
  <c r="R30" i="9"/>
  <c r="M30" i="9"/>
  <c r="L30" i="9"/>
  <c r="K30" i="9"/>
  <c r="J30" i="9"/>
  <c r="I30" i="9"/>
  <c r="H30" i="9"/>
  <c r="S29" i="9"/>
  <c r="R29" i="9"/>
  <c r="M29" i="9"/>
  <c r="L29" i="9"/>
  <c r="K29" i="9"/>
  <c r="J29" i="9"/>
  <c r="I29" i="9"/>
  <c r="H29" i="9"/>
  <c r="S28" i="9"/>
  <c r="R28" i="9"/>
  <c r="M28" i="9"/>
  <c r="L28" i="9"/>
  <c r="K28" i="9"/>
  <c r="J28" i="9"/>
  <c r="I28" i="9"/>
  <c r="H28" i="9"/>
  <c r="S27" i="9"/>
  <c r="R27" i="9"/>
  <c r="M27" i="9"/>
  <c r="L27" i="9"/>
  <c r="K27" i="9"/>
  <c r="J27" i="9"/>
  <c r="I27" i="9"/>
  <c r="H27" i="9"/>
  <c r="S26" i="9"/>
  <c r="R26" i="9"/>
  <c r="M26" i="9"/>
  <c r="L26" i="9"/>
  <c r="K26" i="9"/>
  <c r="J26" i="9"/>
  <c r="I26" i="9"/>
  <c r="H26" i="9"/>
  <c r="S25" i="9"/>
  <c r="R25" i="9"/>
  <c r="M25" i="9"/>
  <c r="L25" i="9"/>
  <c r="K25" i="9"/>
  <c r="J25" i="9"/>
  <c r="I25" i="9"/>
  <c r="H25" i="9"/>
  <c r="S24" i="9"/>
  <c r="R24" i="9"/>
  <c r="M24" i="9"/>
  <c r="L24" i="9"/>
  <c r="K24" i="9"/>
  <c r="J24" i="9"/>
  <c r="I24" i="9"/>
  <c r="H24" i="9"/>
  <c r="I23" i="9"/>
  <c r="J23" i="9" s="1"/>
  <c r="R23" i="9" s="1"/>
  <c r="H23" i="9"/>
  <c r="I22" i="9"/>
  <c r="J22" i="9" s="1"/>
  <c r="R22" i="9" s="1"/>
  <c r="H22" i="9"/>
  <c r="I21" i="9"/>
  <c r="H21" i="9"/>
  <c r="I20" i="9"/>
  <c r="J20" i="9" s="1"/>
  <c r="R20" i="9" s="1"/>
  <c r="H20" i="9"/>
  <c r="I19" i="9"/>
  <c r="H19" i="9"/>
  <c r="I18" i="9"/>
  <c r="H18" i="9"/>
  <c r="I17" i="9"/>
  <c r="H17" i="9"/>
  <c r="I16" i="9"/>
  <c r="H16" i="9"/>
  <c r="I15" i="9"/>
  <c r="J15" i="9" s="1"/>
  <c r="R15" i="9" s="1"/>
  <c r="H15" i="9"/>
  <c r="I14" i="9"/>
  <c r="J14" i="9" s="1"/>
  <c r="R14" i="9" s="1"/>
  <c r="H14" i="9"/>
  <c r="I13" i="9"/>
  <c r="J13" i="9" s="1"/>
  <c r="R13" i="9" s="1"/>
  <c r="H13" i="9"/>
  <c r="I12" i="9"/>
  <c r="H12" i="9"/>
  <c r="I11" i="9"/>
  <c r="J11" i="9" s="1"/>
  <c r="R11" i="9" s="1"/>
  <c r="H11" i="9"/>
  <c r="I10" i="9"/>
  <c r="J10" i="9" s="1"/>
  <c r="R10" i="9" s="1"/>
  <c r="H10" i="9"/>
  <c r="I9" i="9"/>
  <c r="J9" i="9" s="1"/>
  <c r="R9" i="9" s="1"/>
  <c r="H9" i="9"/>
  <c r="I8" i="9"/>
  <c r="J8" i="9" s="1"/>
  <c r="R8" i="9" s="1"/>
  <c r="H8" i="9"/>
  <c r="I7" i="9"/>
  <c r="L7" i="9" s="1"/>
  <c r="H7" i="9"/>
  <c r="K7" i="9" s="1"/>
  <c r="G28" i="8"/>
  <c r="G25" i="8"/>
  <c r="G22" i="8"/>
  <c r="G14" i="8"/>
  <c r="G12" i="8"/>
  <c r="G11" i="8"/>
  <c r="S112" i="8"/>
  <c r="R112" i="8"/>
  <c r="M112" i="8"/>
  <c r="L112" i="8"/>
  <c r="K112" i="8"/>
  <c r="J112" i="8"/>
  <c r="I112" i="8"/>
  <c r="H112" i="8"/>
  <c r="S111" i="8"/>
  <c r="R111" i="8"/>
  <c r="M111" i="8"/>
  <c r="L111" i="8"/>
  <c r="K111" i="8"/>
  <c r="J111" i="8"/>
  <c r="I111" i="8"/>
  <c r="H111" i="8"/>
  <c r="S110" i="8"/>
  <c r="R110" i="8"/>
  <c r="M110" i="8"/>
  <c r="L110" i="8"/>
  <c r="K110" i="8"/>
  <c r="J110" i="8"/>
  <c r="I110" i="8"/>
  <c r="H110" i="8"/>
  <c r="S109" i="8"/>
  <c r="R109" i="8"/>
  <c r="M109" i="8"/>
  <c r="L109" i="8"/>
  <c r="K109" i="8"/>
  <c r="J109" i="8"/>
  <c r="I109" i="8"/>
  <c r="H109" i="8"/>
  <c r="S108" i="8"/>
  <c r="R108" i="8"/>
  <c r="M108" i="8"/>
  <c r="L108" i="8"/>
  <c r="K108" i="8"/>
  <c r="J108" i="8"/>
  <c r="I108" i="8"/>
  <c r="H108" i="8"/>
  <c r="S107" i="8"/>
  <c r="R107" i="8"/>
  <c r="M107" i="8"/>
  <c r="L107" i="8"/>
  <c r="K107" i="8"/>
  <c r="J107" i="8"/>
  <c r="I107" i="8"/>
  <c r="H107" i="8"/>
  <c r="S106" i="8"/>
  <c r="R106" i="8"/>
  <c r="M106" i="8"/>
  <c r="L106" i="8"/>
  <c r="K106" i="8"/>
  <c r="J106" i="8"/>
  <c r="I106" i="8"/>
  <c r="H106" i="8"/>
  <c r="S105" i="8"/>
  <c r="R105" i="8"/>
  <c r="M105" i="8"/>
  <c r="L105" i="8"/>
  <c r="K105" i="8"/>
  <c r="J105" i="8"/>
  <c r="I105" i="8"/>
  <c r="H105" i="8"/>
  <c r="S104" i="8"/>
  <c r="R104" i="8"/>
  <c r="M104" i="8"/>
  <c r="L104" i="8"/>
  <c r="K104" i="8"/>
  <c r="J104" i="8"/>
  <c r="I104" i="8"/>
  <c r="H104" i="8"/>
  <c r="S103" i="8"/>
  <c r="R103" i="8"/>
  <c r="M103" i="8"/>
  <c r="L103" i="8"/>
  <c r="K103" i="8"/>
  <c r="J103" i="8"/>
  <c r="I103" i="8"/>
  <c r="H103" i="8"/>
  <c r="S102" i="8"/>
  <c r="R102" i="8"/>
  <c r="M102" i="8"/>
  <c r="L102" i="8"/>
  <c r="K102" i="8"/>
  <c r="J102" i="8"/>
  <c r="I102" i="8"/>
  <c r="H102" i="8"/>
  <c r="S101" i="8"/>
  <c r="R101" i="8"/>
  <c r="M101" i="8"/>
  <c r="L101" i="8"/>
  <c r="K101" i="8"/>
  <c r="J101" i="8"/>
  <c r="I101" i="8"/>
  <c r="H101" i="8"/>
  <c r="S100" i="8"/>
  <c r="R100" i="8"/>
  <c r="M100" i="8"/>
  <c r="L100" i="8"/>
  <c r="K100" i="8"/>
  <c r="J100" i="8"/>
  <c r="I100" i="8"/>
  <c r="H100" i="8"/>
  <c r="S99" i="8"/>
  <c r="R99" i="8"/>
  <c r="M99" i="8"/>
  <c r="L99" i="8"/>
  <c r="K99" i="8"/>
  <c r="J99" i="8"/>
  <c r="I99" i="8"/>
  <c r="H99" i="8"/>
  <c r="S98" i="8"/>
  <c r="R98" i="8"/>
  <c r="M98" i="8"/>
  <c r="L98" i="8"/>
  <c r="K98" i="8"/>
  <c r="J98" i="8"/>
  <c r="I98" i="8"/>
  <c r="H98" i="8"/>
  <c r="S97" i="8"/>
  <c r="R97" i="8"/>
  <c r="M97" i="8"/>
  <c r="L97" i="8"/>
  <c r="K97" i="8"/>
  <c r="J97" i="8"/>
  <c r="I97" i="8"/>
  <c r="H97" i="8"/>
  <c r="S96" i="8"/>
  <c r="R96" i="8"/>
  <c r="M96" i="8"/>
  <c r="L96" i="8"/>
  <c r="K96" i="8"/>
  <c r="J96" i="8"/>
  <c r="I96" i="8"/>
  <c r="H96" i="8"/>
  <c r="S95" i="8"/>
  <c r="R95" i="8"/>
  <c r="M95" i="8"/>
  <c r="L95" i="8"/>
  <c r="K95" i="8"/>
  <c r="J95" i="8"/>
  <c r="I95" i="8"/>
  <c r="H95" i="8"/>
  <c r="S94" i="8"/>
  <c r="R94" i="8"/>
  <c r="M94" i="8"/>
  <c r="L94" i="8"/>
  <c r="K94" i="8"/>
  <c r="J94" i="8"/>
  <c r="I94" i="8"/>
  <c r="H94" i="8"/>
  <c r="S93" i="8"/>
  <c r="R93" i="8"/>
  <c r="M93" i="8"/>
  <c r="L93" i="8"/>
  <c r="K93" i="8"/>
  <c r="J93" i="8"/>
  <c r="I93" i="8"/>
  <c r="H93" i="8"/>
  <c r="S92" i="8"/>
  <c r="R92" i="8"/>
  <c r="M92" i="8"/>
  <c r="L92" i="8"/>
  <c r="K92" i="8"/>
  <c r="J92" i="8"/>
  <c r="I92" i="8"/>
  <c r="H92" i="8"/>
  <c r="S91" i="8"/>
  <c r="R91" i="8"/>
  <c r="M91" i="8"/>
  <c r="L91" i="8"/>
  <c r="K91" i="8"/>
  <c r="J91" i="8"/>
  <c r="I91" i="8"/>
  <c r="H91" i="8"/>
  <c r="S90" i="8"/>
  <c r="R90" i="8"/>
  <c r="M90" i="8"/>
  <c r="L90" i="8"/>
  <c r="K90" i="8"/>
  <c r="J90" i="8"/>
  <c r="I90" i="8"/>
  <c r="H90" i="8"/>
  <c r="S89" i="8"/>
  <c r="R89" i="8"/>
  <c r="M89" i="8"/>
  <c r="L89" i="8"/>
  <c r="K89" i="8"/>
  <c r="J89" i="8"/>
  <c r="I89" i="8"/>
  <c r="H89" i="8"/>
  <c r="S88" i="8"/>
  <c r="R88" i="8"/>
  <c r="M88" i="8"/>
  <c r="L88" i="8"/>
  <c r="K88" i="8"/>
  <c r="J88" i="8"/>
  <c r="I88" i="8"/>
  <c r="H88" i="8"/>
  <c r="S87" i="8"/>
  <c r="R87" i="8"/>
  <c r="M87" i="8"/>
  <c r="L87" i="8"/>
  <c r="K87" i="8"/>
  <c r="J87" i="8"/>
  <c r="I87" i="8"/>
  <c r="H87" i="8"/>
  <c r="S86" i="8"/>
  <c r="R86" i="8"/>
  <c r="M86" i="8"/>
  <c r="L86" i="8"/>
  <c r="K86" i="8"/>
  <c r="J86" i="8"/>
  <c r="I86" i="8"/>
  <c r="H86" i="8"/>
  <c r="S85" i="8"/>
  <c r="R85" i="8"/>
  <c r="M85" i="8"/>
  <c r="L85" i="8"/>
  <c r="K85" i="8"/>
  <c r="J85" i="8"/>
  <c r="I85" i="8"/>
  <c r="H85" i="8"/>
  <c r="S84" i="8"/>
  <c r="R84" i="8"/>
  <c r="M84" i="8"/>
  <c r="L84" i="8"/>
  <c r="K84" i="8"/>
  <c r="J84" i="8"/>
  <c r="I84" i="8"/>
  <c r="H84" i="8"/>
  <c r="S83" i="8"/>
  <c r="R83" i="8"/>
  <c r="M83" i="8"/>
  <c r="L83" i="8"/>
  <c r="K83" i="8"/>
  <c r="J83" i="8"/>
  <c r="I83" i="8"/>
  <c r="H83" i="8"/>
  <c r="S82" i="8"/>
  <c r="R82" i="8"/>
  <c r="M82" i="8"/>
  <c r="L82" i="8"/>
  <c r="K82" i="8"/>
  <c r="J82" i="8"/>
  <c r="I82" i="8"/>
  <c r="H82" i="8"/>
  <c r="S81" i="8"/>
  <c r="R81" i="8"/>
  <c r="M81" i="8"/>
  <c r="L81" i="8"/>
  <c r="K81" i="8"/>
  <c r="J81" i="8"/>
  <c r="I81" i="8"/>
  <c r="H81" i="8"/>
  <c r="S80" i="8"/>
  <c r="R80" i="8"/>
  <c r="M80" i="8"/>
  <c r="L80" i="8"/>
  <c r="K80" i="8"/>
  <c r="J80" i="8"/>
  <c r="I80" i="8"/>
  <c r="H80" i="8"/>
  <c r="S79" i="8"/>
  <c r="R79" i="8"/>
  <c r="M79" i="8"/>
  <c r="L79" i="8"/>
  <c r="K79" i="8"/>
  <c r="J79" i="8"/>
  <c r="I79" i="8"/>
  <c r="H79" i="8"/>
  <c r="S78" i="8"/>
  <c r="R78" i="8"/>
  <c r="M78" i="8"/>
  <c r="L78" i="8"/>
  <c r="K78" i="8"/>
  <c r="J78" i="8"/>
  <c r="I78" i="8"/>
  <c r="H78" i="8"/>
  <c r="S77" i="8"/>
  <c r="R77" i="8"/>
  <c r="M77" i="8"/>
  <c r="L77" i="8"/>
  <c r="K77" i="8"/>
  <c r="J77" i="8"/>
  <c r="I77" i="8"/>
  <c r="H77" i="8"/>
  <c r="S76" i="8"/>
  <c r="R76" i="8"/>
  <c r="M76" i="8"/>
  <c r="L76" i="8"/>
  <c r="K76" i="8"/>
  <c r="J76" i="8"/>
  <c r="I76" i="8"/>
  <c r="H76" i="8"/>
  <c r="S75" i="8"/>
  <c r="R75" i="8"/>
  <c r="M75" i="8"/>
  <c r="L75" i="8"/>
  <c r="K75" i="8"/>
  <c r="J75" i="8"/>
  <c r="I75" i="8"/>
  <c r="H75" i="8"/>
  <c r="S74" i="8"/>
  <c r="R74" i="8"/>
  <c r="M74" i="8"/>
  <c r="L74" i="8"/>
  <c r="K74" i="8"/>
  <c r="J74" i="8"/>
  <c r="I74" i="8"/>
  <c r="H74" i="8"/>
  <c r="S73" i="8"/>
  <c r="R73" i="8"/>
  <c r="M73" i="8"/>
  <c r="L73" i="8"/>
  <c r="K73" i="8"/>
  <c r="J73" i="8"/>
  <c r="I73" i="8"/>
  <c r="H73" i="8"/>
  <c r="S72" i="8"/>
  <c r="R72" i="8"/>
  <c r="M72" i="8"/>
  <c r="L72" i="8"/>
  <c r="K72" i="8"/>
  <c r="J72" i="8"/>
  <c r="I72" i="8"/>
  <c r="H72" i="8"/>
  <c r="S71" i="8"/>
  <c r="R71" i="8"/>
  <c r="M71" i="8"/>
  <c r="L71" i="8"/>
  <c r="K71" i="8"/>
  <c r="J71" i="8"/>
  <c r="I71" i="8"/>
  <c r="H71" i="8"/>
  <c r="S70" i="8"/>
  <c r="R70" i="8"/>
  <c r="M70" i="8"/>
  <c r="L70" i="8"/>
  <c r="K70" i="8"/>
  <c r="J70" i="8"/>
  <c r="I70" i="8"/>
  <c r="H70" i="8"/>
  <c r="S69" i="8"/>
  <c r="R69" i="8"/>
  <c r="M69" i="8"/>
  <c r="L69" i="8"/>
  <c r="K69" i="8"/>
  <c r="J69" i="8"/>
  <c r="I69" i="8"/>
  <c r="H69" i="8"/>
  <c r="S68" i="8"/>
  <c r="R68" i="8"/>
  <c r="M68" i="8"/>
  <c r="L68" i="8"/>
  <c r="K68" i="8"/>
  <c r="J68" i="8"/>
  <c r="I68" i="8"/>
  <c r="H68" i="8"/>
  <c r="S67" i="8"/>
  <c r="R67" i="8"/>
  <c r="M67" i="8"/>
  <c r="L67" i="8"/>
  <c r="K67" i="8"/>
  <c r="J67" i="8"/>
  <c r="I67" i="8"/>
  <c r="H67" i="8"/>
  <c r="S66" i="8"/>
  <c r="R66" i="8"/>
  <c r="M66" i="8"/>
  <c r="L66" i="8"/>
  <c r="K66" i="8"/>
  <c r="J66" i="8"/>
  <c r="I66" i="8"/>
  <c r="H66" i="8"/>
  <c r="S65" i="8"/>
  <c r="R65" i="8"/>
  <c r="M65" i="8"/>
  <c r="L65" i="8"/>
  <c r="K65" i="8"/>
  <c r="J65" i="8"/>
  <c r="I65" i="8"/>
  <c r="H65" i="8"/>
  <c r="S64" i="8"/>
  <c r="R64" i="8"/>
  <c r="M64" i="8"/>
  <c r="L64" i="8"/>
  <c r="K64" i="8"/>
  <c r="J64" i="8"/>
  <c r="I64" i="8"/>
  <c r="H64" i="8"/>
  <c r="S63" i="8"/>
  <c r="R63" i="8"/>
  <c r="M63" i="8"/>
  <c r="L63" i="8"/>
  <c r="K63" i="8"/>
  <c r="J63" i="8"/>
  <c r="I63" i="8"/>
  <c r="H63" i="8"/>
  <c r="S62" i="8"/>
  <c r="R62" i="8"/>
  <c r="M62" i="8"/>
  <c r="L62" i="8"/>
  <c r="K62" i="8"/>
  <c r="J62" i="8"/>
  <c r="I62" i="8"/>
  <c r="H62" i="8"/>
  <c r="S61" i="8"/>
  <c r="R61" i="8"/>
  <c r="M61" i="8"/>
  <c r="L61" i="8"/>
  <c r="K61" i="8"/>
  <c r="J61" i="8"/>
  <c r="I61" i="8"/>
  <c r="H61" i="8"/>
  <c r="S60" i="8"/>
  <c r="R60" i="8"/>
  <c r="M60" i="8"/>
  <c r="L60" i="8"/>
  <c r="K60" i="8"/>
  <c r="J60" i="8"/>
  <c r="I60" i="8"/>
  <c r="H60" i="8"/>
  <c r="S59" i="8"/>
  <c r="R59" i="8"/>
  <c r="M59" i="8"/>
  <c r="L59" i="8"/>
  <c r="K59" i="8"/>
  <c r="J59" i="8"/>
  <c r="I59" i="8"/>
  <c r="H59" i="8"/>
  <c r="S58" i="8"/>
  <c r="R58" i="8"/>
  <c r="M58" i="8"/>
  <c r="L58" i="8"/>
  <c r="K58" i="8"/>
  <c r="J58" i="8"/>
  <c r="I58" i="8"/>
  <c r="H58" i="8"/>
  <c r="S57" i="8"/>
  <c r="R57" i="8"/>
  <c r="M57" i="8"/>
  <c r="L57" i="8"/>
  <c r="K57" i="8"/>
  <c r="J57" i="8"/>
  <c r="I57" i="8"/>
  <c r="H57" i="8"/>
  <c r="S56" i="8"/>
  <c r="R56" i="8"/>
  <c r="M56" i="8"/>
  <c r="L56" i="8"/>
  <c r="K56" i="8"/>
  <c r="J56" i="8"/>
  <c r="I56" i="8"/>
  <c r="H56" i="8"/>
  <c r="S55" i="8"/>
  <c r="R55" i="8"/>
  <c r="M55" i="8"/>
  <c r="L55" i="8"/>
  <c r="K55" i="8"/>
  <c r="J55" i="8"/>
  <c r="I55" i="8"/>
  <c r="H55" i="8"/>
  <c r="S54" i="8"/>
  <c r="R54" i="8"/>
  <c r="M54" i="8"/>
  <c r="L54" i="8"/>
  <c r="K54" i="8"/>
  <c r="J54" i="8"/>
  <c r="I54" i="8"/>
  <c r="H54" i="8"/>
  <c r="S53" i="8"/>
  <c r="R53" i="8"/>
  <c r="M53" i="8"/>
  <c r="L53" i="8"/>
  <c r="K53" i="8"/>
  <c r="J53" i="8"/>
  <c r="I53" i="8"/>
  <c r="H53" i="8"/>
  <c r="S52" i="8"/>
  <c r="R52" i="8"/>
  <c r="M52" i="8"/>
  <c r="L52" i="8"/>
  <c r="K52" i="8"/>
  <c r="J52" i="8"/>
  <c r="I52" i="8"/>
  <c r="H52" i="8"/>
  <c r="S51" i="8"/>
  <c r="R51" i="8"/>
  <c r="M51" i="8"/>
  <c r="L51" i="8"/>
  <c r="K51" i="8"/>
  <c r="J51" i="8"/>
  <c r="I51" i="8"/>
  <c r="H51" i="8"/>
  <c r="S50" i="8"/>
  <c r="R50" i="8"/>
  <c r="M50" i="8"/>
  <c r="L50" i="8"/>
  <c r="K50" i="8"/>
  <c r="J50" i="8"/>
  <c r="I50" i="8"/>
  <c r="H50" i="8"/>
  <c r="S49" i="8"/>
  <c r="R49" i="8"/>
  <c r="M49" i="8"/>
  <c r="L49" i="8"/>
  <c r="K49" i="8"/>
  <c r="J49" i="8"/>
  <c r="I49" i="8"/>
  <c r="H49" i="8"/>
  <c r="S48" i="8"/>
  <c r="R48" i="8"/>
  <c r="M48" i="8"/>
  <c r="L48" i="8"/>
  <c r="K48" i="8"/>
  <c r="J48" i="8"/>
  <c r="I48" i="8"/>
  <c r="H48" i="8"/>
  <c r="S47" i="8"/>
  <c r="R47" i="8"/>
  <c r="M47" i="8"/>
  <c r="L47" i="8"/>
  <c r="K47" i="8"/>
  <c r="J47" i="8"/>
  <c r="I47" i="8"/>
  <c r="H47" i="8"/>
  <c r="S46" i="8"/>
  <c r="R46" i="8"/>
  <c r="M46" i="8"/>
  <c r="L46" i="8"/>
  <c r="K46" i="8"/>
  <c r="J46" i="8"/>
  <c r="I46" i="8"/>
  <c r="H46" i="8"/>
  <c r="S45" i="8"/>
  <c r="R45" i="8"/>
  <c r="M45" i="8"/>
  <c r="L45" i="8"/>
  <c r="K45" i="8"/>
  <c r="J45" i="8"/>
  <c r="I45" i="8"/>
  <c r="H45" i="8"/>
  <c r="S44" i="8"/>
  <c r="R44" i="8"/>
  <c r="M44" i="8"/>
  <c r="L44" i="8"/>
  <c r="K44" i="8"/>
  <c r="J44" i="8"/>
  <c r="I44" i="8"/>
  <c r="H44" i="8"/>
  <c r="S43" i="8"/>
  <c r="R43" i="8"/>
  <c r="M43" i="8"/>
  <c r="L43" i="8"/>
  <c r="K43" i="8"/>
  <c r="J43" i="8"/>
  <c r="I43" i="8"/>
  <c r="H43" i="8"/>
  <c r="S42" i="8"/>
  <c r="R42" i="8"/>
  <c r="M42" i="8"/>
  <c r="L42" i="8"/>
  <c r="K42" i="8"/>
  <c r="J42" i="8"/>
  <c r="I42" i="8"/>
  <c r="H42" i="8"/>
  <c r="S41" i="8"/>
  <c r="R41" i="8"/>
  <c r="M41" i="8"/>
  <c r="L41" i="8"/>
  <c r="K41" i="8"/>
  <c r="J41" i="8"/>
  <c r="I41" i="8"/>
  <c r="H41" i="8"/>
  <c r="S40" i="8"/>
  <c r="R40" i="8"/>
  <c r="M40" i="8"/>
  <c r="L40" i="8"/>
  <c r="K40" i="8"/>
  <c r="J40" i="8"/>
  <c r="I40" i="8"/>
  <c r="H40" i="8"/>
  <c r="S39" i="8"/>
  <c r="R39" i="8"/>
  <c r="M39" i="8"/>
  <c r="L39" i="8"/>
  <c r="K39" i="8"/>
  <c r="J39" i="8"/>
  <c r="I39" i="8"/>
  <c r="H39" i="8"/>
  <c r="S38" i="8"/>
  <c r="R38" i="8"/>
  <c r="M38" i="8"/>
  <c r="L38" i="8"/>
  <c r="K38" i="8"/>
  <c r="J38" i="8"/>
  <c r="I38" i="8"/>
  <c r="H38" i="8"/>
  <c r="S37" i="8"/>
  <c r="R37" i="8"/>
  <c r="M37" i="8"/>
  <c r="L37" i="8"/>
  <c r="K37" i="8"/>
  <c r="J37" i="8"/>
  <c r="I37" i="8"/>
  <c r="H37" i="8"/>
  <c r="S36" i="8"/>
  <c r="R36" i="8"/>
  <c r="M36" i="8"/>
  <c r="L36" i="8"/>
  <c r="K36" i="8"/>
  <c r="J36" i="8"/>
  <c r="I36" i="8"/>
  <c r="H36" i="8"/>
  <c r="S35" i="8"/>
  <c r="R35" i="8"/>
  <c r="M35" i="8"/>
  <c r="L35" i="8"/>
  <c r="K35" i="8"/>
  <c r="J35" i="8"/>
  <c r="I35" i="8"/>
  <c r="H35" i="8"/>
  <c r="S34" i="8"/>
  <c r="R34" i="8"/>
  <c r="M34" i="8"/>
  <c r="L34" i="8"/>
  <c r="K34" i="8"/>
  <c r="J34" i="8"/>
  <c r="I34" i="8"/>
  <c r="H34" i="8"/>
  <c r="S33" i="8"/>
  <c r="R33" i="8"/>
  <c r="M33" i="8"/>
  <c r="L33" i="8"/>
  <c r="K33" i="8"/>
  <c r="J33" i="8"/>
  <c r="I33" i="8"/>
  <c r="H33" i="8"/>
  <c r="S32" i="8"/>
  <c r="R32" i="8"/>
  <c r="M32" i="8"/>
  <c r="L32" i="8"/>
  <c r="K32" i="8"/>
  <c r="J32" i="8"/>
  <c r="I32" i="8"/>
  <c r="H32" i="8"/>
  <c r="S31" i="8"/>
  <c r="R31" i="8"/>
  <c r="M31" i="8"/>
  <c r="L31" i="8"/>
  <c r="K31" i="8"/>
  <c r="J31" i="8"/>
  <c r="I31" i="8"/>
  <c r="H31" i="8"/>
  <c r="S30" i="8"/>
  <c r="R30" i="8"/>
  <c r="M30" i="8"/>
  <c r="L30" i="8"/>
  <c r="K30" i="8"/>
  <c r="J30" i="8"/>
  <c r="I30" i="8"/>
  <c r="H30" i="8"/>
  <c r="I29" i="8"/>
  <c r="H29" i="8"/>
  <c r="I28" i="8"/>
  <c r="J28" i="8" s="1"/>
  <c r="R28" i="8" s="1"/>
  <c r="H28" i="8"/>
  <c r="I27" i="8"/>
  <c r="J27" i="8" s="1"/>
  <c r="R27" i="8" s="1"/>
  <c r="H27" i="8"/>
  <c r="I26" i="8"/>
  <c r="J26" i="8" s="1"/>
  <c r="R26" i="8" s="1"/>
  <c r="H26" i="8"/>
  <c r="I25" i="8"/>
  <c r="J25" i="8" s="1"/>
  <c r="R25" i="8" s="1"/>
  <c r="H25" i="8"/>
  <c r="I24" i="8"/>
  <c r="J24" i="8" s="1"/>
  <c r="R24" i="8" s="1"/>
  <c r="H24" i="8"/>
  <c r="I23" i="8"/>
  <c r="H23" i="8"/>
  <c r="I22" i="8"/>
  <c r="J22" i="8" s="1"/>
  <c r="R22" i="8" s="1"/>
  <c r="H22" i="8"/>
  <c r="I21" i="8"/>
  <c r="H21" i="8"/>
  <c r="I20" i="8"/>
  <c r="H20" i="8"/>
  <c r="I19" i="8"/>
  <c r="J19" i="8" s="1"/>
  <c r="R19" i="8" s="1"/>
  <c r="H19" i="8"/>
  <c r="I18" i="8"/>
  <c r="J18" i="8" s="1"/>
  <c r="R18" i="8" s="1"/>
  <c r="H18" i="8"/>
  <c r="I17" i="8"/>
  <c r="J17" i="8" s="1"/>
  <c r="R17" i="8" s="1"/>
  <c r="H17" i="8"/>
  <c r="I16" i="8"/>
  <c r="J16" i="8" s="1"/>
  <c r="R16" i="8" s="1"/>
  <c r="H16" i="8"/>
  <c r="I15" i="8"/>
  <c r="J15" i="8" s="1"/>
  <c r="R15" i="8" s="1"/>
  <c r="H15" i="8"/>
  <c r="I14" i="8"/>
  <c r="J14" i="8" s="1"/>
  <c r="R14" i="8" s="1"/>
  <c r="H14" i="8"/>
  <c r="I13" i="8"/>
  <c r="H13" i="8"/>
  <c r="I12" i="8"/>
  <c r="H12" i="8"/>
  <c r="I11" i="8"/>
  <c r="J11" i="8" s="1"/>
  <c r="R11" i="8" s="1"/>
  <c r="H11" i="8"/>
  <c r="H10" i="8"/>
  <c r="I10" i="8"/>
  <c r="I9" i="8"/>
  <c r="J9" i="8" s="1"/>
  <c r="R9" i="8" s="1"/>
  <c r="H9" i="8"/>
  <c r="I8" i="8"/>
  <c r="J8" i="8" s="1"/>
  <c r="R8" i="8" s="1"/>
  <c r="H8" i="8"/>
  <c r="I7" i="8"/>
  <c r="H7" i="8"/>
  <c r="K7" i="8" s="1"/>
  <c r="K8" i="8" s="1"/>
  <c r="K9" i="8" s="1"/>
  <c r="G13" i="7"/>
  <c r="G11" i="7"/>
  <c r="G10" i="7"/>
  <c r="S112" i="7"/>
  <c r="R112" i="7"/>
  <c r="M112" i="7"/>
  <c r="L112" i="7"/>
  <c r="K112" i="7"/>
  <c r="J112" i="7"/>
  <c r="I112" i="7"/>
  <c r="H112" i="7"/>
  <c r="S111" i="7"/>
  <c r="R111" i="7"/>
  <c r="M111" i="7"/>
  <c r="L111" i="7"/>
  <c r="K111" i="7"/>
  <c r="J111" i="7"/>
  <c r="I111" i="7"/>
  <c r="H111" i="7"/>
  <c r="S110" i="7"/>
  <c r="R110" i="7"/>
  <c r="M110" i="7"/>
  <c r="L110" i="7"/>
  <c r="K110" i="7"/>
  <c r="J110" i="7"/>
  <c r="I110" i="7"/>
  <c r="H110" i="7"/>
  <c r="S109" i="7"/>
  <c r="R109" i="7"/>
  <c r="M109" i="7"/>
  <c r="L109" i="7"/>
  <c r="K109" i="7"/>
  <c r="J109" i="7"/>
  <c r="I109" i="7"/>
  <c r="H109" i="7"/>
  <c r="S108" i="7"/>
  <c r="R108" i="7"/>
  <c r="M108" i="7"/>
  <c r="L108" i="7"/>
  <c r="K108" i="7"/>
  <c r="J108" i="7"/>
  <c r="I108" i="7"/>
  <c r="H108" i="7"/>
  <c r="S107" i="7"/>
  <c r="R107" i="7"/>
  <c r="M107" i="7"/>
  <c r="L107" i="7"/>
  <c r="K107" i="7"/>
  <c r="J107" i="7"/>
  <c r="I107" i="7"/>
  <c r="H107" i="7"/>
  <c r="S106" i="7"/>
  <c r="R106" i="7"/>
  <c r="M106" i="7"/>
  <c r="L106" i="7"/>
  <c r="K106" i="7"/>
  <c r="J106" i="7"/>
  <c r="I106" i="7"/>
  <c r="H106" i="7"/>
  <c r="S105" i="7"/>
  <c r="R105" i="7"/>
  <c r="M105" i="7"/>
  <c r="L105" i="7"/>
  <c r="K105" i="7"/>
  <c r="J105" i="7"/>
  <c r="I105" i="7"/>
  <c r="H105" i="7"/>
  <c r="S104" i="7"/>
  <c r="R104" i="7"/>
  <c r="M104" i="7"/>
  <c r="L104" i="7"/>
  <c r="K104" i="7"/>
  <c r="J104" i="7"/>
  <c r="I104" i="7"/>
  <c r="H104" i="7"/>
  <c r="S103" i="7"/>
  <c r="R103" i="7"/>
  <c r="M103" i="7"/>
  <c r="L103" i="7"/>
  <c r="K103" i="7"/>
  <c r="J103" i="7"/>
  <c r="I103" i="7"/>
  <c r="H103" i="7"/>
  <c r="S102" i="7"/>
  <c r="R102" i="7"/>
  <c r="M102" i="7"/>
  <c r="L102" i="7"/>
  <c r="K102" i="7"/>
  <c r="J102" i="7"/>
  <c r="I102" i="7"/>
  <c r="H102" i="7"/>
  <c r="S101" i="7"/>
  <c r="R101" i="7"/>
  <c r="M101" i="7"/>
  <c r="L101" i="7"/>
  <c r="K101" i="7"/>
  <c r="J101" i="7"/>
  <c r="I101" i="7"/>
  <c r="H101" i="7"/>
  <c r="S100" i="7"/>
  <c r="R100" i="7"/>
  <c r="M100" i="7"/>
  <c r="L100" i="7"/>
  <c r="K100" i="7"/>
  <c r="J100" i="7"/>
  <c r="I100" i="7"/>
  <c r="H100" i="7"/>
  <c r="S99" i="7"/>
  <c r="R99" i="7"/>
  <c r="M99" i="7"/>
  <c r="L99" i="7"/>
  <c r="K99" i="7"/>
  <c r="J99" i="7"/>
  <c r="I99" i="7"/>
  <c r="H99" i="7"/>
  <c r="S98" i="7"/>
  <c r="R98" i="7"/>
  <c r="M98" i="7"/>
  <c r="L98" i="7"/>
  <c r="K98" i="7"/>
  <c r="J98" i="7"/>
  <c r="I98" i="7"/>
  <c r="H98" i="7"/>
  <c r="S97" i="7"/>
  <c r="R97" i="7"/>
  <c r="M97" i="7"/>
  <c r="L97" i="7"/>
  <c r="K97" i="7"/>
  <c r="J97" i="7"/>
  <c r="I97" i="7"/>
  <c r="H97" i="7"/>
  <c r="S96" i="7"/>
  <c r="R96" i="7"/>
  <c r="M96" i="7"/>
  <c r="L96" i="7"/>
  <c r="K96" i="7"/>
  <c r="J96" i="7"/>
  <c r="I96" i="7"/>
  <c r="H96" i="7"/>
  <c r="S95" i="7"/>
  <c r="R95" i="7"/>
  <c r="M95" i="7"/>
  <c r="L95" i="7"/>
  <c r="K95" i="7"/>
  <c r="J95" i="7"/>
  <c r="I95" i="7"/>
  <c r="H95" i="7"/>
  <c r="S94" i="7"/>
  <c r="R94" i="7"/>
  <c r="M94" i="7"/>
  <c r="L94" i="7"/>
  <c r="K94" i="7"/>
  <c r="J94" i="7"/>
  <c r="I94" i="7"/>
  <c r="H94" i="7"/>
  <c r="S93" i="7"/>
  <c r="R93" i="7"/>
  <c r="M93" i="7"/>
  <c r="L93" i="7"/>
  <c r="K93" i="7"/>
  <c r="J93" i="7"/>
  <c r="I93" i="7"/>
  <c r="H93" i="7"/>
  <c r="S92" i="7"/>
  <c r="R92" i="7"/>
  <c r="M92" i="7"/>
  <c r="L92" i="7"/>
  <c r="K92" i="7"/>
  <c r="J92" i="7"/>
  <c r="I92" i="7"/>
  <c r="H92" i="7"/>
  <c r="S91" i="7"/>
  <c r="R91" i="7"/>
  <c r="M91" i="7"/>
  <c r="L91" i="7"/>
  <c r="K91" i="7"/>
  <c r="J91" i="7"/>
  <c r="I91" i="7"/>
  <c r="H91" i="7"/>
  <c r="S90" i="7"/>
  <c r="R90" i="7"/>
  <c r="M90" i="7"/>
  <c r="L90" i="7"/>
  <c r="K90" i="7"/>
  <c r="J90" i="7"/>
  <c r="I90" i="7"/>
  <c r="H90" i="7"/>
  <c r="S89" i="7"/>
  <c r="R89" i="7"/>
  <c r="M89" i="7"/>
  <c r="L89" i="7"/>
  <c r="K89" i="7"/>
  <c r="J89" i="7"/>
  <c r="I89" i="7"/>
  <c r="H89" i="7"/>
  <c r="S88" i="7"/>
  <c r="R88" i="7"/>
  <c r="M88" i="7"/>
  <c r="L88" i="7"/>
  <c r="K88" i="7"/>
  <c r="J88" i="7"/>
  <c r="I88" i="7"/>
  <c r="H88" i="7"/>
  <c r="S87" i="7"/>
  <c r="R87" i="7"/>
  <c r="M87" i="7"/>
  <c r="L87" i="7"/>
  <c r="K87" i="7"/>
  <c r="J87" i="7"/>
  <c r="I87" i="7"/>
  <c r="H87" i="7"/>
  <c r="S86" i="7"/>
  <c r="R86" i="7"/>
  <c r="M86" i="7"/>
  <c r="L86" i="7"/>
  <c r="K86" i="7"/>
  <c r="J86" i="7"/>
  <c r="I86" i="7"/>
  <c r="H86" i="7"/>
  <c r="S85" i="7"/>
  <c r="R85" i="7"/>
  <c r="M85" i="7"/>
  <c r="L85" i="7"/>
  <c r="K85" i="7"/>
  <c r="J85" i="7"/>
  <c r="I85" i="7"/>
  <c r="H85" i="7"/>
  <c r="S84" i="7"/>
  <c r="R84" i="7"/>
  <c r="M84" i="7"/>
  <c r="L84" i="7"/>
  <c r="K84" i="7"/>
  <c r="J84" i="7"/>
  <c r="I84" i="7"/>
  <c r="H84" i="7"/>
  <c r="S83" i="7"/>
  <c r="R83" i="7"/>
  <c r="M83" i="7"/>
  <c r="L83" i="7"/>
  <c r="K83" i="7"/>
  <c r="J83" i="7"/>
  <c r="I83" i="7"/>
  <c r="H83" i="7"/>
  <c r="S82" i="7"/>
  <c r="R82" i="7"/>
  <c r="M82" i="7"/>
  <c r="L82" i="7"/>
  <c r="K82" i="7"/>
  <c r="J82" i="7"/>
  <c r="I82" i="7"/>
  <c r="H82" i="7"/>
  <c r="S81" i="7"/>
  <c r="R81" i="7"/>
  <c r="M81" i="7"/>
  <c r="L81" i="7"/>
  <c r="K81" i="7"/>
  <c r="J81" i="7"/>
  <c r="I81" i="7"/>
  <c r="H81" i="7"/>
  <c r="S80" i="7"/>
  <c r="R80" i="7"/>
  <c r="M80" i="7"/>
  <c r="L80" i="7"/>
  <c r="K80" i="7"/>
  <c r="J80" i="7"/>
  <c r="I80" i="7"/>
  <c r="H80" i="7"/>
  <c r="S79" i="7"/>
  <c r="R79" i="7"/>
  <c r="M79" i="7"/>
  <c r="L79" i="7"/>
  <c r="K79" i="7"/>
  <c r="J79" i="7"/>
  <c r="I79" i="7"/>
  <c r="H79" i="7"/>
  <c r="S78" i="7"/>
  <c r="R78" i="7"/>
  <c r="M78" i="7"/>
  <c r="L78" i="7"/>
  <c r="K78" i="7"/>
  <c r="J78" i="7"/>
  <c r="I78" i="7"/>
  <c r="H78" i="7"/>
  <c r="S77" i="7"/>
  <c r="R77" i="7"/>
  <c r="M77" i="7"/>
  <c r="L77" i="7"/>
  <c r="K77" i="7"/>
  <c r="J77" i="7"/>
  <c r="I77" i="7"/>
  <c r="H77" i="7"/>
  <c r="S76" i="7"/>
  <c r="R76" i="7"/>
  <c r="M76" i="7"/>
  <c r="L76" i="7"/>
  <c r="K76" i="7"/>
  <c r="J76" i="7"/>
  <c r="I76" i="7"/>
  <c r="H76" i="7"/>
  <c r="S75" i="7"/>
  <c r="R75" i="7"/>
  <c r="M75" i="7"/>
  <c r="L75" i="7"/>
  <c r="K75" i="7"/>
  <c r="J75" i="7"/>
  <c r="I75" i="7"/>
  <c r="H75" i="7"/>
  <c r="S74" i="7"/>
  <c r="R74" i="7"/>
  <c r="M74" i="7"/>
  <c r="L74" i="7"/>
  <c r="K74" i="7"/>
  <c r="J74" i="7"/>
  <c r="I74" i="7"/>
  <c r="H74" i="7"/>
  <c r="S73" i="7"/>
  <c r="R73" i="7"/>
  <c r="M73" i="7"/>
  <c r="L73" i="7"/>
  <c r="K73" i="7"/>
  <c r="J73" i="7"/>
  <c r="I73" i="7"/>
  <c r="H73" i="7"/>
  <c r="S72" i="7"/>
  <c r="R72" i="7"/>
  <c r="M72" i="7"/>
  <c r="L72" i="7"/>
  <c r="K72" i="7"/>
  <c r="J72" i="7"/>
  <c r="I72" i="7"/>
  <c r="H72" i="7"/>
  <c r="S71" i="7"/>
  <c r="R71" i="7"/>
  <c r="M71" i="7"/>
  <c r="L71" i="7"/>
  <c r="K71" i="7"/>
  <c r="J71" i="7"/>
  <c r="I71" i="7"/>
  <c r="H71" i="7"/>
  <c r="S70" i="7"/>
  <c r="R70" i="7"/>
  <c r="M70" i="7"/>
  <c r="L70" i="7"/>
  <c r="K70" i="7"/>
  <c r="J70" i="7"/>
  <c r="I70" i="7"/>
  <c r="H70" i="7"/>
  <c r="S69" i="7"/>
  <c r="R69" i="7"/>
  <c r="M69" i="7"/>
  <c r="L69" i="7"/>
  <c r="K69" i="7"/>
  <c r="J69" i="7"/>
  <c r="I69" i="7"/>
  <c r="H69" i="7"/>
  <c r="S68" i="7"/>
  <c r="R68" i="7"/>
  <c r="M68" i="7"/>
  <c r="L68" i="7"/>
  <c r="K68" i="7"/>
  <c r="J68" i="7"/>
  <c r="I68" i="7"/>
  <c r="H68" i="7"/>
  <c r="S67" i="7"/>
  <c r="R67" i="7"/>
  <c r="M67" i="7"/>
  <c r="L67" i="7"/>
  <c r="K67" i="7"/>
  <c r="J67" i="7"/>
  <c r="I67" i="7"/>
  <c r="H67" i="7"/>
  <c r="S66" i="7"/>
  <c r="R66" i="7"/>
  <c r="M66" i="7"/>
  <c r="L66" i="7"/>
  <c r="K66" i="7"/>
  <c r="J66" i="7"/>
  <c r="I66" i="7"/>
  <c r="H66" i="7"/>
  <c r="S65" i="7"/>
  <c r="R65" i="7"/>
  <c r="M65" i="7"/>
  <c r="L65" i="7"/>
  <c r="K65" i="7"/>
  <c r="J65" i="7"/>
  <c r="I65" i="7"/>
  <c r="H65" i="7"/>
  <c r="S64" i="7"/>
  <c r="R64" i="7"/>
  <c r="M64" i="7"/>
  <c r="L64" i="7"/>
  <c r="K64" i="7"/>
  <c r="J64" i="7"/>
  <c r="I64" i="7"/>
  <c r="H64" i="7"/>
  <c r="S63" i="7"/>
  <c r="R63" i="7"/>
  <c r="M63" i="7"/>
  <c r="L63" i="7"/>
  <c r="K63" i="7"/>
  <c r="J63" i="7"/>
  <c r="I63" i="7"/>
  <c r="H63" i="7"/>
  <c r="S62" i="7"/>
  <c r="R62" i="7"/>
  <c r="M62" i="7"/>
  <c r="L62" i="7"/>
  <c r="K62" i="7"/>
  <c r="J62" i="7"/>
  <c r="I62" i="7"/>
  <c r="H62" i="7"/>
  <c r="S61" i="7"/>
  <c r="R61" i="7"/>
  <c r="M61" i="7"/>
  <c r="L61" i="7"/>
  <c r="K61" i="7"/>
  <c r="J61" i="7"/>
  <c r="I61" i="7"/>
  <c r="H61" i="7"/>
  <c r="S60" i="7"/>
  <c r="R60" i="7"/>
  <c r="M60" i="7"/>
  <c r="L60" i="7"/>
  <c r="K60" i="7"/>
  <c r="J60" i="7"/>
  <c r="I60" i="7"/>
  <c r="H60" i="7"/>
  <c r="S59" i="7"/>
  <c r="R59" i="7"/>
  <c r="M59" i="7"/>
  <c r="L59" i="7"/>
  <c r="K59" i="7"/>
  <c r="J59" i="7"/>
  <c r="I59" i="7"/>
  <c r="H59" i="7"/>
  <c r="S58" i="7"/>
  <c r="R58" i="7"/>
  <c r="M58" i="7"/>
  <c r="L58" i="7"/>
  <c r="K58" i="7"/>
  <c r="J58" i="7"/>
  <c r="I58" i="7"/>
  <c r="H58" i="7"/>
  <c r="S57" i="7"/>
  <c r="R57" i="7"/>
  <c r="M57" i="7"/>
  <c r="L57" i="7"/>
  <c r="K57" i="7"/>
  <c r="J57" i="7"/>
  <c r="I57" i="7"/>
  <c r="H57" i="7"/>
  <c r="S56" i="7"/>
  <c r="R56" i="7"/>
  <c r="M56" i="7"/>
  <c r="L56" i="7"/>
  <c r="K56" i="7"/>
  <c r="J56" i="7"/>
  <c r="I56" i="7"/>
  <c r="H56" i="7"/>
  <c r="S55" i="7"/>
  <c r="R55" i="7"/>
  <c r="M55" i="7"/>
  <c r="L55" i="7"/>
  <c r="K55" i="7"/>
  <c r="J55" i="7"/>
  <c r="I55" i="7"/>
  <c r="H55" i="7"/>
  <c r="S54" i="7"/>
  <c r="R54" i="7"/>
  <c r="M54" i="7"/>
  <c r="L54" i="7"/>
  <c r="K54" i="7"/>
  <c r="J54" i="7"/>
  <c r="I54" i="7"/>
  <c r="H54" i="7"/>
  <c r="S53" i="7"/>
  <c r="R53" i="7"/>
  <c r="M53" i="7"/>
  <c r="L53" i="7"/>
  <c r="K53" i="7"/>
  <c r="J53" i="7"/>
  <c r="I53" i="7"/>
  <c r="H53" i="7"/>
  <c r="S52" i="7"/>
  <c r="R52" i="7"/>
  <c r="M52" i="7"/>
  <c r="L52" i="7"/>
  <c r="K52" i="7"/>
  <c r="J52" i="7"/>
  <c r="I52" i="7"/>
  <c r="H52" i="7"/>
  <c r="S51" i="7"/>
  <c r="R51" i="7"/>
  <c r="M51" i="7"/>
  <c r="L51" i="7"/>
  <c r="K51" i="7"/>
  <c r="J51" i="7"/>
  <c r="I51" i="7"/>
  <c r="H51" i="7"/>
  <c r="S50" i="7"/>
  <c r="R50" i="7"/>
  <c r="M50" i="7"/>
  <c r="L50" i="7"/>
  <c r="K50" i="7"/>
  <c r="J50" i="7"/>
  <c r="I50" i="7"/>
  <c r="H50" i="7"/>
  <c r="S49" i="7"/>
  <c r="R49" i="7"/>
  <c r="M49" i="7"/>
  <c r="L49" i="7"/>
  <c r="K49" i="7"/>
  <c r="J49" i="7"/>
  <c r="I49" i="7"/>
  <c r="H49" i="7"/>
  <c r="S48" i="7"/>
  <c r="R48" i="7"/>
  <c r="M48" i="7"/>
  <c r="L48" i="7"/>
  <c r="K48" i="7"/>
  <c r="J48" i="7"/>
  <c r="I48" i="7"/>
  <c r="H48" i="7"/>
  <c r="S47" i="7"/>
  <c r="R47" i="7"/>
  <c r="M47" i="7"/>
  <c r="L47" i="7"/>
  <c r="K47" i="7"/>
  <c r="J47" i="7"/>
  <c r="I47" i="7"/>
  <c r="H47" i="7"/>
  <c r="S46" i="7"/>
  <c r="R46" i="7"/>
  <c r="M46" i="7"/>
  <c r="L46" i="7"/>
  <c r="K46" i="7"/>
  <c r="J46" i="7"/>
  <c r="I46" i="7"/>
  <c r="H46" i="7"/>
  <c r="S45" i="7"/>
  <c r="R45" i="7"/>
  <c r="M45" i="7"/>
  <c r="L45" i="7"/>
  <c r="K45" i="7"/>
  <c r="J45" i="7"/>
  <c r="I45" i="7"/>
  <c r="H45" i="7"/>
  <c r="S44" i="7"/>
  <c r="R44" i="7"/>
  <c r="M44" i="7"/>
  <c r="L44" i="7"/>
  <c r="K44" i="7"/>
  <c r="J44" i="7"/>
  <c r="I44" i="7"/>
  <c r="H44" i="7"/>
  <c r="S43" i="7"/>
  <c r="R43" i="7"/>
  <c r="M43" i="7"/>
  <c r="L43" i="7"/>
  <c r="K43" i="7"/>
  <c r="J43" i="7"/>
  <c r="I43" i="7"/>
  <c r="H43" i="7"/>
  <c r="S42" i="7"/>
  <c r="R42" i="7"/>
  <c r="M42" i="7"/>
  <c r="L42" i="7"/>
  <c r="K42" i="7"/>
  <c r="J42" i="7"/>
  <c r="I42" i="7"/>
  <c r="H42" i="7"/>
  <c r="S41" i="7"/>
  <c r="R41" i="7"/>
  <c r="M41" i="7"/>
  <c r="L41" i="7"/>
  <c r="K41" i="7"/>
  <c r="J41" i="7"/>
  <c r="I41" i="7"/>
  <c r="H41" i="7"/>
  <c r="S40" i="7"/>
  <c r="R40" i="7"/>
  <c r="M40" i="7"/>
  <c r="L40" i="7"/>
  <c r="K40" i="7"/>
  <c r="J40" i="7"/>
  <c r="I40" i="7"/>
  <c r="H40" i="7"/>
  <c r="S39" i="7"/>
  <c r="R39" i="7"/>
  <c r="M39" i="7"/>
  <c r="L39" i="7"/>
  <c r="K39" i="7"/>
  <c r="J39" i="7"/>
  <c r="I39" i="7"/>
  <c r="H39" i="7"/>
  <c r="S38" i="7"/>
  <c r="R38" i="7"/>
  <c r="M38" i="7"/>
  <c r="L38" i="7"/>
  <c r="K38" i="7"/>
  <c r="J38" i="7"/>
  <c r="I38" i="7"/>
  <c r="H38" i="7"/>
  <c r="S37" i="7"/>
  <c r="R37" i="7"/>
  <c r="M37" i="7"/>
  <c r="L37" i="7"/>
  <c r="K37" i="7"/>
  <c r="J37" i="7"/>
  <c r="I37" i="7"/>
  <c r="H37" i="7"/>
  <c r="S36" i="7"/>
  <c r="R36" i="7"/>
  <c r="M36" i="7"/>
  <c r="L36" i="7"/>
  <c r="K36" i="7"/>
  <c r="J36" i="7"/>
  <c r="I36" i="7"/>
  <c r="H36" i="7"/>
  <c r="S35" i="7"/>
  <c r="R35" i="7"/>
  <c r="M35" i="7"/>
  <c r="L35" i="7"/>
  <c r="K35" i="7"/>
  <c r="J35" i="7"/>
  <c r="I35" i="7"/>
  <c r="H35" i="7"/>
  <c r="S34" i="7"/>
  <c r="R34" i="7"/>
  <c r="M34" i="7"/>
  <c r="L34" i="7"/>
  <c r="K34" i="7"/>
  <c r="J34" i="7"/>
  <c r="I34" i="7"/>
  <c r="H34" i="7"/>
  <c r="S33" i="7"/>
  <c r="R33" i="7"/>
  <c r="M33" i="7"/>
  <c r="L33" i="7"/>
  <c r="K33" i="7"/>
  <c r="J33" i="7"/>
  <c r="I33" i="7"/>
  <c r="H33" i="7"/>
  <c r="S32" i="7"/>
  <c r="R32" i="7"/>
  <c r="M32" i="7"/>
  <c r="L32" i="7"/>
  <c r="K32" i="7"/>
  <c r="J32" i="7"/>
  <c r="I32" i="7"/>
  <c r="H32" i="7"/>
  <c r="S31" i="7"/>
  <c r="R31" i="7"/>
  <c r="M31" i="7"/>
  <c r="L31" i="7"/>
  <c r="K31" i="7"/>
  <c r="J31" i="7"/>
  <c r="I31" i="7"/>
  <c r="H31" i="7"/>
  <c r="S30" i="7"/>
  <c r="R30" i="7"/>
  <c r="M30" i="7"/>
  <c r="L30" i="7"/>
  <c r="K30" i="7"/>
  <c r="J30" i="7"/>
  <c r="I30" i="7"/>
  <c r="H30" i="7"/>
  <c r="S29" i="7"/>
  <c r="R29" i="7"/>
  <c r="M29" i="7"/>
  <c r="L29" i="7"/>
  <c r="K29" i="7"/>
  <c r="J29" i="7"/>
  <c r="I29" i="7"/>
  <c r="H29" i="7"/>
  <c r="S28" i="7"/>
  <c r="R28" i="7"/>
  <c r="M28" i="7"/>
  <c r="L28" i="7"/>
  <c r="K28" i="7"/>
  <c r="J28" i="7"/>
  <c r="I28" i="7"/>
  <c r="H28" i="7"/>
  <c r="I27" i="7"/>
  <c r="J27" i="7" s="1"/>
  <c r="R27" i="7" s="1"/>
  <c r="H27" i="7"/>
  <c r="I26" i="7"/>
  <c r="J26" i="7" s="1"/>
  <c r="R26" i="7" s="1"/>
  <c r="H26" i="7"/>
  <c r="I25" i="7"/>
  <c r="J25" i="7" s="1"/>
  <c r="R25" i="7" s="1"/>
  <c r="H25" i="7"/>
  <c r="I24" i="7"/>
  <c r="H24" i="7"/>
  <c r="I23" i="7"/>
  <c r="J23" i="7" s="1"/>
  <c r="R23" i="7" s="1"/>
  <c r="H23" i="7"/>
  <c r="I22" i="7"/>
  <c r="J22" i="7" s="1"/>
  <c r="R22" i="7" s="1"/>
  <c r="H22" i="7"/>
  <c r="I21" i="7"/>
  <c r="J21" i="7" s="1"/>
  <c r="R21" i="7" s="1"/>
  <c r="H21" i="7"/>
  <c r="I20" i="7"/>
  <c r="J20" i="7" s="1"/>
  <c r="R20" i="7" s="1"/>
  <c r="H20" i="7"/>
  <c r="I19" i="7"/>
  <c r="J19" i="7" s="1"/>
  <c r="R19" i="7" s="1"/>
  <c r="H19" i="7"/>
  <c r="I18" i="7"/>
  <c r="J18" i="7" s="1"/>
  <c r="R18" i="7" s="1"/>
  <c r="H18" i="7"/>
  <c r="I17" i="7"/>
  <c r="J17" i="7" s="1"/>
  <c r="R17" i="7" s="1"/>
  <c r="H17" i="7"/>
  <c r="I16" i="7"/>
  <c r="J16" i="7" s="1"/>
  <c r="R16" i="7" s="1"/>
  <c r="H16" i="7"/>
  <c r="I15" i="7"/>
  <c r="J15" i="7" s="1"/>
  <c r="R15" i="7" s="1"/>
  <c r="H15" i="7"/>
  <c r="I14" i="7"/>
  <c r="J14" i="7" s="1"/>
  <c r="R14" i="7" s="1"/>
  <c r="H14" i="7"/>
  <c r="I13" i="7"/>
  <c r="J13" i="7" s="1"/>
  <c r="R13" i="7" s="1"/>
  <c r="H13" i="7"/>
  <c r="H12" i="7"/>
  <c r="I12" i="7"/>
  <c r="I11" i="7"/>
  <c r="J11" i="7" s="1"/>
  <c r="R11" i="7" s="1"/>
  <c r="H11" i="7"/>
  <c r="H10" i="7"/>
  <c r="I10" i="7"/>
  <c r="H9" i="7"/>
  <c r="I9" i="7"/>
  <c r="I8" i="7"/>
  <c r="H8" i="7"/>
  <c r="I7" i="7"/>
  <c r="L7" i="7" s="1"/>
  <c r="H7" i="7"/>
  <c r="K7" i="7" s="1"/>
  <c r="K8" i="7" s="1"/>
  <c r="J10" i="8" l="1"/>
  <c r="R10" i="8" s="1"/>
  <c r="K8" i="9"/>
  <c r="K9" i="9" s="1"/>
  <c r="K10" i="9" s="1"/>
  <c r="K11" i="9" s="1"/>
  <c r="K12" i="9" s="1"/>
  <c r="K13" i="9" s="1"/>
  <c r="K14" i="9" s="1"/>
  <c r="K15" i="9" s="1"/>
  <c r="K16" i="9" s="1"/>
  <c r="K17" i="9" s="1"/>
  <c r="J17" i="9"/>
  <c r="R17" i="9" s="1"/>
  <c r="J21" i="9"/>
  <c r="R21" i="9" s="1"/>
  <c r="J16" i="11"/>
  <c r="R16" i="11" s="1"/>
  <c r="J10" i="12"/>
  <c r="R10" i="12" s="1"/>
  <c r="J12" i="12"/>
  <c r="R12" i="12" s="1"/>
  <c r="J14" i="12"/>
  <c r="R14" i="12" s="1"/>
  <c r="J16" i="12"/>
  <c r="R16" i="12" s="1"/>
  <c r="J18" i="12"/>
  <c r="R18" i="12" s="1"/>
  <c r="J20" i="12"/>
  <c r="R20" i="12" s="1"/>
  <c r="J9" i="13"/>
  <c r="R9" i="13" s="1"/>
  <c r="J8" i="14"/>
  <c r="R8" i="14" s="1"/>
  <c r="J10" i="14"/>
  <c r="R10" i="14" s="1"/>
  <c r="J12" i="14"/>
  <c r="R12" i="14" s="1"/>
  <c r="J18" i="14"/>
  <c r="R18" i="14" s="1"/>
  <c r="J22" i="14"/>
  <c r="R22" i="14" s="1"/>
  <c r="J25" i="14"/>
  <c r="R25" i="14" s="1"/>
  <c r="J27" i="14"/>
  <c r="R27" i="14" s="1"/>
  <c r="J9" i="15"/>
  <c r="R9" i="15" s="1"/>
  <c r="J11" i="15"/>
  <c r="R11" i="15" s="1"/>
  <c r="J13" i="15"/>
  <c r="R13" i="15" s="1"/>
  <c r="J17" i="15"/>
  <c r="R17" i="15" s="1"/>
  <c r="J8" i="10"/>
  <c r="R8" i="10" s="1"/>
  <c r="J10" i="10"/>
  <c r="R10" i="10" s="1"/>
  <c r="J10" i="11"/>
  <c r="R10" i="11" s="1"/>
  <c r="J12" i="11"/>
  <c r="R12" i="11" s="1"/>
  <c r="J14" i="11"/>
  <c r="R14" i="11" s="1"/>
  <c r="J17" i="11"/>
  <c r="R17" i="11" s="1"/>
  <c r="K8" i="12"/>
  <c r="K9" i="12" s="1"/>
  <c r="K10" i="12" s="1"/>
  <c r="K11" i="12" s="1"/>
  <c r="K12" i="12" s="1"/>
  <c r="K13" i="12" s="1"/>
  <c r="K14" i="12" s="1"/>
  <c r="K15" i="12" s="1"/>
  <c r="K16" i="12" s="1"/>
  <c r="J9" i="12"/>
  <c r="R9" i="12" s="1"/>
  <c r="J12" i="13"/>
  <c r="R12" i="13" s="1"/>
  <c r="J16" i="13"/>
  <c r="R16" i="13" s="1"/>
  <c r="K8" i="14"/>
  <c r="J10" i="16"/>
  <c r="R10" i="16" s="1"/>
  <c r="J12" i="16"/>
  <c r="R12" i="16" s="1"/>
  <c r="J18" i="16"/>
  <c r="R18" i="16" s="1"/>
  <c r="J38" i="16"/>
  <c r="R38" i="16" s="1"/>
  <c r="J42" i="16"/>
  <c r="R42" i="16" s="1"/>
  <c r="J45" i="16"/>
  <c r="R45" i="16" s="1"/>
  <c r="K10" i="8"/>
  <c r="K11" i="8" s="1"/>
  <c r="K18" i="9"/>
  <c r="K8" i="11"/>
  <c r="K9" i="11" s="1"/>
  <c r="K10" i="11" s="1"/>
  <c r="K11" i="11" s="1"/>
  <c r="J19" i="11"/>
  <c r="R19" i="11" s="1"/>
  <c r="J21" i="11"/>
  <c r="R21" i="11" s="1"/>
  <c r="J23" i="11"/>
  <c r="R23" i="11" s="1"/>
  <c r="J8" i="15"/>
  <c r="R8" i="15" s="1"/>
  <c r="J10" i="15"/>
  <c r="R10" i="15" s="1"/>
  <c r="J14" i="15"/>
  <c r="R14" i="15" s="1"/>
  <c r="J16" i="15"/>
  <c r="R16" i="15" s="1"/>
  <c r="J35" i="16"/>
  <c r="R35" i="16" s="1"/>
  <c r="J40" i="16"/>
  <c r="R40" i="16" s="1"/>
  <c r="M42" i="21"/>
  <c r="S42" i="21" s="1"/>
  <c r="L43" i="21"/>
  <c r="J10" i="7"/>
  <c r="R10" i="7" s="1"/>
  <c r="J12" i="7"/>
  <c r="R12" i="7" s="1"/>
  <c r="J9" i="10"/>
  <c r="R9" i="10" s="1"/>
  <c r="J13" i="10"/>
  <c r="R13" i="10" s="1"/>
  <c r="J9" i="11"/>
  <c r="R9" i="11" s="1"/>
  <c r="J11" i="11"/>
  <c r="R11" i="11" s="1"/>
  <c r="J13" i="11"/>
  <c r="R13" i="11" s="1"/>
  <c r="K8" i="16"/>
  <c r="J19" i="16"/>
  <c r="R19" i="16" s="1"/>
  <c r="K25" i="19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L47" i="20"/>
  <c r="M46" i="20"/>
  <c r="S46" i="20" s="1"/>
  <c r="M8" i="19"/>
  <c r="S8" i="19" s="1"/>
  <c r="L9" i="19"/>
  <c r="M8" i="18"/>
  <c r="S8" i="18" s="1"/>
  <c r="L9" i="18"/>
  <c r="J30" i="17"/>
  <c r="R30" i="17" s="1"/>
  <c r="J28" i="17"/>
  <c r="R28" i="17" s="1"/>
  <c r="J29" i="17"/>
  <c r="R29" i="17" s="1"/>
  <c r="L7" i="17"/>
  <c r="J7" i="17"/>
  <c r="R7" i="17" s="1"/>
  <c r="K28" i="17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J45" i="17"/>
  <c r="R45" i="17" s="1"/>
  <c r="J47" i="16"/>
  <c r="R47" i="16" s="1"/>
  <c r="J46" i="16"/>
  <c r="R46" i="16" s="1"/>
  <c r="J44" i="16"/>
  <c r="R44" i="16" s="1"/>
  <c r="J43" i="16"/>
  <c r="R43" i="16" s="1"/>
  <c r="J36" i="16"/>
  <c r="R36" i="16" s="1"/>
  <c r="J33" i="16"/>
  <c r="R33" i="16" s="1"/>
  <c r="J31" i="16"/>
  <c r="R31" i="16" s="1"/>
  <c r="J30" i="16"/>
  <c r="R30" i="16" s="1"/>
  <c r="J28" i="16"/>
  <c r="R28" i="16" s="1"/>
  <c r="J26" i="16"/>
  <c r="R26" i="16" s="1"/>
  <c r="J25" i="16"/>
  <c r="R25" i="16" s="1"/>
  <c r="J24" i="16"/>
  <c r="R24" i="16" s="1"/>
  <c r="J23" i="16"/>
  <c r="R23" i="16" s="1"/>
  <c r="J22" i="16"/>
  <c r="R22" i="16" s="1"/>
  <c r="J17" i="16"/>
  <c r="R17" i="16" s="1"/>
  <c r="J15" i="16"/>
  <c r="R15" i="16" s="1"/>
  <c r="K9" i="16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J9" i="16"/>
  <c r="R9" i="16" s="1"/>
  <c r="J8" i="16"/>
  <c r="R8" i="16" s="1"/>
  <c r="J7" i="16"/>
  <c r="R7" i="16" s="1"/>
  <c r="L7" i="16"/>
  <c r="L8" i="15"/>
  <c r="M7" i="15"/>
  <c r="S7" i="15" s="1"/>
  <c r="J7" i="15"/>
  <c r="R7" i="15" s="1"/>
  <c r="J24" i="14"/>
  <c r="R24" i="14" s="1"/>
  <c r="J21" i="14"/>
  <c r="R21" i="14" s="1"/>
  <c r="J15" i="14"/>
  <c r="R15" i="14" s="1"/>
  <c r="J11" i="14"/>
  <c r="R11" i="14" s="1"/>
  <c r="J9" i="14"/>
  <c r="R9" i="14" s="1"/>
  <c r="K9" i="14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M7" i="14"/>
  <c r="S7" i="14" s="1"/>
  <c r="L8" i="14"/>
  <c r="J7" i="14"/>
  <c r="R7" i="14" s="1"/>
  <c r="J14" i="13"/>
  <c r="R14" i="13" s="1"/>
  <c r="J10" i="13"/>
  <c r="R10" i="13" s="1"/>
  <c r="M7" i="13"/>
  <c r="S7" i="13" s="1"/>
  <c r="J7" i="13"/>
  <c r="R7" i="13" s="1"/>
  <c r="L8" i="13"/>
  <c r="J17" i="12"/>
  <c r="R17" i="12" s="1"/>
  <c r="K17" i="12"/>
  <c r="K18" i="12" s="1"/>
  <c r="K19" i="12" s="1"/>
  <c r="K20" i="12" s="1"/>
  <c r="K21" i="12" s="1"/>
  <c r="K22" i="12" s="1"/>
  <c r="J13" i="12"/>
  <c r="R13" i="12" s="1"/>
  <c r="L8" i="12"/>
  <c r="M7" i="12"/>
  <c r="S7" i="12" s="1"/>
  <c r="J7" i="12"/>
  <c r="R7" i="12" s="1"/>
  <c r="J15" i="11"/>
  <c r="R15" i="11" s="1"/>
  <c r="K12" i="1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J8" i="11"/>
  <c r="R8" i="11" s="1"/>
  <c r="M7" i="11"/>
  <c r="S7" i="11" s="1"/>
  <c r="J7" i="11"/>
  <c r="R7" i="11" s="1"/>
  <c r="L8" i="11"/>
  <c r="J23" i="10"/>
  <c r="R23" i="10" s="1"/>
  <c r="J21" i="10"/>
  <c r="R21" i="10" s="1"/>
  <c r="J20" i="10"/>
  <c r="R20" i="10" s="1"/>
  <c r="J16" i="10"/>
  <c r="R16" i="10" s="1"/>
  <c r="J17" i="10"/>
  <c r="R17" i="10" s="1"/>
  <c r="K15" i="10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M7" i="10"/>
  <c r="S7" i="10" s="1"/>
  <c r="L8" i="10"/>
  <c r="J7" i="10"/>
  <c r="R7" i="10" s="1"/>
  <c r="K19" i="9"/>
  <c r="K20" i="9" s="1"/>
  <c r="K21" i="9" s="1"/>
  <c r="K22" i="9" s="1"/>
  <c r="K23" i="9" s="1"/>
  <c r="J19" i="9"/>
  <c r="R19" i="9" s="1"/>
  <c r="J18" i="9"/>
  <c r="R18" i="9" s="1"/>
  <c r="J16" i="9"/>
  <c r="R16" i="9" s="1"/>
  <c r="J12" i="9"/>
  <c r="R12" i="9" s="1"/>
  <c r="M7" i="9"/>
  <c r="S7" i="9" s="1"/>
  <c r="J7" i="9"/>
  <c r="R7" i="9" s="1"/>
  <c r="L8" i="9"/>
  <c r="J29" i="8"/>
  <c r="R29" i="8" s="1"/>
  <c r="J21" i="8"/>
  <c r="R21" i="8" s="1"/>
  <c r="J23" i="8"/>
  <c r="R23" i="8" s="1"/>
  <c r="J20" i="8"/>
  <c r="R20" i="8" s="1"/>
  <c r="K12" i="8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J12" i="8"/>
  <c r="R12" i="8" s="1"/>
  <c r="J13" i="8"/>
  <c r="R13" i="8" s="1"/>
  <c r="J7" i="8"/>
  <c r="R7" i="8" s="1"/>
  <c r="L7" i="8"/>
  <c r="M7" i="8" s="1"/>
  <c r="S7" i="8" s="1"/>
  <c r="J24" i="7"/>
  <c r="R24" i="7" s="1"/>
  <c r="J8" i="7"/>
  <c r="R8" i="7" s="1"/>
  <c r="J9" i="7"/>
  <c r="R9" i="7" s="1"/>
  <c r="K9" i="7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L8" i="7"/>
  <c r="M7" i="7"/>
  <c r="S7" i="7" s="1"/>
  <c r="J7" i="7"/>
  <c r="R7" i="7" s="1"/>
  <c r="S112" i="6"/>
  <c r="R112" i="6"/>
  <c r="M112" i="6"/>
  <c r="L112" i="6"/>
  <c r="K112" i="6"/>
  <c r="J112" i="6"/>
  <c r="I112" i="6"/>
  <c r="H112" i="6"/>
  <c r="S111" i="6"/>
  <c r="R111" i="6"/>
  <c r="M111" i="6"/>
  <c r="L111" i="6"/>
  <c r="K111" i="6"/>
  <c r="J111" i="6"/>
  <c r="I111" i="6"/>
  <c r="H111" i="6"/>
  <c r="S110" i="6"/>
  <c r="R110" i="6"/>
  <c r="M110" i="6"/>
  <c r="L110" i="6"/>
  <c r="K110" i="6"/>
  <c r="J110" i="6"/>
  <c r="I110" i="6"/>
  <c r="H110" i="6"/>
  <c r="S109" i="6"/>
  <c r="R109" i="6"/>
  <c r="M109" i="6"/>
  <c r="L109" i="6"/>
  <c r="K109" i="6"/>
  <c r="J109" i="6"/>
  <c r="I109" i="6"/>
  <c r="H109" i="6"/>
  <c r="S108" i="6"/>
  <c r="R108" i="6"/>
  <c r="M108" i="6"/>
  <c r="L108" i="6"/>
  <c r="K108" i="6"/>
  <c r="J108" i="6"/>
  <c r="I108" i="6"/>
  <c r="H108" i="6"/>
  <c r="S107" i="6"/>
  <c r="R107" i="6"/>
  <c r="M107" i="6"/>
  <c r="L107" i="6"/>
  <c r="K107" i="6"/>
  <c r="J107" i="6"/>
  <c r="I107" i="6"/>
  <c r="H107" i="6"/>
  <c r="S106" i="6"/>
  <c r="R106" i="6"/>
  <c r="M106" i="6"/>
  <c r="L106" i="6"/>
  <c r="K106" i="6"/>
  <c r="J106" i="6"/>
  <c r="I106" i="6"/>
  <c r="H106" i="6"/>
  <c r="S105" i="6"/>
  <c r="R105" i="6"/>
  <c r="M105" i="6"/>
  <c r="L105" i="6"/>
  <c r="K105" i="6"/>
  <c r="J105" i="6"/>
  <c r="I105" i="6"/>
  <c r="H105" i="6"/>
  <c r="S104" i="6"/>
  <c r="R104" i="6"/>
  <c r="M104" i="6"/>
  <c r="L104" i="6"/>
  <c r="K104" i="6"/>
  <c r="J104" i="6"/>
  <c r="I104" i="6"/>
  <c r="H104" i="6"/>
  <c r="S103" i="6"/>
  <c r="R103" i="6"/>
  <c r="M103" i="6"/>
  <c r="L103" i="6"/>
  <c r="K103" i="6"/>
  <c r="J103" i="6"/>
  <c r="I103" i="6"/>
  <c r="H103" i="6"/>
  <c r="S102" i="6"/>
  <c r="R102" i="6"/>
  <c r="M102" i="6"/>
  <c r="L102" i="6"/>
  <c r="K102" i="6"/>
  <c r="J102" i="6"/>
  <c r="I102" i="6"/>
  <c r="H102" i="6"/>
  <c r="S101" i="6"/>
  <c r="R101" i="6"/>
  <c r="M101" i="6"/>
  <c r="L101" i="6"/>
  <c r="K101" i="6"/>
  <c r="J101" i="6"/>
  <c r="I101" i="6"/>
  <c r="H101" i="6"/>
  <c r="S100" i="6"/>
  <c r="R100" i="6"/>
  <c r="M100" i="6"/>
  <c r="L100" i="6"/>
  <c r="K100" i="6"/>
  <c r="J100" i="6"/>
  <c r="I100" i="6"/>
  <c r="H100" i="6"/>
  <c r="S99" i="6"/>
  <c r="R99" i="6"/>
  <c r="M99" i="6"/>
  <c r="L99" i="6"/>
  <c r="K99" i="6"/>
  <c r="J99" i="6"/>
  <c r="I99" i="6"/>
  <c r="H99" i="6"/>
  <c r="S98" i="6"/>
  <c r="R98" i="6"/>
  <c r="M98" i="6"/>
  <c r="L98" i="6"/>
  <c r="K98" i="6"/>
  <c r="J98" i="6"/>
  <c r="I98" i="6"/>
  <c r="H98" i="6"/>
  <c r="S97" i="6"/>
  <c r="R97" i="6"/>
  <c r="M97" i="6"/>
  <c r="L97" i="6"/>
  <c r="K97" i="6"/>
  <c r="J97" i="6"/>
  <c r="I97" i="6"/>
  <c r="H97" i="6"/>
  <c r="S96" i="6"/>
  <c r="R96" i="6"/>
  <c r="M96" i="6"/>
  <c r="L96" i="6"/>
  <c r="K96" i="6"/>
  <c r="J96" i="6"/>
  <c r="I96" i="6"/>
  <c r="H96" i="6"/>
  <c r="S95" i="6"/>
  <c r="R95" i="6"/>
  <c r="M95" i="6"/>
  <c r="L95" i="6"/>
  <c r="K95" i="6"/>
  <c r="J95" i="6"/>
  <c r="I95" i="6"/>
  <c r="H95" i="6"/>
  <c r="S94" i="6"/>
  <c r="R94" i="6"/>
  <c r="M94" i="6"/>
  <c r="L94" i="6"/>
  <c r="K94" i="6"/>
  <c r="J94" i="6"/>
  <c r="I94" i="6"/>
  <c r="H94" i="6"/>
  <c r="S93" i="6"/>
  <c r="R93" i="6"/>
  <c r="M93" i="6"/>
  <c r="L93" i="6"/>
  <c r="K93" i="6"/>
  <c r="J93" i="6"/>
  <c r="I93" i="6"/>
  <c r="H93" i="6"/>
  <c r="S92" i="6"/>
  <c r="R92" i="6"/>
  <c r="M92" i="6"/>
  <c r="L92" i="6"/>
  <c r="K92" i="6"/>
  <c r="J92" i="6"/>
  <c r="I92" i="6"/>
  <c r="H92" i="6"/>
  <c r="S91" i="6"/>
  <c r="R91" i="6"/>
  <c r="M91" i="6"/>
  <c r="L91" i="6"/>
  <c r="K91" i="6"/>
  <c r="J91" i="6"/>
  <c r="I91" i="6"/>
  <c r="H91" i="6"/>
  <c r="S90" i="6"/>
  <c r="R90" i="6"/>
  <c r="M90" i="6"/>
  <c r="L90" i="6"/>
  <c r="K90" i="6"/>
  <c r="J90" i="6"/>
  <c r="I90" i="6"/>
  <c r="H90" i="6"/>
  <c r="S89" i="6"/>
  <c r="R89" i="6"/>
  <c r="M89" i="6"/>
  <c r="L89" i="6"/>
  <c r="K89" i="6"/>
  <c r="J89" i="6"/>
  <c r="I89" i="6"/>
  <c r="H89" i="6"/>
  <c r="S88" i="6"/>
  <c r="R88" i="6"/>
  <c r="M88" i="6"/>
  <c r="L88" i="6"/>
  <c r="K88" i="6"/>
  <c r="J88" i="6"/>
  <c r="I88" i="6"/>
  <c r="H88" i="6"/>
  <c r="S87" i="6"/>
  <c r="R87" i="6"/>
  <c r="M87" i="6"/>
  <c r="L87" i="6"/>
  <c r="K87" i="6"/>
  <c r="J87" i="6"/>
  <c r="I87" i="6"/>
  <c r="H87" i="6"/>
  <c r="S86" i="6"/>
  <c r="R86" i="6"/>
  <c r="M86" i="6"/>
  <c r="L86" i="6"/>
  <c r="K86" i="6"/>
  <c r="J86" i="6"/>
  <c r="I86" i="6"/>
  <c r="H86" i="6"/>
  <c r="S85" i="6"/>
  <c r="R85" i="6"/>
  <c r="M85" i="6"/>
  <c r="L85" i="6"/>
  <c r="K85" i="6"/>
  <c r="J85" i="6"/>
  <c r="I85" i="6"/>
  <c r="H85" i="6"/>
  <c r="S84" i="6"/>
  <c r="R84" i="6"/>
  <c r="M84" i="6"/>
  <c r="L84" i="6"/>
  <c r="K84" i="6"/>
  <c r="J84" i="6"/>
  <c r="I84" i="6"/>
  <c r="H84" i="6"/>
  <c r="S83" i="6"/>
  <c r="R83" i="6"/>
  <c r="M83" i="6"/>
  <c r="L83" i="6"/>
  <c r="K83" i="6"/>
  <c r="J83" i="6"/>
  <c r="I83" i="6"/>
  <c r="H83" i="6"/>
  <c r="S82" i="6"/>
  <c r="R82" i="6"/>
  <c r="M82" i="6"/>
  <c r="L82" i="6"/>
  <c r="K82" i="6"/>
  <c r="J82" i="6"/>
  <c r="I82" i="6"/>
  <c r="H82" i="6"/>
  <c r="S81" i="6"/>
  <c r="R81" i="6"/>
  <c r="M81" i="6"/>
  <c r="L81" i="6"/>
  <c r="K81" i="6"/>
  <c r="J81" i="6"/>
  <c r="I81" i="6"/>
  <c r="H81" i="6"/>
  <c r="S80" i="6"/>
  <c r="R80" i="6"/>
  <c r="M80" i="6"/>
  <c r="L80" i="6"/>
  <c r="K80" i="6"/>
  <c r="J80" i="6"/>
  <c r="I80" i="6"/>
  <c r="H80" i="6"/>
  <c r="S79" i="6"/>
  <c r="R79" i="6"/>
  <c r="M79" i="6"/>
  <c r="L79" i="6"/>
  <c r="K79" i="6"/>
  <c r="J79" i="6"/>
  <c r="I79" i="6"/>
  <c r="H79" i="6"/>
  <c r="S78" i="6"/>
  <c r="R78" i="6"/>
  <c r="M78" i="6"/>
  <c r="L78" i="6"/>
  <c r="K78" i="6"/>
  <c r="J78" i="6"/>
  <c r="I78" i="6"/>
  <c r="H78" i="6"/>
  <c r="S77" i="6"/>
  <c r="R77" i="6"/>
  <c r="M77" i="6"/>
  <c r="L77" i="6"/>
  <c r="K77" i="6"/>
  <c r="J77" i="6"/>
  <c r="I77" i="6"/>
  <c r="H77" i="6"/>
  <c r="S76" i="6"/>
  <c r="R76" i="6"/>
  <c r="M76" i="6"/>
  <c r="L76" i="6"/>
  <c r="K76" i="6"/>
  <c r="J76" i="6"/>
  <c r="I76" i="6"/>
  <c r="H76" i="6"/>
  <c r="S75" i="6"/>
  <c r="R75" i="6"/>
  <c r="M75" i="6"/>
  <c r="L75" i="6"/>
  <c r="K75" i="6"/>
  <c r="J75" i="6"/>
  <c r="I75" i="6"/>
  <c r="H75" i="6"/>
  <c r="S74" i="6"/>
  <c r="R74" i="6"/>
  <c r="M74" i="6"/>
  <c r="L74" i="6"/>
  <c r="K74" i="6"/>
  <c r="J74" i="6"/>
  <c r="I74" i="6"/>
  <c r="H74" i="6"/>
  <c r="S73" i="6"/>
  <c r="R73" i="6"/>
  <c r="M73" i="6"/>
  <c r="L73" i="6"/>
  <c r="K73" i="6"/>
  <c r="J73" i="6"/>
  <c r="I73" i="6"/>
  <c r="H73" i="6"/>
  <c r="S72" i="6"/>
  <c r="R72" i="6"/>
  <c r="M72" i="6"/>
  <c r="L72" i="6"/>
  <c r="K72" i="6"/>
  <c r="J72" i="6"/>
  <c r="I72" i="6"/>
  <c r="H72" i="6"/>
  <c r="S71" i="6"/>
  <c r="R71" i="6"/>
  <c r="M71" i="6"/>
  <c r="L71" i="6"/>
  <c r="K71" i="6"/>
  <c r="J71" i="6"/>
  <c r="I71" i="6"/>
  <c r="H71" i="6"/>
  <c r="S70" i="6"/>
  <c r="R70" i="6"/>
  <c r="M70" i="6"/>
  <c r="L70" i="6"/>
  <c r="K70" i="6"/>
  <c r="J70" i="6"/>
  <c r="I70" i="6"/>
  <c r="H70" i="6"/>
  <c r="S69" i="6"/>
  <c r="R69" i="6"/>
  <c r="M69" i="6"/>
  <c r="L69" i="6"/>
  <c r="K69" i="6"/>
  <c r="J69" i="6"/>
  <c r="I69" i="6"/>
  <c r="H69" i="6"/>
  <c r="S68" i="6"/>
  <c r="R68" i="6"/>
  <c r="M68" i="6"/>
  <c r="L68" i="6"/>
  <c r="K68" i="6"/>
  <c r="J68" i="6"/>
  <c r="I68" i="6"/>
  <c r="H68" i="6"/>
  <c r="S67" i="6"/>
  <c r="R67" i="6"/>
  <c r="M67" i="6"/>
  <c r="L67" i="6"/>
  <c r="K67" i="6"/>
  <c r="J67" i="6"/>
  <c r="I67" i="6"/>
  <c r="H67" i="6"/>
  <c r="S66" i="6"/>
  <c r="R66" i="6"/>
  <c r="M66" i="6"/>
  <c r="L66" i="6"/>
  <c r="K66" i="6"/>
  <c r="J66" i="6"/>
  <c r="I66" i="6"/>
  <c r="H66" i="6"/>
  <c r="S65" i="6"/>
  <c r="R65" i="6"/>
  <c r="M65" i="6"/>
  <c r="L65" i="6"/>
  <c r="K65" i="6"/>
  <c r="J65" i="6"/>
  <c r="I65" i="6"/>
  <c r="H65" i="6"/>
  <c r="S64" i="6"/>
  <c r="R64" i="6"/>
  <c r="M64" i="6"/>
  <c r="L64" i="6"/>
  <c r="K64" i="6"/>
  <c r="J64" i="6"/>
  <c r="I64" i="6"/>
  <c r="H64" i="6"/>
  <c r="S63" i="6"/>
  <c r="R63" i="6"/>
  <c r="M63" i="6"/>
  <c r="L63" i="6"/>
  <c r="K63" i="6"/>
  <c r="J63" i="6"/>
  <c r="I63" i="6"/>
  <c r="H63" i="6"/>
  <c r="S62" i="6"/>
  <c r="R62" i="6"/>
  <c r="M62" i="6"/>
  <c r="L62" i="6"/>
  <c r="K62" i="6"/>
  <c r="J62" i="6"/>
  <c r="I62" i="6"/>
  <c r="H62" i="6"/>
  <c r="S61" i="6"/>
  <c r="R61" i="6"/>
  <c r="M61" i="6"/>
  <c r="L61" i="6"/>
  <c r="K61" i="6"/>
  <c r="J61" i="6"/>
  <c r="I61" i="6"/>
  <c r="H61" i="6"/>
  <c r="S60" i="6"/>
  <c r="R60" i="6"/>
  <c r="M60" i="6"/>
  <c r="L60" i="6"/>
  <c r="K60" i="6"/>
  <c r="J60" i="6"/>
  <c r="I60" i="6"/>
  <c r="H60" i="6"/>
  <c r="S59" i="6"/>
  <c r="R59" i="6"/>
  <c r="M59" i="6"/>
  <c r="L59" i="6"/>
  <c r="K59" i="6"/>
  <c r="J59" i="6"/>
  <c r="I59" i="6"/>
  <c r="H59" i="6"/>
  <c r="S58" i="6"/>
  <c r="R58" i="6"/>
  <c r="M58" i="6"/>
  <c r="L58" i="6"/>
  <c r="K58" i="6"/>
  <c r="J58" i="6"/>
  <c r="I58" i="6"/>
  <c r="H58" i="6"/>
  <c r="S57" i="6"/>
  <c r="R57" i="6"/>
  <c r="M57" i="6"/>
  <c r="L57" i="6"/>
  <c r="K57" i="6"/>
  <c r="J57" i="6"/>
  <c r="I57" i="6"/>
  <c r="H57" i="6"/>
  <c r="S56" i="6"/>
  <c r="R56" i="6"/>
  <c r="M56" i="6"/>
  <c r="L56" i="6"/>
  <c r="K56" i="6"/>
  <c r="J56" i="6"/>
  <c r="I56" i="6"/>
  <c r="H56" i="6"/>
  <c r="S55" i="6"/>
  <c r="R55" i="6"/>
  <c r="M55" i="6"/>
  <c r="L55" i="6"/>
  <c r="K55" i="6"/>
  <c r="J55" i="6"/>
  <c r="I55" i="6"/>
  <c r="H55" i="6"/>
  <c r="S54" i="6"/>
  <c r="R54" i="6"/>
  <c r="M54" i="6"/>
  <c r="L54" i="6"/>
  <c r="K54" i="6"/>
  <c r="J54" i="6"/>
  <c r="I54" i="6"/>
  <c r="H54" i="6"/>
  <c r="S53" i="6"/>
  <c r="R53" i="6"/>
  <c r="M53" i="6"/>
  <c r="L53" i="6"/>
  <c r="K53" i="6"/>
  <c r="J53" i="6"/>
  <c r="I53" i="6"/>
  <c r="H53" i="6"/>
  <c r="S52" i="6"/>
  <c r="R52" i="6"/>
  <c r="M52" i="6"/>
  <c r="L52" i="6"/>
  <c r="K52" i="6"/>
  <c r="J52" i="6"/>
  <c r="I52" i="6"/>
  <c r="H52" i="6"/>
  <c r="S51" i="6"/>
  <c r="R51" i="6"/>
  <c r="M51" i="6"/>
  <c r="L51" i="6"/>
  <c r="K51" i="6"/>
  <c r="J51" i="6"/>
  <c r="I51" i="6"/>
  <c r="H51" i="6"/>
  <c r="S50" i="6"/>
  <c r="R50" i="6"/>
  <c r="M50" i="6"/>
  <c r="L50" i="6"/>
  <c r="K50" i="6"/>
  <c r="J50" i="6"/>
  <c r="I50" i="6"/>
  <c r="H50" i="6"/>
  <c r="S49" i="6"/>
  <c r="R49" i="6"/>
  <c r="M49" i="6"/>
  <c r="L49" i="6"/>
  <c r="K49" i="6"/>
  <c r="J49" i="6"/>
  <c r="I49" i="6"/>
  <c r="H49" i="6"/>
  <c r="S48" i="6"/>
  <c r="R48" i="6"/>
  <c r="M48" i="6"/>
  <c r="L48" i="6"/>
  <c r="K48" i="6"/>
  <c r="J48" i="6"/>
  <c r="I48" i="6"/>
  <c r="H48" i="6"/>
  <c r="S47" i="6"/>
  <c r="R47" i="6"/>
  <c r="M47" i="6"/>
  <c r="L47" i="6"/>
  <c r="K47" i="6"/>
  <c r="J47" i="6"/>
  <c r="I47" i="6"/>
  <c r="H47" i="6"/>
  <c r="S46" i="6"/>
  <c r="R46" i="6"/>
  <c r="M46" i="6"/>
  <c r="L46" i="6"/>
  <c r="K46" i="6"/>
  <c r="J46" i="6"/>
  <c r="I46" i="6"/>
  <c r="H46" i="6"/>
  <c r="S45" i="6"/>
  <c r="R45" i="6"/>
  <c r="M45" i="6"/>
  <c r="L45" i="6"/>
  <c r="K45" i="6"/>
  <c r="J45" i="6"/>
  <c r="I45" i="6"/>
  <c r="H45" i="6"/>
  <c r="S44" i="6"/>
  <c r="R44" i="6"/>
  <c r="M44" i="6"/>
  <c r="L44" i="6"/>
  <c r="K44" i="6"/>
  <c r="J44" i="6"/>
  <c r="I44" i="6"/>
  <c r="H44" i="6"/>
  <c r="S43" i="6"/>
  <c r="R43" i="6"/>
  <c r="M43" i="6"/>
  <c r="L43" i="6"/>
  <c r="K43" i="6"/>
  <c r="J43" i="6"/>
  <c r="I43" i="6"/>
  <c r="H43" i="6"/>
  <c r="S42" i="6"/>
  <c r="R42" i="6"/>
  <c r="M42" i="6"/>
  <c r="L42" i="6"/>
  <c r="K42" i="6"/>
  <c r="J42" i="6"/>
  <c r="I42" i="6"/>
  <c r="H42" i="6"/>
  <c r="S41" i="6"/>
  <c r="R41" i="6"/>
  <c r="M41" i="6"/>
  <c r="L41" i="6"/>
  <c r="K41" i="6"/>
  <c r="J41" i="6"/>
  <c r="I41" i="6"/>
  <c r="H41" i="6"/>
  <c r="S40" i="6"/>
  <c r="R40" i="6"/>
  <c r="M40" i="6"/>
  <c r="L40" i="6"/>
  <c r="K40" i="6"/>
  <c r="J40" i="6"/>
  <c r="I40" i="6"/>
  <c r="H40" i="6"/>
  <c r="S39" i="6"/>
  <c r="R39" i="6"/>
  <c r="M39" i="6"/>
  <c r="L39" i="6"/>
  <c r="K39" i="6"/>
  <c r="J39" i="6"/>
  <c r="I39" i="6"/>
  <c r="H39" i="6"/>
  <c r="S38" i="6"/>
  <c r="R38" i="6"/>
  <c r="M38" i="6"/>
  <c r="L38" i="6"/>
  <c r="K38" i="6"/>
  <c r="J38" i="6"/>
  <c r="I38" i="6"/>
  <c r="H38" i="6"/>
  <c r="S37" i="6"/>
  <c r="R37" i="6"/>
  <c r="M37" i="6"/>
  <c r="L37" i="6"/>
  <c r="K37" i="6"/>
  <c r="J37" i="6"/>
  <c r="I37" i="6"/>
  <c r="H37" i="6"/>
  <c r="S36" i="6"/>
  <c r="R36" i="6"/>
  <c r="M36" i="6"/>
  <c r="L36" i="6"/>
  <c r="K36" i="6"/>
  <c r="J36" i="6"/>
  <c r="I36" i="6"/>
  <c r="H36" i="6"/>
  <c r="S35" i="6"/>
  <c r="R35" i="6"/>
  <c r="M35" i="6"/>
  <c r="L35" i="6"/>
  <c r="K35" i="6"/>
  <c r="J35" i="6"/>
  <c r="I35" i="6"/>
  <c r="H35" i="6"/>
  <c r="S34" i="6"/>
  <c r="R34" i="6"/>
  <c r="M34" i="6"/>
  <c r="L34" i="6"/>
  <c r="K34" i="6"/>
  <c r="J34" i="6"/>
  <c r="I34" i="6"/>
  <c r="H34" i="6"/>
  <c r="S33" i="6"/>
  <c r="R33" i="6"/>
  <c r="M33" i="6"/>
  <c r="L33" i="6"/>
  <c r="K33" i="6"/>
  <c r="J33" i="6"/>
  <c r="I33" i="6"/>
  <c r="H33" i="6"/>
  <c r="S32" i="6"/>
  <c r="R32" i="6"/>
  <c r="M32" i="6"/>
  <c r="L32" i="6"/>
  <c r="K32" i="6"/>
  <c r="J32" i="6"/>
  <c r="I32" i="6"/>
  <c r="H32" i="6"/>
  <c r="S31" i="6"/>
  <c r="R31" i="6"/>
  <c r="M31" i="6"/>
  <c r="L31" i="6"/>
  <c r="K31" i="6"/>
  <c r="J31" i="6"/>
  <c r="I31" i="6"/>
  <c r="H31" i="6"/>
  <c r="S30" i="6"/>
  <c r="R30" i="6"/>
  <c r="M30" i="6"/>
  <c r="L30" i="6"/>
  <c r="K30" i="6"/>
  <c r="J30" i="6"/>
  <c r="I30" i="6"/>
  <c r="H30" i="6"/>
  <c r="S29" i="6"/>
  <c r="R29" i="6"/>
  <c r="M29" i="6"/>
  <c r="L29" i="6"/>
  <c r="K29" i="6"/>
  <c r="J29" i="6"/>
  <c r="I29" i="6"/>
  <c r="H29" i="6"/>
  <c r="S28" i="6"/>
  <c r="R28" i="6"/>
  <c r="M28" i="6"/>
  <c r="L28" i="6"/>
  <c r="K28" i="6"/>
  <c r="J28" i="6"/>
  <c r="I28" i="6"/>
  <c r="H28" i="6"/>
  <c r="R27" i="6"/>
  <c r="J27" i="6"/>
  <c r="I27" i="6"/>
  <c r="H27" i="6"/>
  <c r="H26" i="6"/>
  <c r="I26" i="6"/>
  <c r="J26" i="6" s="1"/>
  <c r="R26" i="6" s="1"/>
  <c r="I25" i="6"/>
  <c r="J25" i="6" s="1"/>
  <c r="R25" i="6" s="1"/>
  <c r="H25" i="6"/>
  <c r="I24" i="6"/>
  <c r="J24" i="6" s="1"/>
  <c r="R24" i="6" s="1"/>
  <c r="H24" i="6"/>
  <c r="I23" i="6"/>
  <c r="J23" i="6" s="1"/>
  <c r="R23" i="6" s="1"/>
  <c r="H23" i="6"/>
  <c r="I22" i="6"/>
  <c r="J22" i="6" s="1"/>
  <c r="R22" i="6" s="1"/>
  <c r="H22" i="6"/>
  <c r="I21" i="6"/>
  <c r="J21" i="6" s="1"/>
  <c r="R21" i="6" s="1"/>
  <c r="H21" i="6"/>
  <c r="I20" i="6"/>
  <c r="J20" i="6" s="1"/>
  <c r="R20" i="6" s="1"/>
  <c r="H20" i="6"/>
  <c r="I19" i="6"/>
  <c r="J19" i="6" s="1"/>
  <c r="R19" i="6" s="1"/>
  <c r="H19" i="6"/>
  <c r="I18" i="6"/>
  <c r="J18" i="6" s="1"/>
  <c r="R18" i="6" s="1"/>
  <c r="H18" i="6"/>
  <c r="I17" i="6"/>
  <c r="J17" i="6" s="1"/>
  <c r="R17" i="6" s="1"/>
  <c r="H17" i="6"/>
  <c r="I16" i="6"/>
  <c r="J16" i="6" s="1"/>
  <c r="R16" i="6" s="1"/>
  <c r="H16" i="6"/>
  <c r="I15" i="6"/>
  <c r="J15" i="6" s="1"/>
  <c r="R15" i="6" s="1"/>
  <c r="H15" i="6"/>
  <c r="I14" i="6"/>
  <c r="J14" i="6" s="1"/>
  <c r="R14" i="6" s="1"/>
  <c r="H14" i="6"/>
  <c r="H13" i="6"/>
  <c r="I13" i="6"/>
  <c r="H12" i="6"/>
  <c r="I12" i="6"/>
  <c r="I11" i="6"/>
  <c r="H11" i="6"/>
  <c r="H10" i="6"/>
  <c r="I10" i="6"/>
  <c r="H9" i="6"/>
  <c r="I9" i="6"/>
  <c r="I8" i="6"/>
  <c r="J8" i="6" s="1"/>
  <c r="R8" i="6" s="1"/>
  <c r="H8" i="6"/>
  <c r="I7" i="6"/>
  <c r="H7" i="6"/>
  <c r="K7" i="6" s="1"/>
  <c r="K8" i="6" s="1"/>
  <c r="K9" i="6" s="1"/>
  <c r="K10" i="6" s="1"/>
  <c r="G26" i="5"/>
  <c r="G13" i="5"/>
  <c r="G12" i="5"/>
  <c r="G10" i="5"/>
  <c r="G9" i="5"/>
  <c r="J10" i="6" l="1"/>
  <c r="R10" i="6" s="1"/>
  <c r="J12" i="6"/>
  <c r="R12" i="6" s="1"/>
  <c r="M9" i="18"/>
  <c r="S9" i="18" s="1"/>
  <c r="L10" i="18"/>
  <c r="K44" i="19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L8" i="8"/>
  <c r="J9" i="6"/>
  <c r="R9" i="6" s="1"/>
  <c r="J13" i="6"/>
  <c r="R13" i="6" s="1"/>
  <c r="M43" i="21"/>
  <c r="S43" i="21" s="1"/>
  <c r="L44" i="21"/>
  <c r="L48" i="20"/>
  <c r="M47" i="20"/>
  <c r="S47" i="20" s="1"/>
  <c r="L10" i="19"/>
  <c r="M9" i="19"/>
  <c r="S9" i="19" s="1"/>
  <c r="M7" i="17"/>
  <c r="S7" i="17" s="1"/>
  <c r="L8" i="17"/>
  <c r="M7" i="16"/>
  <c r="S7" i="16" s="1"/>
  <c r="L8" i="16"/>
  <c r="L9" i="15"/>
  <c r="M8" i="15"/>
  <c r="S8" i="15" s="1"/>
  <c r="M8" i="14"/>
  <c r="S8" i="14" s="1"/>
  <c r="L9" i="14"/>
  <c r="M8" i="13"/>
  <c r="S8" i="13" s="1"/>
  <c r="L9" i="13"/>
  <c r="L9" i="12"/>
  <c r="M8" i="12"/>
  <c r="S8" i="12" s="1"/>
  <c r="M8" i="11"/>
  <c r="S8" i="11" s="1"/>
  <c r="L9" i="11"/>
  <c r="M8" i="10"/>
  <c r="S8" i="10" s="1"/>
  <c r="L9" i="10"/>
  <c r="M8" i="9"/>
  <c r="S8" i="9" s="1"/>
  <c r="L9" i="9"/>
  <c r="M8" i="8"/>
  <c r="S8" i="8" s="1"/>
  <c r="L9" i="8"/>
  <c r="L9" i="7"/>
  <c r="M8" i="7"/>
  <c r="S8" i="7" s="1"/>
  <c r="K11" i="6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J11" i="6"/>
  <c r="R11" i="6" s="1"/>
  <c r="J7" i="6"/>
  <c r="R7" i="6" s="1"/>
  <c r="L7" i="6"/>
  <c r="S112" i="5"/>
  <c r="R112" i="5"/>
  <c r="M112" i="5"/>
  <c r="L112" i="5"/>
  <c r="K112" i="5"/>
  <c r="J112" i="5"/>
  <c r="I112" i="5"/>
  <c r="H112" i="5"/>
  <c r="S111" i="5"/>
  <c r="R111" i="5"/>
  <c r="M111" i="5"/>
  <c r="L111" i="5"/>
  <c r="K111" i="5"/>
  <c r="J111" i="5"/>
  <c r="I111" i="5"/>
  <c r="H111" i="5"/>
  <c r="S110" i="5"/>
  <c r="R110" i="5"/>
  <c r="M110" i="5"/>
  <c r="L110" i="5"/>
  <c r="K110" i="5"/>
  <c r="J110" i="5"/>
  <c r="I110" i="5"/>
  <c r="H110" i="5"/>
  <c r="S109" i="5"/>
  <c r="R109" i="5"/>
  <c r="M109" i="5"/>
  <c r="L109" i="5"/>
  <c r="K109" i="5"/>
  <c r="J109" i="5"/>
  <c r="I109" i="5"/>
  <c r="H109" i="5"/>
  <c r="S108" i="5"/>
  <c r="R108" i="5"/>
  <c r="M108" i="5"/>
  <c r="L108" i="5"/>
  <c r="K108" i="5"/>
  <c r="J108" i="5"/>
  <c r="I108" i="5"/>
  <c r="H108" i="5"/>
  <c r="S107" i="5"/>
  <c r="R107" i="5"/>
  <c r="M107" i="5"/>
  <c r="L107" i="5"/>
  <c r="K107" i="5"/>
  <c r="J107" i="5"/>
  <c r="I107" i="5"/>
  <c r="H107" i="5"/>
  <c r="S106" i="5"/>
  <c r="R106" i="5"/>
  <c r="M106" i="5"/>
  <c r="L106" i="5"/>
  <c r="K106" i="5"/>
  <c r="J106" i="5"/>
  <c r="I106" i="5"/>
  <c r="H106" i="5"/>
  <c r="S105" i="5"/>
  <c r="R105" i="5"/>
  <c r="M105" i="5"/>
  <c r="L105" i="5"/>
  <c r="K105" i="5"/>
  <c r="J105" i="5"/>
  <c r="I105" i="5"/>
  <c r="H105" i="5"/>
  <c r="S104" i="5"/>
  <c r="R104" i="5"/>
  <c r="M104" i="5"/>
  <c r="L104" i="5"/>
  <c r="K104" i="5"/>
  <c r="J104" i="5"/>
  <c r="I104" i="5"/>
  <c r="H104" i="5"/>
  <c r="S103" i="5"/>
  <c r="R103" i="5"/>
  <c r="M103" i="5"/>
  <c r="L103" i="5"/>
  <c r="K103" i="5"/>
  <c r="J103" i="5"/>
  <c r="I103" i="5"/>
  <c r="H103" i="5"/>
  <c r="S102" i="5"/>
  <c r="R102" i="5"/>
  <c r="M102" i="5"/>
  <c r="L102" i="5"/>
  <c r="K102" i="5"/>
  <c r="J102" i="5"/>
  <c r="I102" i="5"/>
  <c r="H102" i="5"/>
  <c r="S101" i="5"/>
  <c r="R101" i="5"/>
  <c r="M101" i="5"/>
  <c r="L101" i="5"/>
  <c r="K101" i="5"/>
  <c r="J101" i="5"/>
  <c r="I101" i="5"/>
  <c r="H101" i="5"/>
  <c r="S100" i="5"/>
  <c r="R100" i="5"/>
  <c r="M100" i="5"/>
  <c r="L100" i="5"/>
  <c r="K100" i="5"/>
  <c r="J100" i="5"/>
  <c r="I100" i="5"/>
  <c r="H100" i="5"/>
  <c r="S99" i="5"/>
  <c r="R99" i="5"/>
  <c r="M99" i="5"/>
  <c r="L99" i="5"/>
  <c r="K99" i="5"/>
  <c r="J99" i="5"/>
  <c r="I99" i="5"/>
  <c r="H99" i="5"/>
  <c r="S98" i="5"/>
  <c r="R98" i="5"/>
  <c r="M98" i="5"/>
  <c r="L98" i="5"/>
  <c r="K98" i="5"/>
  <c r="J98" i="5"/>
  <c r="I98" i="5"/>
  <c r="H98" i="5"/>
  <c r="S97" i="5"/>
  <c r="R97" i="5"/>
  <c r="M97" i="5"/>
  <c r="L97" i="5"/>
  <c r="K97" i="5"/>
  <c r="J97" i="5"/>
  <c r="I97" i="5"/>
  <c r="H97" i="5"/>
  <c r="S96" i="5"/>
  <c r="R96" i="5"/>
  <c r="M96" i="5"/>
  <c r="L96" i="5"/>
  <c r="K96" i="5"/>
  <c r="J96" i="5"/>
  <c r="I96" i="5"/>
  <c r="H96" i="5"/>
  <c r="S95" i="5"/>
  <c r="R95" i="5"/>
  <c r="M95" i="5"/>
  <c r="L95" i="5"/>
  <c r="K95" i="5"/>
  <c r="J95" i="5"/>
  <c r="I95" i="5"/>
  <c r="H95" i="5"/>
  <c r="S94" i="5"/>
  <c r="R94" i="5"/>
  <c r="M94" i="5"/>
  <c r="L94" i="5"/>
  <c r="K94" i="5"/>
  <c r="J94" i="5"/>
  <c r="I94" i="5"/>
  <c r="H94" i="5"/>
  <c r="S93" i="5"/>
  <c r="R93" i="5"/>
  <c r="M93" i="5"/>
  <c r="L93" i="5"/>
  <c r="K93" i="5"/>
  <c r="J93" i="5"/>
  <c r="I93" i="5"/>
  <c r="H93" i="5"/>
  <c r="S92" i="5"/>
  <c r="R92" i="5"/>
  <c r="M92" i="5"/>
  <c r="L92" i="5"/>
  <c r="K92" i="5"/>
  <c r="J92" i="5"/>
  <c r="I92" i="5"/>
  <c r="H92" i="5"/>
  <c r="S91" i="5"/>
  <c r="R91" i="5"/>
  <c r="M91" i="5"/>
  <c r="L91" i="5"/>
  <c r="K91" i="5"/>
  <c r="J91" i="5"/>
  <c r="I91" i="5"/>
  <c r="H91" i="5"/>
  <c r="S90" i="5"/>
  <c r="R90" i="5"/>
  <c r="M90" i="5"/>
  <c r="L90" i="5"/>
  <c r="K90" i="5"/>
  <c r="J90" i="5"/>
  <c r="I90" i="5"/>
  <c r="H90" i="5"/>
  <c r="S89" i="5"/>
  <c r="R89" i="5"/>
  <c r="M89" i="5"/>
  <c r="L89" i="5"/>
  <c r="K89" i="5"/>
  <c r="J89" i="5"/>
  <c r="I89" i="5"/>
  <c r="H89" i="5"/>
  <c r="S88" i="5"/>
  <c r="R88" i="5"/>
  <c r="M88" i="5"/>
  <c r="L88" i="5"/>
  <c r="K88" i="5"/>
  <c r="J88" i="5"/>
  <c r="I88" i="5"/>
  <c r="H88" i="5"/>
  <c r="S87" i="5"/>
  <c r="R87" i="5"/>
  <c r="M87" i="5"/>
  <c r="L87" i="5"/>
  <c r="K87" i="5"/>
  <c r="J87" i="5"/>
  <c r="I87" i="5"/>
  <c r="H87" i="5"/>
  <c r="S86" i="5"/>
  <c r="R86" i="5"/>
  <c r="M86" i="5"/>
  <c r="L86" i="5"/>
  <c r="K86" i="5"/>
  <c r="J86" i="5"/>
  <c r="I86" i="5"/>
  <c r="H86" i="5"/>
  <c r="S85" i="5"/>
  <c r="R85" i="5"/>
  <c r="M85" i="5"/>
  <c r="L85" i="5"/>
  <c r="K85" i="5"/>
  <c r="J85" i="5"/>
  <c r="I85" i="5"/>
  <c r="H85" i="5"/>
  <c r="S84" i="5"/>
  <c r="R84" i="5"/>
  <c r="M84" i="5"/>
  <c r="L84" i="5"/>
  <c r="K84" i="5"/>
  <c r="J84" i="5"/>
  <c r="I84" i="5"/>
  <c r="H84" i="5"/>
  <c r="S83" i="5"/>
  <c r="R83" i="5"/>
  <c r="M83" i="5"/>
  <c r="L83" i="5"/>
  <c r="K83" i="5"/>
  <c r="J83" i="5"/>
  <c r="I83" i="5"/>
  <c r="H83" i="5"/>
  <c r="S82" i="5"/>
  <c r="R82" i="5"/>
  <c r="M82" i="5"/>
  <c r="L82" i="5"/>
  <c r="K82" i="5"/>
  <c r="J82" i="5"/>
  <c r="I82" i="5"/>
  <c r="H82" i="5"/>
  <c r="S81" i="5"/>
  <c r="R81" i="5"/>
  <c r="M81" i="5"/>
  <c r="L81" i="5"/>
  <c r="K81" i="5"/>
  <c r="J81" i="5"/>
  <c r="I81" i="5"/>
  <c r="H81" i="5"/>
  <c r="S80" i="5"/>
  <c r="R80" i="5"/>
  <c r="M80" i="5"/>
  <c r="L80" i="5"/>
  <c r="K80" i="5"/>
  <c r="J80" i="5"/>
  <c r="I80" i="5"/>
  <c r="H80" i="5"/>
  <c r="S79" i="5"/>
  <c r="R79" i="5"/>
  <c r="M79" i="5"/>
  <c r="L79" i="5"/>
  <c r="K79" i="5"/>
  <c r="J79" i="5"/>
  <c r="I79" i="5"/>
  <c r="H79" i="5"/>
  <c r="S78" i="5"/>
  <c r="R78" i="5"/>
  <c r="M78" i="5"/>
  <c r="L78" i="5"/>
  <c r="K78" i="5"/>
  <c r="J78" i="5"/>
  <c r="I78" i="5"/>
  <c r="H78" i="5"/>
  <c r="S77" i="5"/>
  <c r="R77" i="5"/>
  <c r="M77" i="5"/>
  <c r="L77" i="5"/>
  <c r="K77" i="5"/>
  <c r="J77" i="5"/>
  <c r="I77" i="5"/>
  <c r="H77" i="5"/>
  <c r="S76" i="5"/>
  <c r="R76" i="5"/>
  <c r="M76" i="5"/>
  <c r="L76" i="5"/>
  <c r="K76" i="5"/>
  <c r="J76" i="5"/>
  <c r="I76" i="5"/>
  <c r="H76" i="5"/>
  <c r="S75" i="5"/>
  <c r="R75" i="5"/>
  <c r="M75" i="5"/>
  <c r="L75" i="5"/>
  <c r="K75" i="5"/>
  <c r="J75" i="5"/>
  <c r="I75" i="5"/>
  <c r="H75" i="5"/>
  <c r="S74" i="5"/>
  <c r="R74" i="5"/>
  <c r="M74" i="5"/>
  <c r="L74" i="5"/>
  <c r="K74" i="5"/>
  <c r="J74" i="5"/>
  <c r="I74" i="5"/>
  <c r="H74" i="5"/>
  <c r="S73" i="5"/>
  <c r="R73" i="5"/>
  <c r="M73" i="5"/>
  <c r="L73" i="5"/>
  <c r="K73" i="5"/>
  <c r="J73" i="5"/>
  <c r="I73" i="5"/>
  <c r="H73" i="5"/>
  <c r="S72" i="5"/>
  <c r="R72" i="5"/>
  <c r="M72" i="5"/>
  <c r="L72" i="5"/>
  <c r="K72" i="5"/>
  <c r="J72" i="5"/>
  <c r="I72" i="5"/>
  <c r="H72" i="5"/>
  <c r="S71" i="5"/>
  <c r="R71" i="5"/>
  <c r="M71" i="5"/>
  <c r="L71" i="5"/>
  <c r="K71" i="5"/>
  <c r="J71" i="5"/>
  <c r="I71" i="5"/>
  <c r="H71" i="5"/>
  <c r="S70" i="5"/>
  <c r="R70" i="5"/>
  <c r="M70" i="5"/>
  <c r="L70" i="5"/>
  <c r="K70" i="5"/>
  <c r="J70" i="5"/>
  <c r="I70" i="5"/>
  <c r="H70" i="5"/>
  <c r="S69" i="5"/>
  <c r="R69" i="5"/>
  <c r="M69" i="5"/>
  <c r="L69" i="5"/>
  <c r="K69" i="5"/>
  <c r="J69" i="5"/>
  <c r="I69" i="5"/>
  <c r="H69" i="5"/>
  <c r="S68" i="5"/>
  <c r="R68" i="5"/>
  <c r="M68" i="5"/>
  <c r="L68" i="5"/>
  <c r="K68" i="5"/>
  <c r="J68" i="5"/>
  <c r="I68" i="5"/>
  <c r="H68" i="5"/>
  <c r="S67" i="5"/>
  <c r="R67" i="5"/>
  <c r="M67" i="5"/>
  <c r="L67" i="5"/>
  <c r="K67" i="5"/>
  <c r="J67" i="5"/>
  <c r="I67" i="5"/>
  <c r="H67" i="5"/>
  <c r="S66" i="5"/>
  <c r="R66" i="5"/>
  <c r="M66" i="5"/>
  <c r="L66" i="5"/>
  <c r="K66" i="5"/>
  <c r="J66" i="5"/>
  <c r="I66" i="5"/>
  <c r="H66" i="5"/>
  <c r="S65" i="5"/>
  <c r="R65" i="5"/>
  <c r="M65" i="5"/>
  <c r="L65" i="5"/>
  <c r="K65" i="5"/>
  <c r="J65" i="5"/>
  <c r="I65" i="5"/>
  <c r="H65" i="5"/>
  <c r="S64" i="5"/>
  <c r="R64" i="5"/>
  <c r="M64" i="5"/>
  <c r="L64" i="5"/>
  <c r="K64" i="5"/>
  <c r="J64" i="5"/>
  <c r="I64" i="5"/>
  <c r="H64" i="5"/>
  <c r="S63" i="5"/>
  <c r="R63" i="5"/>
  <c r="M63" i="5"/>
  <c r="L63" i="5"/>
  <c r="K63" i="5"/>
  <c r="J63" i="5"/>
  <c r="I63" i="5"/>
  <c r="H63" i="5"/>
  <c r="S62" i="5"/>
  <c r="R62" i="5"/>
  <c r="M62" i="5"/>
  <c r="L62" i="5"/>
  <c r="K62" i="5"/>
  <c r="J62" i="5"/>
  <c r="I62" i="5"/>
  <c r="H62" i="5"/>
  <c r="S61" i="5"/>
  <c r="R61" i="5"/>
  <c r="M61" i="5"/>
  <c r="L61" i="5"/>
  <c r="K61" i="5"/>
  <c r="J61" i="5"/>
  <c r="I61" i="5"/>
  <c r="H61" i="5"/>
  <c r="S60" i="5"/>
  <c r="R60" i="5"/>
  <c r="M60" i="5"/>
  <c r="L60" i="5"/>
  <c r="K60" i="5"/>
  <c r="J60" i="5"/>
  <c r="I60" i="5"/>
  <c r="H60" i="5"/>
  <c r="S59" i="5"/>
  <c r="R59" i="5"/>
  <c r="M59" i="5"/>
  <c r="L59" i="5"/>
  <c r="K59" i="5"/>
  <c r="J59" i="5"/>
  <c r="I59" i="5"/>
  <c r="H59" i="5"/>
  <c r="S58" i="5"/>
  <c r="R58" i="5"/>
  <c r="M58" i="5"/>
  <c r="L58" i="5"/>
  <c r="K58" i="5"/>
  <c r="J58" i="5"/>
  <c r="I58" i="5"/>
  <c r="H58" i="5"/>
  <c r="S57" i="5"/>
  <c r="R57" i="5"/>
  <c r="M57" i="5"/>
  <c r="L57" i="5"/>
  <c r="K57" i="5"/>
  <c r="J57" i="5"/>
  <c r="I57" i="5"/>
  <c r="H57" i="5"/>
  <c r="S56" i="5"/>
  <c r="R56" i="5"/>
  <c r="M56" i="5"/>
  <c r="L56" i="5"/>
  <c r="K56" i="5"/>
  <c r="J56" i="5"/>
  <c r="I56" i="5"/>
  <c r="H56" i="5"/>
  <c r="S55" i="5"/>
  <c r="R55" i="5"/>
  <c r="M55" i="5"/>
  <c r="L55" i="5"/>
  <c r="K55" i="5"/>
  <c r="J55" i="5"/>
  <c r="I55" i="5"/>
  <c r="H55" i="5"/>
  <c r="S54" i="5"/>
  <c r="R54" i="5"/>
  <c r="M54" i="5"/>
  <c r="L54" i="5"/>
  <c r="K54" i="5"/>
  <c r="J54" i="5"/>
  <c r="I54" i="5"/>
  <c r="H54" i="5"/>
  <c r="S53" i="5"/>
  <c r="R53" i="5"/>
  <c r="M53" i="5"/>
  <c r="L53" i="5"/>
  <c r="K53" i="5"/>
  <c r="J53" i="5"/>
  <c r="I53" i="5"/>
  <c r="H53" i="5"/>
  <c r="S52" i="5"/>
  <c r="R52" i="5"/>
  <c r="M52" i="5"/>
  <c r="L52" i="5"/>
  <c r="K52" i="5"/>
  <c r="J52" i="5"/>
  <c r="I52" i="5"/>
  <c r="H52" i="5"/>
  <c r="S51" i="5"/>
  <c r="R51" i="5"/>
  <c r="M51" i="5"/>
  <c r="L51" i="5"/>
  <c r="K51" i="5"/>
  <c r="J51" i="5"/>
  <c r="I51" i="5"/>
  <c r="H51" i="5"/>
  <c r="S50" i="5"/>
  <c r="R50" i="5"/>
  <c r="M50" i="5"/>
  <c r="L50" i="5"/>
  <c r="K50" i="5"/>
  <c r="J50" i="5"/>
  <c r="I50" i="5"/>
  <c r="H50" i="5"/>
  <c r="S49" i="5"/>
  <c r="R49" i="5"/>
  <c r="M49" i="5"/>
  <c r="L49" i="5"/>
  <c r="K49" i="5"/>
  <c r="J49" i="5"/>
  <c r="I49" i="5"/>
  <c r="H49" i="5"/>
  <c r="S48" i="5"/>
  <c r="R48" i="5"/>
  <c r="M48" i="5"/>
  <c r="L48" i="5"/>
  <c r="K48" i="5"/>
  <c r="J48" i="5"/>
  <c r="I48" i="5"/>
  <c r="H48" i="5"/>
  <c r="S47" i="5"/>
  <c r="R47" i="5"/>
  <c r="M47" i="5"/>
  <c r="L47" i="5"/>
  <c r="K47" i="5"/>
  <c r="J47" i="5"/>
  <c r="I47" i="5"/>
  <c r="H47" i="5"/>
  <c r="S46" i="5"/>
  <c r="R46" i="5"/>
  <c r="M46" i="5"/>
  <c r="L46" i="5"/>
  <c r="K46" i="5"/>
  <c r="J46" i="5"/>
  <c r="I46" i="5"/>
  <c r="H46" i="5"/>
  <c r="S45" i="5"/>
  <c r="R45" i="5"/>
  <c r="M45" i="5"/>
  <c r="L45" i="5"/>
  <c r="K45" i="5"/>
  <c r="J45" i="5"/>
  <c r="I45" i="5"/>
  <c r="H45" i="5"/>
  <c r="S44" i="5"/>
  <c r="R44" i="5"/>
  <c r="M44" i="5"/>
  <c r="L44" i="5"/>
  <c r="K44" i="5"/>
  <c r="J44" i="5"/>
  <c r="I44" i="5"/>
  <c r="H44" i="5"/>
  <c r="S43" i="5"/>
  <c r="R43" i="5"/>
  <c r="M43" i="5"/>
  <c r="L43" i="5"/>
  <c r="K43" i="5"/>
  <c r="J43" i="5"/>
  <c r="I43" i="5"/>
  <c r="H43" i="5"/>
  <c r="S42" i="5"/>
  <c r="R42" i="5"/>
  <c r="M42" i="5"/>
  <c r="L42" i="5"/>
  <c r="K42" i="5"/>
  <c r="J42" i="5"/>
  <c r="I42" i="5"/>
  <c r="H42" i="5"/>
  <c r="S41" i="5"/>
  <c r="R41" i="5"/>
  <c r="M41" i="5"/>
  <c r="L41" i="5"/>
  <c r="K41" i="5"/>
  <c r="J41" i="5"/>
  <c r="I41" i="5"/>
  <c r="H41" i="5"/>
  <c r="S40" i="5"/>
  <c r="R40" i="5"/>
  <c r="M40" i="5"/>
  <c r="L40" i="5"/>
  <c r="K40" i="5"/>
  <c r="J40" i="5"/>
  <c r="I40" i="5"/>
  <c r="H40" i="5"/>
  <c r="S39" i="5"/>
  <c r="R39" i="5"/>
  <c r="M39" i="5"/>
  <c r="L39" i="5"/>
  <c r="K39" i="5"/>
  <c r="J39" i="5"/>
  <c r="I39" i="5"/>
  <c r="H39" i="5"/>
  <c r="S38" i="5"/>
  <c r="R38" i="5"/>
  <c r="M38" i="5"/>
  <c r="L38" i="5"/>
  <c r="K38" i="5"/>
  <c r="J38" i="5"/>
  <c r="I38" i="5"/>
  <c r="H38" i="5"/>
  <c r="S37" i="5"/>
  <c r="R37" i="5"/>
  <c r="M37" i="5"/>
  <c r="L37" i="5"/>
  <c r="K37" i="5"/>
  <c r="J37" i="5"/>
  <c r="I37" i="5"/>
  <c r="H37" i="5"/>
  <c r="S36" i="5"/>
  <c r="R36" i="5"/>
  <c r="M36" i="5"/>
  <c r="L36" i="5"/>
  <c r="K36" i="5"/>
  <c r="J36" i="5"/>
  <c r="I36" i="5"/>
  <c r="H36" i="5"/>
  <c r="S35" i="5"/>
  <c r="R35" i="5"/>
  <c r="M35" i="5"/>
  <c r="L35" i="5"/>
  <c r="K35" i="5"/>
  <c r="J35" i="5"/>
  <c r="I35" i="5"/>
  <c r="H35" i="5"/>
  <c r="S34" i="5"/>
  <c r="R34" i="5"/>
  <c r="M34" i="5"/>
  <c r="L34" i="5"/>
  <c r="K34" i="5"/>
  <c r="J34" i="5"/>
  <c r="I34" i="5"/>
  <c r="H34" i="5"/>
  <c r="S33" i="5"/>
  <c r="R33" i="5"/>
  <c r="M33" i="5"/>
  <c r="L33" i="5"/>
  <c r="K33" i="5"/>
  <c r="J33" i="5"/>
  <c r="I33" i="5"/>
  <c r="H33" i="5"/>
  <c r="S32" i="5"/>
  <c r="R32" i="5"/>
  <c r="M32" i="5"/>
  <c r="L32" i="5"/>
  <c r="K32" i="5"/>
  <c r="J32" i="5"/>
  <c r="I32" i="5"/>
  <c r="H32" i="5"/>
  <c r="S31" i="5"/>
  <c r="R31" i="5"/>
  <c r="M31" i="5"/>
  <c r="L31" i="5"/>
  <c r="K31" i="5"/>
  <c r="J31" i="5"/>
  <c r="I31" i="5"/>
  <c r="H31" i="5"/>
  <c r="I30" i="5"/>
  <c r="J30" i="5" s="1"/>
  <c r="R30" i="5" s="1"/>
  <c r="H30" i="5"/>
  <c r="I29" i="5"/>
  <c r="J29" i="5" s="1"/>
  <c r="R29" i="5" s="1"/>
  <c r="H29" i="5"/>
  <c r="I28" i="5"/>
  <c r="J28" i="5" s="1"/>
  <c r="R28" i="5" s="1"/>
  <c r="H28" i="5"/>
  <c r="I27" i="5"/>
  <c r="H27" i="5"/>
  <c r="I26" i="5"/>
  <c r="H26" i="5"/>
  <c r="J26" i="5" s="1"/>
  <c r="R26" i="5" s="1"/>
  <c r="I25" i="5"/>
  <c r="J25" i="5" s="1"/>
  <c r="R25" i="5" s="1"/>
  <c r="H25" i="5"/>
  <c r="I24" i="5"/>
  <c r="H24" i="5"/>
  <c r="I23" i="5"/>
  <c r="J23" i="5" s="1"/>
  <c r="R23" i="5" s="1"/>
  <c r="H23" i="5"/>
  <c r="I22" i="5"/>
  <c r="J22" i="5" s="1"/>
  <c r="R22" i="5" s="1"/>
  <c r="H22" i="5"/>
  <c r="I21" i="5"/>
  <c r="J21" i="5" s="1"/>
  <c r="R21" i="5" s="1"/>
  <c r="H21" i="5"/>
  <c r="I20" i="5"/>
  <c r="H20" i="5"/>
  <c r="I19" i="5"/>
  <c r="J19" i="5" s="1"/>
  <c r="R19" i="5" s="1"/>
  <c r="H19" i="5"/>
  <c r="I18" i="5"/>
  <c r="J18" i="5" s="1"/>
  <c r="R18" i="5" s="1"/>
  <c r="H18" i="5"/>
  <c r="I17" i="5"/>
  <c r="J17" i="5" s="1"/>
  <c r="R17" i="5" s="1"/>
  <c r="H17" i="5"/>
  <c r="I16" i="5"/>
  <c r="J16" i="5" s="1"/>
  <c r="R16" i="5" s="1"/>
  <c r="H16" i="5"/>
  <c r="I15" i="5"/>
  <c r="J15" i="5" s="1"/>
  <c r="R15" i="5" s="1"/>
  <c r="H15" i="5"/>
  <c r="I14" i="5"/>
  <c r="H14" i="5"/>
  <c r="I13" i="5"/>
  <c r="H13" i="5"/>
  <c r="I12" i="5"/>
  <c r="J12" i="5" s="1"/>
  <c r="R12" i="5" s="1"/>
  <c r="H12" i="5"/>
  <c r="I11" i="5"/>
  <c r="J11" i="5" s="1"/>
  <c r="R11" i="5" s="1"/>
  <c r="H11" i="5"/>
  <c r="I10" i="5"/>
  <c r="H10" i="5"/>
  <c r="I9" i="5"/>
  <c r="H9" i="5"/>
  <c r="I8" i="5"/>
  <c r="J8" i="5" s="1"/>
  <c r="R8" i="5" s="1"/>
  <c r="H8" i="5"/>
  <c r="I7" i="5"/>
  <c r="J7" i="5" s="1"/>
  <c r="R7" i="5" s="1"/>
  <c r="H7" i="5"/>
  <c r="K7" i="5" s="1"/>
  <c r="K8" i="5" s="1"/>
  <c r="G28" i="4"/>
  <c r="G27" i="4"/>
  <c r="G18" i="4"/>
  <c r="S112" i="4"/>
  <c r="R112" i="4"/>
  <c r="M112" i="4"/>
  <c r="L112" i="4"/>
  <c r="K112" i="4"/>
  <c r="J112" i="4"/>
  <c r="I112" i="4"/>
  <c r="H112" i="4"/>
  <c r="S111" i="4"/>
  <c r="R111" i="4"/>
  <c r="M111" i="4"/>
  <c r="L111" i="4"/>
  <c r="K111" i="4"/>
  <c r="J111" i="4"/>
  <c r="I111" i="4"/>
  <c r="H111" i="4"/>
  <c r="S110" i="4"/>
  <c r="R110" i="4"/>
  <c r="M110" i="4"/>
  <c r="L110" i="4"/>
  <c r="K110" i="4"/>
  <c r="J110" i="4"/>
  <c r="I110" i="4"/>
  <c r="H110" i="4"/>
  <c r="S109" i="4"/>
  <c r="R109" i="4"/>
  <c r="M109" i="4"/>
  <c r="L109" i="4"/>
  <c r="K109" i="4"/>
  <c r="J109" i="4"/>
  <c r="I109" i="4"/>
  <c r="H109" i="4"/>
  <c r="S108" i="4"/>
  <c r="R108" i="4"/>
  <c r="M108" i="4"/>
  <c r="L108" i="4"/>
  <c r="K108" i="4"/>
  <c r="J108" i="4"/>
  <c r="I108" i="4"/>
  <c r="H108" i="4"/>
  <c r="S107" i="4"/>
  <c r="R107" i="4"/>
  <c r="M107" i="4"/>
  <c r="L107" i="4"/>
  <c r="K107" i="4"/>
  <c r="J107" i="4"/>
  <c r="I107" i="4"/>
  <c r="H107" i="4"/>
  <c r="S106" i="4"/>
  <c r="R106" i="4"/>
  <c r="M106" i="4"/>
  <c r="L106" i="4"/>
  <c r="K106" i="4"/>
  <c r="J106" i="4"/>
  <c r="I106" i="4"/>
  <c r="H106" i="4"/>
  <c r="S105" i="4"/>
  <c r="R105" i="4"/>
  <c r="M105" i="4"/>
  <c r="L105" i="4"/>
  <c r="K105" i="4"/>
  <c r="J105" i="4"/>
  <c r="I105" i="4"/>
  <c r="H105" i="4"/>
  <c r="S104" i="4"/>
  <c r="R104" i="4"/>
  <c r="M104" i="4"/>
  <c r="L104" i="4"/>
  <c r="K104" i="4"/>
  <c r="J104" i="4"/>
  <c r="I104" i="4"/>
  <c r="H104" i="4"/>
  <c r="S103" i="4"/>
  <c r="R103" i="4"/>
  <c r="M103" i="4"/>
  <c r="L103" i="4"/>
  <c r="K103" i="4"/>
  <c r="J103" i="4"/>
  <c r="I103" i="4"/>
  <c r="H103" i="4"/>
  <c r="S102" i="4"/>
  <c r="R102" i="4"/>
  <c r="M102" i="4"/>
  <c r="L102" i="4"/>
  <c r="K102" i="4"/>
  <c r="J102" i="4"/>
  <c r="I102" i="4"/>
  <c r="H102" i="4"/>
  <c r="S101" i="4"/>
  <c r="R101" i="4"/>
  <c r="M101" i="4"/>
  <c r="L101" i="4"/>
  <c r="K101" i="4"/>
  <c r="J101" i="4"/>
  <c r="I101" i="4"/>
  <c r="H101" i="4"/>
  <c r="S100" i="4"/>
  <c r="R100" i="4"/>
  <c r="M100" i="4"/>
  <c r="L100" i="4"/>
  <c r="K100" i="4"/>
  <c r="J100" i="4"/>
  <c r="I100" i="4"/>
  <c r="H100" i="4"/>
  <c r="S99" i="4"/>
  <c r="R99" i="4"/>
  <c r="M99" i="4"/>
  <c r="L99" i="4"/>
  <c r="K99" i="4"/>
  <c r="J99" i="4"/>
  <c r="I99" i="4"/>
  <c r="H99" i="4"/>
  <c r="S98" i="4"/>
  <c r="R98" i="4"/>
  <c r="M98" i="4"/>
  <c r="L98" i="4"/>
  <c r="K98" i="4"/>
  <c r="J98" i="4"/>
  <c r="I98" i="4"/>
  <c r="H98" i="4"/>
  <c r="S97" i="4"/>
  <c r="R97" i="4"/>
  <c r="M97" i="4"/>
  <c r="L97" i="4"/>
  <c r="K97" i="4"/>
  <c r="J97" i="4"/>
  <c r="I97" i="4"/>
  <c r="H97" i="4"/>
  <c r="S96" i="4"/>
  <c r="R96" i="4"/>
  <c r="M96" i="4"/>
  <c r="L96" i="4"/>
  <c r="K96" i="4"/>
  <c r="J96" i="4"/>
  <c r="I96" i="4"/>
  <c r="H96" i="4"/>
  <c r="S95" i="4"/>
  <c r="R95" i="4"/>
  <c r="M95" i="4"/>
  <c r="L95" i="4"/>
  <c r="K95" i="4"/>
  <c r="J95" i="4"/>
  <c r="I95" i="4"/>
  <c r="H95" i="4"/>
  <c r="S94" i="4"/>
  <c r="R94" i="4"/>
  <c r="M94" i="4"/>
  <c r="L94" i="4"/>
  <c r="K94" i="4"/>
  <c r="J94" i="4"/>
  <c r="I94" i="4"/>
  <c r="H94" i="4"/>
  <c r="S93" i="4"/>
  <c r="R93" i="4"/>
  <c r="M93" i="4"/>
  <c r="L93" i="4"/>
  <c r="K93" i="4"/>
  <c r="J93" i="4"/>
  <c r="I93" i="4"/>
  <c r="H93" i="4"/>
  <c r="S92" i="4"/>
  <c r="R92" i="4"/>
  <c r="M92" i="4"/>
  <c r="L92" i="4"/>
  <c r="K92" i="4"/>
  <c r="J92" i="4"/>
  <c r="I92" i="4"/>
  <c r="H92" i="4"/>
  <c r="S91" i="4"/>
  <c r="R91" i="4"/>
  <c r="M91" i="4"/>
  <c r="L91" i="4"/>
  <c r="K91" i="4"/>
  <c r="J91" i="4"/>
  <c r="I91" i="4"/>
  <c r="H91" i="4"/>
  <c r="S90" i="4"/>
  <c r="R90" i="4"/>
  <c r="M90" i="4"/>
  <c r="L90" i="4"/>
  <c r="K90" i="4"/>
  <c r="J90" i="4"/>
  <c r="I90" i="4"/>
  <c r="H90" i="4"/>
  <c r="S89" i="4"/>
  <c r="R89" i="4"/>
  <c r="M89" i="4"/>
  <c r="L89" i="4"/>
  <c r="K89" i="4"/>
  <c r="J89" i="4"/>
  <c r="I89" i="4"/>
  <c r="H89" i="4"/>
  <c r="S88" i="4"/>
  <c r="R88" i="4"/>
  <c r="M88" i="4"/>
  <c r="L88" i="4"/>
  <c r="K88" i="4"/>
  <c r="J88" i="4"/>
  <c r="I88" i="4"/>
  <c r="H88" i="4"/>
  <c r="S87" i="4"/>
  <c r="R87" i="4"/>
  <c r="M87" i="4"/>
  <c r="L87" i="4"/>
  <c r="K87" i="4"/>
  <c r="J87" i="4"/>
  <c r="I87" i="4"/>
  <c r="H87" i="4"/>
  <c r="S86" i="4"/>
  <c r="R86" i="4"/>
  <c r="M86" i="4"/>
  <c r="L86" i="4"/>
  <c r="K86" i="4"/>
  <c r="J86" i="4"/>
  <c r="I86" i="4"/>
  <c r="H86" i="4"/>
  <c r="S85" i="4"/>
  <c r="R85" i="4"/>
  <c r="M85" i="4"/>
  <c r="L85" i="4"/>
  <c r="K85" i="4"/>
  <c r="J85" i="4"/>
  <c r="I85" i="4"/>
  <c r="H85" i="4"/>
  <c r="S84" i="4"/>
  <c r="R84" i="4"/>
  <c r="M84" i="4"/>
  <c r="L84" i="4"/>
  <c r="K84" i="4"/>
  <c r="J84" i="4"/>
  <c r="I84" i="4"/>
  <c r="H84" i="4"/>
  <c r="S83" i="4"/>
  <c r="R83" i="4"/>
  <c r="M83" i="4"/>
  <c r="L83" i="4"/>
  <c r="K83" i="4"/>
  <c r="J83" i="4"/>
  <c r="I83" i="4"/>
  <c r="H83" i="4"/>
  <c r="S82" i="4"/>
  <c r="R82" i="4"/>
  <c r="M82" i="4"/>
  <c r="L82" i="4"/>
  <c r="K82" i="4"/>
  <c r="J82" i="4"/>
  <c r="I82" i="4"/>
  <c r="H82" i="4"/>
  <c r="S81" i="4"/>
  <c r="R81" i="4"/>
  <c r="M81" i="4"/>
  <c r="L81" i="4"/>
  <c r="K81" i="4"/>
  <c r="J81" i="4"/>
  <c r="I81" i="4"/>
  <c r="H81" i="4"/>
  <c r="S80" i="4"/>
  <c r="R80" i="4"/>
  <c r="M80" i="4"/>
  <c r="L80" i="4"/>
  <c r="K80" i="4"/>
  <c r="J80" i="4"/>
  <c r="I80" i="4"/>
  <c r="H80" i="4"/>
  <c r="S79" i="4"/>
  <c r="R79" i="4"/>
  <c r="M79" i="4"/>
  <c r="L79" i="4"/>
  <c r="K79" i="4"/>
  <c r="J79" i="4"/>
  <c r="I79" i="4"/>
  <c r="H79" i="4"/>
  <c r="S78" i="4"/>
  <c r="R78" i="4"/>
  <c r="M78" i="4"/>
  <c r="L78" i="4"/>
  <c r="K78" i="4"/>
  <c r="J78" i="4"/>
  <c r="I78" i="4"/>
  <c r="H78" i="4"/>
  <c r="S77" i="4"/>
  <c r="R77" i="4"/>
  <c r="M77" i="4"/>
  <c r="L77" i="4"/>
  <c r="K77" i="4"/>
  <c r="J77" i="4"/>
  <c r="I77" i="4"/>
  <c r="H77" i="4"/>
  <c r="S76" i="4"/>
  <c r="R76" i="4"/>
  <c r="M76" i="4"/>
  <c r="L76" i="4"/>
  <c r="K76" i="4"/>
  <c r="J76" i="4"/>
  <c r="I76" i="4"/>
  <c r="H76" i="4"/>
  <c r="S75" i="4"/>
  <c r="R75" i="4"/>
  <c r="M75" i="4"/>
  <c r="L75" i="4"/>
  <c r="K75" i="4"/>
  <c r="J75" i="4"/>
  <c r="I75" i="4"/>
  <c r="H75" i="4"/>
  <c r="S74" i="4"/>
  <c r="R74" i="4"/>
  <c r="M74" i="4"/>
  <c r="L74" i="4"/>
  <c r="K74" i="4"/>
  <c r="J74" i="4"/>
  <c r="I74" i="4"/>
  <c r="H74" i="4"/>
  <c r="S73" i="4"/>
  <c r="R73" i="4"/>
  <c r="M73" i="4"/>
  <c r="L73" i="4"/>
  <c r="K73" i="4"/>
  <c r="J73" i="4"/>
  <c r="I73" i="4"/>
  <c r="H73" i="4"/>
  <c r="S72" i="4"/>
  <c r="R72" i="4"/>
  <c r="M72" i="4"/>
  <c r="L72" i="4"/>
  <c r="K72" i="4"/>
  <c r="J72" i="4"/>
  <c r="I72" i="4"/>
  <c r="H72" i="4"/>
  <c r="S71" i="4"/>
  <c r="R71" i="4"/>
  <c r="M71" i="4"/>
  <c r="L71" i="4"/>
  <c r="K71" i="4"/>
  <c r="J71" i="4"/>
  <c r="I71" i="4"/>
  <c r="H71" i="4"/>
  <c r="S70" i="4"/>
  <c r="R70" i="4"/>
  <c r="M70" i="4"/>
  <c r="L70" i="4"/>
  <c r="K70" i="4"/>
  <c r="J70" i="4"/>
  <c r="I70" i="4"/>
  <c r="H70" i="4"/>
  <c r="S69" i="4"/>
  <c r="R69" i="4"/>
  <c r="M69" i="4"/>
  <c r="L69" i="4"/>
  <c r="K69" i="4"/>
  <c r="J69" i="4"/>
  <c r="I69" i="4"/>
  <c r="H69" i="4"/>
  <c r="S68" i="4"/>
  <c r="R68" i="4"/>
  <c r="M68" i="4"/>
  <c r="L68" i="4"/>
  <c r="K68" i="4"/>
  <c r="J68" i="4"/>
  <c r="I68" i="4"/>
  <c r="H68" i="4"/>
  <c r="S67" i="4"/>
  <c r="R67" i="4"/>
  <c r="M67" i="4"/>
  <c r="L67" i="4"/>
  <c r="K67" i="4"/>
  <c r="J67" i="4"/>
  <c r="I67" i="4"/>
  <c r="H67" i="4"/>
  <c r="S66" i="4"/>
  <c r="R66" i="4"/>
  <c r="M66" i="4"/>
  <c r="L66" i="4"/>
  <c r="K66" i="4"/>
  <c r="J66" i="4"/>
  <c r="I66" i="4"/>
  <c r="H66" i="4"/>
  <c r="S65" i="4"/>
  <c r="R65" i="4"/>
  <c r="M65" i="4"/>
  <c r="L65" i="4"/>
  <c r="K65" i="4"/>
  <c r="J65" i="4"/>
  <c r="I65" i="4"/>
  <c r="H65" i="4"/>
  <c r="S64" i="4"/>
  <c r="R64" i="4"/>
  <c r="M64" i="4"/>
  <c r="L64" i="4"/>
  <c r="K64" i="4"/>
  <c r="J64" i="4"/>
  <c r="I64" i="4"/>
  <c r="H64" i="4"/>
  <c r="S63" i="4"/>
  <c r="R63" i="4"/>
  <c r="M63" i="4"/>
  <c r="L63" i="4"/>
  <c r="K63" i="4"/>
  <c r="J63" i="4"/>
  <c r="I63" i="4"/>
  <c r="H63" i="4"/>
  <c r="S62" i="4"/>
  <c r="R62" i="4"/>
  <c r="M62" i="4"/>
  <c r="L62" i="4"/>
  <c r="K62" i="4"/>
  <c r="J62" i="4"/>
  <c r="I62" i="4"/>
  <c r="H62" i="4"/>
  <c r="S61" i="4"/>
  <c r="R61" i="4"/>
  <c r="M61" i="4"/>
  <c r="L61" i="4"/>
  <c r="K61" i="4"/>
  <c r="J61" i="4"/>
  <c r="I61" i="4"/>
  <c r="H61" i="4"/>
  <c r="S60" i="4"/>
  <c r="R60" i="4"/>
  <c r="M60" i="4"/>
  <c r="L60" i="4"/>
  <c r="K60" i="4"/>
  <c r="J60" i="4"/>
  <c r="I60" i="4"/>
  <c r="H60" i="4"/>
  <c r="S59" i="4"/>
  <c r="R59" i="4"/>
  <c r="M59" i="4"/>
  <c r="L59" i="4"/>
  <c r="K59" i="4"/>
  <c r="J59" i="4"/>
  <c r="I59" i="4"/>
  <c r="H59" i="4"/>
  <c r="S58" i="4"/>
  <c r="R58" i="4"/>
  <c r="M58" i="4"/>
  <c r="L58" i="4"/>
  <c r="K58" i="4"/>
  <c r="J58" i="4"/>
  <c r="I58" i="4"/>
  <c r="H58" i="4"/>
  <c r="S57" i="4"/>
  <c r="R57" i="4"/>
  <c r="M57" i="4"/>
  <c r="L57" i="4"/>
  <c r="K57" i="4"/>
  <c r="J57" i="4"/>
  <c r="I57" i="4"/>
  <c r="H57" i="4"/>
  <c r="S56" i="4"/>
  <c r="R56" i="4"/>
  <c r="M56" i="4"/>
  <c r="L56" i="4"/>
  <c r="K56" i="4"/>
  <c r="J56" i="4"/>
  <c r="I56" i="4"/>
  <c r="H56" i="4"/>
  <c r="S55" i="4"/>
  <c r="R55" i="4"/>
  <c r="M55" i="4"/>
  <c r="L55" i="4"/>
  <c r="K55" i="4"/>
  <c r="J55" i="4"/>
  <c r="I55" i="4"/>
  <c r="H55" i="4"/>
  <c r="S54" i="4"/>
  <c r="R54" i="4"/>
  <c r="M54" i="4"/>
  <c r="L54" i="4"/>
  <c r="K54" i="4"/>
  <c r="J54" i="4"/>
  <c r="I54" i="4"/>
  <c r="H54" i="4"/>
  <c r="S53" i="4"/>
  <c r="R53" i="4"/>
  <c r="M53" i="4"/>
  <c r="L53" i="4"/>
  <c r="K53" i="4"/>
  <c r="J53" i="4"/>
  <c r="I53" i="4"/>
  <c r="H53" i="4"/>
  <c r="S52" i="4"/>
  <c r="R52" i="4"/>
  <c r="M52" i="4"/>
  <c r="L52" i="4"/>
  <c r="K52" i="4"/>
  <c r="J52" i="4"/>
  <c r="I52" i="4"/>
  <c r="H52" i="4"/>
  <c r="S51" i="4"/>
  <c r="R51" i="4"/>
  <c r="M51" i="4"/>
  <c r="L51" i="4"/>
  <c r="K51" i="4"/>
  <c r="J51" i="4"/>
  <c r="I51" i="4"/>
  <c r="H51" i="4"/>
  <c r="S50" i="4"/>
  <c r="R50" i="4"/>
  <c r="M50" i="4"/>
  <c r="L50" i="4"/>
  <c r="K50" i="4"/>
  <c r="J50" i="4"/>
  <c r="I50" i="4"/>
  <c r="H50" i="4"/>
  <c r="S49" i="4"/>
  <c r="R49" i="4"/>
  <c r="M49" i="4"/>
  <c r="L49" i="4"/>
  <c r="K49" i="4"/>
  <c r="J49" i="4"/>
  <c r="I49" i="4"/>
  <c r="H49" i="4"/>
  <c r="S48" i="4"/>
  <c r="R48" i="4"/>
  <c r="M48" i="4"/>
  <c r="L48" i="4"/>
  <c r="K48" i="4"/>
  <c r="J48" i="4"/>
  <c r="I48" i="4"/>
  <c r="H48" i="4"/>
  <c r="S47" i="4"/>
  <c r="R47" i="4"/>
  <c r="M47" i="4"/>
  <c r="L47" i="4"/>
  <c r="K47" i="4"/>
  <c r="J47" i="4"/>
  <c r="I47" i="4"/>
  <c r="H47" i="4"/>
  <c r="S46" i="4"/>
  <c r="R46" i="4"/>
  <c r="M46" i="4"/>
  <c r="L46" i="4"/>
  <c r="K46" i="4"/>
  <c r="J46" i="4"/>
  <c r="I46" i="4"/>
  <c r="H46" i="4"/>
  <c r="S45" i="4"/>
  <c r="R45" i="4"/>
  <c r="M45" i="4"/>
  <c r="L45" i="4"/>
  <c r="K45" i="4"/>
  <c r="J45" i="4"/>
  <c r="I45" i="4"/>
  <c r="H45" i="4"/>
  <c r="S44" i="4"/>
  <c r="R44" i="4"/>
  <c r="M44" i="4"/>
  <c r="L44" i="4"/>
  <c r="K44" i="4"/>
  <c r="J44" i="4"/>
  <c r="I44" i="4"/>
  <c r="H44" i="4"/>
  <c r="S43" i="4"/>
  <c r="R43" i="4"/>
  <c r="M43" i="4"/>
  <c r="L43" i="4"/>
  <c r="K43" i="4"/>
  <c r="J43" i="4"/>
  <c r="I43" i="4"/>
  <c r="H43" i="4"/>
  <c r="S42" i="4"/>
  <c r="R42" i="4"/>
  <c r="M42" i="4"/>
  <c r="L42" i="4"/>
  <c r="K42" i="4"/>
  <c r="J42" i="4"/>
  <c r="I42" i="4"/>
  <c r="H42" i="4"/>
  <c r="S41" i="4"/>
  <c r="R41" i="4"/>
  <c r="M41" i="4"/>
  <c r="L41" i="4"/>
  <c r="K41" i="4"/>
  <c r="J41" i="4"/>
  <c r="I41" i="4"/>
  <c r="H41" i="4"/>
  <c r="S40" i="4"/>
  <c r="R40" i="4"/>
  <c r="M40" i="4"/>
  <c r="L40" i="4"/>
  <c r="K40" i="4"/>
  <c r="J40" i="4"/>
  <c r="I40" i="4"/>
  <c r="H40" i="4"/>
  <c r="S39" i="4"/>
  <c r="R39" i="4"/>
  <c r="M39" i="4"/>
  <c r="L39" i="4"/>
  <c r="K39" i="4"/>
  <c r="J39" i="4"/>
  <c r="I39" i="4"/>
  <c r="H39" i="4"/>
  <c r="S38" i="4"/>
  <c r="R38" i="4"/>
  <c r="M38" i="4"/>
  <c r="L38" i="4"/>
  <c r="K38" i="4"/>
  <c r="J38" i="4"/>
  <c r="I38" i="4"/>
  <c r="H38" i="4"/>
  <c r="S37" i="4"/>
  <c r="R37" i="4"/>
  <c r="M37" i="4"/>
  <c r="L37" i="4"/>
  <c r="K37" i="4"/>
  <c r="J37" i="4"/>
  <c r="I37" i="4"/>
  <c r="H37" i="4"/>
  <c r="S36" i="4"/>
  <c r="R36" i="4"/>
  <c r="M36" i="4"/>
  <c r="L36" i="4"/>
  <c r="K36" i="4"/>
  <c r="J36" i="4"/>
  <c r="I36" i="4"/>
  <c r="H36" i="4"/>
  <c r="S35" i="4"/>
  <c r="R35" i="4"/>
  <c r="M35" i="4"/>
  <c r="L35" i="4"/>
  <c r="K35" i="4"/>
  <c r="J35" i="4"/>
  <c r="I35" i="4"/>
  <c r="H35" i="4"/>
  <c r="S34" i="4"/>
  <c r="R34" i="4"/>
  <c r="M34" i="4"/>
  <c r="L34" i="4"/>
  <c r="K34" i="4"/>
  <c r="J34" i="4"/>
  <c r="I34" i="4"/>
  <c r="H34" i="4"/>
  <c r="S33" i="4"/>
  <c r="R33" i="4"/>
  <c r="M33" i="4"/>
  <c r="L33" i="4"/>
  <c r="K33" i="4"/>
  <c r="J33" i="4"/>
  <c r="I33" i="4"/>
  <c r="H33" i="4"/>
  <c r="S32" i="4"/>
  <c r="R32" i="4"/>
  <c r="M32" i="4"/>
  <c r="L32" i="4"/>
  <c r="K32" i="4"/>
  <c r="J32" i="4"/>
  <c r="I32" i="4"/>
  <c r="H32" i="4"/>
  <c r="I31" i="4"/>
  <c r="J31" i="4" s="1"/>
  <c r="R31" i="4" s="1"/>
  <c r="H31" i="4"/>
  <c r="I30" i="4"/>
  <c r="H30" i="4"/>
  <c r="I29" i="4"/>
  <c r="J29" i="4" s="1"/>
  <c r="R29" i="4" s="1"/>
  <c r="H29" i="4"/>
  <c r="I28" i="4"/>
  <c r="H28" i="4"/>
  <c r="I27" i="4"/>
  <c r="H27" i="4"/>
  <c r="I26" i="4"/>
  <c r="H26" i="4"/>
  <c r="I25" i="4"/>
  <c r="J25" i="4" s="1"/>
  <c r="R25" i="4" s="1"/>
  <c r="H25" i="4"/>
  <c r="I24" i="4"/>
  <c r="J24" i="4" s="1"/>
  <c r="R24" i="4" s="1"/>
  <c r="H24" i="4"/>
  <c r="I23" i="4"/>
  <c r="J23" i="4" s="1"/>
  <c r="R23" i="4" s="1"/>
  <c r="H23" i="4"/>
  <c r="I22" i="4"/>
  <c r="J22" i="4" s="1"/>
  <c r="R22" i="4" s="1"/>
  <c r="H22" i="4"/>
  <c r="H21" i="4"/>
  <c r="I21" i="4"/>
  <c r="I20" i="4"/>
  <c r="J20" i="4" s="1"/>
  <c r="R20" i="4" s="1"/>
  <c r="H20" i="4"/>
  <c r="I19" i="4"/>
  <c r="J19" i="4" s="1"/>
  <c r="R19" i="4" s="1"/>
  <c r="H19" i="4"/>
  <c r="I18" i="4"/>
  <c r="J18" i="4" s="1"/>
  <c r="R18" i="4" s="1"/>
  <c r="H18" i="4"/>
  <c r="I17" i="4"/>
  <c r="J17" i="4" s="1"/>
  <c r="R17" i="4" s="1"/>
  <c r="H17" i="4"/>
  <c r="I16" i="4"/>
  <c r="J16" i="4" s="1"/>
  <c r="R16" i="4" s="1"/>
  <c r="H16" i="4"/>
  <c r="I15" i="4"/>
  <c r="J15" i="4" s="1"/>
  <c r="R15" i="4" s="1"/>
  <c r="H15" i="4"/>
  <c r="I14" i="4"/>
  <c r="J14" i="4" s="1"/>
  <c r="R14" i="4" s="1"/>
  <c r="H14" i="4"/>
  <c r="I13" i="4"/>
  <c r="J13" i="4" s="1"/>
  <c r="R13" i="4" s="1"/>
  <c r="H13" i="4"/>
  <c r="I12" i="4"/>
  <c r="J12" i="4" s="1"/>
  <c r="R12" i="4" s="1"/>
  <c r="H12" i="4"/>
  <c r="I11" i="4"/>
  <c r="H11" i="4"/>
  <c r="I10" i="4"/>
  <c r="J10" i="4" s="1"/>
  <c r="R10" i="4" s="1"/>
  <c r="H10" i="4"/>
  <c r="I9" i="4"/>
  <c r="J9" i="4" s="1"/>
  <c r="R9" i="4" s="1"/>
  <c r="H9" i="4"/>
  <c r="I8" i="4"/>
  <c r="J8" i="4" s="1"/>
  <c r="R8" i="4" s="1"/>
  <c r="H8" i="4"/>
  <c r="I7" i="4"/>
  <c r="H7" i="4"/>
  <c r="K7" i="4" s="1"/>
  <c r="K8" i="4" s="1"/>
  <c r="K9" i="4" s="1"/>
  <c r="K10" i="4" s="1"/>
  <c r="G21" i="3"/>
  <c r="G20" i="3"/>
  <c r="G14" i="3"/>
  <c r="G11" i="3"/>
  <c r="S112" i="3"/>
  <c r="R112" i="3"/>
  <c r="M112" i="3"/>
  <c r="L112" i="3"/>
  <c r="K112" i="3"/>
  <c r="J112" i="3"/>
  <c r="I112" i="3"/>
  <c r="H112" i="3"/>
  <c r="S111" i="3"/>
  <c r="R111" i="3"/>
  <c r="M111" i="3"/>
  <c r="L111" i="3"/>
  <c r="K111" i="3"/>
  <c r="J111" i="3"/>
  <c r="I111" i="3"/>
  <c r="H111" i="3"/>
  <c r="S110" i="3"/>
  <c r="R110" i="3"/>
  <c r="M110" i="3"/>
  <c r="L110" i="3"/>
  <c r="K110" i="3"/>
  <c r="J110" i="3"/>
  <c r="I110" i="3"/>
  <c r="H110" i="3"/>
  <c r="S109" i="3"/>
  <c r="R109" i="3"/>
  <c r="M109" i="3"/>
  <c r="L109" i="3"/>
  <c r="K109" i="3"/>
  <c r="J109" i="3"/>
  <c r="I109" i="3"/>
  <c r="H109" i="3"/>
  <c r="S108" i="3"/>
  <c r="R108" i="3"/>
  <c r="M108" i="3"/>
  <c r="L108" i="3"/>
  <c r="K108" i="3"/>
  <c r="J108" i="3"/>
  <c r="I108" i="3"/>
  <c r="H108" i="3"/>
  <c r="S107" i="3"/>
  <c r="R107" i="3"/>
  <c r="M107" i="3"/>
  <c r="L107" i="3"/>
  <c r="K107" i="3"/>
  <c r="J107" i="3"/>
  <c r="I107" i="3"/>
  <c r="H107" i="3"/>
  <c r="S106" i="3"/>
  <c r="R106" i="3"/>
  <c r="M106" i="3"/>
  <c r="L106" i="3"/>
  <c r="K106" i="3"/>
  <c r="J106" i="3"/>
  <c r="I106" i="3"/>
  <c r="H106" i="3"/>
  <c r="S105" i="3"/>
  <c r="R105" i="3"/>
  <c r="M105" i="3"/>
  <c r="L105" i="3"/>
  <c r="K105" i="3"/>
  <c r="J105" i="3"/>
  <c r="I105" i="3"/>
  <c r="H105" i="3"/>
  <c r="S104" i="3"/>
  <c r="R104" i="3"/>
  <c r="M104" i="3"/>
  <c r="L104" i="3"/>
  <c r="K104" i="3"/>
  <c r="J104" i="3"/>
  <c r="I104" i="3"/>
  <c r="H104" i="3"/>
  <c r="S103" i="3"/>
  <c r="R103" i="3"/>
  <c r="M103" i="3"/>
  <c r="L103" i="3"/>
  <c r="K103" i="3"/>
  <c r="J103" i="3"/>
  <c r="I103" i="3"/>
  <c r="H103" i="3"/>
  <c r="S102" i="3"/>
  <c r="R102" i="3"/>
  <c r="M102" i="3"/>
  <c r="L102" i="3"/>
  <c r="K102" i="3"/>
  <c r="J102" i="3"/>
  <c r="I102" i="3"/>
  <c r="H102" i="3"/>
  <c r="S101" i="3"/>
  <c r="R101" i="3"/>
  <c r="M101" i="3"/>
  <c r="L101" i="3"/>
  <c r="K101" i="3"/>
  <c r="J101" i="3"/>
  <c r="I101" i="3"/>
  <c r="H101" i="3"/>
  <c r="S100" i="3"/>
  <c r="R100" i="3"/>
  <c r="M100" i="3"/>
  <c r="L100" i="3"/>
  <c r="K100" i="3"/>
  <c r="J100" i="3"/>
  <c r="I100" i="3"/>
  <c r="H100" i="3"/>
  <c r="S99" i="3"/>
  <c r="R99" i="3"/>
  <c r="M99" i="3"/>
  <c r="L99" i="3"/>
  <c r="K99" i="3"/>
  <c r="J99" i="3"/>
  <c r="I99" i="3"/>
  <c r="H99" i="3"/>
  <c r="S98" i="3"/>
  <c r="R98" i="3"/>
  <c r="M98" i="3"/>
  <c r="L98" i="3"/>
  <c r="K98" i="3"/>
  <c r="J98" i="3"/>
  <c r="I98" i="3"/>
  <c r="H98" i="3"/>
  <c r="S97" i="3"/>
  <c r="R97" i="3"/>
  <c r="M97" i="3"/>
  <c r="L97" i="3"/>
  <c r="K97" i="3"/>
  <c r="J97" i="3"/>
  <c r="I97" i="3"/>
  <c r="H97" i="3"/>
  <c r="S96" i="3"/>
  <c r="R96" i="3"/>
  <c r="M96" i="3"/>
  <c r="L96" i="3"/>
  <c r="K96" i="3"/>
  <c r="J96" i="3"/>
  <c r="I96" i="3"/>
  <c r="H96" i="3"/>
  <c r="S95" i="3"/>
  <c r="R95" i="3"/>
  <c r="M95" i="3"/>
  <c r="L95" i="3"/>
  <c r="K95" i="3"/>
  <c r="J95" i="3"/>
  <c r="I95" i="3"/>
  <c r="H95" i="3"/>
  <c r="S94" i="3"/>
  <c r="R94" i="3"/>
  <c r="M94" i="3"/>
  <c r="L94" i="3"/>
  <c r="K94" i="3"/>
  <c r="J94" i="3"/>
  <c r="I94" i="3"/>
  <c r="H94" i="3"/>
  <c r="S93" i="3"/>
  <c r="R93" i="3"/>
  <c r="M93" i="3"/>
  <c r="L93" i="3"/>
  <c r="K93" i="3"/>
  <c r="J93" i="3"/>
  <c r="I93" i="3"/>
  <c r="H93" i="3"/>
  <c r="S92" i="3"/>
  <c r="R92" i="3"/>
  <c r="M92" i="3"/>
  <c r="L92" i="3"/>
  <c r="K92" i="3"/>
  <c r="J92" i="3"/>
  <c r="I92" i="3"/>
  <c r="H92" i="3"/>
  <c r="S91" i="3"/>
  <c r="R91" i="3"/>
  <c r="M91" i="3"/>
  <c r="L91" i="3"/>
  <c r="K91" i="3"/>
  <c r="J91" i="3"/>
  <c r="I91" i="3"/>
  <c r="H91" i="3"/>
  <c r="S90" i="3"/>
  <c r="R90" i="3"/>
  <c r="M90" i="3"/>
  <c r="L90" i="3"/>
  <c r="K90" i="3"/>
  <c r="J90" i="3"/>
  <c r="I90" i="3"/>
  <c r="H90" i="3"/>
  <c r="S89" i="3"/>
  <c r="R89" i="3"/>
  <c r="M89" i="3"/>
  <c r="L89" i="3"/>
  <c r="K89" i="3"/>
  <c r="J89" i="3"/>
  <c r="I89" i="3"/>
  <c r="H89" i="3"/>
  <c r="S88" i="3"/>
  <c r="R88" i="3"/>
  <c r="M88" i="3"/>
  <c r="L88" i="3"/>
  <c r="K88" i="3"/>
  <c r="J88" i="3"/>
  <c r="I88" i="3"/>
  <c r="H88" i="3"/>
  <c r="S87" i="3"/>
  <c r="R87" i="3"/>
  <c r="M87" i="3"/>
  <c r="L87" i="3"/>
  <c r="K87" i="3"/>
  <c r="J87" i="3"/>
  <c r="I87" i="3"/>
  <c r="H87" i="3"/>
  <c r="S86" i="3"/>
  <c r="R86" i="3"/>
  <c r="M86" i="3"/>
  <c r="L86" i="3"/>
  <c r="K86" i="3"/>
  <c r="J86" i="3"/>
  <c r="I86" i="3"/>
  <c r="H86" i="3"/>
  <c r="S85" i="3"/>
  <c r="R85" i="3"/>
  <c r="M85" i="3"/>
  <c r="L85" i="3"/>
  <c r="K85" i="3"/>
  <c r="J85" i="3"/>
  <c r="I85" i="3"/>
  <c r="H85" i="3"/>
  <c r="S84" i="3"/>
  <c r="R84" i="3"/>
  <c r="M84" i="3"/>
  <c r="L84" i="3"/>
  <c r="K84" i="3"/>
  <c r="J84" i="3"/>
  <c r="I84" i="3"/>
  <c r="H84" i="3"/>
  <c r="S83" i="3"/>
  <c r="R83" i="3"/>
  <c r="M83" i="3"/>
  <c r="L83" i="3"/>
  <c r="K83" i="3"/>
  <c r="J83" i="3"/>
  <c r="I83" i="3"/>
  <c r="H83" i="3"/>
  <c r="S82" i="3"/>
  <c r="R82" i="3"/>
  <c r="M82" i="3"/>
  <c r="L82" i="3"/>
  <c r="K82" i="3"/>
  <c r="J82" i="3"/>
  <c r="I82" i="3"/>
  <c r="H82" i="3"/>
  <c r="S81" i="3"/>
  <c r="R81" i="3"/>
  <c r="M81" i="3"/>
  <c r="L81" i="3"/>
  <c r="K81" i="3"/>
  <c r="J81" i="3"/>
  <c r="I81" i="3"/>
  <c r="H81" i="3"/>
  <c r="S80" i="3"/>
  <c r="R80" i="3"/>
  <c r="M80" i="3"/>
  <c r="L80" i="3"/>
  <c r="K80" i="3"/>
  <c r="J80" i="3"/>
  <c r="I80" i="3"/>
  <c r="H80" i="3"/>
  <c r="S79" i="3"/>
  <c r="R79" i="3"/>
  <c r="M79" i="3"/>
  <c r="L79" i="3"/>
  <c r="K79" i="3"/>
  <c r="J79" i="3"/>
  <c r="I79" i="3"/>
  <c r="H79" i="3"/>
  <c r="S78" i="3"/>
  <c r="R78" i="3"/>
  <c r="M78" i="3"/>
  <c r="L78" i="3"/>
  <c r="K78" i="3"/>
  <c r="J78" i="3"/>
  <c r="I78" i="3"/>
  <c r="H78" i="3"/>
  <c r="S77" i="3"/>
  <c r="R77" i="3"/>
  <c r="M77" i="3"/>
  <c r="L77" i="3"/>
  <c r="K77" i="3"/>
  <c r="J77" i="3"/>
  <c r="I77" i="3"/>
  <c r="H77" i="3"/>
  <c r="S76" i="3"/>
  <c r="R76" i="3"/>
  <c r="M76" i="3"/>
  <c r="L76" i="3"/>
  <c r="K76" i="3"/>
  <c r="J76" i="3"/>
  <c r="I76" i="3"/>
  <c r="H76" i="3"/>
  <c r="S75" i="3"/>
  <c r="R75" i="3"/>
  <c r="M75" i="3"/>
  <c r="L75" i="3"/>
  <c r="K75" i="3"/>
  <c r="J75" i="3"/>
  <c r="I75" i="3"/>
  <c r="H75" i="3"/>
  <c r="S74" i="3"/>
  <c r="R74" i="3"/>
  <c r="M74" i="3"/>
  <c r="L74" i="3"/>
  <c r="K74" i="3"/>
  <c r="J74" i="3"/>
  <c r="I74" i="3"/>
  <c r="H74" i="3"/>
  <c r="S73" i="3"/>
  <c r="R73" i="3"/>
  <c r="M73" i="3"/>
  <c r="L73" i="3"/>
  <c r="K73" i="3"/>
  <c r="J73" i="3"/>
  <c r="I73" i="3"/>
  <c r="H73" i="3"/>
  <c r="S72" i="3"/>
  <c r="R72" i="3"/>
  <c r="M72" i="3"/>
  <c r="L72" i="3"/>
  <c r="K72" i="3"/>
  <c r="J72" i="3"/>
  <c r="I72" i="3"/>
  <c r="H72" i="3"/>
  <c r="S71" i="3"/>
  <c r="R71" i="3"/>
  <c r="M71" i="3"/>
  <c r="L71" i="3"/>
  <c r="K71" i="3"/>
  <c r="J71" i="3"/>
  <c r="I71" i="3"/>
  <c r="H71" i="3"/>
  <c r="S70" i="3"/>
  <c r="R70" i="3"/>
  <c r="M70" i="3"/>
  <c r="L70" i="3"/>
  <c r="K70" i="3"/>
  <c r="J70" i="3"/>
  <c r="I70" i="3"/>
  <c r="H70" i="3"/>
  <c r="S69" i="3"/>
  <c r="R69" i="3"/>
  <c r="M69" i="3"/>
  <c r="L69" i="3"/>
  <c r="K69" i="3"/>
  <c r="J69" i="3"/>
  <c r="I69" i="3"/>
  <c r="H69" i="3"/>
  <c r="S68" i="3"/>
  <c r="R68" i="3"/>
  <c r="M68" i="3"/>
  <c r="L68" i="3"/>
  <c r="K68" i="3"/>
  <c r="J68" i="3"/>
  <c r="I68" i="3"/>
  <c r="H68" i="3"/>
  <c r="S67" i="3"/>
  <c r="R67" i="3"/>
  <c r="M67" i="3"/>
  <c r="L67" i="3"/>
  <c r="K67" i="3"/>
  <c r="J67" i="3"/>
  <c r="I67" i="3"/>
  <c r="H67" i="3"/>
  <c r="S66" i="3"/>
  <c r="R66" i="3"/>
  <c r="M66" i="3"/>
  <c r="L66" i="3"/>
  <c r="K66" i="3"/>
  <c r="J66" i="3"/>
  <c r="I66" i="3"/>
  <c r="H66" i="3"/>
  <c r="S65" i="3"/>
  <c r="R65" i="3"/>
  <c r="M65" i="3"/>
  <c r="L65" i="3"/>
  <c r="K65" i="3"/>
  <c r="J65" i="3"/>
  <c r="I65" i="3"/>
  <c r="H65" i="3"/>
  <c r="S64" i="3"/>
  <c r="R64" i="3"/>
  <c r="M64" i="3"/>
  <c r="L64" i="3"/>
  <c r="K64" i="3"/>
  <c r="J64" i="3"/>
  <c r="I64" i="3"/>
  <c r="H64" i="3"/>
  <c r="S63" i="3"/>
  <c r="R63" i="3"/>
  <c r="M63" i="3"/>
  <c r="L63" i="3"/>
  <c r="K63" i="3"/>
  <c r="J63" i="3"/>
  <c r="I63" i="3"/>
  <c r="H63" i="3"/>
  <c r="S62" i="3"/>
  <c r="R62" i="3"/>
  <c r="M62" i="3"/>
  <c r="L62" i="3"/>
  <c r="K62" i="3"/>
  <c r="J62" i="3"/>
  <c r="I62" i="3"/>
  <c r="H62" i="3"/>
  <c r="S61" i="3"/>
  <c r="R61" i="3"/>
  <c r="M61" i="3"/>
  <c r="L61" i="3"/>
  <c r="K61" i="3"/>
  <c r="J61" i="3"/>
  <c r="I61" i="3"/>
  <c r="H61" i="3"/>
  <c r="S60" i="3"/>
  <c r="R60" i="3"/>
  <c r="M60" i="3"/>
  <c r="L60" i="3"/>
  <c r="K60" i="3"/>
  <c r="J60" i="3"/>
  <c r="I60" i="3"/>
  <c r="H60" i="3"/>
  <c r="S59" i="3"/>
  <c r="R59" i="3"/>
  <c r="M59" i="3"/>
  <c r="L59" i="3"/>
  <c r="K59" i="3"/>
  <c r="J59" i="3"/>
  <c r="I59" i="3"/>
  <c r="H59" i="3"/>
  <c r="S58" i="3"/>
  <c r="R58" i="3"/>
  <c r="M58" i="3"/>
  <c r="L58" i="3"/>
  <c r="K58" i="3"/>
  <c r="J58" i="3"/>
  <c r="I58" i="3"/>
  <c r="H58" i="3"/>
  <c r="S57" i="3"/>
  <c r="R57" i="3"/>
  <c r="M57" i="3"/>
  <c r="L57" i="3"/>
  <c r="K57" i="3"/>
  <c r="J57" i="3"/>
  <c r="I57" i="3"/>
  <c r="H57" i="3"/>
  <c r="S56" i="3"/>
  <c r="R56" i="3"/>
  <c r="M56" i="3"/>
  <c r="L56" i="3"/>
  <c r="K56" i="3"/>
  <c r="J56" i="3"/>
  <c r="I56" i="3"/>
  <c r="H56" i="3"/>
  <c r="S55" i="3"/>
  <c r="R55" i="3"/>
  <c r="M55" i="3"/>
  <c r="L55" i="3"/>
  <c r="K55" i="3"/>
  <c r="J55" i="3"/>
  <c r="I55" i="3"/>
  <c r="H55" i="3"/>
  <c r="S54" i="3"/>
  <c r="R54" i="3"/>
  <c r="M54" i="3"/>
  <c r="L54" i="3"/>
  <c r="K54" i="3"/>
  <c r="J54" i="3"/>
  <c r="I54" i="3"/>
  <c r="H54" i="3"/>
  <c r="S53" i="3"/>
  <c r="R53" i="3"/>
  <c r="M53" i="3"/>
  <c r="L53" i="3"/>
  <c r="K53" i="3"/>
  <c r="J53" i="3"/>
  <c r="I53" i="3"/>
  <c r="H53" i="3"/>
  <c r="S52" i="3"/>
  <c r="R52" i="3"/>
  <c r="M52" i="3"/>
  <c r="L52" i="3"/>
  <c r="K52" i="3"/>
  <c r="J52" i="3"/>
  <c r="I52" i="3"/>
  <c r="H52" i="3"/>
  <c r="S51" i="3"/>
  <c r="R51" i="3"/>
  <c r="M51" i="3"/>
  <c r="L51" i="3"/>
  <c r="K51" i="3"/>
  <c r="J51" i="3"/>
  <c r="I51" i="3"/>
  <c r="H51" i="3"/>
  <c r="S50" i="3"/>
  <c r="R50" i="3"/>
  <c r="M50" i="3"/>
  <c r="L50" i="3"/>
  <c r="K50" i="3"/>
  <c r="J50" i="3"/>
  <c r="I50" i="3"/>
  <c r="H50" i="3"/>
  <c r="S49" i="3"/>
  <c r="R49" i="3"/>
  <c r="M49" i="3"/>
  <c r="L49" i="3"/>
  <c r="K49" i="3"/>
  <c r="J49" i="3"/>
  <c r="I49" i="3"/>
  <c r="H49" i="3"/>
  <c r="S48" i="3"/>
  <c r="R48" i="3"/>
  <c r="M48" i="3"/>
  <c r="L48" i="3"/>
  <c r="K48" i="3"/>
  <c r="J48" i="3"/>
  <c r="I48" i="3"/>
  <c r="H48" i="3"/>
  <c r="S47" i="3"/>
  <c r="R47" i="3"/>
  <c r="M47" i="3"/>
  <c r="L47" i="3"/>
  <c r="K47" i="3"/>
  <c r="J47" i="3"/>
  <c r="I47" i="3"/>
  <c r="H47" i="3"/>
  <c r="S46" i="3"/>
  <c r="R46" i="3"/>
  <c r="M46" i="3"/>
  <c r="L46" i="3"/>
  <c r="K46" i="3"/>
  <c r="J46" i="3"/>
  <c r="I46" i="3"/>
  <c r="H46" i="3"/>
  <c r="S45" i="3"/>
  <c r="R45" i="3"/>
  <c r="M45" i="3"/>
  <c r="L45" i="3"/>
  <c r="K45" i="3"/>
  <c r="J45" i="3"/>
  <c r="I45" i="3"/>
  <c r="H45" i="3"/>
  <c r="S44" i="3"/>
  <c r="R44" i="3"/>
  <c r="M44" i="3"/>
  <c r="L44" i="3"/>
  <c r="K44" i="3"/>
  <c r="J44" i="3"/>
  <c r="I44" i="3"/>
  <c r="H44" i="3"/>
  <c r="S43" i="3"/>
  <c r="R43" i="3"/>
  <c r="M43" i="3"/>
  <c r="L43" i="3"/>
  <c r="K43" i="3"/>
  <c r="J43" i="3"/>
  <c r="I43" i="3"/>
  <c r="H43" i="3"/>
  <c r="S42" i="3"/>
  <c r="R42" i="3"/>
  <c r="M42" i="3"/>
  <c r="L42" i="3"/>
  <c r="K42" i="3"/>
  <c r="J42" i="3"/>
  <c r="I42" i="3"/>
  <c r="H42" i="3"/>
  <c r="S41" i="3"/>
  <c r="R41" i="3"/>
  <c r="M41" i="3"/>
  <c r="L41" i="3"/>
  <c r="K41" i="3"/>
  <c r="J41" i="3"/>
  <c r="I41" i="3"/>
  <c r="H41" i="3"/>
  <c r="S40" i="3"/>
  <c r="R40" i="3"/>
  <c r="M40" i="3"/>
  <c r="L40" i="3"/>
  <c r="K40" i="3"/>
  <c r="J40" i="3"/>
  <c r="I40" i="3"/>
  <c r="H40" i="3"/>
  <c r="S39" i="3"/>
  <c r="R39" i="3"/>
  <c r="M39" i="3"/>
  <c r="L39" i="3"/>
  <c r="K39" i="3"/>
  <c r="J39" i="3"/>
  <c r="I39" i="3"/>
  <c r="H39" i="3"/>
  <c r="S38" i="3"/>
  <c r="R38" i="3"/>
  <c r="M38" i="3"/>
  <c r="L38" i="3"/>
  <c r="K38" i="3"/>
  <c r="J38" i="3"/>
  <c r="I38" i="3"/>
  <c r="H38" i="3"/>
  <c r="S37" i="3"/>
  <c r="R37" i="3"/>
  <c r="M37" i="3"/>
  <c r="L37" i="3"/>
  <c r="K37" i="3"/>
  <c r="J37" i="3"/>
  <c r="I37" i="3"/>
  <c r="H37" i="3"/>
  <c r="S36" i="3"/>
  <c r="R36" i="3"/>
  <c r="M36" i="3"/>
  <c r="L36" i="3"/>
  <c r="K36" i="3"/>
  <c r="J36" i="3"/>
  <c r="I36" i="3"/>
  <c r="H36" i="3"/>
  <c r="S35" i="3"/>
  <c r="R35" i="3"/>
  <c r="M35" i="3"/>
  <c r="L35" i="3"/>
  <c r="K35" i="3"/>
  <c r="J35" i="3"/>
  <c r="I35" i="3"/>
  <c r="H35" i="3"/>
  <c r="S34" i="3"/>
  <c r="R34" i="3"/>
  <c r="M34" i="3"/>
  <c r="L34" i="3"/>
  <c r="K34" i="3"/>
  <c r="J34" i="3"/>
  <c r="I34" i="3"/>
  <c r="H34" i="3"/>
  <c r="S33" i="3"/>
  <c r="R33" i="3"/>
  <c r="M33" i="3"/>
  <c r="L33" i="3"/>
  <c r="K33" i="3"/>
  <c r="J33" i="3"/>
  <c r="I33" i="3"/>
  <c r="H33" i="3"/>
  <c r="I32" i="3"/>
  <c r="H32" i="3"/>
  <c r="J32" i="3" s="1"/>
  <c r="R32" i="3" s="1"/>
  <c r="I31" i="3"/>
  <c r="H31" i="3"/>
  <c r="I30" i="3"/>
  <c r="J30" i="3" s="1"/>
  <c r="R30" i="3" s="1"/>
  <c r="H30" i="3"/>
  <c r="I29" i="3"/>
  <c r="H29" i="3"/>
  <c r="I28" i="3"/>
  <c r="H28" i="3"/>
  <c r="I27" i="3"/>
  <c r="J27" i="3" s="1"/>
  <c r="R27" i="3" s="1"/>
  <c r="H27" i="3"/>
  <c r="I26" i="3"/>
  <c r="H26" i="3"/>
  <c r="I25" i="3"/>
  <c r="J25" i="3" s="1"/>
  <c r="R25" i="3" s="1"/>
  <c r="H25" i="3"/>
  <c r="I24" i="3"/>
  <c r="J24" i="3" s="1"/>
  <c r="R24" i="3" s="1"/>
  <c r="H24" i="3"/>
  <c r="I23" i="3"/>
  <c r="H23" i="3"/>
  <c r="I22" i="3"/>
  <c r="H22" i="3"/>
  <c r="I21" i="3"/>
  <c r="H21" i="3"/>
  <c r="I20" i="3"/>
  <c r="J20" i="3" s="1"/>
  <c r="R20" i="3" s="1"/>
  <c r="H20" i="3"/>
  <c r="I19" i="3"/>
  <c r="H19" i="3"/>
  <c r="I18" i="3"/>
  <c r="H18" i="3"/>
  <c r="I17" i="3"/>
  <c r="H17" i="3"/>
  <c r="I16" i="3"/>
  <c r="J16" i="3" s="1"/>
  <c r="R16" i="3" s="1"/>
  <c r="H16" i="3"/>
  <c r="I15" i="3"/>
  <c r="H15" i="3"/>
  <c r="I14" i="3"/>
  <c r="H14" i="3"/>
  <c r="I13" i="3"/>
  <c r="J13" i="3" s="1"/>
  <c r="R13" i="3" s="1"/>
  <c r="H13" i="3"/>
  <c r="I12" i="3"/>
  <c r="J12" i="3" s="1"/>
  <c r="R12" i="3" s="1"/>
  <c r="H12" i="3"/>
  <c r="I11" i="3"/>
  <c r="H11" i="3"/>
  <c r="I10" i="3"/>
  <c r="H10" i="3"/>
  <c r="I9" i="3"/>
  <c r="H9" i="3"/>
  <c r="I8" i="3"/>
  <c r="J8" i="3" s="1"/>
  <c r="R8" i="3" s="1"/>
  <c r="H8" i="3"/>
  <c r="I7" i="3"/>
  <c r="L7" i="3" s="1"/>
  <c r="H7" i="3"/>
  <c r="K7" i="3" s="1"/>
  <c r="K8" i="3" s="1"/>
  <c r="J26" i="4" l="1"/>
  <c r="R26" i="4" s="1"/>
  <c r="J30" i="4"/>
  <c r="R30" i="4" s="1"/>
  <c r="M10" i="18"/>
  <c r="S10" i="18" s="1"/>
  <c r="L11" i="18"/>
  <c r="J17" i="3"/>
  <c r="R17" i="3" s="1"/>
  <c r="J21" i="3"/>
  <c r="R21" i="3" s="1"/>
  <c r="J23" i="3"/>
  <c r="R23" i="3" s="1"/>
  <c r="J7" i="4"/>
  <c r="R7" i="4" s="1"/>
  <c r="J21" i="4"/>
  <c r="R21" i="4" s="1"/>
  <c r="L45" i="21"/>
  <c r="M45" i="21" s="1"/>
  <c r="S45" i="21" s="1"/>
  <c r="M44" i="21"/>
  <c r="S44" i="21" s="1"/>
  <c r="J20" i="5"/>
  <c r="R20" i="5" s="1"/>
  <c r="J27" i="5"/>
  <c r="R27" i="5" s="1"/>
  <c r="J26" i="3"/>
  <c r="R26" i="3" s="1"/>
  <c r="J28" i="3"/>
  <c r="R28" i="3" s="1"/>
  <c r="M48" i="20"/>
  <c r="S48" i="20" s="1"/>
  <c r="L49" i="20"/>
  <c r="M10" i="19"/>
  <c r="S10" i="19" s="1"/>
  <c r="L11" i="19"/>
  <c r="L9" i="17"/>
  <c r="M8" i="17"/>
  <c r="S8" i="17" s="1"/>
  <c r="M8" i="16"/>
  <c r="S8" i="16" s="1"/>
  <c r="L9" i="16"/>
  <c r="L10" i="15"/>
  <c r="M9" i="15"/>
  <c r="S9" i="15" s="1"/>
  <c r="M9" i="14"/>
  <c r="S9" i="14" s="1"/>
  <c r="L10" i="14"/>
  <c r="M9" i="13"/>
  <c r="S9" i="13" s="1"/>
  <c r="L10" i="13"/>
  <c r="M9" i="12"/>
  <c r="S9" i="12" s="1"/>
  <c r="L10" i="12"/>
  <c r="M9" i="11"/>
  <c r="S9" i="11" s="1"/>
  <c r="L10" i="11"/>
  <c r="M9" i="10"/>
  <c r="S9" i="10" s="1"/>
  <c r="L10" i="10"/>
  <c r="L10" i="9"/>
  <c r="M9" i="9"/>
  <c r="S9" i="9" s="1"/>
  <c r="L10" i="8"/>
  <c r="M9" i="8"/>
  <c r="S9" i="8" s="1"/>
  <c r="L10" i="7"/>
  <c r="M9" i="7"/>
  <c r="S9" i="7" s="1"/>
  <c r="L8" i="6"/>
  <c r="M7" i="6"/>
  <c r="S7" i="6" s="1"/>
  <c r="J24" i="5"/>
  <c r="R24" i="5" s="1"/>
  <c r="J13" i="5"/>
  <c r="R13" i="5" s="1"/>
  <c r="J14" i="5"/>
  <c r="R14" i="5" s="1"/>
  <c r="J9" i="5"/>
  <c r="R9" i="5" s="1"/>
  <c r="K9" i="5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J10" i="5"/>
  <c r="R10" i="5" s="1"/>
  <c r="L7" i="5"/>
  <c r="L8" i="5" s="1"/>
  <c r="M8" i="5" s="1"/>
  <c r="S8" i="5" s="1"/>
  <c r="M7" i="5"/>
  <c r="S7" i="5" s="1"/>
  <c r="J28" i="4"/>
  <c r="R28" i="4" s="1"/>
  <c r="J27" i="4"/>
  <c r="R27" i="4" s="1"/>
  <c r="K11" i="4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J11" i="4"/>
  <c r="R11" i="4" s="1"/>
  <c r="L8" i="4"/>
  <c r="M8" i="4" s="1"/>
  <c r="S8" i="4" s="1"/>
  <c r="L7" i="4"/>
  <c r="M7" i="4" s="1"/>
  <c r="S7" i="4" s="1"/>
  <c r="L9" i="4"/>
  <c r="J29" i="3"/>
  <c r="R29" i="3" s="1"/>
  <c r="J31" i="3"/>
  <c r="R31" i="3" s="1"/>
  <c r="J10" i="3"/>
  <c r="R10" i="3" s="1"/>
  <c r="J14" i="3"/>
  <c r="R14" i="3" s="1"/>
  <c r="J11" i="3"/>
  <c r="R11" i="3" s="1"/>
  <c r="J15" i="3"/>
  <c r="R15" i="3" s="1"/>
  <c r="J19" i="3"/>
  <c r="R19" i="3" s="1"/>
  <c r="J18" i="3"/>
  <c r="R18" i="3" s="1"/>
  <c r="J22" i="3"/>
  <c r="R22" i="3" s="1"/>
  <c r="J9" i="3"/>
  <c r="R9" i="3" s="1"/>
  <c r="K9" i="3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L8" i="3"/>
  <c r="M7" i="3"/>
  <c r="S7" i="3" s="1"/>
  <c r="J7" i="3"/>
  <c r="R7" i="3" s="1"/>
  <c r="S112" i="2"/>
  <c r="R112" i="2"/>
  <c r="M112" i="2"/>
  <c r="L112" i="2"/>
  <c r="K112" i="2"/>
  <c r="J112" i="2"/>
  <c r="I112" i="2"/>
  <c r="H112" i="2"/>
  <c r="S111" i="2"/>
  <c r="R111" i="2"/>
  <c r="M111" i="2"/>
  <c r="L111" i="2"/>
  <c r="K111" i="2"/>
  <c r="J111" i="2"/>
  <c r="I111" i="2"/>
  <c r="H111" i="2"/>
  <c r="S110" i="2"/>
  <c r="R110" i="2"/>
  <c r="M110" i="2"/>
  <c r="L110" i="2"/>
  <c r="K110" i="2"/>
  <c r="J110" i="2"/>
  <c r="I110" i="2"/>
  <c r="H110" i="2"/>
  <c r="S109" i="2"/>
  <c r="R109" i="2"/>
  <c r="M109" i="2"/>
  <c r="L109" i="2"/>
  <c r="K109" i="2"/>
  <c r="J109" i="2"/>
  <c r="I109" i="2"/>
  <c r="H109" i="2"/>
  <c r="S108" i="2"/>
  <c r="R108" i="2"/>
  <c r="M108" i="2"/>
  <c r="L108" i="2"/>
  <c r="K108" i="2"/>
  <c r="J108" i="2"/>
  <c r="I108" i="2"/>
  <c r="H108" i="2"/>
  <c r="S107" i="2"/>
  <c r="R107" i="2"/>
  <c r="M107" i="2"/>
  <c r="L107" i="2"/>
  <c r="K107" i="2"/>
  <c r="J107" i="2"/>
  <c r="I107" i="2"/>
  <c r="H107" i="2"/>
  <c r="S106" i="2"/>
  <c r="R106" i="2"/>
  <c r="M106" i="2"/>
  <c r="L106" i="2"/>
  <c r="K106" i="2"/>
  <c r="J106" i="2"/>
  <c r="I106" i="2"/>
  <c r="H106" i="2"/>
  <c r="S105" i="2"/>
  <c r="R105" i="2"/>
  <c r="M105" i="2"/>
  <c r="L105" i="2"/>
  <c r="K105" i="2"/>
  <c r="J105" i="2"/>
  <c r="I105" i="2"/>
  <c r="H105" i="2"/>
  <c r="S104" i="2"/>
  <c r="R104" i="2"/>
  <c r="M104" i="2"/>
  <c r="L104" i="2"/>
  <c r="K104" i="2"/>
  <c r="J104" i="2"/>
  <c r="I104" i="2"/>
  <c r="H104" i="2"/>
  <c r="S103" i="2"/>
  <c r="R103" i="2"/>
  <c r="M103" i="2"/>
  <c r="L103" i="2"/>
  <c r="K103" i="2"/>
  <c r="J103" i="2"/>
  <c r="I103" i="2"/>
  <c r="H103" i="2"/>
  <c r="S102" i="2"/>
  <c r="R102" i="2"/>
  <c r="M102" i="2"/>
  <c r="L102" i="2"/>
  <c r="K102" i="2"/>
  <c r="J102" i="2"/>
  <c r="I102" i="2"/>
  <c r="H102" i="2"/>
  <c r="S101" i="2"/>
  <c r="R101" i="2"/>
  <c r="M101" i="2"/>
  <c r="L101" i="2"/>
  <c r="K101" i="2"/>
  <c r="J101" i="2"/>
  <c r="I101" i="2"/>
  <c r="H101" i="2"/>
  <c r="S100" i="2"/>
  <c r="R100" i="2"/>
  <c r="M100" i="2"/>
  <c r="L100" i="2"/>
  <c r="K100" i="2"/>
  <c r="J100" i="2"/>
  <c r="I100" i="2"/>
  <c r="H100" i="2"/>
  <c r="S99" i="2"/>
  <c r="R99" i="2"/>
  <c r="M99" i="2"/>
  <c r="L99" i="2"/>
  <c r="K99" i="2"/>
  <c r="J99" i="2"/>
  <c r="I99" i="2"/>
  <c r="H99" i="2"/>
  <c r="S98" i="2"/>
  <c r="R98" i="2"/>
  <c r="M98" i="2"/>
  <c r="L98" i="2"/>
  <c r="K98" i="2"/>
  <c r="J98" i="2"/>
  <c r="I98" i="2"/>
  <c r="H98" i="2"/>
  <c r="S97" i="2"/>
  <c r="R97" i="2"/>
  <c r="M97" i="2"/>
  <c r="L97" i="2"/>
  <c r="K97" i="2"/>
  <c r="J97" i="2"/>
  <c r="I97" i="2"/>
  <c r="H97" i="2"/>
  <c r="S96" i="2"/>
  <c r="R96" i="2"/>
  <c r="M96" i="2"/>
  <c r="L96" i="2"/>
  <c r="K96" i="2"/>
  <c r="J96" i="2"/>
  <c r="I96" i="2"/>
  <c r="H96" i="2"/>
  <c r="S95" i="2"/>
  <c r="R95" i="2"/>
  <c r="M95" i="2"/>
  <c r="L95" i="2"/>
  <c r="K95" i="2"/>
  <c r="J95" i="2"/>
  <c r="I95" i="2"/>
  <c r="H95" i="2"/>
  <c r="S94" i="2"/>
  <c r="R94" i="2"/>
  <c r="M94" i="2"/>
  <c r="L94" i="2"/>
  <c r="K94" i="2"/>
  <c r="J94" i="2"/>
  <c r="I94" i="2"/>
  <c r="H94" i="2"/>
  <c r="S93" i="2"/>
  <c r="R93" i="2"/>
  <c r="M93" i="2"/>
  <c r="L93" i="2"/>
  <c r="K93" i="2"/>
  <c r="J93" i="2"/>
  <c r="I93" i="2"/>
  <c r="H93" i="2"/>
  <c r="S92" i="2"/>
  <c r="R92" i="2"/>
  <c r="M92" i="2"/>
  <c r="L92" i="2"/>
  <c r="K92" i="2"/>
  <c r="J92" i="2"/>
  <c r="I92" i="2"/>
  <c r="H92" i="2"/>
  <c r="S91" i="2"/>
  <c r="R91" i="2"/>
  <c r="M91" i="2"/>
  <c r="L91" i="2"/>
  <c r="K91" i="2"/>
  <c r="J91" i="2"/>
  <c r="I91" i="2"/>
  <c r="H91" i="2"/>
  <c r="S90" i="2"/>
  <c r="R90" i="2"/>
  <c r="M90" i="2"/>
  <c r="L90" i="2"/>
  <c r="K90" i="2"/>
  <c r="J90" i="2"/>
  <c r="I90" i="2"/>
  <c r="H90" i="2"/>
  <c r="S89" i="2"/>
  <c r="R89" i="2"/>
  <c r="M89" i="2"/>
  <c r="L89" i="2"/>
  <c r="K89" i="2"/>
  <c r="J89" i="2"/>
  <c r="I89" i="2"/>
  <c r="H89" i="2"/>
  <c r="S88" i="2"/>
  <c r="R88" i="2"/>
  <c r="M88" i="2"/>
  <c r="L88" i="2"/>
  <c r="K88" i="2"/>
  <c r="J88" i="2"/>
  <c r="I88" i="2"/>
  <c r="H88" i="2"/>
  <c r="S87" i="2"/>
  <c r="R87" i="2"/>
  <c r="M87" i="2"/>
  <c r="L87" i="2"/>
  <c r="K87" i="2"/>
  <c r="J87" i="2"/>
  <c r="I87" i="2"/>
  <c r="H87" i="2"/>
  <c r="S86" i="2"/>
  <c r="R86" i="2"/>
  <c r="M86" i="2"/>
  <c r="L86" i="2"/>
  <c r="K86" i="2"/>
  <c r="J86" i="2"/>
  <c r="I86" i="2"/>
  <c r="H86" i="2"/>
  <c r="S85" i="2"/>
  <c r="R85" i="2"/>
  <c r="M85" i="2"/>
  <c r="L85" i="2"/>
  <c r="K85" i="2"/>
  <c r="J85" i="2"/>
  <c r="I85" i="2"/>
  <c r="H85" i="2"/>
  <c r="S84" i="2"/>
  <c r="R84" i="2"/>
  <c r="M84" i="2"/>
  <c r="L84" i="2"/>
  <c r="K84" i="2"/>
  <c r="J84" i="2"/>
  <c r="I84" i="2"/>
  <c r="H84" i="2"/>
  <c r="S83" i="2"/>
  <c r="R83" i="2"/>
  <c r="M83" i="2"/>
  <c r="L83" i="2"/>
  <c r="K83" i="2"/>
  <c r="J83" i="2"/>
  <c r="I83" i="2"/>
  <c r="H83" i="2"/>
  <c r="S82" i="2"/>
  <c r="R82" i="2"/>
  <c r="M82" i="2"/>
  <c r="L82" i="2"/>
  <c r="K82" i="2"/>
  <c r="J82" i="2"/>
  <c r="I82" i="2"/>
  <c r="H82" i="2"/>
  <c r="S81" i="2"/>
  <c r="R81" i="2"/>
  <c r="M81" i="2"/>
  <c r="L81" i="2"/>
  <c r="K81" i="2"/>
  <c r="J81" i="2"/>
  <c r="I81" i="2"/>
  <c r="H81" i="2"/>
  <c r="S80" i="2"/>
  <c r="R80" i="2"/>
  <c r="M80" i="2"/>
  <c r="L80" i="2"/>
  <c r="K80" i="2"/>
  <c r="J80" i="2"/>
  <c r="I80" i="2"/>
  <c r="H80" i="2"/>
  <c r="S79" i="2"/>
  <c r="R79" i="2"/>
  <c r="M79" i="2"/>
  <c r="L79" i="2"/>
  <c r="K79" i="2"/>
  <c r="J79" i="2"/>
  <c r="I79" i="2"/>
  <c r="H79" i="2"/>
  <c r="S78" i="2"/>
  <c r="R78" i="2"/>
  <c r="M78" i="2"/>
  <c r="L78" i="2"/>
  <c r="K78" i="2"/>
  <c r="J78" i="2"/>
  <c r="I78" i="2"/>
  <c r="H78" i="2"/>
  <c r="S77" i="2"/>
  <c r="R77" i="2"/>
  <c r="M77" i="2"/>
  <c r="L77" i="2"/>
  <c r="K77" i="2"/>
  <c r="J77" i="2"/>
  <c r="I77" i="2"/>
  <c r="H77" i="2"/>
  <c r="S76" i="2"/>
  <c r="R76" i="2"/>
  <c r="M76" i="2"/>
  <c r="L76" i="2"/>
  <c r="K76" i="2"/>
  <c r="J76" i="2"/>
  <c r="I76" i="2"/>
  <c r="H76" i="2"/>
  <c r="S75" i="2"/>
  <c r="R75" i="2"/>
  <c r="M75" i="2"/>
  <c r="L75" i="2"/>
  <c r="K75" i="2"/>
  <c r="J75" i="2"/>
  <c r="I75" i="2"/>
  <c r="H75" i="2"/>
  <c r="S74" i="2"/>
  <c r="R74" i="2"/>
  <c r="M74" i="2"/>
  <c r="L74" i="2"/>
  <c r="K74" i="2"/>
  <c r="J74" i="2"/>
  <c r="I74" i="2"/>
  <c r="H74" i="2"/>
  <c r="S73" i="2"/>
  <c r="R73" i="2"/>
  <c r="M73" i="2"/>
  <c r="L73" i="2"/>
  <c r="K73" i="2"/>
  <c r="J73" i="2"/>
  <c r="I73" i="2"/>
  <c r="H73" i="2"/>
  <c r="S72" i="2"/>
  <c r="R72" i="2"/>
  <c r="M72" i="2"/>
  <c r="L72" i="2"/>
  <c r="K72" i="2"/>
  <c r="J72" i="2"/>
  <c r="I72" i="2"/>
  <c r="H72" i="2"/>
  <c r="S71" i="2"/>
  <c r="R71" i="2"/>
  <c r="M71" i="2"/>
  <c r="L71" i="2"/>
  <c r="K71" i="2"/>
  <c r="J71" i="2"/>
  <c r="I71" i="2"/>
  <c r="H71" i="2"/>
  <c r="S70" i="2"/>
  <c r="R70" i="2"/>
  <c r="M70" i="2"/>
  <c r="L70" i="2"/>
  <c r="K70" i="2"/>
  <c r="J70" i="2"/>
  <c r="I70" i="2"/>
  <c r="H70" i="2"/>
  <c r="S69" i="2"/>
  <c r="R69" i="2"/>
  <c r="M69" i="2"/>
  <c r="L69" i="2"/>
  <c r="K69" i="2"/>
  <c r="J69" i="2"/>
  <c r="I69" i="2"/>
  <c r="H69" i="2"/>
  <c r="S68" i="2"/>
  <c r="R68" i="2"/>
  <c r="M68" i="2"/>
  <c r="L68" i="2"/>
  <c r="K68" i="2"/>
  <c r="J68" i="2"/>
  <c r="I68" i="2"/>
  <c r="H68" i="2"/>
  <c r="S67" i="2"/>
  <c r="R67" i="2"/>
  <c r="M67" i="2"/>
  <c r="L67" i="2"/>
  <c r="K67" i="2"/>
  <c r="J67" i="2"/>
  <c r="I67" i="2"/>
  <c r="H67" i="2"/>
  <c r="S66" i="2"/>
  <c r="R66" i="2"/>
  <c r="M66" i="2"/>
  <c r="L66" i="2"/>
  <c r="K66" i="2"/>
  <c r="J66" i="2"/>
  <c r="I66" i="2"/>
  <c r="H66" i="2"/>
  <c r="S65" i="2"/>
  <c r="R65" i="2"/>
  <c r="M65" i="2"/>
  <c r="L65" i="2"/>
  <c r="K65" i="2"/>
  <c r="J65" i="2"/>
  <c r="I65" i="2"/>
  <c r="H65" i="2"/>
  <c r="S64" i="2"/>
  <c r="R64" i="2"/>
  <c r="M64" i="2"/>
  <c r="L64" i="2"/>
  <c r="K64" i="2"/>
  <c r="J64" i="2"/>
  <c r="I64" i="2"/>
  <c r="H64" i="2"/>
  <c r="S63" i="2"/>
  <c r="R63" i="2"/>
  <c r="M63" i="2"/>
  <c r="L63" i="2"/>
  <c r="K63" i="2"/>
  <c r="J63" i="2"/>
  <c r="I63" i="2"/>
  <c r="H63" i="2"/>
  <c r="S62" i="2"/>
  <c r="R62" i="2"/>
  <c r="M62" i="2"/>
  <c r="L62" i="2"/>
  <c r="K62" i="2"/>
  <c r="J62" i="2"/>
  <c r="I62" i="2"/>
  <c r="H62" i="2"/>
  <c r="S61" i="2"/>
  <c r="R61" i="2"/>
  <c r="M61" i="2"/>
  <c r="L61" i="2"/>
  <c r="K61" i="2"/>
  <c r="J61" i="2"/>
  <c r="I61" i="2"/>
  <c r="H61" i="2"/>
  <c r="S60" i="2"/>
  <c r="R60" i="2"/>
  <c r="M60" i="2"/>
  <c r="L60" i="2"/>
  <c r="K60" i="2"/>
  <c r="J60" i="2"/>
  <c r="I60" i="2"/>
  <c r="H60" i="2"/>
  <c r="S59" i="2"/>
  <c r="R59" i="2"/>
  <c r="M59" i="2"/>
  <c r="L59" i="2"/>
  <c r="K59" i="2"/>
  <c r="J59" i="2"/>
  <c r="I59" i="2"/>
  <c r="H59" i="2"/>
  <c r="S58" i="2"/>
  <c r="R58" i="2"/>
  <c r="M58" i="2"/>
  <c r="L58" i="2"/>
  <c r="K58" i="2"/>
  <c r="J58" i="2"/>
  <c r="I58" i="2"/>
  <c r="H58" i="2"/>
  <c r="S57" i="2"/>
  <c r="R57" i="2"/>
  <c r="M57" i="2"/>
  <c r="L57" i="2"/>
  <c r="K57" i="2"/>
  <c r="J57" i="2"/>
  <c r="I57" i="2"/>
  <c r="H57" i="2"/>
  <c r="S56" i="2"/>
  <c r="R56" i="2"/>
  <c r="M56" i="2"/>
  <c r="L56" i="2"/>
  <c r="K56" i="2"/>
  <c r="J56" i="2"/>
  <c r="I56" i="2"/>
  <c r="H56" i="2"/>
  <c r="S55" i="2"/>
  <c r="R55" i="2"/>
  <c r="M55" i="2"/>
  <c r="L55" i="2"/>
  <c r="K55" i="2"/>
  <c r="J55" i="2"/>
  <c r="I55" i="2"/>
  <c r="H55" i="2"/>
  <c r="S54" i="2"/>
  <c r="R54" i="2"/>
  <c r="M54" i="2"/>
  <c r="L54" i="2"/>
  <c r="K54" i="2"/>
  <c r="J54" i="2"/>
  <c r="I54" i="2"/>
  <c r="H54" i="2"/>
  <c r="S53" i="2"/>
  <c r="R53" i="2"/>
  <c r="M53" i="2"/>
  <c r="L53" i="2"/>
  <c r="K53" i="2"/>
  <c r="J53" i="2"/>
  <c r="I53" i="2"/>
  <c r="H53" i="2"/>
  <c r="S52" i="2"/>
  <c r="R52" i="2"/>
  <c r="M52" i="2"/>
  <c r="L52" i="2"/>
  <c r="K52" i="2"/>
  <c r="J52" i="2"/>
  <c r="I52" i="2"/>
  <c r="H52" i="2"/>
  <c r="S51" i="2"/>
  <c r="R51" i="2"/>
  <c r="M51" i="2"/>
  <c r="L51" i="2"/>
  <c r="K51" i="2"/>
  <c r="J51" i="2"/>
  <c r="I51" i="2"/>
  <c r="H51" i="2"/>
  <c r="S50" i="2"/>
  <c r="R50" i="2"/>
  <c r="M50" i="2"/>
  <c r="L50" i="2"/>
  <c r="K50" i="2"/>
  <c r="J50" i="2"/>
  <c r="I50" i="2"/>
  <c r="H50" i="2"/>
  <c r="S49" i="2"/>
  <c r="R49" i="2"/>
  <c r="M49" i="2"/>
  <c r="L49" i="2"/>
  <c r="K49" i="2"/>
  <c r="J49" i="2"/>
  <c r="I49" i="2"/>
  <c r="H49" i="2"/>
  <c r="S48" i="2"/>
  <c r="R48" i="2"/>
  <c r="M48" i="2"/>
  <c r="L48" i="2"/>
  <c r="K48" i="2"/>
  <c r="J48" i="2"/>
  <c r="I48" i="2"/>
  <c r="H48" i="2"/>
  <c r="S47" i="2"/>
  <c r="R47" i="2"/>
  <c r="M47" i="2"/>
  <c r="L47" i="2"/>
  <c r="K47" i="2"/>
  <c r="J47" i="2"/>
  <c r="I47" i="2"/>
  <c r="H47" i="2"/>
  <c r="S46" i="2"/>
  <c r="R46" i="2"/>
  <c r="M46" i="2"/>
  <c r="L46" i="2"/>
  <c r="K46" i="2"/>
  <c r="J46" i="2"/>
  <c r="I46" i="2"/>
  <c r="H46" i="2"/>
  <c r="S45" i="2"/>
  <c r="R45" i="2"/>
  <c r="M45" i="2"/>
  <c r="L45" i="2"/>
  <c r="K45" i="2"/>
  <c r="J45" i="2"/>
  <c r="I45" i="2"/>
  <c r="H45" i="2"/>
  <c r="S44" i="2"/>
  <c r="R44" i="2"/>
  <c r="M44" i="2"/>
  <c r="L44" i="2"/>
  <c r="K44" i="2"/>
  <c r="J44" i="2"/>
  <c r="I44" i="2"/>
  <c r="H44" i="2"/>
  <c r="S43" i="2"/>
  <c r="R43" i="2"/>
  <c r="M43" i="2"/>
  <c r="L43" i="2"/>
  <c r="K43" i="2"/>
  <c r="J43" i="2"/>
  <c r="I43" i="2"/>
  <c r="H43" i="2"/>
  <c r="I42" i="2"/>
  <c r="J42" i="2" s="1"/>
  <c r="R42" i="2" s="1"/>
  <c r="H42" i="2"/>
  <c r="I41" i="2"/>
  <c r="J41" i="2" s="1"/>
  <c r="R41" i="2" s="1"/>
  <c r="H41" i="2"/>
  <c r="I40" i="2"/>
  <c r="J40" i="2" s="1"/>
  <c r="R40" i="2" s="1"/>
  <c r="H40" i="2"/>
  <c r="I39" i="2"/>
  <c r="J39" i="2" s="1"/>
  <c r="R39" i="2" s="1"/>
  <c r="H39" i="2"/>
  <c r="I38" i="2"/>
  <c r="J38" i="2" s="1"/>
  <c r="R38" i="2" s="1"/>
  <c r="H38" i="2"/>
  <c r="I37" i="2"/>
  <c r="J37" i="2" s="1"/>
  <c r="R37" i="2" s="1"/>
  <c r="H37" i="2"/>
  <c r="I36" i="2"/>
  <c r="J36" i="2" s="1"/>
  <c r="R36" i="2" s="1"/>
  <c r="H36" i="2"/>
  <c r="I35" i="2"/>
  <c r="J35" i="2" s="1"/>
  <c r="R35" i="2" s="1"/>
  <c r="H35" i="2"/>
  <c r="I34" i="2"/>
  <c r="J34" i="2" s="1"/>
  <c r="R34" i="2" s="1"/>
  <c r="H34" i="2"/>
  <c r="I33" i="2"/>
  <c r="J33" i="2" s="1"/>
  <c r="R33" i="2" s="1"/>
  <c r="H33" i="2"/>
  <c r="I32" i="2"/>
  <c r="J32" i="2" s="1"/>
  <c r="R32" i="2" s="1"/>
  <c r="H32" i="2"/>
  <c r="I31" i="2"/>
  <c r="J31" i="2" s="1"/>
  <c r="R31" i="2" s="1"/>
  <c r="H31" i="2"/>
  <c r="I30" i="2"/>
  <c r="J30" i="2" s="1"/>
  <c r="R30" i="2" s="1"/>
  <c r="H30" i="2"/>
  <c r="I29" i="2"/>
  <c r="J29" i="2" s="1"/>
  <c r="R29" i="2" s="1"/>
  <c r="H29" i="2"/>
  <c r="I28" i="2"/>
  <c r="J28" i="2" s="1"/>
  <c r="R28" i="2" s="1"/>
  <c r="H28" i="2"/>
  <c r="I27" i="2"/>
  <c r="J27" i="2" s="1"/>
  <c r="R27" i="2" s="1"/>
  <c r="H27" i="2"/>
  <c r="I26" i="2"/>
  <c r="J26" i="2" s="1"/>
  <c r="R26" i="2" s="1"/>
  <c r="H26" i="2"/>
  <c r="I25" i="2"/>
  <c r="J25" i="2" s="1"/>
  <c r="R25" i="2" s="1"/>
  <c r="H25" i="2"/>
  <c r="I24" i="2"/>
  <c r="J24" i="2" s="1"/>
  <c r="R24" i="2" s="1"/>
  <c r="H24" i="2"/>
  <c r="I23" i="2"/>
  <c r="J23" i="2" s="1"/>
  <c r="R23" i="2" s="1"/>
  <c r="H23" i="2"/>
  <c r="I22" i="2"/>
  <c r="J22" i="2" s="1"/>
  <c r="R22" i="2" s="1"/>
  <c r="H22" i="2"/>
  <c r="I21" i="2"/>
  <c r="H21" i="2"/>
  <c r="I20" i="2"/>
  <c r="J20" i="2" s="1"/>
  <c r="R20" i="2" s="1"/>
  <c r="H20" i="2"/>
  <c r="I19" i="2"/>
  <c r="J19" i="2" s="1"/>
  <c r="R19" i="2" s="1"/>
  <c r="H19" i="2"/>
  <c r="J18" i="2"/>
  <c r="R18" i="2" s="1"/>
  <c r="I18" i="2"/>
  <c r="H18" i="2"/>
  <c r="I17" i="2"/>
  <c r="H17" i="2"/>
  <c r="H16" i="2"/>
  <c r="I16" i="2"/>
  <c r="J16" i="2" s="1"/>
  <c r="R16" i="2" s="1"/>
  <c r="H15" i="2"/>
  <c r="I15" i="2"/>
  <c r="H14" i="2"/>
  <c r="I14" i="2"/>
  <c r="J14" i="2" s="1"/>
  <c r="R14" i="2" s="1"/>
  <c r="I13" i="2"/>
  <c r="H13" i="2"/>
  <c r="H12" i="2"/>
  <c r="I12" i="2"/>
  <c r="J12" i="2" s="1"/>
  <c r="R12" i="2" s="1"/>
  <c r="I11" i="2"/>
  <c r="H11" i="2"/>
  <c r="I10" i="2"/>
  <c r="H10" i="2"/>
  <c r="H9" i="2"/>
  <c r="I9" i="2"/>
  <c r="J9" i="2" s="1"/>
  <c r="R9" i="2" s="1"/>
  <c r="I8" i="2"/>
  <c r="H8" i="2"/>
  <c r="I7" i="2"/>
  <c r="L7" i="2" s="1"/>
  <c r="H7" i="2"/>
  <c r="K7" i="2" s="1"/>
  <c r="K8" i="2" s="1"/>
  <c r="K9" i="2" s="1"/>
  <c r="K10" i="2" s="1"/>
  <c r="K11" i="2" s="1"/>
  <c r="K12" i="2" s="1"/>
  <c r="G19" i="1"/>
  <c r="G18" i="1"/>
  <c r="G16" i="1"/>
  <c r="I16" i="1" s="1"/>
  <c r="G15" i="1"/>
  <c r="G14" i="1"/>
  <c r="G12" i="1"/>
  <c r="G9" i="1"/>
  <c r="G8" i="1"/>
  <c r="S112" i="1"/>
  <c r="R112" i="1"/>
  <c r="M112" i="1"/>
  <c r="L112" i="1"/>
  <c r="K112" i="1"/>
  <c r="J112" i="1"/>
  <c r="I112" i="1"/>
  <c r="H112" i="1"/>
  <c r="S111" i="1"/>
  <c r="R111" i="1"/>
  <c r="M111" i="1"/>
  <c r="L111" i="1"/>
  <c r="K111" i="1"/>
  <c r="J111" i="1"/>
  <c r="I111" i="1"/>
  <c r="H111" i="1"/>
  <c r="S110" i="1"/>
  <c r="R110" i="1"/>
  <c r="M110" i="1"/>
  <c r="L110" i="1"/>
  <c r="K110" i="1"/>
  <c r="J110" i="1"/>
  <c r="I110" i="1"/>
  <c r="H110" i="1"/>
  <c r="S109" i="1"/>
  <c r="R109" i="1"/>
  <c r="M109" i="1"/>
  <c r="L109" i="1"/>
  <c r="K109" i="1"/>
  <c r="J109" i="1"/>
  <c r="I109" i="1"/>
  <c r="H109" i="1"/>
  <c r="S108" i="1"/>
  <c r="R108" i="1"/>
  <c r="M108" i="1"/>
  <c r="L108" i="1"/>
  <c r="K108" i="1"/>
  <c r="J108" i="1"/>
  <c r="I108" i="1"/>
  <c r="H108" i="1"/>
  <c r="S107" i="1"/>
  <c r="R107" i="1"/>
  <c r="M107" i="1"/>
  <c r="L107" i="1"/>
  <c r="K107" i="1"/>
  <c r="J107" i="1"/>
  <c r="I107" i="1"/>
  <c r="H107" i="1"/>
  <c r="S106" i="1"/>
  <c r="R106" i="1"/>
  <c r="M106" i="1"/>
  <c r="L106" i="1"/>
  <c r="K106" i="1"/>
  <c r="J106" i="1"/>
  <c r="I106" i="1"/>
  <c r="H106" i="1"/>
  <c r="S105" i="1"/>
  <c r="R105" i="1"/>
  <c r="M105" i="1"/>
  <c r="L105" i="1"/>
  <c r="K105" i="1"/>
  <c r="J105" i="1"/>
  <c r="I105" i="1"/>
  <c r="H105" i="1"/>
  <c r="S104" i="1"/>
  <c r="R104" i="1"/>
  <c r="M104" i="1"/>
  <c r="L104" i="1"/>
  <c r="K104" i="1"/>
  <c r="J104" i="1"/>
  <c r="I104" i="1"/>
  <c r="H104" i="1"/>
  <c r="S103" i="1"/>
  <c r="R103" i="1"/>
  <c r="M103" i="1"/>
  <c r="L103" i="1"/>
  <c r="K103" i="1"/>
  <c r="J103" i="1"/>
  <c r="I103" i="1"/>
  <c r="H103" i="1"/>
  <c r="S102" i="1"/>
  <c r="R102" i="1"/>
  <c r="M102" i="1"/>
  <c r="L102" i="1"/>
  <c r="K102" i="1"/>
  <c r="J102" i="1"/>
  <c r="I102" i="1"/>
  <c r="H102" i="1"/>
  <c r="S101" i="1"/>
  <c r="R101" i="1"/>
  <c r="M101" i="1"/>
  <c r="L101" i="1"/>
  <c r="K101" i="1"/>
  <c r="J101" i="1"/>
  <c r="I101" i="1"/>
  <c r="H101" i="1"/>
  <c r="S100" i="1"/>
  <c r="R100" i="1"/>
  <c r="M100" i="1"/>
  <c r="L100" i="1"/>
  <c r="K100" i="1"/>
  <c r="J100" i="1"/>
  <c r="I100" i="1"/>
  <c r="H100" i="1"/>
  <c r="S99" i="1"/>
  <c r="R99" i="1"/>
  <c r="M99" i="1"/>
  <c r="L99" i="1"/>
  <c r="K99" i="1"/>
  <c r="J99" i="1"/>
  <c r="I99" i="1"/>
  <c r="H99" i="1"/>
  <c r="S98" i="1"/>
  <c r="R98" i="1"/>
  <c r="M98" i="1"/>
  <c r="L98" i="1"/>
  <c r="K98" i="1"/>
  <c r="J98" i="1"/>
  <c r="I98" i="1"/>
  <c r="H98" i="1"/>
  <c r="S97" i="1"/>
  <c r="R97" i="1"/>
  <c r="M97" i="1"/>
  <c r="L97" i="1"/>
  <c r="K97" i="1"/>
  <c r="J97" i="1"/>
  <c r="I97" i="1"/>
  <c r="H97" i="1"/>
  <c r="S96" i="1"/>
  <c r="R96" i="1"/>
  <c r="M96" i="1"/>
  <c r="L96" i="1"/>
  <c r="K96" i="1"/>
  <c r="J96" i="1"/>
  <c r="I96" i="1"/>
  <c r="H96" i="1"/>
  <c r="S95" i="1"/>
  <c r="R95" i="1"/>
  <c r="M95" i="1"/>
  <c r="L95" i="1"/>
  <c r="K95" i="1"/>
  <c r="J95" i="1"/>
  <c r="I95" i="1"/>
  <c r="H95" i="1"/>
  <c r="S94" i="1"/>
  <c r="R94" i="1"/>
  <c r="M94" i="1"/>
  <c r="L94" i="1"/>
  <c r="K94" i="1"/>
  <c r="J94" i="1"/>
  <c r="I94" i="1"/>
  <c r="H94" i="1"/>
  <c r="S93" i="1"/>
  <c r="R93" i="1"/>
  <c r="M93" i="1"/>
  <c r="L93" i="1"/>
  <c r="K93" i="1"/>
  <c r="J93" i="1"/>
  <c r="I93" i="1"/>
  <c r="H93" i="1"/>
  <c r="S92" i="1"/>
  <c r="R92" i="1"/>
  <c r="M92" i="1"/>
  <c r="L92" i="1"/>
  <c r="K92" i="1"/>
  <c r="J92" i="1"/>
  <c r="I92" i="1"/>
  <c r="H92" i="1"/>
  <c r="S91" i="1"/>
  <c r="R91" i="1"/>
  <c r="M91" i="1"/>
  <c r="L91" i="1"/>
  <c r="K91" i="1"/>
  <c r="J91" i="1"/>
  <c r="I91" i="1"/>
  <c r="H91" i="1"/>
  <c r="S90" i="1"/>
  <c r="R90" i="1"/>
  <c r="M90" i="1"/>
  <c r="L90" i="1"/>
  <c r="K90" i="1"/>
  <c r="J90" i="1"/>
  <c r="I90" i="1"/>
  <c r="H90" i="1"/>
  <c r="S89" i="1"/>
  <c r="R89" i="1"/>
  <c r="M89" i="1"/>
  <c r="L89" i="1"/>
  <c r="K89" i="1"/>
  <c r="J89" i="1"/>
  <c r="I89" i="1"/>
  <c r="H89" i="1"/>
  <c r="S88" i="1"/>
  <c r="R88" i="1"/>
  <c r="M88" i="1"/>
  <c r="L88" i="1"/>
  <c r="K88" i="1"/>
  <c r="J88" i="1"/>
  <c r="I88" i="1"/>
  <c r="H88" i="1"/>
  <c r="S87" i="1"/>
  <c r="R87" i="1"/>
  <c r="M87" i="1"/>
  <c r="L87" i="1"/>
  <c r="K87" i="1"/>
  <c r="J87" i="1"/>
  <c r="I87" i="1"/>
  <c r="H87" i="1"/>
  <c r="S86" i="1"/>
  <c r="R86" i="1"/>
  <c r="M86" i="1"/>
  <c r="L86" i="1"/>
  <c r="K86" i="1"/>
  <c r="J86" i="1"/>
  <c r="I86" i="1"/>
  <c r="H86" i="1"/>
  <c r="S85" i="1"/>
  <c r="R85" i="1"/>
  <c r="M85" i="1"/>
  <c r="L85" i="1"/>
  <c r="K85" i="1"/>
  <c r="J85" i="1"/>
  <c r="I85" i="1"/>
  <c r="H85" i="1"/>
  <c r="S84" i="1"/>
  <c r="R84" i="1"/>
  <c r="M84" i="1"/>
  <c r="L84" i="1"/>
  <c r="K84" i="1"/>
  <c r="J84" i="1"/>
  <c r="I84" i="1"/>
  <c r="H84" i="1"/>
  <c r="S83" i="1"/>
  <c r="R83" i="1"/>
  <c r="M83" i="1"/>
  <c r="L83" i="1"/>
  <c r="K83" i="1"/>
  <c r="J83" i="1"/>
  <c r="I83" i="1"/>
  <c r="H83" i="1"/>
  <c r="S82" i="1"/>
  <c r="R82" i="1"/>
  <c r="M82" i="1"/>
  <c r="L82" i="1"/>
  <c r="K82" i="1"/>
  <c r="J82" i="1"/>
  <c r="I82" i="1"/>
  <c r="H82" i="1"/>
  <c r="S81" i="1"/>
  <c r="R81" i="1"/>
  <c r="M81" i="1"/>
  <c r="L81" i="1"/>
  <c r="K81" i="1"/>
  <c r="J81" i="1"/>
  <c r="I81" i="1"/>
  <c r="H81" i="1"/>
  <c r="S80" i="1"/>
  <c r="R80" i="1"/>
  <c r="M80" i="1"/>
  <c r="L80" i="1"/>
  <c r="K80" i="1"/>
  <c r="J80" i="1"/>
  <c r="I80" i="1"/>
  <c r="H80" i="1"/>
  <c r="S79" i="1"/>
  <c r="R79" i="1"/>
  <c r="M79" i="1"/>
  <c r="L79" i="1"/>
  <c r="K79" i="1"/>
  <c r="J79" i="1"/>
  <c r="I79" i="1"/>
  <c r="H79" i="1"/>
  <c r="S78" i="1"/>
  <c r="R78" i="1"/>
  <c r="M78" i="1"/>
  <c r="L78" i="1"/>
  <c r="K78" i="1"/>
  <c r="J78" i="1"/>
  <c r="I78" i="1"/>
  <c r="H78" i="1"/>
  <c r="S77" i="1"/>
  <c r="R77" i="1"/>
  <c r="M77" i="1"/>
  <c r="L77" i="1"/>
  <c r="K77" i="1"/>
  <c r="J77" i="1"/>
  <c r="I77" i="1"/>
  <c r="H77" i="1"/>
  <c r="S76" i="1"/>
  <c r="R76" i="1"/>
  <c r="M76" i="1"/>
  <c r="L76" i="1"/>
  <c r="K76" i="1"/>
  <c r="J76" i="1"/>
  <c r="I76" i="1"/>
  <c r="H76" i="1"/>
  <c r="S75" i="1"/>
  <c r="R75" i="1"/>
  <c r="M75" i="1"/>
  <c r="L75" i="1"/>
  <c r="K75" i="1"/>
  <c r="J75" i="1"/>
  <c r="I75" i="1"/>
  <c r="H75" i="1"/>
  <c r="S74" i="1"/>
  <c r="R74" i="1"/>
  <c r="M74" i="1"/>
  <c r="L74" i="1"/>
  <c r="K74" i="1"/>
  <c r="J74" i="1"/>
  <c r="I74" i="1"/>
  <c r="H74" i="1"/>
  <c r="S73" i="1"/>
  <c r="R73" i="1"/>
  <c r="M73" i="1"/>
  <c r="L73" i="1"/>
  <c r="K73" i="1"/>
  <c r="J73" i="1"/>
  <c r="I73" i="1"/>
  <c r="H73" i="1"/>
  <c r="S72" i="1"/>
  <c r="R72" i="1"/>
  <c r="M72" i="1"/>
  <c r="L72" i="1"/>
  <c r="K72" i="1"/>
  <c r="J72" i="1"/>
  <c r="I72" i="1"/>
  <c r="H72" i="1"/>
  <c r="S71" i="1"/>
  <c r="R71" i="1"/>
  <c r="M71" i="1"/>
  <c r="L71" i="1"/>
  <c r="K71" i="1"/>
  <c r="J71" i="1"/>
  <c r="I71" i="1"/>
  <c r="H71" i="1"/>
  <c r="S70" i="1"/>
  <c r="R70" i="1"/>
  <c r="M70" i="1"/>
  <c r="L70" i="1"/>
  <c r="K70" i="1"/>
  <c r="J70" i="1"/>
  <c r="I70" i="1"/>
  <c r="H70" i="1"/>
  <c r="S69" i="1"/>
  <c r="R69" i="1"/>
  <c r="M69" i="1"/>
  <c r="L69" i="1"/>
  <c r="K69" i="1"/>
  <c r="J69" i="1"/>
  <c r="I69" i="1"/>
  <c r="H69" i="1"/>
  <c r="S68" i="1"/>
  <c r="R68" i="1"/>
  <c r="M68" i="1"/>
  <c r="L68" i="1"/>
  <c r="K68" i="1"/>
  <c r="J68" i="1"/>
  <c r="I68" i="1"/>
  <c r="H68" i="1"/>
  <c r="S67" i="1"/>
  <c r="R67" i="1"/>
  <c r="M67" i="1"/>
  <c r="L67" i="1"/>
  <c r="K67" i="1"/>
  <c r="J67" i="1"/>
  <c r="I67" i="1"/>
  <c r="H67" i="1"/>
  <c r="S66" i="1"/>
  <c r="R66" i="1"/>
  <c r="M66" i="1"/>
  <c r="L66" i="1"/>
  <c r="K66" i="1"/>
  <c r="J66" i="1"/>
  <c r="I66" i="1"/>
  <c r="H66" i="1"/>
  <c r="S65" i="1"/>
  <c r="R65" i="1"/>
  <c r="M65" i="1"/>
  <c r="L65" i="1"/>
  <c r="K65" i="1"/>
  <c r="J65" i="1"/>
  <c r="I65" i="1"/>
  <c r="H65" i="1"/>
  <c r="S64" i="1"/>
  <c r="R64" i="1"/>
  <c r="M64" i="1"/>
  <c r="L64" i="1"/>
  <c r="K64" i="1"/>
  <c r="J64" i="1"/>
  <c r="I64" i="1"/>
  <c r="H64" i="1"/>
  <c r="S63" i="1"/>
  <c r="R63" i="1"/>
  <c r="M63" i="1"/>
  <c r="L63" i="1"/>
  <c r="K63" i="1"/>
  <c r="J63" i="1"/>
  <c r="I63" i="1"/>
  <c r="H63" i="1"/>
  <c r="S62" i="1"/>
  <c r="R62" i="1"/>
  <c r="M62" i="1"/>
  <c r="L62" i="1"/>
  <c r="K62" i="1"/>
  <c r="J62" i="1"/>
  <c r="I62" i="1"/>
  <c r="H62" i="1"/>
  <c r="S61" i="1"/>
  <c r="R61" i="1"/>
  <c r="M61" i="1"/>
  <c r="L61" i="1"/>
  <c r="K61" i="1"/>
  <c r="J61" i="1"/>
  <c r="I61" i="1"/>
  <c r="H61" i="1"/>
  <c r="S60" i="1"/>
  <c r="R60" i="1"/>
  <c r="M60" i="1"/>
  <c r="L60" i="1"/>
  <c r="K60" i="1"/>
  <c r="J60" i="1"/>
  <c r="I60" i="1"/>
  <c r="H60" i="1"/>
  <c r="S59" i="1"/>
  <c r="R59" i="1"/>
  <c r="M59" i="1"/>
  <c r="L59" i="1"/>
  <c r="K59" i="1"/>
  <c r="J59" i="1"/>
  <c r="I59" i="1"/>
  <c r="H59" i="1"/>
  <c r="S58" i="1"/>
  <c r="R58" i="1"/>
  <c r="M58" i="1"/>
  <c r="L58" i="1"/>
  <c r="K58" i="1"/>
  <c r="J58" i="1"/>
  <c r="I58" i="1"/>
  <c r="H58" i="1"/>
  <c r="S57" i="1"/>
  <c r="R57" i="1"/>
  <c r="M57" i="1"/>
  <c r="L57" i="1"/>
  <c r="K57" i="1"/>
  <c r="J57" i="1"/>
  <c r="I57" i="1"/>
  <c r="H57" i="1"/>
  <c r="S56" i="1"/>
  <c r="R56" i="1"/>
  <c r="M56" i="1"/>
  <c r="L56" i="1"/>
  <c r="K56" i="1"/>
  <c r="J56" i="1"/>
  <c r="I56" i="1"/>
  <c r="H56" i="1"/>
  <c r="S55" i="1"/>
  <c r="R55" i="1"/>
  <c r="M55" i="1"/>
  <c r="L55" i="1"/>
  <c r="K55" i="1"/>
  <c r="J55" i="1"/>
  <c r="I55" i="1"/>
  <c r="H55" i="1"/>
  <c r="S54" i="1"/>
  <c r="R54" i="1"/>
  <c r="M54" i="1"/>
  <c r="L54" i="1"/>
  <c r="K54" i="1"/>
  <c r="J54" i="1"/>
  <c r="I54" i="1"/>
  <c r="H54" i="1"/>
  <c r="S53" i="1"/>
  <c r="R53" i="1"/>
  <c r="M53" i="1"/>
  <c r="L53" i="1"/>
  <c r="K53" i="1"/>
  <c r="J53" i="1"/>
  <c r="I53" i="1"/>
  <c r="H53" i="1"/>
  <c r="S52" i="1"/>
  <c r="R52" i="1"/>
  <c r="M52" i="1"/>
  <c r="L52" i="1"/>
  <c r="K52" i="1"/>
  <c r="J52" i="1"/>
  <c r="I52" i="1"/>
  <c r="H52" i="1"/>
  <c r="S51" i="1"/>
  <c r="R51" i="1"/>
  <c r="M51" i="1"/>
  <c r="L51" i="1"/>
  <c r="K51" i="1"/>
  <c r="J51" i="1"/>
  <c r="I51" i="1"/>
  <c r="H51" i="1"/>
  <c r="S50" i="1"/>
  <c r="R50" i="1"/>
  <c r="M50" i="1"/>
  <c r="L50" i="1"/>
  <c r="K50" i="1"/>
  <c r="J50" i="1"/>
  <c r="I50" i="1"/>
  <c r="H50" i="1"/>
  <c r="S49" i="1"/>
  <c r="R49" i="1"/>
  <c r="M49" i="1"/>
  <c r="L49" i="1"/>
  <c r="K49" i="1"/>
  <c r="J49" i="1"/>
  <c r="I49" i="1"/>
  <c r="H49" i="1"/>
  <c r="S48" i="1"/>
  <c r="R48" i="1"/>
  <c r="M48" i="1"/>
  <c r="L48" i="1"/>
  <c r="K48" i="1"/>
  <c r="J48" i="1"/>
  <c r="I48" i="1"/>
  <c r="H48" i="1"/>
  <c r="S47" i="1"/>
  <c r="R47" i="1"/>
  <c r="M47" i="1"/>
  <c r="L47" i="1"/>
  <c r="K47" i="1"/>
  <c r="J47" i="1"/>
  <c r="I47" i="1"/>
  <c r="H47" i="1"/>
  <c r="S46" i="1"/>
  <c r="R46" i="1"/>
  <c r="M46" i="1"/>
  <c r="L46" i="1"/>
  <c r="K46" i="1"/>
  <c r="J46" i="1"/>
  <c r="I46" i="1"/>
  <c r="H46" i="1"/>
  <c r="S45" i="1"/>
  <c r="R45" i="1"/>
  <c r="M45" i="1"/>
  <c r="L45" i="1"/>
  <c r="K45" i="1"/>
  <c r="J45" i="1"/>
  <c r="I45" i="1"/>
  <c r="H45" i="1"/>
  <c r="S44" i="1"/>
  <c r="R44" i="1"/>
  <c r="M44" i="1"/>
  <c r="L44" i="1"/>
  <c r="K44" i="1"/>
  <c r="J44" i="1"/>
  <c r="I44" i="1"/>
  <c r="H44" i="1"/>
  <c r="S43" i="1"/>
  <c r="R43" i="1"/>
  <c r="M43" i="1"/>
  <c r="L43" i="1"/>
  <c r="K43" i="1"/>
  <c r="J43" i="1"/>
  <c r="I43" i="1"/>
  <c r="H43" i="1"/>
  <c r="I42" i="1"/>
  <c r="J42" i="1" s="1"/>
  <c r="R42" i="1" s="1"/>
  <c r="H42" i="1"/>
  <c r="I41" i="1"/>
  <c r="H41" i="1"/>
  <c r="I40" i="1"/>
  <c r="H40" i="1"/>
  <c r="J40" i="1" s="1"/>
  <c r="R40" i="1" s="1"/>
  <c r="I39" i="1"/>
  <c r="H39" i="1"/>
  <c r="I38" i="1"/>
  <c r="J38" i="1" s="1"/>
  <c r="R38" i="1" s="1"/>
  <c r="H38" i="1"/>
  <c r="I37" i="1"/>
  <c r="J37" i="1" s="1"/>
  <c r="R37" i="1" s="1"/>
  <c r="H37" i="1"/>
  <c r="I36" i="1"/>
  <c r="H36" i="1"/>
  <c r="I35" i="1"/>
  <c r="H35" i="1"/>
  <c r="I34" i="1"/>
  <c r="J34" i="1" s="1"/>
  <c r="R34" i="1" s="1"/>
  <c r="H34" i="1"/>
  <c r="I33" i="1"/>
  <c r="H33" i="1"/>
  <c r="I32" i="1"/>
  <c r="J32" i="1" s="1"/>
  <c r="R32" i="1" s="1"/>
  <c r="H32" i="1"/>
  <c r="J31" i="1"/>
  <c r="R31" i="1" s="1"/>
  <c r="I31" i="1"/>
  <c r="H31" i="1"/>
  <c r="I30" i="1"/>
  <c r="J30" i="1" s="1"/>
  <c r="R30" i="1" s="1"/>
  <c r="H30" i="1"/>
  <c r="I29" i="1"/>
  <c r="H29" i="1"/>
  <c r="I28" i="1"/>
  <c r="H28" i="1"/>
  <c r="I27" i="1"/>
  <c r="H27" i="1"/>
  <c r="I26" i="1"/>
  <c r="J26" i="1" s="1"/>
  <c r="R26" i="1" s="1"/>
  <c r="H26" i="1"/>
  <c r="I25" i="1"/>
  <c r="H25" i="1"/>
  <c r="I24" i="1"/>
  <c r="H24" i="1"/>
  <c r="I23" i="1"/>
  <c r="H23" i="1"/>
  <c r="I22" i="1"/>
  <c r="H22" i="1"/>
  <c r="J21" i="1"/>
  <c r="R21" i="1" s="1"/>
  <c r="I21" i="1"/>
  <c r="H21" i="1"/>
  <c r="I20" i="1"/>
  <c r="H20" i="1"/>
  <c r="J19" i="1"/>
  <c r="R19" i="1" s="1"/>
  <c r="I19" i="1"/>
  <c r="H19" i="1"/>
  <c r="I18" i="1"/>
  <c r="H18" i="1"/>
  <c r="I17" i="1"/>
  <c r="J17" i="1" s="1"/>
  <c r="R17" i="1" s="1"/>
  <c r="H17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L7" i="1" s="1"/>
  <c r="H7" i="1"/>
  <c r="K7" i="1" s="1"/>
  <c r="J18" i="1" l="1"/>
  <c r="R18" i="1" s="1"/>
  <c r="J25" i="1"/>
  <c r="R25" i="1" s="1"/>
  <c r="J41" i="1"/>
  <c r="R41" i="1" s="1"/>
  <c r="J16" i="1"/>
  <c r="R16" i="1" s="1"/>
  <c r="L9" i="5"/>
  <c r="M11" i="18"/>
  <c r="S11" i="18" s="1"/>
  <c r="L12" i="18"/>
  <c r="M12" i="18" s="1"/>
  <c r="S12" i="18" s="1"/>
  <c r="J14" i="1"/>
  <c r="R14" i="1" s="1"/>
  <c r="J15" i="1"/>
  <c r="R15" i="1" s="1"/>
  <c r="J36" i="1"/>
  <c r="R36" i="1" s="1"/>
  <c r="J11" i="2"/>
  <c r="R11" i="2" s="1"/>
  <c r="J17" i="2"/>
  <c r="R17" i="2" s="1"/>
  <c r="J8" i="2"/>
  <c r="R8" i="2" s="1"/>
  <c r="J10" i="2"/>
  <c r="R10" i="2" s="1"/>
  <c r="M49" i="20"/>
  <c r="S49" i="20" s="1"/>
  <c r="L50" i="20"/>
  <c r="L12" i="19"/>
  <c r="M11" i="19"/>
  <c r="S11" i="19" s="1"/>
  <c r="L10" i="17"/>
  <c r="M9" i="17"/>
  <c r="S9" i="17" s="1"/>
  <c r="M9" i="16"/>
  <c r="S9" i="16" s="1"/>
  <c r="L10" i="16"/>
  <c r="L11" i="15"/>
  <c r="M10" i="15"/>
  <c r="S10" i="15" s="1"/>
  <c r="M10" i="14"/>
  <c r="S10" i="14" s="1"/>
  <c r="L11" i="14"/>
  <c r="M10" i="13"/>
  <c r="S10" i="13" s="1"/>
  <c r="L11" i="13"/>
  <c r="M10" i="12"/>
  <c r="S10" i="12" s="1"/>
  <c r="L11" i="12"/>
  <c r="M10" i="11"/>
  <c r="S10" i="11" s="1"/>
  <c r="L11" i="11"/>
  <c r="L11" i="10"/>
  <c r="M10" i="10"/>
  <c r="S10" i="10" s="1"/>
  <c r="M10" i="9"/>
  <c r="S10" i="9" s="1"/>
  <c r="L11" i="9"/>
  <c r="M10" i="8"/>
  <c r="S10" i="8" s="1"/>
  <c r="L11" i="8"/>
  <c r="M10" i="7"/>
  <c r="S10" i="7" s="1"/>
  <c r="L11" i="7"/>
  <c r="L9" i="6"/>
  <c r="M8" i="6"/>
  <c r="S8" i="6" s="1"/>
  <c r="L10" i="5"/>
  <c r="M9" i="5"/>
  <c r="S9" i="5" s="1"/>
  <c r="M9" i="4"/>
  <c r="S9" i="4" s="1"/>
  <c r="L10" i="4"/>
  <c r="M8" i="3"/>
  <c r="S8" i="3" s="1"/>
  <c r="L9" i="3"/>
  <c r="J21" i="2"/>
  <c r="R21" i="2" s="1"/>
  <c r="J15" i="2"/>
  <c r="R15" i="2" s="1"/>
  <c r="K13" i="2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J13" i="2"/>
  <c r="R13" i="2" s="1"/>
  <c r="L8" i="2"/>
  <c r="M7" i="2"/>
  <c r="S7" i="2" s="1"/>
  <c r="J7" i="2"/>
  <c r="R7" i="2" s="1"/>
  <c r="J39" i="1"/>
  <c r="R39" i="1" s="1"/>
  <c r="J35" i="1"/>
  <c r="R35" i="1" s="1"/>
  <c r="J33" i="1"/>
  <c r="R33" i="1" s="1"/>
  <c r="J29" i="1"/>
  <c r="R29" i="1" s="1"/>
  <c r="J28" i="1"/>
  <c r="R28" i="1" s="1"/>
  <c r="J27" i="1"/>
  <c r="R27" i="1" s="1"/>
  <c r="J24" i="1"/>
  <c r="R24" i="1" s="1"/>
  <c r="J23" i="1"/>
  <c r="R23" i="1" s="1"/>
  <c r="J22" i="1"/>
  <c r="R22" i="1" s="1"/>
  <c r="J20" i="1"/>
  <c r="R20" i="1" s="1"/>
  <c r="J13" i="1"/>
  <c r="R13" i="1" s="1"/>
  <c r="J12" i="1"/>
  <c r="R12" i="1" s="1"/>
  <c r="J9" i="1"/>
  <c r="R9" i="1" s="1"/>
  <c r="K8" i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J11" i="1"/>
  <c r="R11" i="1" s="1"/>
  <c r="J8" i="1"/>
  <c r="R8" i="1" s="1"/>
  <c r="J10" i="1"/>
  <c r="R10" i="1" s="1"/>
  <c r="L8" i="1"/>
  <c r="M7" i="1"/>
  <c r="S7" i="1" s="1"/>
  <c r="J7" i="1"/>
  <c r="R7" i="1" s="1"/>
  <c r="M12" i="19" l="1"/>
  <c r="S12" i="19" s="1"/>
  <c r="L13" i="19"/>
  <c r="L51" i="20"/>
  <c r="M50" i="20"/>
  <c r="S50" i="20" s="1"/>
  <c r="L11" i="17"/>
  <c r="M10" i="17"/>
  <c r="S10" i="17" s="1"/>
  <c r="M10" i="16"/>
  <c r="S10" i="16" s="1"/>
  <c r="L11" i="16"/>
  <c r="L12" i="15"/>
  <c r="M11" i="15"/>
  <c r="S11" i="15" s="1"/>
  <c r="M11" i="14"/>
  <c r="S11" i="14" s="1"/>
  <c r="L12" i="14"/>
  <c r="M11" i="13"/>
  <c r="S11" i="13" s="1"/>
  <c r="L12" i="13"/>
  <c r="M11" i="12"/>
  <c r="S11" i="12" s="1"/>
  <c r="L12" i="12"/>
  <c r="M11" i="11"/>
  <c r="S11" i="11" s="1"/>
  <c r="L12" i="11"/>
  <c r="L12" i="10"/>
  <c r="M11" i="10"/>
  <c r="S11" i="10" s="1"/>
  <c r="M11" i="9"/>
  <c r="S11" i="9" s="1"/>
  <c r="L12" i="9"/>
  <c r="M11" i="8"/>
  <c r="S11" i="8" s="1"/>
  <c r="L12" i="8"/>
  <c r="L12" i="7"/>
  <c r="M11" i="7"/>
  <c r="S11" i="7" s="1"/>
  <c r="L10" i="6"/>
  <c r="M9" i="6"/>
  <c r="S9" i="6" s="1"/>
  <c r="M10" i="5"/>
  <c r="S10" i="5" s="1"/>
  <c r="L11" i="5"/>
  <c r="L11" i="4"/>
  <c r="M10" i="4"/>
  <c r="S10" i="4" s="1"/>
  <c r="M9" i="3"/>
  <c r="S9" i="3" s="1"/>
  <c r="L10" i="3"/>
  <c r="L9" i="2"/>
  <c r="M8" i="2"/>
  <c r="S8" i="2" s="1"/>
  <c r="L9" i="1"/>
  <c r="M8" i="1"/>
  <c r="S8" i="1" s="1"/>
  <c r="L14" i="19" l="1"/>
  <c r="M13" i="19"/>
  <c r="S13" i="19" s="1"/>
  <c r="L52" i="20"/>
  <c r="M51" i="20"/>
  <c r="S51" i="20" s="1"/>
  <c r="L12" i="17"/>
  <c r="M11" i="17"/>
  <c r="S11" i="17" s="1"/>
  <c r="M11" i="16"/>
  <c r="S11" i="16" s="1"/>
  <c r="L12" i="16"/>
  <c r="M12" i="15"/>
  <c r="S12" i="15" s="1"/>
  <c r="L13" i="15"/>
  <c r="M12" i="14"/>
  <c r="S12" i="14" s="1"/>
  <c r="L13" i="14"/>
  <c r="M12" i="13"/>
  <c r="S12" i="13" s="1"/>
  <c r="L13" i="13"/>
  <c r="M12" i="12"/>
  <c r="S12" i="12" s="1"/>
  <c r="L13" i="12"/>
  <c r="M12" i="11"/>
  <c r="S12" i="11" s="1"/>
  <c r="L13" i="11"/>
  <c r="M12" i="10"/>
  <c r="S12" i="10" s="1"/>
  <c r="L13" i="10"/>
  <c r="L13" i="9"/>
  <c r="M12" i="9"/>
  <c r="S12" i="9" s="1"/>
  <c r="L13" i="8"/>
  <c r="M12" i="8"/>
  <c r="S12" i="8" s="1"/>
  <c r="L13" i="7"/>
  <c r="M12" i="7"/>
  <c r="S12" i="7" s="1"/>
  <c r="M10" i="6"/>
  <c r="S10" i="6" s="1"/>
  <c r="L11" i="6"/>
  <c r="M11" i="5"/>
  <c r="S11" i="5" s="1"/>
  <c r="L12" i="5"/>
  <c r="L12" i="4"/>
  <c r="M11" i="4"/>
  <c r="S11" i="4" s="1"/>
  <c r="L32" i="3"/>
  <c r="M32" i="3" s="1"/>
  <c r="S32" i="3" s="1"/>
  <c r="M10" i="3"/>
  <c r="S10" i="3" s="1"/>
  <c r="L11" i="3"/>
  <c r="M9" i="2"/>
  <c r="S9" i="2" s="1"/>
  <c r="L10" i="2"/>
  <c r="L10" i="1"/>
  <c r="M9" i="1"/>
  <c r="S9" i="1" s="1"/>
  <c r="M14" i="19" l="1"/>
  <c r="S14" i="19" s="1"/>
  <c r="L15" i="19"/>
  <c r="L53" i="20"/>
  <c r="M52" i="20"/>
  <c r="S52" i="20" s="1"/>
  <c r="L13" i="17"/>
  <c r="M12" i="17"/>
  <c r="S12" i="17" s="1"/>
  <c r="M12" i="16"/>
  <c r="S12" i="16" s="1"/>
  <c r="L13" i="16"/>
  <c r="M13" i="15"/>
  <c r="S13" i="15" s="1"/>
  <c r="L14" i="15"/>
  <c r="M13" i="14"/>
  <c r="S13" i="14" s="1"/>
  <c r="L14" i="14"/>
  <c r="M13" i="13"/>
  <c r="S13" i="13" s="1"/>
  <c r="L14" i="13"/>
  <c r="M13" i="12"/>
  <c r="S13" i="12" s="1"/>
  <c r="L14" i="12"/>
  <c r="M13" i="11"/>
  <c r="S13" i="11" s="1"/>
  <c r="L14" i="11"/>
  <c r="L14" i="10"/>
  <c r="M13" i="10"/>
  <c r="S13" i="10" s="1"/>
  <c r="M13" i="9"/>
  <c r="S13" i="9" s="1"/>
  <c r="L14" i="9"/>
  <c r="M13" i="8"/>
  <c r="S13" i="8" s="1"/>
  <c r="L14" i="8"/>
  <c r="M13" i="7"/>
  <c r="S13" i="7" s="1"/>
  <c r="L14" i="7"/>
  <c r="L12" i="6"/>
  <c r="M11" i="6"/>
  <c r="S11" i="6" s="1"/>
  <c r="L13" i="5"/>
  <c r="M12" i="5"/>
  <c r="S12" i="5" s="1"/>
  <c r="M12" i="4"/>
  <c r="S12" i="4" s="1"/>
  <c r="L13" i="4"/>
  <c r="M11" i="3"/>
  <c r="S11" i="3" s="1"/>
  <c r="L12" i="3"/>
  <c r="M10" i="2"/>
  <c r="S10" i="2" s="1"/>
  <c r="L11" i="2"/>
  <c r="M10" i="1"/>
  <c r="S10" i="1" s="1"/>
  <c r="L11" i="1"/>
  <c r="M11" i="1" l="1"/>
  <c r="S11" i="1" s="1"/>
  <c r="L12" i="1"/>
  <c r="M14" i="9"/>
  <c r="S14" i="9" s="1"/>
  <c r="L15" i="9"/>
  <c r="M15" i="19"/>
  <c r="S15" i="19" s="1"/>
  <c r="L16" i="19"/>
  <c r="L54" i="20"/>
  <c r="M53" i="20"/>
  <c r="S53" i="20" s="1"/>
  <c r="L14" i="17"/>
  <c r="M13" i="17"/>
  <c r="S13" i="17" s="1"/>
  <c r="L14" i="16"/>
  <c r="M13" i="16"/>
  <c r="S13" i="16" s="1"/>
  <c r="L15" i="15"/>
  <c r="M14" i="15"/>
  <c r="S14" i="15" s="1"/>
  <c r="M14" i="14"/>
  <c r="S14" i="14" s="1"/>
  <c r="L15" i="14"/>
  <c r="M14" i="13"/>
  <c r="S14" i="13" s="1"/>
  <c r="L15" i="13"/>
  <c r="M14" i="12"/>
  <c r="S14" i="12" s="1"/>
  <c r="L15" i="12"/>
  <c r="M14" i="11"/>
  <c r="S14" i="11" s="1"/>
  <c r="L15" i="11"/>
  <c r="L15" i="10"/>
  <c r="M14" i="10"/>
  <c r="S14" i="10" s="1"/>
  <c r="L15" i="8"/>
  <c r="M14" i="8"/>
  <c r="S14" i="8" s="1"/>
  <c r="M14" i="7"/>
  <c r="S14" i="7" s="1"/>
  <c r="L15" i="7"/>
  <c r="M12" i="6"/>
  <c r="S12" i="6" s="1"/>
  <c r="L13" i="6"/>
  <c r="M13" i="5"/>
  <c r="S13" i="5" s="1"/>
  <c r="L14" i="5"/>
  <c r="L14" i="4"/>
  <c r="M13" i="4"/>
  <c r="S13" i="4" s="1"/>
  <c r="M12" i="3"/>
  <c r="S12" i="3" s="1"/>
  <c r="L13" i="3"/>
  <c r="L12" i="2"/>
  <c r="M11" i="2"/>
  <c r="S11" i="2" s="1"/>
  <c r="M15" i="9" l="1"/>
  <c r="S15" i="9" s="1"/>
  <c r="L16" i="9"/>
  <c r="M16" i="19"/>
  <c r="S16" i="19" s="1"/>
  <c r="L17" i="19"/>
  <c r="L13" i="1"/>
  <c r="M12" i="1"/>
  <c r="S12" i="1" s="1"/>
  <c r="L55" i="20"/>
  <c r="M55" i="20" s="1"/>
  <c r="S55" i="20" s="1"/>
  <c r="M54" i="20"/>
  <c r="S54" i="20" s="1"/>
  <c r="M14" i="17"/>
  <c r="S14" i="17" s="1"/>
  <c r="L15" i="17"/>
  <c r="L15" i="16"/>
  <c r="M14" i="16"/>
  <c r="S14" i="16" s="1"/>
  <c r="M15" i="15"/>
  <c r="S15" i="15" s="1"/>
  <c r="L16" i="15"/>
  <c r="L16" i="14"/>
  <c r="M15" i="14"/>
  <c r="S15" i="14" s="1"/>
  <c r="L16" i="13"/>
  <c r="M15" i="13"/>
  <c r="S15" i="13" s="1"/>
  <c r="M15" i="12"/>
  <c r="S15" i="12" s="1"/>
  <c r="L16" i="12"/>
  <c r="M15" i="11"/>
  <c r="S15" i="11" s="1"/>
  <c r="L16" i="11"/>
  <c r="M15" i="10"/>
  <c r="S15" i="10" s="1"/>
  <c r="L16" i="10"/>
  <c r="L16" i="8"/>
  <c r="M15" i="8"/>
  <c r="S15" i="8" s="1"/>
  <c r="L16" i="7"/>
  <c r="M15" i="7"/>
  <c r="S15" i="7" s="1"/>
  <c r="M13" i="6"/>
  <c r="S13" i="6" s="1"/>
  <c r="L14" i="6"/>
  <c r="L15" i="5"/>
  <c r="M14" i="5"/>
  <c r="S14" i="5" s="1"/>
  <c r="M14" i="4"/>
  <c r="S14" i="4" s="1"/>
  <c r="L15" i="4"/>
  <c r="L14" i="3"/>
  <c r="M13" i="3"/>
  <c r="S13" i="3" s="1"/>
  <c r="L13" i="2"/>
  <c r="M12" i="2"/>
  <c r="S12" i="2" s="1"/>
  <c r="L18" i="19" l="1"/>
  <c r="M17" i="19"/>
  <c r="S17" i="19" s="1"/>
  <c r="M16" i="14"/>
  <c r="S16" i="14" s="1"/>
  <c r="L17" i="14"/>
  <c r="M16" i="9"/>
  <c r="S16" i="9" s="1"/>
  <c r="L17" i="9"/>
  <c r="L14" i="1"/>
  <c r="M13" i="1"/>
  <c r="S13" i="1" s="1"/>
  <c r="L16" i="17"/>
  <c r="M15" i="17"/>
  <c r="S15" i="17" s="1"/>
  <c r="L16" i="16"/>
  <c r="M15" i="16"/>
  <c r="S15" i="16" s="1"/>
  <c r="M16" i="15"/>
  <c r="S16" i="15" s="1"/>
  <c r="L17" i="15"/>
  <c r="M16" i="13"/>
  <c r="S16" i="13" s="1"/>
  <c r="L17" i="13"/>
  <c r="M16" i="12"/>
  <c r="S16" i="12" s="1"/>
  <c r="L17" i="12"/>
  <c r="M16" i="11"/>
  <c r="S16" i="11" s="1"/>
  <c r="L17" i="11"/>
  <c r="M16" i="10"/>
  <c r="S16" i="10" s="1"/>
  <c r="L17" i="10"/>
  <c r="M16" i="8"/>
  <c r="S16" i="8" s="1"/>
  <c r="L17" i="8"/>
  <c r="M16" i="7"/>
  <c r="S16" i="7" s="1"/>
  <c r="L17" i="7"/>
  <c r="L15" i="6"/>
  <c r="M14" i="6"/>
  <c r="S14" i="6" s="1"/>
  <c r="M15" i="5"/>
  <c r="S15" i="5" s="1"/>
  <c r="L16" i="5"/>
  <c r="M15" i="4"/>
  <c r="S15" i="4" s="1"/>
  <c r="L16" i="4"/>
  <c r="M14" i="3"/>
  <c r="S14" i="3" s="1"/>
  <c r="L15" i="3"/>
  <c r="L14" i="2"/>
  <c r="M13" i="2"/>
  <c r="S13" i="2" s="1"/>
  <c r="M17" i="14" l="1"/>
  <c r="S17" i="14" s="1"/>
  <c r="L18" i="14"/>
  <c r="L15" i="1"/>
  <c r="M14" i="1"/>
  <c r="S14" i="1" s="1"/>
  <c r="M17" i="9"/>
  <c r="S17" i="9" s="1"/>
  <c r="L18" i="9"/>
  <c r="L19" i="19"/>
  <c r="M18" i="19"/>
  <c r="S18" i="19" s="1"/>
  <c r="L17" i="17"/>
  <c r="M16" i="17"/>
  <c r="S16" i="17" s="1"/>
  <c r="M16" i="16"/>
  <c r="S16" i="16" s="1"/>
  <c r="L17" i="16"/>
  <c r="M17" i="15"/>
  <c r="S17" i="15" s="1"/>
  <c r="L18" i="15"/>
  <c r="L18" i="13"/>
  <c r="M17" i="13"/>
  <c r="S17" i="13" s="1"/>
  <c r="M17" i="12"/>
  <c r="S17" i="12" s="1"/>
  <c r="L18" i="12"/>
  <c r="L18" i="11"/>
  <c r="M17" i="11"/>
  <c r="S17" i="11" s="1"/>
  <c r="M17" i="10"/>
  <c r="S17" i="10" s="1"/>
  <c r="L18" i="10"/>
  <c r="M17" i="8"/>
  <c r="S17" i="8" s="1"/>
  <c r="L18" i="8"/>
  <c r="M17" i="7"/>
  <c r="S17" i="7" s="1"/>
  <c r="L18" i="7"/>
  <c r="M15" i="6"/>
  <c r="S15" i="6" s="1"/>
  <c r="L16" i="6"/>
  <c r="L17" i="5"/>
  <c r="M16" i="5"/>
  <c r="S16" i="5" s="1"/>
  <c r="M16" i="4"/>
  <c r="S16" i="4" s="1"/>
  <c r="L17" i="4"/>
  <c r="M15" i="3"/>
  <c r="S15" i="3" s="1"/>
  <c r="L16" i="3"/>
  <c r="M14" i="2"/>
  <c r="S14" i="2" s="1"/>
  <c r="L15" i="2"/>
  <c r="M19" i="19" l="1"/>
  <c r="S19" i="19" s="1"/>
  <c r="L20" i="19"/>
  <c r="M15" i="1"/>
  <c r="S15" i="1" s="1"/>
  <c r="L16" i="1"/>
  <c r="L19" i="9"/>
  <c r="M18" i="9"/>
  <c r="S18" i="9" s="1"/>
  <c r="M18" i="14"/>
  <c r="S18" i="14" s="1"/>
  <c r="L19" i="14"/>
  <c r="L18" i="17"/>
  <c r="M17" i="17"/>
  <c r="S17" i="17" s="1"/>
  <c r="M17" i="16"/>
  <c r="S17" i="16" s="1"/>
  <c r="L18" i="16"/>
  <c r="L19" i="15"/>
  <c r="M18" i="15"/>
  <c r="S18" i="15" s="1"/>
  <c r="M18" i="13"/>
  <c r="S18" i="13" s="1"/>
  <c r="L19" i="13"/>
  <c r="M18" i="12"/>
  <c r="S18" i="12" s="1"/>
  <c r="L19" i="12"/>
  <c r="L19" i="11"/>
  <c r="M18" i="11"/>
  <c r="S18" i="11" s="1"/>
  <c r="L19" i="10"/>
  <c r="M18" i="10"/>
  <c r="S18" i="10" s="1"/>
  <c r="M18" i="8"/>
  <c r="S18" i="8" s="1"/>
  <c r="L19" i="8"/>
  <c r="L19" i="7"/>
  <c r="M18" i="7"/>
  <c r="S18" i="7" s="1"/>
  <c r="L17" i="6"/>
  <c r="M16" i="6"/>
  <c r="S16" i="6" s="1"/>
  <c r="M17" i="5"/>
  <c r="S17" i="5" s="1"/>
  <c r="L18" i="5"/>
  <c r="M17" i="4"/>
  <c r="S17" i="4" s="1"/>
  <c r="L18" i="4"/>
  <c r="M16" i="3"/>
  <c r="S16" i="3" s="1"/>
  <c r="L17" i="3"/>
  <c r="L16" i="2"/>
  <c r="M15" i="2"/>
  <c r="S15" i="2" s="1"/>
  <c r="L20" i="14" l="1"/>
  <c r="M19" i="14"/>
  <c r="S19" i="14" s="1"/>
  <c r="M16" i="1"/>
  <c r="S16" i="1" s="1"/>
  <c r="L17" i="1"/>
  <c r="M20" i="19"/>
  <c r="S20" i="19" s="1"/>
  <c r="L21" i="19"/>
  <c r="M19" i="9"/>
  <c r="S19" i="9" s="1"/>
  <c r="L20" i="9"/>
  <c r="L19" i="17"/>
  <c r="M18" i="17"/>
  <c r="S18" i="17" s="1"/>
  <c r="M18" i="16"/>
  <c r="S18" i="16" s="1"/>
  <c r="L19" i="16"/>
  <c r="M19" i="15"/>
  <c r="S19" i="15" s="1"/>
  <c r="L20" i="15"/>
  <c r="M19" i="13"/>
  <c r="S19" i="13" s="1"/>
  <c r="L20" i="13"/>
  <c r="M19" i="12"/>
  <c r="S19" i="12" s="1"/>
  <c r="L20" i="12"/>
  <c r="M19" i="11"/>
  <c r="S19" i="11" s="1"/>
  <c r="L20" i="11"/>
  <c r="M19" i="10"/>
  <c r="S19" i="10" s="1"/>
  <c r="L20" i="10"/>
  <c r="L20" i="8"/>
  <c r="M19" i="8"/>
  <c r="S19" i="8" s="1"/>
  <c r="M19" i="7"/>
  <c r="S19" i="7" s="1"/>
  <c r="L20" i="7"/>
  <c r="M17" i="6"/>
  <c r="S17" i="6" s="1"/>
  <c r="L18" i="6"/>
  <c r="M18" i="5"/>
  <c r="S18" i="5" s="1"/>
  <c r="L19" i="5"/>
  <c r="M18" i="4"/>
  <c r="S18" i="4" s="1"/>
  <c r="L19" i="4"/>
  <c r="M17" i="3"/>
  <c r="S17" i="3" s="1"/>
  <c r="L18" i="3"/>
  <c r="L17" i="2"/>
  <c r="M16" i="2"/>
  <c r="S16" i="2" s="1"/>
  <c r="M20" i="9" l="1"/>
  <c r="S20" i="9" s="1"/>
  <c r="L21" i="9"/>
  <c r="M17" i="1"/>
  <c r="S17" i="1" s="1"/>
  <c r="L18" i="1"/>
  <c r="L22" i="19"/>
  <c r="M21" i="19"/>
  <c r="S21" i="19" s="1"/>
  <c r="M20" i="14"/>
  <c r="S20" i="14" s="1"/>
  <c r="L21" i="14"/>
  <c r="M19" i="17"/>
  <c r="S19" i="17" s="1"/>
  <c r="L20" i="17"/>
  <c r="L20" i="16"/>
  <c r="M19" i="16"/>
  <c r="S19" i="16" s="1"/>
  <c r="L21" i="15"/>
  <c r="M20" i="15"/>
  <c r="S20" i="15" s="1"/>
  <c r="L21" i="13"/>
  <c r="M20" i="13"/>
  <c r="S20" i="13" s="1"/>
  <c r="M20" i="12"/>
  <c r="S20" i="12" s="1"/>
  <c r="L21" i="12"/>
  <c r="L21" i="11"/>
  <c r="M20" i="11"/>
  <c r="S20" i="11" s="1"/>
  <c r="M20" i="10"/>
  <c r="S20" i="10" s="1"/>
  <c r="L21" i="10"/>
  <c r="L21" i="8"/>
  <c r="M20" i="8"/>
  <c r="S20" i="8" s="1"/>
  <c r="L21" i="7"/>
  <c r="M20" i="7"/>
  <c r="S20" i="7" s="1"/>
  <c r="M18" i="6"/>
  <c r="S18" i="6" s="1"/>
  <c r="L19" i="6"/>
  <c r="L20" i="5"/>
  <c r="M19" i="5"/>
  <c r="S19" i="5" s="1"/>
  <c r="L20" i="4"/>
  <c r="M19" i="4"/>
  <c r="S19" i="4" s="1"/>
  <c r="M18" i="3"/>
  <c r="S18" i="3" s="1"/>
  <c r="L19" i="3"/>
  <c r="M17" i="2"/>
  <c r="S17" i="2" s="1"/>
  <c r="L18" i="2"/>
  <c r="L22" i="14" l="1"/>
  <c r="M21" i="14"/>
  <c r="S21" i="14" s="1"/>
  <c r="M18" i="1"/>
  <c r="S18" i="1" s="1"/>
  <c r="L19" i="1"/>
  <c r="M21" i="9"/>
  <c r="S21" i="9" s="1"/>
  <c r="L22" i="9"/>
  <c r="L23" i="19"/>
  <c r="M22" i="19"/>
  <c r="S22" i="19" s="1"/>
  <c r="L21" i="17"/>
  <c r="M20" i="17"/>
  <c r="S20" i="17" s="1"/>
  <c r="L21" i="16"/>
  <c r="M20" i="16"/>
  <c r="S20" i="16" s="1"/>
  <c r="L22" i="15"/>
  <c r="M21" i="15"/>
  <c r="S21" i="15" s="1"/>
  <c r="M21" i="13"/>
  <c r="S21" i="13" s="1"/>
  <c r="L22" i="13"/>
  <c r="M21" i="12"/>
  <c r="S21" i="12" s="1"/>
  <c r="L22" i="12"/>
  <c r="M22" i="12" s="1"/>
  <c r="S22" i="12" s="1"/>
  <c r="M21" i="11"/>
  <c r="S21" i="11" s="1"/>
  <c r="L22" i="11"/>
  <c r="L22" i="10"/>
  <c r="M21" i="10"/>
  <c r="S21" i="10" s="1"/>
  <c r="M21" i="8"/>
  <c r="S21" i="8" s="1"/>
  <c r="L22" i="8"/>
  <c r="M21" i="7"/>
  <c r="S21" i="7" s="1"/>
  <c r="L22" i="7"/>
  <c r="M19" i="6"/>
  <c r="S19" i="6" s="1"/>
  <c r="L20" i="6"/>
  <c r="L21" i="5"/>
  <c r="M20" i="5"/>
  <c r="S20" i="5" s="1"/>
  <c r="L21" i="4"/>
  <c r="M20" i="4"/>
  <c r="S20" i="4" s="1"/>
  <c r="M19" i="3"/>
  <c r="S19" i="3" s="1"/>
  <c r="L20" i="3"/>
  <c r="L19" i="2"/>
  <c r="M18" i="2"/>
  <c r="S18" i="2" s="1"/>
  <c r="M19" i="1" l="1"/>
  <c r="S19" i="1" s="1"/>
  <c r="L20" i="1"/>
  <c r="M21" i="16"/>
  <c r="S21" i="16" s="1"/>
  <c r="L22" i="16"/>
  <c r="L24" i="19"/>
  <c r="M23" i="19"/>
  <c r="S23" i="19" s="1"/>
  <c r="M22" i="9"/>
  <c r="S22" i="9" s="1"/>
  <c r="L23" i="9"/>
  <c r="M23" i="9" s="1"/>
  <c r="S23" i="9" s="1"/>
  <c r="M22" i="14"/>
  <c r="S22" i="14" s="1"/>
  <c r="L23" i="14"/>
  <c r="M21" i="17"/>
  <c r="S21" i="17" s="1"/>
  <c r="L22" i="17"/>
  <c r="M22" i="15"/>
  <c r="S22" i="15" s="1"/>
  <c r="L23" i="15"/>
  <c r="L23" i="13"/>
  <c r="M22" i="13"/>
  <c r="S22" i="13" s="1"/>
  <c r="M22" i="11"/>
  <c r="S22" i="11" s="1"/>
  <c r="L23" i="11"/>
  <c r="L23" i="10"/>
  <c r="M22" i="10"/>
  <c r="S22" i="10" s="1"/>
  <c r="M22" i="8"/>
  <c r="S22" i="8" s="1"/>
  <c r="L23" i="8"/>
  <c r="L23" i="7"/>
  <c r="M22" i="7"/>
  <c r="S22" i="7" s="1"/>
  <c r="L21" i="6"/>
  <c r="M20" i="6"/>
  <c r="S20" i="6" s="1"/>
  <c r="M21" i="5"/>
  <c r="S21" i="5" s="1"/>
  <c r="L22" i="5"/>
  <c r="M21" i="4"/>
  <c r="S21" i="4" s="1"/>
  <c r="L22" i="4"/>
  <c r="M20" i="3"/>
  <c r="S20" i="3" s="1"/>
  <c r="L21" i="3"/>
  <c r="M19" i="2"/>
  <c r="S19" i="2" s="1"/>
  <c r="L20" i="2"/>
  <c r="M22" i="16" l="1"/>
  <c r="S22" i="16" s="1"/>
  <c r="L23" i="16"/>
  <c r="M23" i="11"/>
  <c r="S23" i="11" s="1"/>
  <c r="L24" i="11"/>
  <c r="M24" i="11" s="1"/>
  <c r="S24" i="11" s="1"/>
  <c r="M23" i="14"/>
  <c r="S23" i="14" s="1"/>
  <c r="L24" i="14"/>
  <c r="M20" i="1"/>
  <c r="S20" i="1" s="1"/>
  <c r="L21" i="1"/>
  <c r="L25" i="19"/>
  <c r="M24" i="19"/>
  <c r="S24" i="19" s="1"/>
  <c r="L23" i="17"/>
  <c r="M22" i="17"/>
  <c r="S22" i="17" s="1"/>
  <c r="M23" i="15"/>
  <c r="S23" i="15" s="1"/>
  <c r="L24" i="15"/>
  <c r="M23" i="13"/>
  <c r="S23" i="13" s="1"/>
  <c r="L24" i="13"/>
  <c r="M24" i="13" s="1"/>
  <c r="S24" i="13" s="1"/>
  <c r="M23" i="10"/>
  <c r="S23" i="10" s="1"/>
  <c r="L24" i="10"/>
  <c r="M23" i="8"/>
  <c r="S23" i="8" s="1"/>
  <c r="L24" i="8"/>
  <c r="M23" i="7"/>
  <c r="S23" i="7" s="1"/>
  <c r="L24" i="7"/>
  <c r="M21" i="6"/>
  <c r="S21" i="6" s="1"/>
  <c r="L22" i="6"/>
  <c r="M22" i="5"/>
  <c r="S22" i="5" s="1"/>
  <c r="L23" i="5"/>
  <c r="M22" i="4"/>
  <c r="S22" i="4" s="1"/>
  <c r="L23" i="4"/>
  <c r="M21" i="3"/>
  <c r="S21" i="3" s="1"/>
  <c r="L22" i="3"/>
  <c r="M20" i="2"/>
  <c r="S20" i="2" s="1"/>
  <c r="L21" i="2"/>
  <c r="M24" i="8" l="1"/>
  <c r="S24" i="8" s="1"/>
  <c r="L25" i="8"/>
  <c r="M21" i="1"/>
  <c r="S21" i="1" s="1"/>
  <c r="L22" i="1"/>
  <c r="M22" i="3"/>
  <c r="S22" i="3" s="1"/>
  <c r="L23" i="3"/>
  <c r="M24" i="14"/>
  <c r="S24" i="14" s="1"/>
  <c r="L25" i="14"/>
  <c r="L24" i="16"/>
  <c r="M23" i="16"/>
  <c r="S23" i="16" s="1"/>
  <c r="M25" i="19"/>
  <c r="S25" i="19" s="1"/>
  <c r="L26" i="19"/>
  <c r="M23" i="17"/>
  <c r="S23" i="17" s="1"/>
  <c r="L24" i="17"/>
  <c r="L25" i="15"/>
  <c r="M24" i="15"/>
  <c r="S24" i="15" s="1"/>
  <c r="M24" i="10"/>
  <c r="S24" i="10" s="1"/>
  <c r="L25" i="10"/>
  <c r="L25" i="7"/>
  <c r="M24" i="7"/>
  <c r="S24" i="7" s="1"/>
  <c r="L23" i="6"/>
  <c r="M22" i="6"/>
  <c r="S22" i="6" s="1"/>
  <c r="M23" i="5"/>
  <c r="S23" i="5" s="1"/>
  <c r="L24" i="5"/>
  <c r="M23" i="4"/>
  <c r="S23" i="4" s="1"/>
  <c r="L24" i="4"/>
  <c r="L22" i="2"/>
  <c r="M21" i="2"/>
  <c r="S21" i="2" s="1"/>
  <c r="L27" i="19" l="1"/>
  <c r="M26" i="19"/>
  <c r="S26" i="19" s="1"/>
  <c r="M25" i="14"/>
  <c r="S25" i="14" s="1"/>
  <c r="L26" i="14"/>
  <c r="M22" i="1"/>
  <c r="S22" i="1" s="1"/>
  <c r="L23" i="1"/>
  <c r="L24" i="3"/>
  <c r="M23" i="3"/>
  <c r="S23" i="3" s="1"/>
  <c r="M25" i="8"/>
  <c r="S25" i="8" s="1"/>
  <c r="L26" i="8"/>
  <c r="M24" i="16"/>
  <c r="S24" i="16" s="1"/>
  <c r="L25" i="16"/>
  <c r="M24" i="17"/>
  <c r="S24" i="17" s="1"/>
  <c r="L25" i="17"/>
  <c r="M25" i="15"/>
  <c r="S25" i="15" s="1"/>
  <c r="L26" i="15"/>
  <c r="M25" i="10"/>
  <c r="S25" i="10" s="1"/>
  <c r="L26" i="10"/>
  <c r="M25" i="7"/>
  <c r="S25" i="7" s="1"/>
  <c r="L26" i="7"/>
  <c r="L24" i="6"/>
  <c r="M23" i="6"/>
  <c r="S23" i="6" s="1"/>
  <c r="L25" i="5"/>
  <c r="M24" i="5"/>
  <c r="S24" i="5" s="1"/>
  <c r="M24" i="4"/>
  <c r="S24" i="4" s="1"/>
  <c r="L25" i="4"/>
  <c r="L23" i="2"/>
  <c r="M22" i="2"/>
  <c r="S22" i="2" s="1"/>
  <c r="L26" i="16" l="1"/>
  <c r="M25" i="16"/>
  <c r="S25" i="16" s="1"/>
  <c r="M26" i="14"/>
  <c r="S26" i="14" s="1"/>
  <c r="L27" i="14"/>
  <c r="L25" i="3"/>
  <c r="M24" i="3"/>
  <c r="S24" i="3" s="1"/>
  <c r="L27" i="8"/>
  <c r="M26" i="8"/>
  <c r="S26" i="8" s="1"/>
  <c r="M23" i="1"/>
  <c r="S23" i="1" s="1"/>
  <c r="L24" i="1"/>
  <c r="M27" i="19"/>
  <c r="S27" i="19" s="1"/>
  <c r="L28" i="19"/>
  <c r="M25" i="17"/>
  <c r="S25" i="17" s="1"/>
  <c r="L26" i="17"/>
  <c r="M26" i="15"/>
  <c r="S26" i="15" s="1"/>
  <c r="L27" i="15"/>
  <c r="M26" i="10"/>
  <c r="S26" i="10" s="1"/>
  <c r="L27" i="10"/>
  <c r="M26" i="7"/>
  <c r="S26" i="7" s="1"/>
  <c r="L27" i="7"/>
  <c r="M27" i="7" s="1"/>
  <c r="S27" i="7" s="1"/>
  <c r="M24" i="6"/>
  <c r="S24" i="6" s="1"/>
  <c r="L25" i="6"/>
  <c r="M25" i="5"/>
  <c r="S25" i="5" s="1"/>
  <c r="L26" i="5"/>
  <c r="M25" i="4"/>
  <c r="S25" i="4" s="1"/>
  <c r="L26" i="4"/>
  <c r="M23" i="2"/>
  <c r="S23" i="2" s="1"/>
  <c r="L24" i="2"/>
  <c r="M28" i="19" l="1"/>
  <c r="S28" i="19" s="1"/>
  <c r="L29" i="19"/>
  <c r="M27" i="14"/>
  <c r="S27" i="14" s="1"/>
  <c r="L28" i="14"/>
  <c r="M27" i="8"/>
  <c r="S27" i="8" s="1"/>
  <c r="L28" i="8"/>
  <c r="L25" i="1"/>
  <c r="M24" i="1"/>
  <c r="S24" i="1" s="1"/>
  <c r="L26" i="3"/>
  <c r="M25" i="3"/>
  <c r="S25" i="3" s="1"/>
  <c r="M26" i="16"/>
  <c r="S26" i="16" s="1"/>
  <c r="L27" i="16"/>
  <c r="M26" i="17"/>
  <c r="S26" i="17" s="1"/>
  <c r="L27" i="17"/>
  <c r="L28" i="15"/>
  <c r="M27" i="15"/>
  <c r="S27" i="15" s="1"/>
  <c r="M27" i="10"/>
  <c r="S27" i="10" s="1"/>
  <c r="L28" i="10"/>
  <c r="M25" i="6"/>
  <c r="S25" i="6" s="1"/>
  <c r="L26" i="6"/>
  <c r="M26" i="5"/>
  <c r="S26" i="5" s="1"/>
  <c r="L27" i="5"/>
  <c r="M26" i="4"/>
  <c r="S26" i="4" s="1"/>
  <c r="L27" i="4"/>
  <c r="L25" i="2"/>
  <c r="M24" i="2"/>
  <c r="S24" i="2" s="1"/>
  <c r="M27" i="16" l="1"/>
  <c r="S27" i="16" s="1"/>
  <c r="L28" i="16"/>
  <c r="M28" i="14"/>
  <c r="S28" i="14" s="1"/>
  <c r="L29" i="14"/>
  <c r="M29" i="14" s="1"/>
  <c r="S29" i="14" s="1"/>
  <c r="M25" i="1"/>
  <c r="S25" i="1" s="1"/>
  <c r="L26" i="1"/>
  <c r="M28" i="8"/>
  <c r="S28" i="8" s="1"/>
  <c r="L29" i="8"/>
  <c r="M29" i="8" s="1"/>
  <c r="S29" i="8" s="1"/>
  <c r="M29" i="19"/>
  <c r="S29" i="19" s="1"/>
  <c r="L30" i="19"/>
  <c r="M26" i="3"/>
  <c r="S26" i="3" s="1"/>
  <c r="L27" i="3"/>
  <c r="M27" i="17"/>
  <c r="S27" i="17" s="1"/>
  <c r="L28" i="17"/>
  <c r="M28" i="15"/>
  <c r="S28" i="15" s="1"/>
  <c r="L29" i="15"/>
  <c r="M29" i="15" s="1"/>
  <c r="S29" i="15" s="1"/>
  <c r="L29" i="10"/>
  <c r="M29" i="10" s="1"/>
  <c r="S29" i="10" s="1"/>
  <c r="M28" i="10"/>
  <c r="S28" i="10" s="1"/>
  <c r="M26" i="6"/>
  <c r="S26" i="6" s="1"/>
  <c r="L27" i="6"/>
  <c r="M27" i="6" s="1"/>
  <c r="S27" i="6" s="1"/>
  <c r="L28" i="5"/>
  <c r="M27" i="5"/>
  <c r="S27" i="5" s="1"/>
  <c r="M27" i="4"/>
  <c r="S27" i="4" s="1"/>
  <c r="L28" i="4"/>
  <c r="M25" i="2"/>
  <c r="S25" i="2" s="1"/>
  <c r="L26" i="2"/>
  <c r="L28" i="3" l="1"/>
  <c r="M27" i="3"/>
  <c r="S27" i="3" s="1"/>
  <c r="M30" i="19"/>
  <c r="S30" i="19" s="1"/>
  <c r="L31" i="19"/>
  <c r="M26" i="1"/>
  <c r="S26" i="1" s="1"/>
  <c r="L27" i="1"/>
  <c r="L29" i="16"/>
  <c r="M28" i="16"/>
  <c r="S28" i="16" s="1"/>
  <c r="L29" i="17"/>
  <c r="M28" i="17"/>
  <c r="S28" i="17" s="1"/>
  <c r="M28" i="5"/>
  <c r="S28" i="5" s="1"/>
  <c r="L29" i="5"/>
  <c r="M28" i="4"/>
  <c r="S28" i="4" s="1"/>
  <c r="L29" i="4"/>
  <c r="L27" i="2"/>
  <c r="M26" i="2"/>
  <c r="S26" i="2" s="1"/>
  <c r="L32" i="19" l="1"/>
  <c r="M31" i="19"/>
  <c r="S31" i="19" s="1"/>
  <c r="M28" i="3"/>
  <c r="S28" i="3" s="1"/>
  <c r="L29" i="3"/>
  <c r="M29" i="16"/>
  <c r="S29" i="16" s="1"/>
  <c r="L30" i="16"/>
  <c r="L28" i="1"/>
  <c r="M27" i="1"/>
  <c r="S27" i="1" s="1"/>
  <c r="M29" i="17"/>
  <c r="S29" i="17" s="1"/>
  <c r="L30" i="17"/>
  <c r="M29" i="5"/>
  <c r="S29" i="5" s="1"/>
  <c r="L30" i="5"/>
  <c r="M30" i="5" s="1"/>
  <c r="S30" i="5" s="1"/>
  <c r="M29" i="4"/>
  <c r="S29" i="4" s="1"/>
  <c r="L30" i="4"/>
  <c r="M27" i="2"/>
  <c r="S27" i="2" s="1"/>
  <c r="L28" i="2"/>
  <c r="L30" i="3" l="1"/>
  <c r="M29" i="3"/>
  <c r="S29" i="3" s="1"/>
  <c r="M28" i="1"/>
  <c r="S28" i="1" s="1"/>
  <c r="L29" i="1"/>
  <c r="M30" i="16"/>
  <c r="S30" i="16" s="1"/>
  <c r="L31" i="16"/>
  <c r="L33" i="19"/>
  <c r="M32" i="19"/>
  <c r="S32" i="19" s="1"/>
  <c r="M30" i="17"/>
  <c r="S30" i="17" s="1"/>
  <c r="L31" i="17"/>
  <c r="M30" i="4"/>
  <c r="S30" i="4" s="1"/>
  <c r="L31" i="4"/>
  <c r="M31" i="4" s="1"/>
  <c r="S31" i="4" s="1"/>
  <c r="L29" i="2"/>
  <c r="M28" i="2"/>
  <c r="S28" i="2" s="1"/>
  <c r="M29" i="1" l="1"/>
  <c r="S29" i="1" s="1"/>
  <c r="L30" i="1"/>
  <c r="M33" i="19"/>
  <c r="S33" i="19" s="1"/>
  <c r="L34" i="19"/>
  <c r="L32" i="16"/>
  <c r="M31" i="16"/>
  <c r="S31" i="16" s="1"/>
  <c r="M30" i="3"/>
  <c r="S30" i="3" s="1"/>
  <c r="L31" i="3"/>
  <c r="M31" i="3" s="1"/>
  <c r="S31" i="3" s="1"/>
  <c r="L32" i="17"/>
  <c r="M31" i="17"/>
  <c r="S31" i="17" s="1"/>
  <c r="M29" i="2"/>
  <c r="S29" i="2" s="1"/>
  <c r="L30" i="2"/>
  <c r="M34" i="19" l="1"/>
  <c r="S34" i="19" s="1"/>
  <c r="L35" i="19"/>
  <c r="M30" i="1"/>
  <c r="S30" i="1" s="1"/>
  <c r="L31" i="1"/>
  <c r="M32" i="16"/>
  <c r="S32" i="16" s="1"/>
  <c r="L33" i="16"/>
  <c r="L33" i="17"/>
  <c r="M32" i="17"/>
  <c r="S32" i="17" s="1"/>
  <c r="L31" i="2"/>
  <c r="M30" i="2"/>
  <c r="S30" i="2" s="1"/>
  <c r="M31" i="1" l="1"/>
  <c r="S31" i="1" s="1"/>
  <c r="L32" i="1"/>
  <c r="M33" i="16"/>
  <c r="S33" i="16" s="1"/>
  <c r="L34" i="16"/>
  <c r="M35" i="19"/>
  <c r="S35" i="19" s="1"/>
  <c r="L36" i="19"/>
  <c r="M33" i="17"/>
  <c r="S33" i="17" s="1"/>
  <c r="L34" i="17"/>
  <c r="M31" i="2"/>
  <c r="S31" i="2" s="1"/>
  <c r="L32" i="2"/>
  <c r="L37" i="19" l="1"/>
  <c r="M36" i="19"/>
  <c r="S36" i="19" s="1"/>
  <c r="M32" i="1"/>
  <c r="S32" i="1" s="1"/>
  <c r="L33" i="1"/>
  <c r="M34" i="16"/>
  <c r="S34" i="16" s="1"/>
  <c r="L35" i="16"/>
  <c r="M34" i="17"/>
  <c r="S34" i="17" s="1"/>
  <c r="L35" i="17"/>
  <c r="L33" i="2"/>
  <c r="M32" i="2"/>
  <c r="S32" i="2" s="1"/>
  <c r="M33" i="1" l="1"/>
  <c r="S33" i="1" s="1"/>
  <c r="L34" i="1"/>
  <c r="L36" i="16"/>
  <c r="M35" i="16"/>
  <c r="S35" i="16" s="1"/>
  <c r="L38" i="19"/>
  <c r="M37" i="19"/>
  <c r="S37" i="19" s="1"/>
  <c r="L36" i="17"/>
  <c r="M35" i="17"/>
  <c r="S35" i="17" s="1"/>
  <c r="L34" i="2"/>
  <c r="M33" i="2"/>
  <c r="S33" i="2" s="1"/>
  <c r="L37" i="16" l="1"/>
  <c r="M36" i="16"/>
  <c r="S36" i="16" s="1"/>
  <c r="M34" i="1"/>
  <c r="S34" i="1" s="1"/>
  <c r="L35" i="1"/>
  <c r="M38" i="19"/>
  <c r="S38" i="19" s="1"/>
  <c r="L39" i="19"/>
  <c r="L37" i="17"/>
  <c r="M36" i="17"/>
  <c r="S36" i="17" s="1"/>
  <c r="M34" i="2"/>
  <c r="S34" i="2" s="1"/>
  <c r="L35" i="2"/>
  <c r="M39" i="19" l="1"/>
  <c r="S39" i="19" s="1"/>
  <c r="L40" i="19"/>
  <c r="M35" i="1"/>
  <c r="S35" i="1" s="1"/>
  <c r="L36" i="1"/>
  <c r="M37" i="16"/>
  <c r="S37" i="16" s="1"/>
  <c r="L38" i="16"/>
  <c r="L38" i="17"/>
  <c r="M37" i="17"/>
  <c r="S37" i="17" s="1"/>
  <c r="M35" i="2"/>
  <c r="S35" i="2" s="1"/>
  <c r="L36" i="2"/>
  <c r="M36" i="1" l="1"/>
  <c r="S36" i="1" s="1"/>
  <c r="L37" i="1"/>
  <c r="M38" i="16"/>
  <c r="S38" i="16" s="1"/>
  <c r="L39" i="16"/>
  <c r="M40" i="19"/>
  <c r="S40" i="19" s="1"/>
  <c r="L41" i="19"/>
  <c r="L39" i="17"/>
  <c r="M38" i="17"/>
  <c r="S38" i="17" s="1"/>
  <c r="L37" i="2"/>
  <c r="M36" i="2"/>
  <c r="S36" i="2" s="1"/>
  <c r="M39" i="16" l="1"/>
  <c r="S39" i="16" s="1"/>
  <c r="L40" i="16"/>
  <c r="M41" i="19"/>
  <c r="S41" i="19" s="1"/>
  <c r="L42" i="19"/>
  <c r="M37" i="1"/>
  <c r="S37" i="1" s="1"/>
  <c r="L38" i="1"/>
  <c r="M39" i="17"/>
  <c r="S39" i="17" s="1"/>
  <c r="L40" i="17"/>
  <c r="L38" i="2"/>
  <c r="M37" i="2"/>
  <c r="S37" i="2" s="1"/>
  <c r="M42" i="19" l="1"/>
  <c r="S42" i="19" s="1"/>
  <c r="L43" i="19"/>
  <c r="M38" i="1"/>
  <c r="S38" i="1" s="1"/>
  <c r="L39" i="1"/>
  <c r="M40" i="16"/>
  <c r="S40" i="16" s="1"/>
  <c r="L41" i="16"/>
  <c r="L41" i="17"/>
  <c r="M40" i="17"/>
  <c r="S40" i="17" s="1"/>
  <c r="M38" i="2"/>
  <c r="S38" i="2" s="1"/>
  <c r="L39" i="2"/>
  <c r="M39" i="1" l="1"/>
  <c r="S39" i="1" s="1"/>
  <c r="L40" i="1"/>
  <c r="M41" i="16"/>
  <c r="S41" i="16" s="1"/>
  <c r="L42" i="16"/>
  <c r="L44" i="19"/>
  <c r="M43" i="19"/>
  <c r="S43" i="19" s="1"/>
  <c r="L42" i="17"/>
  <c r="M41" i="17"/>
  <c r="S41" i="17" s="1"/>
  <c r="M39" i="2"/>
  <c r="S39" i="2" s="1"/>
  <c r="L40" i="2"/>
  <c r="M42" i="16" l="1"/>
  <c r="S42" i="16" s="1"/>
  <c r="L43" i="16"/>
  <c r="L45" i="19"/>
  <c r="M44" i="19"/>
  <c r="S44" i="19" s="1"/>
  <c r="M40" i="1"/>
  <c r="S40" i="1" s="1"/>
  <c r="L41" i="1"/>
  <c r="L43" i="17"/>
  <c r="M42" i="17"/>
  <c r="S42" i="17" s="1"/>
  <c r="L41" i="2"/>
  <c r="M40" i="2"/>
  <c r="S40" i="2" s="1"/>
  <c r="M45" i="19" l="1"/>
  <c r="S45" i="19" s="1"/>
  <c r="L46" i="19"/>
  <c r="M41" i="1"/>
  <c r="S41" i="1" s="1"/>
  <c r="L42" i="1"/>
  <c r="M42" i="1" s="1"/>
  <c r="S42" i="1" s="1"/>
  <c r="M43" i="16"/>
  <c r="S43" i="16" s="1"/>
  <c r="L44" i="16"/>
  <c r="M43" i="17"/>
  <c r="S43" i="17" s="1"/>
  <c r="L44" i="17"/>
  <c r="M41" i="2"/>
  <c r="S41" i="2" s="1"/>
  <c r="L42" i="2"/>
  <c r="M42" i="2" s="1"/>
  <c r="S42" i="2" s="1"/>
  <c r="M44" i="16" l="1"/>
  <c r="S44" i="16" s="1"/>
  <c r="L45" i="16"/>
  <c r="L47" i="19"/>
  <c r="M46" i="19"/>
  <c r="S46" i="19" s="1"/>
  <c r="M44" i="17"/>
  <c r="S44" i="17" s="1"/>
  <c r="L45" i="17"/>
  <c r="M45" i="16" l="1"/>
  <c r="S45" i="16" s="1"/>
  <c r="L46" i="16"/>
  <c r="M47" i="19"/>
  <c r="S47" i="19" s="1"/>
  <c r="L48" i="19"/>
  <c r="M45" i="17"/>
  <c r="S45" i="17" s="1"/>
  <c r="L46" i="17"/>
  <c r="M48" i="19" l="1"/>
  <c r="S48" i="19" s="1"/>
  <c r="L49" i="19"/>
  <c r="M46" i="16"/>
  <c r="S46" i="16" s="1"/>
  <c r="L47" i="16"/>
  <c r="L47" i="17"/>
  <c r="M46" i="17"/>
  <c r="S46" i="17" s="1"/>
  <c r="M49" i="19" l="1"/>
  <c r="S49" i="19" s="1"/>
  <c r="L50" i="19"/>
  <c r="M47" i="16"/>
  <c r="S47" i="16" s="1"/>
  <c r="L48" i="16"/>
  <c r="M48" i="16" s="1"/>
  <c r="S48" i="16" s="1"/>
  <c r="L48" i="17"/>
  <c r="M48" i="17" s="1"/>
  <c r="S48" i="17" s="1"/>
  <c r="M47" i="17"/>
  <c r="S47" i="17" s="1"/>
  <c r="L51" i="19" l="1"/>
  <c r="M50" i="19"/>
  <c r="S50" i="19" s="1"/>
  <c r="M51" i="19" l="1"/>
  <c r="S51" i="19" s="1"/>
  <c r="L52" i="19"/>
  <c r="M52" i="19" l="1"/>
  <c r="S52" i="19" s="1"/>
  <c r="L53" i="19"/>
  <c r="M53" i="19" l="1"/>
  <c r="S53" i="19" s="1"/>
  <c r="L54" i="19"/>
  <c r="M54" i="19" l="1"/>
  <c r="S54" i="19" s="1"/>
  <c r="L55" i="19"/>
  <c r="M55" i="19" s="1"/>
  <c r="S55" i="19" s="1"/>
</calcChain>
</file>

<file path=xl/sharedStrings.xml><?xml version="1.0" encoding="utf-8"?>
<sst xmlns="http://schemas.openxmlformats.org/spreadsheetml/2006/main" count="4074" uniqueCount="155">
  <si>
    <t>TRIP VOLUMES LOG</t>
  </si>
  <si>
    <t>FILL IN THE YELLOW BITS ONLY</t>
  </si>
  <si>
    <t xml:space="preserve"> </t>
  </si>
  <si>
    <t>Date and Time</t>
  </si>
  <si>
    <t>GAIN / LOSS</t>
  </si>
  <si>
    <t>CTRL+SHIFT+;</t>
  </si>
  <si>
    <t>WHILE TRIPPING</t>
  </si>
  <si>
    <t>TRANSFERS</t>
  </si>
  <si>
    <t xml:space="preserve">    DISPLACED  VOLUMES</t>
  </si>
  <si>
    <t>CUMULATIVE VOLUMES (TRIP)</t>
  </si>
  <si>
    <t>COMMENTS</t>
  </si>
  <si>
    <t>SPACE</t>
  </si>
  <si>
    <t>SECTION</t>
  </si>
  <si>
    <t>OVERALL</t>
  </si>
  <si>
    <t>PIPE</t>
  </si>
  <si>
    <t>DISP</t>
  </si>
  <si>
    <t>CUM</t>
  </si>
  <si>
    <t>DEPTH</t>
  </si>
  <si>
    <t>VOLUME</t>
  </si>
  <si>
    <t>(from trip = -ve)</t>
  </si>
  <si>
    <t>THEORY</t>
  </si>
  <si>
    <t>ACTUAL</t>
  </si>
  <si>
    <t>DIFFERENCE</t>
  </si>
  <si>
    <t>(slip line, circulate, etc)</t>
  </si>
  <si>
    <t>CTRL+SHIFT+:</t>
  </si>
  <si>
    <t>m3/hr</t>
  </si>
  <si>
    <t>TYPE</t>
  </si>
  <si>
    <t>l/m</t>
  </si>
  <si>
    <t>STDS</t>
  </si>
  <si>
    <t>5 1/2" HWDP OE</t>
  </si>
  <si>
    <t>|</t>
  </si>
  <si>
    <t>6 5/8" DP OE</t>
  </si>
  <si>
    <t>6 5/8" DP CE</t>
  </si>
  <si>
    <t>7" tubing CE</t>
  </si>
  <si>
    <t>7" tubing OE</t>
  </si>
  <si>
    <t>5" DP OE</t>
  </si>
  <si>
    <t>5" DP CE</t>
  </si>
  <si>
    <t>5 1/2" DP CE</t>
  </si>
  <si>
    <t>5 1/2" DP OE</t>
  </si>
  <si>
    <t>5 1/2" HWDP CE</t>
  </si>
  <si>
    <t>10 3/4" Liner CE</t>
  </si>
  <si>
    <t>10 3/4" Liner OE</t>
  </si>
  <si>
    <t>6 5/8" Blanks OE</t>
  </si>
  <si>
    <t>6 5/8" Mix screen/Blank OE</t>
  </si>
  <si>
    <t>6 5/8" Screens OE</t>
  </si>
  <si>
    <t>6 5/8" Screens CE</t>
  </si>
  <si>
    <t>5 1/2" HWDP OWS OE</t>
  </si>
  <si>
    <t>3 1/2" DP OE</t>
  </si>
  <si>
    <t>3 1/2" DP CE</t>
  </si>
  <si>
    <t>Disp kill, choke, riser</t>
  </si>
  <si>
    <t>106-, 115+- 116+</t>
  </si>
  <si>
    <t>Kill Well</t>
  </si>
  <si>
    <t>115+</t>
  </si>
  <si>
    <t>115+  103-</t>
  </si>
  <si>
    <t>103+</t>
  </si>
  <si>
    <t>116+ 103, 115-</t>
  </si>
  <si>
    <t>111+- 117+ 116-</t>
  </si>
  <si>
    <t>115+  117-  116+</t>
  </si>
  <si>
    <t>115-</t>
  </si>
  <si>
    <t>117+</t>
  </si>
  <si>
    <t>117- 115+, start Cross circulate</t>
  </si>
  <si>
    <t>Start 1 x BU</t>
  </si>
  <si>
    <t>WELL : 31/5-H-3</t>
  </si>
  <si>
    <t>Flowcheck</t>
  </si>
  <si>
    <t>cross circ</t>
  </si>
  <si>
    <t>POOH</t>
  </si>
  <si>
    <t>flowcheck</t>
  </si>
  <si>
    <t>Pump 25 m3 MEG</t>
  </si>
  <si>
    <t>115+ 116+</t>
  </si>
  <si>
    <t>Circ BU</t>
  </si>
  <si>
    <t>115- 116+</t>
  </si>
  <si>
    <t>104+ 105- -103</t>
  </si>
  <si>
    <t>116 out, 117 in</t>
  </si>
  <si>
    <t>Pump MEG</t>
  </si>
  <si>
    <t>115 + 117+-</t>
  </si>
  <si>
    <t>116+</t>
  </si>
  <si>
    <t>103+ 105-</t>
  </si>
  <si>
    <t>103-</t>
  </si>
  <si>
    <t>112+</t>
  </si>
  <si>
    <t>cut prod</t>
  </si>
  <si>
    <t>2 7/8" DP OE</t>
  </si>
  <si>
    <t>2 7/8" DP CE</t>
  </si>
  <si>
    <t>5.5 HWDP</t>
  </si>
  <si>
    <t>5.5 DP</t>
  </si>
  <si>
    <t>CUT</t>
  </si>
  <si>
    <t>5.5" DP OE</t>
  </si>
  <si>
    <t xml:space="preserve">static </t>
  </si>
  <si>
    <t>5.5" DP CE</t>
  </si>
  <si>
    <t>flow check</t>
  </si>
  <si>
    <t>Run#1 Fish</t>
  </si>
  <si>
    <t>Run#2 Fish</t>
  </si>
  <si>
    <t>POOH tubing</t>
  </si>
  <si>
    <t>7 std</t>
  </si>
  <si>
    <t>5 1/2" tubing</t>
  </si>
  <si>
    <t>5.5" HWDP CE</t>
  </si>
  <si>
    <t>FLC</t>
  </si>
  <si>
    <t>FLC below BOP</t>
  </si>
  <si>
    <t>BHA</t>
  </si>
  <si>
    <t>returns to tt</t>
  </si>
  <si>
    <t>flow check. Changed tt middle of fc</t>
  </si>
  <si>
    <t>fc</t>
  </si>
  <si>
    <t>Old completion</t>
  </si>
  <si>
    <t>Wash down/Clean WS setting area</t>
  </si>
  <si>
    <t>115in/out</t>
  </si>
  <si>
    <t>106 in/out</t>
  </si>
  <si>
    <t>Started milling</t>
  </si>
  <si>
    <t>pooh</t>
  </si>
  <si>
    <t>OOH</t>
  </si>
  <si>
    <t>Pumped 3m3  1.37 sg slug</t>
  </si>
  <si>
    <t>Flc inside shoe</t>
  </si>
  <si>
    <t>Flc below BOP</t>
  </si>
  <si>
    <t>8 5/8" Exp Liner CE</t>
  </si>
  <si>
    <t>Inner string</t>
  </si>
  <si>
    <t>Pumped 1.37 sg slug</t>
  </si>
  <si>
    <t>FLC inside shoe</t>
  </si>
  <si>
    <t>Flowcheck below BOP</t>
  </si>
  <si>
    <t>5.5'' DP CE</t>
  </si>
  <si>
    <t>1st circ</t>
  </si>
  <si>
    <t>2nd circ</t>
  </si>
  <si>
    <t>3rd circ</t>
  </si>
  <si>
    <t>Total losses so far in light blue</t>
  </si>
  <si>
    <t>103 in</t>
  </si>
  <si>
    <t>103 in/out, 106 in</t>
  </si>
  <si>
    <t>1000lpm</t>
  </si>
  <si>
    <t>1500lpm</t>
  </si>
  <si>
    <t>increase boost</t>
  </si>
  <si>
    <t>106 out</t>
  </si>
  <si>
    <t>103 out</t>
  </si>
  <si>
    <t>displacement</t>
  </si>
  <si>
    <t>pump slug</t>
  </si>
  <si>
    <t>5.5'' HWDP OE</t>
  </si>
  <si>
    <t>5.5'' DP OE</t>
  </si>
  <si>
    <t>hwdp + dp</t>
  </si>
  <si>
    <t>106in</t>
  </si>
  <si>
    <t>WELL : 31/5-H-3 DY2H</t>
  </si>
  <si>
    <t>5'' DP OE</t>
  </si>
  <si>
    <t>5" DP</t>
  </si>
  <si>
    <t>change TT</t>
  </si>
  <si>
    <t>Circ down</t>
  </si>
  <si>
    <t>113,114 out, 107,108 in</t>
  </si>
  <si>
    <t>shaker pits out</t>
  </si>
  <si>
    <t>A to B</t>
  </si>
  <si>
    <t>On TT A</t>
  </si>
  <si>
    <t>On TT B</t>
  </si>
  <si>
    <t>FLC inside window</t>
  </si>
  <si>
    <t>Test BOP</t>
  </si>
  <si>
    <t>5.5" HWDP</t>
  </si>
  <si>
    <t>5.5" DP</t>
  </si>
  <si>
    <t>FLC pulled whipstock</t>
  </si>
  <si>
    <t>5 1/2" HWDP 0E</t>
  </si>
  <si>
    <t>Milling</t>
  </si>
  <si>
    <t>static lossrate 1.41</t>
  </si>
  <si>
    <t>switch tt</t>
  </si>
  <si>
    <t>Flowcheck in window</t>
  </si>
  <si>
    <t>fill 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</si>
</sst>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m/d/yy\ hh:mm;@"/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color indexed="50"/>
      <name val="Arial Rounded MT Bold"/>
      <family val="2"/>
    </font>
    <font>
      <b/>
      <sz val="14"/>
      <color indexed="17"/>
      <name val="Arial"/>
      <family val="2"/>
    </font>
    <font>
      <b/>
      <sz val="8"/>
      <color indexed="17"/>
      <name val="Arial"/>
      <family val="2"/>
    </font>
    <font>
      <sz val="10"/>
      <name val="Arial Rounded MT Bold"/>
      <family val="2"/>
    </font>
    <font>
      <sz val="10"/>
      <color rgb="FF006100"/>
      <name val="Arial"/>
      <family val="2"/>
    </font>
    <font>
      <sz val="16"/>
      <color rgb="FF006100"/>
      <name val="Arial Rounded MT Bold"/>
      <family val="2"/>
    </font>
    <font>
      <sz val="9"/>
      <name val="Arial"/>
      <family val="2"/>
    </font>
    <font>
      <sz val="8"/>
      <name val="Arial"/>
      <family val="2"/>
    </font>
    <font>
      <sz val="8"/>
      <color indexed="17"/>
      <name val="Arial"/>
      <family val="2"/>
    </font>
    <font>
      <b/>
      <sz val="9"/>
      <color indexed="17"/>
      <name val="Arial"/>
      <family val="2"/>
    </font>
    <font>
      <b/>
      <sz val="10"/>
      <color indexed="17"/>
      <name val="Arial"/>
      <family val="2"/>
    </font>
    <font>
      <b/>
      <sz val="7"/>
      <color indexed="17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sz val="9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0" fontId="1" fillId="0" borderId="0"/>
  </cellStyleXfs>
  <cellXfs count="252">
    <xf numFmtId="0" fontId="0" fillId="0" borderId="0" xfId="0"/>
    <xf numFmtId="0" fontId="1" fillId="3" borderId="1" xfId="2" applyFill="1" applyBorder="1"/>
    <xf numFmtId="0" fontId="1" fillId="3" borderId="2" xfId="2" applyFill="1" applyBorder="1" applyProtection="1">
      <protection locked="0"/>
    </xf>
    <xf numFmtId="0" fontId="1" fillId="3" borderId="0" xfId="2" applyFill="1" applyBorder="1" applyProtection="1">
      <protection locked="0"/>
    </xf>
    <xf numFmtId="0" fontId="1" fillId="0" borderId="0" xfId="2"/>
    <xf numFmtId="0" fontId="5" fillId="3" borderId="9" xfId="2" applyFont="1" applyFill="1" applyBorder="1"/>
    <xf numFmtId="0" fontId="6" fillId="2" borderId="0" xfId="1" applyBorder="1" applyProtection="1">
      <protection locked="0"/>
    </xf>
    <xf numFmtId="0" fontId="4" fillId="3" borderId="11" xfId="2" applyFont="1" applyFill="1" applyBorder="1" applyAlignment="1" applyProtection="1">
      <alignment horizontal="center"/>
      <protection locked="0"/>
    </xf>
    <xf numFmtId="0" fontId="5" fillId="0" borderId="0" xfId="2" applyFont="1"/>
    <xf numFmtId="0" fontId="8" fillId="3" borderId="9" xfId="2" applyFont="1" applyFill="1" applyBorder="1"/>
    <xf numFmtId="0" fontId="6" fillId="2" borderId="0" xfId="1" applyBorder="1" applyAlignment="1" applyProtection="1">
      <alignment vertical="center"/>
      <protection locked="0"/>
    </xf>
    <xf numFmtId="0" fontId="4" fillId="3" borderId="12" xfId="2" applyFont="1" applyFill="1" applyBorder="1" applyAlignment="1" applyProtection="1">
      <alignment horizontal="center"/>
      <protection locked="0"/>
    </xf>
    <xf numFmtId="0" fontId="8" fillId="0" borderId="0" xfId="2" applyFont="1"/>
    <xf numFmtId="0" fontId="9" fillId="3" borderId="9" xfId="2" applyFont="1" applyFill="1" applyBorder="1"/>
    <xf numFmtId="0" fontId="10" fillId="3" borderId="6" xfId="2" applyFont="1" applyFill="1" applyBorder="1" applyProtection="1">
      <protection locked="0"/>
    </xf>
    <xf numFmtId="0" fontId="10" fillId="3" borderId="7" xfId="2" applyFont="1" applyFill="1" applyBorder="1" applyProtection="1">
      <protection locked="0"/>
    </xf>
    <xf numFmtId="0" fontId="9" fillId="3" borderId="7" xfId="2" applyFont="1" applyFill="1" applyBorder="1" applyAlignment="1" applyProtection="1">
      <alignment horizontal="right"/>
      <protection locked="0"/>
    </xf>
    <xf numFmtId="0" fontId="4" fillId="3" borderId="2" xfId="2" applyFont="1" applyFill="1" applyBorder="1" applyAlignment="1" applyProtection="1">
      <alignment horizontal="right"/>
      <protection locked="0"/>
    </xf>
    <xf numFmtId="0" fontId="8" fillId="3" borderId="8" xfId="2" applyFont="1" applyFill="1" applyBorder="1" applyAlignment="1" applyProtection="1">
      <alignment horizontal="center"/>
      <protection locked="0"/>
    </xf>
    <xf numFmtId="0" fontId="11" fillId="3" borderId="13" xfId="2" applyFont="1" applyFill="1" applyBorder="1" applyAlignment="1" applyProtection="1">
      <alignment horizontal="center"/>
      <protection locked="0"/>
    </xf>
    <xf numFmtId="0" fontId="12" fillId="3" borderId="10" xfId="2" applyFont="1" applyFill="1" applyBorder="1" applyAlignment="1" applyProtection="1">
      <alignment horizontal="left"/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164" fontId="11" fillId="3" borderId="10" xfId="2" applyNumberFormat="1" applyFont="1" applyFill="1" applyBorder="1" applyAlignment="1" applyProtection="1">
      <alignment horizontal="center"/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0" borderId="0" xfId="2" applyFont="1"/>
    <xf numFmtId="0" fontId="12" fillId="3" borderId="13" xfId="2" applyFont="1" applyFill="1" applyBorder="1" applyAlignment="1" applyProtection="1">
      <alignment horizontal="center"/>
      <protection locked="0"/>
    </xf>
    <xf numFmtId="0" fontId="12" fillId="3" borderId="11" xfId="2" applyFont="1" applyFill="1" applyBorder="1" applyAlignment="1" applyProtection="1">
      <alignment horizontal="center" vertical="center"/>
      <protection locked="0"/>
    </xf>
    <xf numFmtId="0" fontId="12" fillId="3" borderId="8" xfId="2" applyFont="1" applyFill="1" applyBorder="1" applyAlignment="1" applyProtection="1">
      <alignment horizontal="center" vertical="center"/>
      <protection locked="0"/>
    </xf>
    <xf numFmtId="0" fontId="13" fillId="3" borderId="12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164" fontId="4" fillId="3" borderId="14" xfId="2" applyNumberFormat="1" applyFont="1" applyFill="1" applyBorder="1" applyAlignment="1" applyProtection="1">
      <alignment horizontal="center"/>
      <protection locked="0"/>
    </xf>
    <xf numFmtId="164" fontId="4" fillId="3" borderId="0" xfId="2" applyNumberFormat="1" applyFont="1" applyFill="1" applyBorder="1" applyAlignment="1" applyProtection="1">
      <alignment horizontal="center"/>
      <protection locked="0"/>
    </xf>
    <xf numFmtId="164" fontId="4" fillId="3" borderId="4" xfId="2" applyNumberFormat="1" applyFont="1" applyFill="1" applyBorder="1" applyAlignment="1" applyProtection="1">
      <alignment horizontal="center"/>
      <protection locked="0"/>
    </xf>
    <xf numFmtId="164" fontId="4" fillId="3" borderId="5" xfId="2" applyNumberFormat="1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1" fillId="3" borderId="9" xfId="2" applyFill="1" applyBorder="1"/>
    <xf numFmtId="0" fontId="11" fillId="3" borderId="12" xfId="2" applyFont="1" applyFill="1" applyBorder="1" applyAlignment="1" applyProtection="1">
      <alignment horizontal="center"/>
      <protection locked="0"/>
    </xf>
    <xf numFmtId="1" fontId="14" fillId="4" borderId="11" xfId="2" applyNumberFormat="1" applyFont="1" applyFill="1" applyBorder="1" applyAlignment="1" applyProtection="1">
      <alignment horizontal="center"/>
      <protection locked="0"/>
    </xf>
    <xf numFmtId="2" fontId="14" fillId="4" borderId="11" xfId="2" applyNumberFormat="1" applyFont="1" applyFill="1" applyBorder="1" applyAlignment="1" applyProtection="1">
      <alignment horizontal="center"/>
      <protection locked="0"/>
    </xf>
    <xf numFmtId="164" fontId="14" fillId="3" borderId="5" xfId="2" applyNumberFormat="1" applyFont="1" applyFill="1" applyBorder="1" applyAlignment="1" applyProtection="1">
      <alignment horizontal="center"/>
      <protection locked="0"/>
    </xf>
    <xf numFmtId="164" fontId="14" fillId="3" borderId="11" xfId="2" applyNumberFormat="1" applyFont="1" applyFill="1" applyBorder="1" applyAlignment="1" applyProtection="1">
      <alignment horizontal="center"/>
    </xf>
    <xf numFmtId="164" fontId="14" fillId="3" borderId="7" xfId="2" applyNumberFormat="1" applyFont="1" applyFill="1" applyBorder="1" applyAlignment="1" applyProtection="1">
      <alignment horizontal="center"/>
    </xf>
    <xf numFmtId="2" fontId="14" fillId="3" borderId="11" xfId="2" applyNumberFormat="1" applyFont="1" applyFill="1" applyBorder="1" applyAlignment="1" applyProtection="1">
      <alignment horizontal="center"/>
    </xf>
    <xf numFmtId="2" fontId="14" fillId="3" borderId="12" xfId="2" applyNumberFormat="1" applyFont="1" applyFill="1" applyBorder="1" applyAlignment="1" applyProtection="1">
      <alignment horizontal="center"/>
    </xf>
    <xf numFmtId="2" fontId="15" fillId="3" borderId="11" xfId="2" applyNumberFormat="1" applyFont="1" applyFill="1" applyBorder="1" applyAlignment="1" applyProtection="1">
      <alignment horizontal="center"/>
    </xf>
    <xf numFmtId="165" fontId="9" fillId="4" borderId="11" xfId="2" applyNumberFormat="1" applyFont="1" applyFill="1" applyBorder="1" applyAlignment="1" applyProtection="1">
      <alignment horizontal="center"/>
      <protection locked="0"/>
    </xf>
    <xf numFmtId="166" fontId="16" fillId="4" borderId="11" xfId="2" applyNumberFormat="1" applyFont="1" applyFill="1" applyBorder="1" applyAlignment="1" applyProtection="1">
      <alignment horizontal="center"/>
      <protection locked="0"/>
    </xf>
    <xf numFmtId="2" fontId="17" fillId="4" borderId="11" xfId="2" applyNumberFormat="1" applyFont="1" applyFill="1" applyBorder="1" applyAlignment="1" applyProtection="1">
      <alignment horizontal="center" vertical="center"/>
      <protection locked="0"/>
    </xf>
    <xf numFmtId="0" fontId="14" fillId="4" borderId="11" xfId="2" applyFont="1" applyFill="1" applyBorder="1" applyAlignment="1" applyProtection="1">
      <alignment horizontal="center"/>
      <protection locked="0"/>
    </xf>
    <xf numFmtId="2" fontId="14" fillId="4" borderId="5" xfId="2" applyNumberFormat="1" applyFont="1" applyFill="1" applyBorder="1" applyAlignment="1" applyProtection="1">
      <alignment horizontal="center"/>
      <protection locked="0"/>
    </xf>
    <xf numFmtId="2" fontId="14" fillId="3" borderId="7" xfId="2" applyNumberFormat="1" applyFont="1" applyFill="1" applyBorder="1" applyAlignment="1" applyProtection="1">
      <alignment horizontal="center"/>
    </xf>
    <xf numFmtId="2" fontId="14" fillId="5" borderId="6" xfId="2" applyNumberFormat="1" applyFont="1" applyFill="1" applyBorder="1" applyAlignment="1" applyProtection="1">
      <alignment horizontal="center"/>
    </xf>
    <xf numFmtId="1" fontId="1" fillId="4" borderId="11" xfId="2" applyNumberFormat="1" applyFill="1" applyBorder="1" applyAlignment="1" applyProtection="1">
      <alignment horizontal="center"/>
      <protection locked="0"/>
    </xf>
    <xf numFmtId="2" fontId="1" fillId="0" borderId="0" xfId="2" applyNumberFormat="1" applyFont="1"/>
    <xf numFmtId="2" fontId="1" fillId="4" borderId="11" xfId="2" applyNumberFormat="1" applyFont="1" applyFill="1" applyBorder="1" applyAlignment="1" applyProtection="1">
      <alignment horizontal="center"/>
      <protection locked="0"/>
    </xf>
    <xf numFmtId="1" fontId="1" fillId="4" borderId="11" xfId="2" applyNumberFormat="1" applyFont="1" applyFill="1" applyBorder="1" applyAlignment="1" applyProtection="1">
      <alignment horizontal="center"/>
      <protection locked="0"/>
    </xf>
    <xf numFmtId="1" fontId="1" fillId="4" borderId="11" xfId="2" quotePrefix="1" applyNumberFormat="1" applyFill="1" applyBorder="1" applyAlignment="1" applyProtection="1">
      <alignment horizontal="center"/>
      <protection locked="0"/>
    </xf>
    <xf numFmtId="164" fontId="14" fillId="4" borderId="5" xfId="2" applyNumberFormat="1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9" fillId="3" borderId="9" xfId="2" applyFont="1" applyFill="1" applyBorder="1" applyAlignment="1">
      <alignment horizontal="center" vertical="center"/>
    </xf>
    <xf numFmtId="0" fontId="9" fillId="0" borderId="0" xfId="2" applyFont="1" applyAlignment="1">
      <alignment horizontal="center" vertical="center"/>
    </xf>
    <xf numFmtId="165" fontId="9" fillId="4" borderId="11" xfId="2" applyNumberFormat="1" applyFont="1" applyFill="1" applyBorder="1" applyAlignment="1" applyProtection="1">
      <alignment horizontal="center" vertical="center"/>
      <protection locked="0"/>
    </xf>
    <xf numFmtId="0" fontId="1" fillId="3" borderId="3" xfId="2" applyFill="1" applyBorder="1" applyAlignment="1">
      <alignment horizontal="center" vertical="center"/>
    </xf>
    <xf numFmtId="0" fontId="1" fillId="0" borderId="0" xfId="2" applyAlignment="1">
      <alignment horizontal="center" vertical="center"/>
    </xf>
    <xf numFmtId="1" fontId="16" fillId="4" borderId="11" xfId="2" applyNumberFormat="1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22" fontId="9" fillId="4" borderId="11" xfId="2" applyNumberFormat="1" applyFont="1" applyFill="1" applyBorder="1" applyAlignment="1" applyProtection="1">
      <alignment horizontal="center" vertical="center"/>
      <protection locked="0"/>
    </xf>
    <xf numFmtId="0" fontId="9" fillId="4" borderId="11" xfId="2" applyFont="1" applyFill="1" applyBorder="1" applyAlignment="1" applyProtection="1">
      <alignment horizontal="center" vertical="center"/>
      <protection locked="0"/>
    </xf>
    <xf numFmtId="164" fontId="1" fillId="0" borderId="0" xfId="2" applyNumberFormat="1"/>
    <xf numFmtId="0" fontId="1" fillId="0" borderId="0" xfId="2" applyAlignment="1">
      <alignment horizontal="center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2" fontId="14" fillId="6" borderId="6" xfId="2" applyNumberFormat="1" applyFont="1" applyFill="1" applyBorder="1" applyAlignment="1" applyProtection="1">
      <alignment horizontal="center"/>
    </xf>
    <xf numFmtId="2" fontId="14" fillId="7" borderId="6" xfId="2" applyNumberFormat="1" applyFont="1" applyFill="1" applyBorder="1" applyAlignment="1" applyProtection="1">
      <alignment horizontal="center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9" fillId="4" borderId="6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9" fillId="4" borderId="6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9" fillId="4" borderId="6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0" fontId="9" fillId="4" borderId="6" xfId="2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0" fontId="2" fillId="3" borderId="3" xfId="2" applyFont="1" applyFill="1" applyBorder="1" applyAlignment="1" applyProtection="1">
      <alignment horizontal="center" vertical="center"/>
      <protection locked="0"/>
    </xf>
    <xf numFmtId="0" fontId="2" fillId="3" borderId="4" xfId="2" applyFont="1" applyFill="1" applyBorder="1" applyAlignment="1" applyProtection="1">
      <alignment horizontal="center" vertical="center"/>
      <protection locked="0"/>
    </xf>
    <xf numFmtId="0" fontId="2" fillId="3" borderId="5" xfId="2" applyFont="1" applyFill="1" applyBorder="1" applyAlignment="1" applyProtection="1">
      <alignment horizontal="center" vertical="center"/>
      <protection locked="0"/>
    </xf>
    <xf numFmtId="0" fontId="3" fillId="3" borderId="3" xfId="2" applyFont="1" applyFill="1" applyBorder="1" applyAlignment="1" applyProtection="1">
      <alignment horizontal="center" vertical="center"/>
      <protection locked="0"/>
    </xf>
    <xf numFmtId="0" fontId="3" fillId="3" borderId="4" xfId="2" applyFont="1" applyFill="1" applyBorder="1" applyAlignment="1" applyProtection="1">
      <alignment horizontal="center" vertical="center"/>
      <protection locked="0"/>
    </xf>
    <xf numFmtId="0" fontId="3" fillId="3" borderId="5" xfId="2" applyFont="1" applyFill="1" applyBorder="1" applyAlignment="1" applyProtection="1">
      <alignment horizontal="center" vertical="center"/>
      <protection locked="0"/>
    </xf>
    <xf numFmtId="0" fontId="4" fillId="4" borderId="6" xfId="2" applyFont="1" applyFill="1" applyBorder="1" applyAlignment="1" applyProtection="1">
      <alignment horizontal="center" vertical="center"/>
      <protection locked="0"/>
    </xf>
    <xf numFmtId="0" fontId="4" fillId="4" borderId="7" xfId="2" applyFont="1" applyFill="1" applyBorder="1" applyAlignment="1" applyProtection="1">
      <alignment horizontal="center" vertical="center"/>
      <protection locked="0"/>
    </xf>
    <xf numFmtId="0" fontId="4" fillId="4" borderId="8" xfId="2" applyFont="1" applyFill="1" applyBorder="1" applyAlignment="1" applyProtection="1">
      <alignment horizontal="center" vertical="center"/>
      <protection locked="0"/>
    </xf>
    <xf numFmtId="0" fontId="7" fillId="2" borderId="1" xfId="1" applyFont="1" applyBorder="1" applyAlignment="1" applyProtection="1">
      <alignment horizontal="center" vertical="center"/>
      <protection locked="0"/>
    </xf>
    <xf numFmtId="0" fontId="7" fillId="2" borderId="2" xfId="1" applyFont="1" applyBorder="1" applyAlignment="1" applyProtection="1">
      <alignment horizontal="center" vertical="center"/>
      <protection locked="0"/>
    </xf>
    <xf numFmtId="0" fontId="7" fillId="2" borderId="10" xfId="1" applyFont="1" applyBorder="1" applyAlignment="1" applyProtection="1">
      <alignment horizontal="center" vertical="center"/>
      <protection locked="0"/>
    </xf>
    <xf numFmtId="0" fontId="7" fillId="2" borderId="3" xfId="1" applyFont="1" applyBorder="1" applyAlignment="1" applyProtection="1">
      <alignment horizontal="center" vertical="center"/>
      <protection locked="0"/>
    </xf>
    <xf numFmtId="0" fontId="7" fillId="2" borderId="4" xfId="1" applyFont="1" applyBorder="1" applyAlignment="1" applyProtection="1">
      <alignment horizontal="center" vertical="center"/>
      <protection locked="0"/>
    </xf>
    <xf numFmtId="0" fontId="7" fillId="2" borderId="5" xfId="1" applyFont="1" applyBorder="1" applyAlignment="1" applyProtection="1">
      <alignment horizontal="center" vertical="center"/>
      <protection locked="0"/>
    </xf>
    <xf numFmtId="0" fontId="4" fillId="3" borderId="1" xfId="2" applyFont="1" applyFill="1" applyBorder="1" applyAlignment="1" applyProtection="1">
      <alignment horizontal="center"/>
      <protection locked="0"/>
    </xf>
    <xf numFmtId="0" fontId="4" fillId="3" borderId="10" xfId="2" applyFont="1" applyFill="1" applyBorder="1" applyAlignment="1" applyProtection="1">
      <alignment horizontal="center"/>
      <protection locked="0"/>
    </xf>
    <xf numFmtId="0" fontId="4" fillId="3" borderId="3" xfId="2" applyFont="1" applyFill="1" applyBorder="1" applyAlignment="1" applyProtection="1">
      <alignment horizontal="center"/>
      <protection locked="0"/>
    </xf>
    <xf numFmtId="0" fontId="4" fillId="3" borderId="5" xfId="2" applyFont="1" applyFill="1" applyBorder="1" applyAlignment="1" applyProtection="1">
      <alignment horizontal="center"/>
      <protection locked="0"/>
    </xf>
    <xf numFmtId="20" fontId="9" fillId="4" borderId="6" xfId="2" applyNumberFormat="1" applyFont="1" applyFill="1" applyBorder="1" applyAlignment="1" applyProtection="1">
      <protection locked="0"/>
    </xf>
    <xf numFmtId="0" fontId="9" fillId="4" borderId="7" xfId="2" applyFont="1" applyFill="1" applyBorder="1" applyAlignment="1" applyProtection="1">
      <protection locked="0"/>
    </xf>
    <xf numFmtId="0" fontId="9" fillId="4" borderId="8" xfId="2" applyFont="1" applyFill="1" applyBorder="1" applyAlignment="1" applyProtection="1">
      <protection locked="0"/>
    </xf>
    <xf numFmtId="0" fontId="9" fillId="4" borderId="6" xfId="2" applyFont="1" applyFill="1" applyBorder="1" applyAlignment="1" applyProtection="1">
      <protection locked="0"/>
    </xf>
    <xf numFmtId="164" fontId="4" fillId="3" borderId="1" xfId="2" applyNumberFormat="1" applyFont="1" applyFill="1" applyBorder="1" applyAlignment="1" applyProtection="1">
      <alignment horizontal="center"/>
      <protection locked="0"/>
    </xf>
    <xf numFmtId="164" fontId="4" fillId="3" borderId="2" xfId="2" applyNumberFormat="1" applyFont="1" applyFill="1" applyBorder="1" applyAlignment="1" applyProtection="1">
      <alignment horizontal="center"/>
      <protection locked="0"/>
    </xf>
    <xf numFmtId="164" fontId="4" fillId="3" borderId="10" xfId="2" applyNumberFormat="1" applyFont="1" applyFill="1" applyBorder="1" applyAlignment="1" applyProtection="1">
      <alignment horizontal="center"/>
      <protection locked="0"/>
    </xf>
    <xf numFmtId="0" fontId="12" fillId="3" borderId="1" xfId="2" applyFont="1" applyFill="1" applyBorder="1" applyAlignment="1" applyProtection="1">
      <alignment horizontal="center"/>
      <protection locked="0"/>
    </xf>
    <xf numFmtId="0" fontId="12" fillId="3" borderId="2" xfId="2" applyFont="1" applyFill="1" applyBorder="1" applyAlignment="1" applyProtection="1">
      <alignment horizontal="center"/>
      <protection locked="0"/>
    </xf>
    <xf numFmtId="0" fontId="12" fillId="3" borderId="10" xfId="2" applyFont="1" applyFill="1" applyBorder="1" applyAlignment="1" applyProtection="1">
      <alignment horizontal="center"/>
      <protection locked="0"/>
    </xf>
    <xf numFmtId="0" fontId="4" fillId="3" borderId="4" xfId="2" applyFont="1" applyFill="1" applyBorder="1" applyAlignment="1" applyProtection="1">
      <alignment horizontal="center"/>
      <protection locked="0"/>
    </xf>
    <xf numFmtId="0" fontId="14" fillId="3" borderId="1" xfId="2" applyFont="1" applyFill="1" applyBorder="1" applyAlignment="1" applyProtection="1">
      <alignment horizontal="center"/>
      <protection locked="0"/>
    </xf>
    <xf numFmtId="0" fontId="14" fillId="3" borderId="2" xfId="2" applyFont="1" applyFill="1" applyBorder="1" applyAlignment="1" applyProtection="1">
      <alignment horizontal="center"/>
      <protection locked="0"/>
    </xf>
    <xf numFmtId="0" fontId="14" fillId="3" borderId="10" xfId="2" applyFont="1" applyFill="1" applyBorder="1" applyAlignment="1" applyProtection="1">
      <alignment horizontal="center"/>
      <protection locked="0"/>
    </xf>
    <xf numFmtId="22" fontId="9" fillId="4" borderId="6" xfId="2" applyNumberFormat="1" applyFont="1" applyFill="1" applyBorder="1" applyAlignment="1" applyProtection="1">
      <protection locked="0"/>
    </xf>
    <xf numFmtId="0" fontId="9" fillId="4" borderId="6" xfId="2" applyFont="1" applyFill="1" applyBorder="1" applyAlignment="1" applyProtection="1">
      <alignment horizontal="left"/>
      <protection locked="0"/>
    </xf>
    <xf numFmtId="0" fontId="9" fillId="4" borderId="7" xfId="2" applyFont="1" applyFill="1" applyBorder="1" applyAlignment="1" applyProtection="1">
      <alignment horizontal="left"/>
      <protection locked="0"/>
    </xf>
    <xf numFmtId="0" fontId="9" fillId="4" borderId="8" xfId="2" applyFont="1" applyFill="1" applyBorder="1" applyAlignment="1" applyProtection="1">
      <alignment horizontal="left"/>
      <protection locked="0"/>
    </xf>
    <xf numFmtId="20" fontId="9" fillId="4" borderId="6" xfId="2" applyNumberFormat="1" applyFont="1" applyFill="1" applyBorder="1" applyAlignment="1" applyProtection="1">
      <alignment horizontal="left"/>
      <protection locked="0"/>
    </xf>
    <xf numFmtId="20" fontId="9" fillId="4" borderId="7" xfId="2" applyNumberFormat="1" applyFont="1" applyFill="1" applyBorder="1" applyAlignment="1" applyProtection="1">
      <alignment horizontal="left"/>
      <protection locked="0"/>
    </xf>
    <xf numFmtId="20" fontId="9" fillId="4" borderId="8" xfId="2" applyNumberFormat="1" applyFont="1" applyFill="1" applyBorder="1" applyAlignment="1" applyProtection="1">
      <alignment horizontal="left"/>
      <protection locked="0"/>
    </xf>
    <xf numFmtId="14" fontId="9" fillId="4" borderId="6" xfId="2" applyNumberFormat="1" applyFont="1" applyFill="1" applyBorder="1" applyAlignment="1" applyProtection="1">
      <protection locked="0"/>
    </xf>
    <xf numFmtId="14" fontId="9" fillId="4" borderId="7" xfId="2" applyNumberFormat="1" applyFont="1" applyFill="1" applyBorder="1" applyAlignment="1" applyProtection="1">
      <protection locked="0"/>
    </xf>
    <xf numFmtId="14" fontId="9" fillId="4" borderId="8" xfId="2" applyNumberFormat="1" applyFont="1" applyFill="1" applyBorder="1" applyAlignment="1" applyProtection="1">
      <protection locked="0"/>
    </xf>
  </cellXfs>
  <cellStyles count="3">
    <cellStyle name="Good" xfId="1" builtinId="26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 Run11 (2)'!$E$6:$E$58</c:f>
              <c:numCache>
                <c:formatCode>0</c:formatCode>
                <c:ptCount val="53"/>
                <c:pt idx="0">
                  <c:v>774.49</c:v>
                </c:pt>
                <c:pt idx="1">
                  <c:v>900</c:v>
                </c:pt>
                <c:pt idx="2">
                  <c:v>1128.1199999999999</c:v>
                </c:pt>
                <c:pt idx="3">
                  <c:v>1500</c:v>
                </c:pt>
                <c:pt idx="4">
                  <c:v>845.33</c:v>
                </c:pt>
                <c:pt idx="5">
                  <c:v>868.02</c:v>
                </c:pt>
                <c:pt idx="6">
                  <c:v>894.94</c:v>
                </c:pt>
                <c:pt idx="7">
                  <c:v>940.87</c:v>
                </c:pt>
                <c:pt idx="8">
                  <c:v>968.58</c:v>
                </c:pt>
                <c:pt idx="9">
                  <c:v>976.43</c:v>
                </c:pt>
                <c:pt idx="10">
                  <c:v>986.35</c:v>
                </c:pt>
              </c:numCache>
            </c:numRef>
          </c:xVal>
          <c:yVal>
            <c:numRef>
              <c:f>'POOH MWD Run11 (2)'!$M$6:$M$58</c:f>
              <c:numCache>
                <c:formatCode>0.00</c:formatCode>
                <c:ptCount val="53"/>
                <c:pt idx="0">
                  <c:v>0</c:v>
                </c:pt>
                <c:pt idx="1">
                  <c:v>-0.67304829999999982</c:v>
                </c:pt>
                <c:pt idx="2">
                  <c:v>-9.0438878999999979</c:v>
                </c:pt>
                <c:pt idx="3">
                  <c:v>-5.6710482999999989</c:v>
                </c:pt>
                <c:pt idx="4">
                  <c:v>-5.4942972000000001</c:v>
                </c:pt>
                <c:pt idx="5">
                  <c:v>-5.8067548999999978</c:v>
                </c:pt>
                <c:pt idx="6">
                  <c:v>-6.0555984999999986</c:v>
                </c:pt>
                <c:pt idx="7">
                  <c:v>-9.9578453999999965</c:v>
                </c:pt>
                <c:pt idx="8">
                  <c:v>-6.5872196999999995</c:v>
                </c:pt>
                <c:pt idx="9">
                  <c:v>-12.251860199999996</c:v>
                </c:pt>
                <c:pt idx="10">
                  <c:v>-12.384093799999999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60-4FD5-B8DC-2B90D93E2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83584"/>
        <c:axId val="100085760"/>
      </c:scatterChart>
      <c:valAx>
        <c:axId val="10008358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085760"/>
        <c:crosses val="autoZero"/>
        <c:crossBetween val="midCat"/>
      </c:valAx>
      <c:valAx>
        <c:axId val="10008576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0835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Clean out run'!$E$6:$E$58</c:f>
              <c:numCache>
                <c:formatCode>0</c:formatCode>
                <c:ptCount val="53"/>
                <c:pt idx="0">
                  <c:v>134</c:v>
                </c:pt>
                <c:pt idx="1">
                  <c:v>682</c:v>
                </c:pt>
              </c:numCache>
            </c:numRef>
          </c:xVal>
          <c:yVal>
            <c:numRef>
              <c:f>'RIH Clean out run'!$M$6:$M$58</c:f>
              <c:numCache>
                <c:formatCode>0.00</c:formatCode>
                <c:ptCount val="53"/>
                <c:pt idx="0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F9-40E4-8AD7-D709DBCC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77664"/>
        <c:axId val="281790336"/>
      </c:scatterChart>
      <c:valAx>
        <c:axId val="28177766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1790336"/>
        <c:crosses val="autoZero"/>
        <c:crossBetween val="midCat"/>
      </c:valAx>
      <c:valAx>
        <c:axId val="2817903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177766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WS'!$E$6:$E$58</c:f>
              <c:numCache>
                <c:formatCode>0</c:formatCode>
                <c:ptCount val="53"/>
                <c:pt idx="0">
                  <c:v>2366</c:v>
                </c:pt>
                <c:pt idx="1">
                  <c:v>2274</c:v>
                </c:pt>
                <c:pt idx="2">
                  <c:v>2143</c:v>
                </c:pt>
                <c:pt idx="3">
                  <c:v>1906</c:v>
                </c:pt>
                <c:pt idx="4">
                  <c:v>1801</c:v>
                </c:pt>
                <c:pt idx="5">
                  <c:v>1461</c:v>
                </c:pt>
                <c:pt idx="6">
                  <c:v>469</c:v>
                </c:pt>
                <c:pt idx="7">
                  <c:v>469</c:v>
                </c:pt>
              </c:numCache>
            </c:numRef>
          </c:xVal>
          <c:yVal>
            <c:numRef>
              <c:f>'POOH WS'!$M$6:$M$58</c:f>
              <c:numCache>
                <c:formatCode>0.00</c:formatCode>
                <c:ptCount val="53"/>
                <c:pt idx="0">
                  <c:v>0</c:v>
                </c:pt>
                <c:pt idx="1">
                  <c:v>-0.17663999999999991</c:v>
                </c:pt>
                <c:pt idx="2">
                  <c:v>-0.21066000000000029</c:v>
                </c:pt>
                <c:pt idx="3">
                  <c:v>-1.3032000000000004</c:v>
                </c:pt>
                <c:pt idx="4">
                  <c:v>-1.4423000000000004</c:v>
                </c:pt>
                <c:pt idx="5">
                  <c:v>-2.7951000000000015</c:v>
                </c:pt>
                <c:pt idx="6">
                  <c:v>-5.8997400000000049</c:v>
                </c:pt>
                <c:pt idx="7">
                  <c:v>-6.1697400000000044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B4-499D-B0AA-E78CDC7FD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05344"/>
        <c:axId val="90107264"/>
      </c:scatterChart>
      <c:valAx>
        <c:axId val="9010534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107264"/>
        <c:crosses val="autoZero"/>
        <c:crossBetween val="midCat"/>
      </c:valAx>
      <c:valAx>
        <c:axId val="9010726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10534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 Run11'!$E$6:$E$58</c:f>
              <c:numCache>
                <c:formatCode>0</c:formatCode>
                <c:ptCount val="53"/>
                <c:pt idx="0">
                  <c:v>5750</c:v>
                </c:pt>
                <c:pt idx="1">
                  <c:v>5259</c:v>
                </c:pt>
                <c:pt idx="2">
                  <c:v>4959</c:v>
                </c:pt>
                <c:pt idx="3">
                  <c:v>4474</c:v>
                </c:pt>
                <c:pt idx="4">
                  <c:v>4416</c:v>
                </c:pt>
                <c:pt idx="5">
                  <c:v>3892</c:v>
                </c:pt>
                <c:pt idx="6">
                  <c:v>2293</c:v>
                </c:pt>
                <c:pt idx="7">
                  <c:v>2293</c:v>
                </c:pt>
                <c:pt idx="8">
                  <c:v>1571</c:v>
                </c:pt>
                <c:pt idx="9">
                  <c:v>731</c:v>
                </c:pt>
                <c:pt idx="10">
                  <c:v>470</c:v>
                </c:pt>
                <c:pt idx="11">
                  <c:v>470</c:v>
                </c:pt>
                <c:pt idx="12">
                  <c:v>153</c:v>
                </c:pt>
              </c:numCache>
            </c:numRef>
          </c:xVal>
          <c:yVal>
            <c:numRef>
              <c:f>'POOH MWD Run11'!$M$6:$M$58</c:f>
              <c:numCache>
                <c:formatCode>0.00</c:formatCode>
                <c:ptCount val="53"/>
                <c:pt idx="0">
                  <c:v>0</c:v>
                </c:pt>
                <c:pt idx="1">
                  <c:v>-2.1943299999999999</c:v>
                </c:pt>
                <c:pt idx="2">
                  <c:v>-2.92333</c:v>
                </c:pt>
                <c:pt idx="3">
                  <c:v>-5.2838799999999999</c:v>
                </c:pt>
                <c:pt idx="4">
                  <c:v>-6.4281000000000006</c:v>
                </c:pt>
                <c:pt idx="5">
                  <c:v>-8.067260000000001</c:v>
                </c:pt>
                <c:pt idx="6">
                  <c:v>-12.42567</c:v>
                </c:pt>
                <c:pt idx="7">
                  <c:v>-12.685670000000002</c:v>
                </c:pt>
                <c:pt idx="8">
                  <c:v>-15.441649999999999</c:v>
                </c:pt>
                <c:pt idx="9">
                  <c:v>-17.69725</c:v>
                </c:pt>
                <c:pt idx="10">
                  <c:v>-17.746240000000004</c:v>
                </c:pt>
                <c:pt idx="11">
                  <c:v>-18.036240000000003</c:v>
                </c:pt>
                <c:pt idx="12">
                  <c:v>-21.568270000000002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9-4F52-A523-2E51B1F42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77024"/>
        <c:axId val="240978944"/>
      </c:scatterChart>
      <c:valAx>
        <c:axId val="24097702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0978944"/>
        <c:crosses val="autoZero"/>
        <c:crossBetween val="midCat"/>
      </c:valAx>
      <c:valAx>
        <c:axId val="24097894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097702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MWD Run11'!$E$6:$E$58</c:f>
              <c:numCache>
                <c:formatCode>0</c:formatCode>
                <c:ptCount val="53"/>
                <c:pt idx="0">
                  <c:v>296</c:v>
                </c:pt>
                <c:pt idx="1">
                  <c:v>580</c:v>
                </c:pt>
                <c:pt idx="2">
                  <c:v>964</c:v>
                </c:pt>
                <c:pt idx="3">
                  <c:v>1223</c:v>
                </c:pt>
                <c:pt idx="4">
                  <c:v>1223</c:v>
                </c:pt>
                <c:pt idx="5">
                  <c:v>1573</c:v>
                </c:pt>
                <c:pt idx="6">
                  <c:v>1981</c:v>
                </c:pt>
                <c:pt idx="7">
                  <c:v>1981</c:v>
                </c:pt>
                <c:pt idx="8">
                  <c:v>2680</c:v>
                </c:pt>
                <c:pt idx="9">
                  <c:v>2680</c:v>
                </c:pt>
                <c:pt idx="10">
                  <c:v>3115</c:v>
                </c:pt>
                <c:pt idx="11">
                  <c:v>3115</c:v>
                </c:pt>
                <c:pt idx="12">
                  <c:v>3719</c:v>
                </c:pt>
                <c:pt idx="13">
                  <c:v>3719</c:v>
                </c:pt>
                <c:pt idx="14">
                  <c:v>3893</c:v>
                </c:pt>
                <c:pt idx="15">
                  <c:v>4490</c:v>
                </c:pt>
                <c:pt idx="16">
                  <c:v>4490</c:v>
                </c:pt>
                <c:pt idx="17">
                  <c:v>4719</c:v>
                </c:pt>
                <c:pt idx="18">
                  <c:v>4800</c:v>
                </c:pt>
              </c:numCache>
            </c:numRef>
          </c:xVal>
          <c:yVal>
            <c:numRef>
              <c:f>'RIH MWD Run11'!$M$6:$M$58</c:f>
              <c:numCache>
                <c:formatCode>0.00</c:formatCode>
                <c:ptCount val="53"/>
                <c:pt idx="0">
                  <c:v>0</c:v>
                </c:pt>
                <c:pt idx="1">
                  <c:v>-0.32571999999999912</c:v>
                </c:pt>
                <c:pt idx="2">
                  <c:v>-1.2544400000000016</c:v>
                </c:pt>
                <c:pt idx="3">
                  <c:v>-2.0569100000000002</c:v>
                </c:pt>
                <c:pt idx="4">
                  <c:v>-2.0569100000000002</c:v>
                </c:pt>
                <c:pt idx="5">
                  <c:v>-2.7624099999999991</c:v>
                </c:pt>
                <c:pt idx="6">
                  <c:v>-4.4610500000000002</c:v>
                </c:pt>
                <c:pt idx="7">
                  <c:v>-4.4610500000000002</c:v>
                </c:pt>
                <c:pt idx="8">
                  <c:v>-7.058720000000001</c:v>
                </c:pt>
                <c:pt idx="9">
                  <c:v>-7.058720000000001</c:v>
                </c:pt>
                <c:pt idx="10">
                  <c:v>-6.5272700000000015</c:v>
                </c:pt>
                <c:pt idx="11">
                  <c:v>-6.5272700000000015</c:v>
                </c:pt>
                <c:pt idx="12">
                  <c:v>-8.0085900000000052</c:v>
                </c:pt>
                <c:pt idx="13">
                  <c:v>-8.0085900000000052</c:v>
                </c:pt>
                <c:pt idx="14">
                  <c:v>-8.3880100000000084</c:v>
                </c:pt>
                <c:pt idx="15">
                  <c:v>-11.686020000000006</c:v>
                </c:pt>
                <c:pt idx="16">
                  <c:v>-11.686020000000006</c:v>
                </c:pt>
                <c:pt idx="17">
                  <c:v>-11.960480000000011</c:v>
                </c:pt>
                <c:pt idx="18">
                  <c:v>-12.305420000000012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D3-4A3F-B5CC-07D3713A5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01312"/>
        <c:axId val="129903232"/>
      </c:scatterChart>
      <c:valAx>
        <c:axId val="12990131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903232"/>
        <c:crosses val="autoZero"/>
        <c:crossBetween val="midCat"/>
      </c:valAx>
      <c:valAx>
        <c:axId val="12990323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90131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 Run10 (2)'!$E$6:$E$58</c:f>
              <c:numCache>
                <c:formatCode>0</c:formatCode>
                <c:ptCount val="53"/>
                <c:pt idx="0">
                  <c:v>4995</c:v>
                </c:pt>
                <c:pt idx="1">
                  <c:v>4995</c:v>
                </c:pt>
                <c:pt idx="2">
                  <c:v>4995</c:v>
                </c:pt>
                <c:pt idx="3">
                  <c:v>4995</c:v>
                </c:pt>
                <c:pt idx="4">
                  <c:v>4944</c:v>
                </c:pt>
                <c:pt idx="5">
                  <c:v>4592</c:v>
                </c:pt>
                <c:pt idx="6">
                  <c:v>4481</c:v>
                </c:pt>
                <c:pt idx="7">
                  <c:v>4481</c:v>
                </c:pt>
                <c:pt idx="8">
                  <c:v>4481</c:v>
                </c:pt>
                <c:pt idx="9">
                  <c:v>4481</c:v>
                </c:pt>
                <c:pt idx="10">
                  <c:v>4394</c:v>
                </c:pt>
                <c:pt idx="11">
                  <c:v>4115</c:v>
                </c:pt>
                <c:pt idx="12">
                  <c:v>4115</c:v>
                </c:pt>
                <c:pt idx="13">
                  <c:v>3205</c:v>
                </c:pt>
                <c:pt idx="14">
                  <c:v>3086</c:v>
                </c:pt>
                <c:pt idx="15">
                  <c:v>3086</c:v>
                </c:pt>
                <c:pt idx="16">
                  <c:v>2419</c:v>
                </c:pt>
                <c:pt idx="17">
                  <c:v>2306</c:v>
                </c:pt>
                <c:pt idx="18">
                  <c:v>2306</c:v>
                </c:pt>
                <c:pt idx="19">
                  <c:v>2306</c:v>
                </c:pt>
                <c:pt idx="20">
                  <c:v>2306</c:v>
                </c:pt>
                <c:pt idx="21">
                  <c:v>1378</c:v>
                </c:pt>
                <c:pt idx="22">
                  <c:v>1317</c:v>
                </c:pt>
                <c:pt idx="23">
                  <c:v>740</c:v>
                </c:pt>
                <c:pt idx="24">
                  <c:v>595</c:v>
                </c:pt>
                <c:pt idx="25">
                  <c:v>444</c:v>
                </c:pt>
                <c:pt idx="26">
                  <c:v>444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</c:numCache>
            </c:numRef>
          </c:xVal>
          <c:yVal>
            <c:numRef>
              <c:f>'POOH MWD Run10 (2)'!$M$6:$M$58</c:f>
              <c:numCache>
                <c:formatCode>0.00</c:formatCode>
                <c:ptCount val="53"/>
                <c:pt idx="0">
                  <c:v>0</c:v>
                </c:pt>
                <c:pt idx="1">
                  <c:v>-1.1600000000000001</c:v>
                </c:pt>
                <c:pt idx="2">
                  <c:v>-1.5699999999999994</c:v>
                </c:pt>
                <c:pt idx="3">
                  <c:v>-1.9499999999999993</c:v>
                </c:pt>
                <c:pt idx="4">
                  <c:v>-1.9471299999999991</c:v>
                </c:pt>
                <c:pt idx="5">
                  <c:v>-2.578889999999999</c:v>
                </c:pt>
                <c:pt idx="6">
                  <c:v>-2.8138199999999998</c:v>
                </c:pt>
                <c:pt idx="7">
                  <c:v>-2.8138199999999998</c:v>
                </c:pt>
                <c:pt idx="8">
                  <c:v>-3.2838199999999995</c:v>
                </c:pt>
                <c:pt idx="9">
                  <c:v>-3.5938199999999991</c:v>
                </c:pt>
                <c:pt idx="10">
                  <c:v>-4.2301500000000001</c:v>
                </c:pt>
                <c:pt idx="11">
                  <c:v>-5.29976</c:v>
                </c:pt>
                <c:pt idx="12">
                  <c:v>-5.29976</c:v>
                </c:pt>
                <c:pt idx="13">
                  <c:v>-6.7566599999999992</c:v>
                </c:pt>
                <c:pt idx="14">
                  <c:v>-6.3718699999999995</c:v>
                </c:pt>
                <c:pt idx="15">
                  <c:v>-6.3718699999999995</c:v>
                </c:pt>
                <c:pt idx="16">
                  <c:v>-7.7604000000000006</c:v>
                </c:pt>
                <c:pt idx="17">
                  <c:v>-8.0920699999999997</c:v>
                </c:pt>
                <c:pt idx="18">
                  <c:v>-8.3120699999999985</c:v>
                </c:pt>
                <c:pt idx="19">
                  <c:v>-8.3720699999999972</c:v>
                </c:pt>
                <c:pt idx="20">
                  <c:v>-8.3720699999999972</c:v>
                </c:pt>
                <c:pt idx="21">
                  <c:v>-10.539589999999999</c:v>
                </c:pt>
                <c:pt idx="22">
                  <c:v>-10.540579999999999</c:v>
                </c:pt>
                <c:pt idx="23">
                  <c:v>-11.906009999999998</c:v>
                </c:pt>
                <c:pt idx="24">
                  <c:v>-12.20656</c:v>
                </c:pt>
                <c:pt idx="25">
                  <c:v>-12.480650000000001</c:v>
                </c:pt>
                <c:pt idx="26">
                  <c:v>-12.930650000000004</c:v>
                </c:pt>
                <c:pt idx="27">
                  <c:v>-14.52591</c:v>
                </c:pt>
                <c:pt idx="28">
                  <c:v>-16.685909999999996</c:v>
                </c:pt>
                <c:pt idx="29">
                  <c:v>-17.205909999999999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3D-4E86-95F8-4DFC41BA1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3776"/>
        <c:axId val="131495424"/>
      </c:scatterChart>
      <c:valAx>
        <c:axId val="13076377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495424"/>
        <c:crosses val="autoZero"/>
        <c:crossBetween val="midCat"/>
      </c:valAx>
      <c:valAx>
        <c:axId val="1314954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7637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MWD Run10'!$E$6:$E$58</c:f>
              <c:numCache>
                <c:formatCode>0</c:formatCode>
                <c:ptCount val="53"/>
                <c:pt idx="0">
                  <c:v>72</c:v>
                </c:pt>
                <c:pt idx="1">
                  <c:v>102</c:v>
                </c:pt>
                <c:pt idx="2">
                  <c:v>449</c:v>
                </c:pt>
                <c:pt idx="3">
                  <c:v>740</c:v>
                </c:pt>
                <c:pt idx="4">
                  <c:v>885</c:v>
                </c:pt>
                <c:pt idx="5">
                  <c:v>1059</c:v>
                </c:pt>
                <c:pt idx="6">
                  <c:v>1262</c:v>
                </c:pt>
                <c:pt idx="7">
                  <c:v>1494</c:v>
                </c:pt>
                <c:pt idx="8">
                  <c:v>1755</c:v>
                </c:pt>
                <c:pt idx="9">
                  <c:v>1842</c:v>
                </c:pt>
                <c:pt idx="10">
                  <c:v>2161</c:v>
                </c:pt>
                <c:pt idx="11">
                  <c:v>2364</c:v>
                </c:pt>
                <c:pt idx="15">
                  <c:v>2725</c:v>
                </c:pt>
                <c:pt idx="16">
                  <c:v>2725</c:v>
                </c:pt>
                <c:pt idx="17">
                  <c:v>2773</c:v>
                </c:pt>
                <c:pt idx="18">
                  <c:v>2773</c:v>
                </c:pt>
              </c:numCache>
            </c:numRef>
          </c:xVal>
          <c:yVal>
            <c:numRef>
              <c:f>'RIH MWD Run10'!$M$6:$M$58</c:f>
              <c:numCache>
                <c:formatCode>0.00</c:formatCode>
                <c:ptCount val="53"/>
                <c:pt idx="0">
                  <c:v>0</c:v>
                </c:pt>
                <c:pt idx="1">
                  <c:v>-0.19990000000000024</c:v>
                </c:pt>
                <c:pt idx="2">
                  <c:v>-0.57541000000000064</c:v>
                </c:pt>
                <c:pt idx="3">
                  <c:v>-1.5044400000000016</c:v>
                </c:pt>
                <c:pt idx="4">
                  <c:v>-1.5672900000000016</c:v>
                </c:pt>
                <c:pt idx="5">
                  <c:v>-1.7267100000000006</c:v>
                </c:pt>
                <c:pt idx="6">
                  <c:v>-2.0927000000000007</c:v>
                </c:pt>
                <c:pt idx="7">
                  <c:v>-1.9452600000000011</c:v>
                </c:pt>
                <c:pt idx="8">
                  <c:v>-2.8043900000000015</c:v>
                </c:pt>
                <c:pt idx="9">
                  <c:v>-2.964100000000002</c:v>
                </c:pt>
                <c:pt idx="10">
                  <c:v>-3.266370000000002</c:v>
                </c:pt>
                <c:pt idx="11">
                  <c:v>-6.2823600000000006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D5-4272-AF89-B8D1F5C9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87264"/>
        <c:axId val="147396096"/>
      </c:scatterChart>
      <c:valAx>
        <c:axId val="14338726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396096"/>
        <c:crosses val="autoZero"/>
        <c:crossBetween val="midCat"/>
      </c:valAx>
      <c:valAx>
        <c:axId val="1473960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38726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 Run09'!$E$6:$E$58</c:f>
              <c:numCache>
                <c:formatCode>0</c:formatCode>
                <c:ptCount val="53"/>
                <c:pt idx="0">
                  <c:v>2421</c:v>
                </c:pt>
                <c:pt idx="1">
                  <c:v>2421</c:v>
                </c:pt>
                <c:pt idx="2">
                  <c:v>2418</c:v>
                </c:pt>
                <c:pt idx="3">
                  <c:v>2335</c:v>
                </c:pt>
                <c:pt idx="4">
                  <c:v>2335</c:v>
                </c:pt>
                <c:pt idx="5">
                  <c:v>2103</c:v>
                </c:pt>
                <c:pt idx="6">
                  <c:v>1320</c:v>
                </c:pt>
                <c:pt idx="7">
                  <c:v>1320</c:v>
                </c:pt>
                <c:pt idx="8">
                  <c:v>479</c:v>
                </c:pt>
                <c:pt idx="9">
                  <c:v>479</c:v>
                </c:pt>
                <c:pt idx="10">
                  <c:v>72</c:v>
                </c:pt>
              </c:numCache>
            </c:numRef>
          </c:xVal>
          <c:yVal>
            <c:numRef>
              <c:f>'POOH MWD Run09'!$M$6:$M$58</c:f>
              <c:numCache>
                <c:formatCode>0.00</c:formatCode>
                <c:ptCount val="53"/>
                <c:pt idx="0">
                  <c:v>0</c:v>
                </c:pt>
                <c:pt idx="1">
                  <c:v>-0.25999999999999979</c:v>
                </c:pt>
                <c:pt idx="2">
                  <c:v>-0.66676999999999975</c:v>
                </c:pt>
                <c:pt idx="3">
                  <c:v>-0.84073999999999971</c:v>
                </c:pt>
                <c:pt idx="4">
                  <c:v>-1.04074</c:v>
                </c:pt>
                <c:pt idx="5">
                  <c:v>-0.83761999999999937</c:v>
                </c:pt>
                <c:pt idx="6">
                  <c:v>-1.64459</c:v>
                </c:pt>
                <c:pt idx="7">
                  <c:v>-1.7845899999999997</c:v>
                </c:pt>
                <c:pt idx="8">
                  <c:v>-2.4257799999999978</c:v>
                </c:pt>
                <c:pt idx="9">
                  <c:v>-2.4857799999999965</c:v>
                </c:pt>
                <c:pt idx="10">
                  <c:v>-3.9109099999999959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44-4486-96C7-08A64596D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4704"/>
        <c:axId val="149706624"/>
      </c:scatterChart>
      <c:valAx>
        <c:axId val="1497047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706624"/>
        <c:crosses val="autoZero"/>
        <c:crossBetween val="midCat"/>
      </c:valAx>
      <c:valAx>
        <c:axId val="1497066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7047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MWD Run09'!$E$6:$E$58</c:f>
              <c:numCache>
                <c:formatCode>0</c:formatCode>
                <c:ptCount val="53"/>
                <c:pt idx="0">
                  <c:v>0</c:v>
                </c:pt>
                <c:pt idx="1">
                  <c:v>158</c:v>
                </c:pt>
                <c:pt idx="2">
                  <c:v>476</c:v>
                </c:pt>
                <c:pt idx="3">
                  <c:v>535</c:v>
                </c:pt>
                <c:pt idx="4">
                  <c:v>681</c:v>
                </c:pt>
                <c:pt idx="5">
                  <c:v>768</c:v>
                </c:pt>
                <c:pt idx="6">
                  <c:v>883</c:v>
                </c:pt>
                <c:pt idx="7">
                  <c:v>1087</c:v>
                </c:pt>
                <c:pt idx="8">
                  <c:v>1696</c:v>
                </c:pt>
                <c:pt idx="9">
                  <c:v>2044</c:v>
                </c:pt>
                <c:pt idx="11">
                  <c:v>2340</c:v>
                </c:pt>
                <c:pt idx="12">
                  <c:v>2340</c:v>
                </c:pt>
              </c:numCache>
            </c:numRef>
          </c:xVal>
          <c:yVal>
            <c:numRef>
              <c:f>'RIH MWD Run09'!$M$6:$M$58</c:f>
              <c:numCache>
                <c:formatCode>0.00</c:formatCode>
                <c:ptCount val="53"/>
                <c:pt idx="0">
                  <c:v>0</c:v>
                </c:pt>
                <c:pt idx="1">
                  <c:v>-2.6961400000000006</c:v>
                </c:pt>
                <c:pt idx="2">
                  <c:v>-5.7850800000000007</c:v>
                </c:pt>
                <c:pt idx="3">
                  <c:v>-6.5315499999999993</c:v>
                </c:pt>
                <c:pt idx="4">
                  <c:v>-7.98773</c:v>
                </c:pt>
                <c:pt idx="5">
                  <c:v>-7.9074400000000011</c:v>
                </c:pt>
                <c:pt idx="6">
                  <c:v>-7.8703900000000004</c:v>
                </c:pt>
                <c:pt idx="7">
                  <c:v>-8.2397099999999988</c:v>
                </c:pt>
                <c:pt idx="8">
                  <c:v>-11.567679999999999</c:v>
                </c:pt>
                <c:pt idx="9">
                  <c:v>-12.726519999999997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C8-45C5-8BCD-B1499C262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6992"/>
        <c:axId val="152679552"/>
      </c:scatterChart>
      <c:valAx>
        <c:axId val="15267699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679552"/>
        <c:crosses val="autoZero"/>
        <c:crossBetween val="midCat"/>
      </c:valAx>
      <c:valAx>
        <c:axId val="1526795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6769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'BOP test'!$E$6:$E$58</c:f>
              <c:numCache>
                <c:formatCode>0</c:formatCode>
                <c:ptCount val="53"/>
                <c:pt idx="0">
                  <c:v>93.4</c:v>
                </c:pt>
                <c:pt idx="1">
                  <c:v>224</c:v>
                </c:pt>
                <c:pt idx="2">
                  <c:v>385</c:v>
                </c:pt>
                <c:pt idx="3">
                  <c:v>387</c:v>
                </c:pt>
                <c:pt idx="4">
                  <c:v>387</c:v>
                </c:pt>
                <c:pt idx="5">
                  <c:v>387</c:v>
                </c:pt>
                <c:pt idx="6">
                  <c:v>387</c:v>
                </c:pt>
                <c:pt idx="7">
                  <c:v>387</c:v>
                </c:pt>
                <c:pt idx="8">
                  <c:v>354</c:v>
                </c:pt>
                <c:pt idx="9">
                  <c:v>378</c:v>
                </c:pt>
                <c:pt idx="10">
                  <c:v>378</c:v>
                </c:pt>
                <c:pt idx="11">
                  <c:v>93</c:v>
                </c:pt>
                <c:pt idx="12">
                  <c:v>0</c:v>
                </c:pt>
              </c:numCache>
            </c:numRef>
          </c:xVal>
          <c:yVal>
            <c:numRef>
              <c:f>'BOP test'!$M$6:$M$58</c:f>
              <c:numCache>
                <c:formatCode>0.00</c:formatCode>
                <c:ptCount val="53"/>
                <c:pt idx="0">
                  <c:v>0</c:v>
                </c:pt>
                <c:pt idx="1">
                  <c:v>-0.1117480000000004</c:v>
                </c:pt>
                <c:pt idx="2">
                  <c:v>-0.13512799999999991</c:v>
                </c:pt>
                <c:pt idx="3">
                  <c:v>3.3937119999999998</c:v>
                </c:pt>
                <c:pt idx="4">
                  <c:v>3.3537120000000007</c:v>
                </c:pt>
                <c:pt idx="5">
                  <c:v>3.053712</c:v>
                </c:pt>
                <c:pt idx="6">
                  <c:v>2.2637119999999999</c:v>
                </c:pt>
                <c:pt idx="7">
                  <c:v>1.4837120000000006</c:v>
                </c:pt>
                <c:pt idx="8">
                  <c:v>1.2428520000000001</c:v>
                </c:pt>
                <c:pt idx="9">
                  <c:v>-0.17106799999999911</c:v>
                </c:pt>
                <c:pt idx="10">
                  <c:v>-0.49106799999999939</c:v>
                </c:pt>
                <c:pt idx="11">
                  <c:v>-1.7957679999999994</c:v>
                </c:pt>
                <c:pt idx="12">
                  <c:v>-1.7818279999999982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5C-4E00-9E98-BCB9D49CD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95936"/>
        <c:axId val="215913600"/>
      </c:scatterChart>
      <c:valAx>
        <c:axId val="2146959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5913600"/>
        <c:crosses val="autoZero"/>
        <c:crossBetween val="midCat"/>
      </c:valAx>
      <c:valAx>
        <c:axId val="2159136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9593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'Clean BOP DY2H'!$E$6:$E$58</c:f>
              <c:numCache>
                <c:formatCode>0</c:formatCode>
                <c:ptCount val="53"/>
                <c:pt idx="0">
                  <c:v>0</c:v>
                </c:pt>
                <c:pt idx="1">
                  <c:v>192</c:v>
                </c:pt>
                <c:pt idx="2">
                  <c:v>272</c:v>
                </c:pt>
                <c:pt idx="3">
                  <c:v>112</c:v>
                </c:pt>
              </c:numCache>
            </c:numRef>
          </c:xVal>
          <c:yVal>
            <c:numRef>
              <c:f>'Clean BOP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-0.39904000000000051</c:v>
                </c:pt>
                <c:pt idx="2">
                  <c:v>117.66135999999999</c:v>
                </c:pt>
                <c:pt idx="3">
                  <c:v>117.57056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38-4B3C-AB07-27BCC8818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27456"/>
        <c:axId val="216933888"/>
      </c:scatterChart>
      <c:valAx>
        <c:axId val="2166274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6933888"/>
        <c:crosses val="autoZero"/>
        <c:crossBetween val="midCat"/>
      </c:valAx>
      <c:valAx>
        <c:axId val="21693388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66274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Mill'!$E$6:$E$58</c:f>
              <c:numCache>
                <c:formatCode>0</c:formatCode>
                <c:ptCount val="53"/>
                <c:pt idx="0">
                  <c:v>2348</c:v>
                </c:pt>
                <c:pt idx="1">
                  <c:v>2349</c:v>
                </c:pt>
                <c:pt idx="2">
                  <c:v>2349</c:v>
                </c:pt>
                <c:pt idx="3">
                  <c:v>2345</c:v>
                </c:pt>
                <c:pt idx="4">
                  <c:v>2333</c:v>
                </c:pt>
                <c:pt idx="5">
                  <c:v>2333</c:v>
                </c:pt>
                <c:pt idx="6">
                  <c:v>2333</c:v>
                </c:pt>
                <c:pt idx="7">
                  <c:v>1966</c:v>
                </c:pt>
                <c:pt idx="8">
                  <c:v>1600</c:v>
                </c:pt>
                <c:pt idx="9">
                  <c:v>892</c:v>
                </c:pt>
                <c:pt idx="10">
                  <c:v>375</c:v>
                </c:pt>
                <c:pt idx="11">
                  <c:v>375</c:v>
                </c:pt>
                <c:pt idx="12">
                  <c:v>26</c:v>
                </c:pt>
                <c:pt idx="13">
                  <c:v>0</c:v>
                </c:pt>
              </c:numCache>
            </c:numRef>
          </c:xVal>
          <c:yVal>
            <c:numRef>
              <c:f>'POOH Mill'!$M$6:$M$58</c:f>
              <c:numCache>
                <c:formatCode>0.00</c:formatCode>
                <c:ptCount val="53"/>
                <c:pt idx="0">
                  <c:v>0</c:v>
                </c:pt>
                <c:pt idx="1">
                  <c:v>-1.3843699999999954</c:v>
                </c:pt>
                <c:pt idx="2">
                  <c:v>-4.7543699999999998</c:v>
                </c:pt>
                <c:pt idx="3">
                  <c:v>-9.586889999999995</c:v>
                </c:pt>
                <c:pt idx="4">
                  <c:v>-103.90445</c:v>
                </c:pt>
                <c:pt idx="5">
                  <c:v>-103.95444999999999</c:v>
                </c:pt>
                <c:pt idx="6">
                  <c:v>-103.97444999999999</c:v>
                </c:pt>
                <c:pt idx="7">
                  <c:v>-103.81065999999998</c:v>
                </c:pt>
                <c:pt idx="8">
                  <c:v>-104.83838</c:v>
                </c:pt>
                <c:pt idx="9">
                  <c:v>-105.45774</c:v>
                </c:pt>
                <c:pt idx="10">
                  <c:v>-105.73845</c:v>
                </c:pt>
                <c:pt idx="11">
                  <c:v>-105.81845</c:v>
                </c:pt>
                <c:pt idx="12">
                  <c:v>-108.51331999999999</c:v>
                </c:pt>
                <c:pt idx="13">
                  <c:v>-108.33969999999999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B8-49AD-A490-746759FFA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03680"/>
        <c:axId val="225370880"/>
      </c:scatterChart>
      <c:valAx>
        <c:axId val="2245036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5370880"/>
        <c:crosses val="autoZero"/>
        <c:crossBetween val="midCat"/>
      </c:valAx>
      <c:valAx>
        <c:axId val="2253708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45036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Whipstock'!$E$6:$E$58</c:f>
              <c:numCache>
                <c:formatCode>0</c:formatCode>
                <c:ptCount val="53"/>
                <c:pt idx="0">
                  <c:v>60</c:v>
                </c:pt>
                <c:pt idx="1">
                  <c:v>117</c:v>
                </c:pt>
                <c:pt idx="2">
                  <c:v>145</c:v>
                </c:pt>
                <c:pt idx="3">
                  <c:v>199</c:v>
                </c:pt>
                <c:pt idx="4">
                  <c:v>303</c:v>
                </c:pt>
                <c:pt idx="5">
                  <c:v>466</c:v>
                </c:pt>
                <c:pt idx="6">
                  <c:v>602</c:v>
                </c:pt>
                <c:pt idx="7">
                  <c:v>874</c:v>
                </c:pt>
                <c:pt idx="8">
                  <c:v>955</c:v>
                </c:pt>
                <c:pt idx="9">
                  <c:v>1269</c:v>
                </c:pt>
                <c:pt idx="10">
                  <c:v>1348</c:v>
                </c:pt>
                <c:pt idx="11">
                  <c:v>1505</c:v>
                </c:pt>
                <c:pt idx="12">
                  <c:v>1976</c:v>
                </c:pt>
                <c:pt idx="13">
                  <c:v>2234</c:v>
                </c:pt>
              </c:numCache>
            </c:numRef>
          </c:xVal>
          <c:yVal>
            <c:numRef>
              <c:f>'RIH Whipstock'!$M$6:$M$58</c:f>
              <c:numCache>
                <c:formatCode>0.00</c:formatCode>
                <c:ptCount val="53"/>
                <c:pt idx="0">
                  <c:v>0</c:v>
                </c:pt>
                <c:pt idx="1">
                  <c:v>-0.19908999999999996</c:v>
                </c:pt>
                <c:pt idx="2">
                  <c:v>-0.20144999999999985</c:v>
                </c:pt>
                <c:pt idx="3">
                  <c:v>-2.0274300000000003</c:v>
                </c:pt>
                <c:pt idx="4">
                  <c:v>-1.5719100000000006</c:v>
                </c:pt>
                <c:pt idx="5">
                  <c:v>-1.7142200000000003</c:v>
                </c:pt>
                <c:pt idx="6">
                  <c:v>-1.8585400000000003</c:v>
                </c:pt>
                <c:pt idx="7">
                  <c:v>-2.1371800000000007</c:v>
                </c:pt>
                <c:pt idx="8">
                  <c:v>-2.4941600000000008</c:v>
                </c:pt>
                <c:pt idx="9">
                  <c:v>-3.72628</c:v>
                </c:pt>
                <c:pt idx="10">
                  <c:v>-4.0821000000000005</c:v>
                </c:pt>
                <c:pt idx="11">
                  <c:v>-4.2031600000000005</c:v>
                </c:pt>
                <c:pt idx="12">
                  <c:v>-5.0963400000000014</c:v>
                </c:pt>
                <c:pt idx="13">
                  <c:v>-5.3238000000000003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2-4832-9A67-8E42C83E2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30528"/>
        <c:axId val="232964480"/>
      </c:scatterChart>
      <c:valAx>
        <c:axId val="23263052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2964480"/>
        <c:crosses val="autoZero"/>
        <c:crossBetween val="midCat"/>
      </c:valAx>
      <c:valAx>
        <c:axId val="2329644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263052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Junction'!$E$6:$E$58</c:f>
              <c:numCache>
                <c:formatCode>0</c:formatCode>
                <c:ptCount val="53"/>
                <c:pt idx="0">
                  <c:v>0</c:v>
                </c:pt>
                <c:pt idx="1">
                  <c:v>170</c:v>
                </c:pt>
                <c:pt idx="2">
                  <c:v>305</c:v>
                </c:pt>
                <c:pt idx="3">
                  <c:v>632</c:v>
                </c:pt>
                <c:pt idx="4">
                  <c:v>795</c:v>
                </c:pt>
                <c:pt idx="5">
                  <c:v>795</c:v>
                </c:pt>
                <c:pt idx="6">
                  <c:v>904</c:v>
                </c:pt>
                <c:pt idx="7">
                  <c:v>930</c:v>
                </c:pt>
                <c:pt idx="8">
                  <c:v>1035</c:v>
                </c:pt>
                <c:pt idx="9">
                  <c:v>1376</c:v>
                </c:pt>
                <c:pt idx="10">
                  <c:v>1481</c:v>
                </c:pt>
                <c:pt idx="11">
                  <c:v>1691</c:v>
                </c:pt>
                <c:pt idx="12">
                  <c:v>1821</c:v>
                </c:pt>
                <c:pt idx="13">
                  <c:v>1938</c:v>
                </c:pt>
                <c:pt idx="14">
                  <c:v>2163</c:v>
                </c:pt>
                <c:pt idx="15">
                  <c:v>2217</c:v>
                </c:pt>
                <c:pt idx="16">
                  <c:v>2353</c:v>
                </c:pt>
                <c:pt idx="17">
                  <c:v>2457</c:v>
                </c:pt>
                <c:pt idx="21">
                  <c:v>2469</c:v>
                </c:pt>
                <c:pt idx="22">
                  <c:v>2469</c:v>
                </c:pt>
                <c:pt idx="23">
                  <c:v>2469</c:v>
                </c:pt>
                <c:pt idx="24">
                  <c:v>2469</c:v>
                </c:pt>
                <c:pt idx="25">
                  <c:v>2469</c:v>
                </c:pt>
                <c:pt idx="26">
                  <c:v>2469</c:v>
                </c:pt>
                <c:pt idx="27">
                  <c:v>2469</c:v>
                </c:pt>
                <c:pt idx="28">
                  <c:v>2344</c:v>
                </c:pt>
                <c:pt idx="29">
                  <c:v>2344</c:v>
                </c:pt>
                <c:pt idx="30">
                  <c:v>2004</c:v>
                </c:pt>
                <c:pt idx="31" formatCode="General">
                  <c:v>1990</c:v>
                </c:pt>
                <c:pt idx="32" formatCode="General">
                  <c:v>1337</c:v>
                </c:pt>
                <c:pt idx="33" formatCode="General">
                  <c:v>1100</c:v>
                </c:pt>
                <c:pt idx="34" formatCode="General">
                  <c:v>786</c:v>
                </c:pt>
                <c:pt idx="35" formatCode="General">
                  <c:v>432</c:v>
                </c:pt>
                <c:pt idx="36" formatCode="General">
                  <c:v>432</c:v>
                </c:pt>
                <c:pt idx="37" formatCode="General">
                  <c:v>24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</c:numCache>
            </c:numRef>
          </c:xVal>
          <c:yVal>
            <c:numRef>
              <c:f>'RIH Junction'!$M$6:$M$58</c:f>
              <c:numCache>
                <c:formatCode>0.00</c:formatCode>
                <c:ptCount val="53"/>
                <c:pt idx="0">
                  <c:v>0</c:v>
                </c:pt>
                <c:pt idx="1">
                  <c:v>-4.2228999999999992</c:v>
                </c:pt>
                <c:pt idx="2">
                  <c:v>-4.2428499999999998</c:v>
                </c:pt>
                <c:pt idx="3">
                  <c:v>-4.2918399999999997</c:v>
                </c:pt>
                <c:pt idx="4">
                  <c:v>-4.3041499999999999</c:v>
                </c:pt>
                <c:pt idx="5">
                  <c:v>-5.0041499999999992</c:v>
                </c:pt>
                <c:pt idx="6">
                  <c:v>-4.8404799999999994</c:v>
                </c:pt>
                <c:pt idx="7">
                  <c:v>-4.7255599999999998</c:v>
                </c:pt>
                <c:pt idx="8">
                  <c:v>-4.9064599999999992</c:v>
                </c:pt>
                <c:pt idx="9">
                  <c:v>-5.93424</c:v>
                </c:pt>
                <c:pt idx="10">
                  <c:v>-6.2251400000000015</c:v>
                </c:pt>
                <c:pt idx="11">
                  <c:v>-6.3669400000000014</c:v>
                </c:pt>
                <c:pt idx="12">
                  <c:v>-6.3723400000000021</c:v>
                </c:pt>
                <c:pt idx="13">
                  <c:v>-6.7402000000000033</c:v>
                </c:pt>
                <c:pt idx="14">
                  <c:v>-6.7734500000000022</c:v>
                </c:pt>
                <c:pt idx="15">
                  <c:v>-6.6694300000000037</c:v>
                </c:pt>
                <c:pt idx="16">
                  <c:v>-6.6537500000000041</c:v>
                </c:pt>
                <c:pt idx="17">
                  <c:v>-7.8682300000000041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FA-469D-AAC5-AEEEB0D9A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841600"/>
        <c:axId val="234843520"/>
      </c:scatterChart>
      <c:valAx>
        <c:axId val="2348416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4843520"/>
        <c:crosses val="autoZero"/>
        <c:crossBetween val="midCat"/>
      </c:valAx>
      <c:valAx>
        <c:axId val="23484352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48416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'RIH&amp;POOH Deflector'!$E$6:$E$58</c:f>
              <c:numCache>
                <c:formatCode>0</c:formatCode>
                <c:ptCount val="53"/>
                <c:pt idx="0">
                  <c:v>21</c:v>
                </c:pt>
                <c:pt idx="1">
                  <c:v>225</c:v>
                </c:pt>
                <c:pt idx="2">
                  <c:v>851</c:v>
                </c:pt>
                <c:pt idx="3">
                  <c:v>1034</c:v>
                </c:pt>
                <c:pt idx="4">
                  <c:v>1611</c:v>
                </c:pt>
                <c:pt idx="5">
                  <c:v>2055</c:v>
                </c:pt>
                <c:pt idx="6">
                  <c:v>2402</c:v>
                </c:pt>
                <c:pt idx="7">
                  <c:v>2400</c:v>
                </c:pt>
                <c:pt idx="8">
                  <c:v>2400</c:v>
                </c:pt>
                <c:pt idx="9">
                  <c:v>2055</c:v>
                </c:pt>
                <c:pt idx="10">
                  <c:v>1715</c:v>
                </c:pt>
                <c:pt idx="11">
                  <c:v>851</c:v>
                </c:pt>
                <c:pt idx="12">
                  <c:v>579</c:v>
                </c:pt>
                <c:pt idx="13">
                  <c:v>579</c:v>
                </c:pt>
                <c:pt idx="14">
                  <c:v>21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'RIH&amp;POOH Deflector'!$M$6:$M$58</c:f>
              <c:numCache>
                <c:formatCode>0.00</c:formatCode>
                <c:ptCount val="53"/>
                <c:pt idx="0">
                  <c:v>0</c:v>
                </c:pt>
                <c:pt idx="1">
                  <c:v>-0.66148000000000051</c:v>
                </c:pt>
                <c:pt idx="2">
                  <c:v>-1.3371</c:v>
                </c:pt>
                <c:pt idx="3">
                  <c:v>-1.7732400000000004</c:v>
                </c:pt>
                <c:pt idx="4">
                  <c:v>-3.0778999999999996</c:v>
                </c:pt>
                <c:pt idx="5">
                  <c:v>-3.4954199999999993</c:v>
                </c:pt>
                <c:pt idx="6">
                  <c:v>-4.2718100000000003</c:v>
                </c:pt>
                <c:pt idx="7">
                  <c:v>-9.0730700000000013</c:v>
                </c:pt>
                <c:pt idx="8">
                  <c:v>-9.3030700000000017</c:v>
                </c:pt>
                <c:pt idx="9">
                  <c:v>-9.4354200000000006</c:v>
                </c:pt>
                <c:pt idx="10">
                  <c:v>-11.188219999999999</c:v>
                </c:pt>
                <c:pt idx="11">
                  <c:v>-12.577099999999998</c:v>
                </c:pt>
                <c:pt idx="12">
                  <c:v>-12.888459999999998</c:v>
                </c:pt>
                <c:pt idx="13">
                  <c:v>-13.118459999999999</c:v>
                </c:pt>
                <c:pt idx="14">
                  <c:v>-14.719999999999997</c:v>
                </c:pt>
                <c:pt idx="15">
                  <c:v>-14.828229999999996</c:v>
                </c:pt>
                <c:pt idx="16">
                  <c:v>-15.858229999999997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6D-4591-B186-C33BA9D0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59648"/>
        <c:axId val="236205184"/>
      </c:scatterChart>
      <c:valAx>
        <c:axId val="23605964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6205184"/>
        <c:crosses val="autoZero"/>
        <c:crossBetween val="midCat"/>
      </c:valAx>
      <c:valAx>
        <c:axId val="23620518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605964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Clean ML area'!$E$6:$E$58</c:f>
              <c:numCache>
                <c:formatCode>0</c:formatCode>
                <c:ptCount val="53"/>
                <c:pt idx="0">
                  <c:v>2350</c:v>
                </c:pt>
                <c:pt idx="1">
                  <c:v>2078</c:v>
                </c:pt>
                <c:pt idx="2">
                  <c:v>2052</c:v>
                </c:pt>
                <c:pt idx="3">
                  <c:v>1869</c:v>
                </c:pt>
                <c:pt idx="4">
                  <c:v>1764</c:v>
                </c:pt>
                <c:pt idx="5">
                  <c:v>1554</c:v>
                </c:pt>
                <c:pt idx="6">
                  <c:v>1371</c:v>
                </c:pt>
                <c:pt idx="7">
                  <c:v>1292</c:v>
                </c:pt>
                <c:pt idx="8">
                  <c:v>873</c:v>
                </c:pt>
                <c:pt idx="9">
                  <c:v>848</c:v>
                </c:pt>
                <c:pt idx="10">
                  <c:v>688</c:v>
                </c:pt>
                <c:pt idx="11">
                  <c:v>688</c:v>
                </c:pt>
                <c:pt idx="12">
                  <c:v>688</c:v>
                </c:pt>
                <c:pt idx="13">
                  <c:v>302</c:v>
                </c:pt>
                <c:pt idx="14">
                  <c:v>44</c:v>
                </c:pt>
                <c:pt idx="15">
                  <c:v>22</c:v>
                </c:pt>
                <c:pt idx="16">
                  <c:v>22</c:v>
                </c:pt>
              </c:numCache>
            </c:numRef>
          </c:xVal>
          <c:yVal>
            <c:numRef>
              <c:f>'POOH Clean ML area'!$M$6:$M$58</c:f>
              <c:numCache>
                <c:formatCode>0.00</c:formatCode>
                <c:ptCount val="53"/>
                <c:pt idx="0">
                  <c:v>0</c:v>
                </c:pt>
                <c:pt idx="1">
                  <c:v>-0.30136000000000007</c:v>
                </c:pt>
                <c:pt idx="2">
                  <c:v>-0.46627999999999958</c:v>
                </c:pt>
                <c:pt idx="3">
                  <c:v>-0.96013999999999911</c:v>
                </c:pt>
                <c:pt idx="4">
                  <c:v>-1.8992399999999989</c:v>
                </c:pt>
                <c:pt idx="5">
                  <c:v>-1.9474399999999994</c:v>
                </c:pt>
                <c:pt idx="6">
                  <c:v>-2.321299999999999</c:v>
                </c:pt>
                <c:pt idx="7">
                  <c:v>-2.4454799999999981</c:v>
                </c:pt>
                <c:pt idx="8">
                  <c:v>-3.5224599999999988</c:v>
                </c:pt>
                <c:pt idx="9">
                  <c:v>-3.7132100000000001</c:v>
                </c:pt>
                <c:pt idx="10">
                  <c:v>-3.204010000000002</c:v>
                </c:pt>
                <c:pt idx="11">
                  <c:v>-3.3140100000000015</c:v>
                </c:pt>
                <c:pt idx="12">
                  <c:v>-3.954010000000002</c:v>
                </c:pt>
                <c:pt idx="13">
                  <c:v>-5.2171900000000022</c:v>
                </c:pt>
                <c:pt idx="14">
                  <c:v>-6.5597300000000018</c:v>
                </c:pt>
                <c:pt idx="15">
                  <c:v>-6.7035900000000019</c:v>
                </c:pt>
                <c:pt idx="16">
                  <c:v>-7.0735899999999994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77-482E-BC3E-10A525736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80864"/>
        <c:axId val="237019904"/>
      </c:scatterChart>
      <c:valAx>
        <c:axId val="23698086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7019904"/>
        <c:crosses val="autoZero"/>
        <c:crossBetween val="midCat"/>
      </c:valAx>
      <c:valAx>
        <c:axId val="23701990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698086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'Clean ML area'!$E$6:$E$58</c:f>
              <c:numCache>
                <c:formatCode>0</c:formatCode>
                <c:ptCount val="53"/>
                <c:pt idx="0">
                  <c:v>71</c:v>
                </c:pt>
                <c:pt idx="1">
                  <c:v>180</c:v>
                </c:pt>
                <c:pt idx="2">
                  <c:v>288</c:v>
                </c:pt>
                <c:pt idx="3">
                  <c:v>302</c:v>
                </c:pt>
                <c:pt idx="4">
                  <c:v>383</c:v>
                </c:pt>
                <c:pt idx="5">
                  <c:v>465</c:v>
                </c:pt>
                <c:pt idx="6">
                  <c:v>574</c:v>
                </c:pt>
                <c:pt idx="7">
                  <c:v>655</c:v>
                </c:pt>
                <c:pt idx="8">
                  <c:v>764</c:v>
                </c:pt>
                <c:pt idx="9">
                  <c:v>873</c:v>
                </c:pt>
                <c:pt idx="10">
                  <c:v>899</c:v>
                </c:pt>
                <c:pt idx="11">
                  <c:v>1214</c:v>
                </c:pt>
                <c:pt idx="12">
                  <c:v>1266</c:v>
                </c:pt>
                <c:pt idx="13">
                  <c:v>1361</c:v>
                </c:pt>
                <c:pt idx="14">
                  <c:v>1361</c:v>
                </c:pt>
                <c:pt idx="15">
                  <c:v>1816</c:v>
                </c:pt>
                <c:pt idx="16">
                  <c:v>1921</c:v>
                </c:pt>
                <c:pt idx="17">
                  <c:v>2159</c:v>
                </c:pt>
                <c:pt idx="18">
                  <c:v>2395</c:v>
                </c:pt>
                <c:pt idx="19">
                  <c:v>2408</c:v>
                </c:pt>
                <c:pt idx="20">
                  <c:v>2408</c:v>
                </c:pt>
                <c:pt idx="21">
                  <c:v>2408</c:v>
                </c:pt>
              </c:numCache>
            </c:numRef>
          </c:xVal>
          <c:yVal>
            <c:numRef>
              <c:f>'Clean ML area'!$M$6:$M$58</c:f>
              <c:numCache>
                <c:formatCode>0.00</c:formatCode>
                <c:ptCount val="53"/>
                <c:pt idx="0">
                  <c:v>0</c:v>
                </c:pt>
                <c:pt idx="1">
                  <c:v>-9.5660000000000966E-2</c:v>
                </c:pt>
                <c:pt idx="2">
                  <c:v>-0.74558000000000124</c:v>
                </c:pt>
                <c:pt idx="3">
                  <c:v>-0.6159400000000006</c:v>
                </c:pt>
                <c:pt idx="4">
                  <c:v>-0.56088000000000093</c:v>
                </c:pt>
                <c:pt idx="5">
                  <c:v>-0.7115600000000013</c:v>
                </c:pt>
                <c:pt idx="6">
                  <c:v>-0.74722000000000044</c:v>
                </c:pt>
                <c:pt idx="7">
                  <c:v>-0.80216000000000065</c:v>
                </c:pt>
                <c:pt idx="8">
                  <c:v>-0.98782000000000103</c:v>
                </c:pt>
                <c:pt idx="9">
                  <c:v>-1.1334800000000005</c:v>
                </c:pt>
                <c:pt idx="10">
                  <c:v>-1.2576599999999996</c:v>
                </c:pt>
                <c:pt idx="11">
                  <c:v>-2.5956100000000006</c:v>
                </c:pt>
                <c:pt idx="12">
                  <c:v>-2.6339700000000015</c:v>
                </c:pt>
                <c:pt idx="13">
                  <c:v>-2.4273200000000017</c:v>
                </c:pt>
                <c:pt idx="14">
                  <c:v>-2.8073200000000007</c:v>
                </c:pt>
                <c:pt idx="15">
                  <c:v>-2.9454700000000003</c:v>
                </c:pt>
                <c:pt idx="16">
                  <c:v>-3.0981200000000015</c:v>
                </c:pt>
                <c:pt idx="17">
                  <c:v>-3.8942399999999964</c:v>
                </c:pt>
                <c:pt idx="18">
                  <c:v>-4.0388799999999989</c:v>
                </c:pt>
                <c:pt idx="19">
                  <c:v>-4.7034999999999982</c:v>
                </c:pt>
                <c:pt idx="20">
                  <c:v>-4.6535000000000011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4-441B-BF1F-4AACC5C38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55232"/>
        <c:axId val="238417024"/>
      </c:scatterChart>
      <c:valAx>
        <c:axId val="23745523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8417024"/>
        <c:crosses val="autoZero"/>
        <c:crossBetween val="midCat"/>
      </c:valAx>
      <c:valAx>
        <c:axId val="2384170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745523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screen drop 2 DY2H'!$E$6:$E$58</c:f>
              <c:numCache>
                <c:formatCode>0</c:formatCode>
                <c:ptCount val="53"/>
                <c:pt idx="0">
                  <c:v>2457</c:v>
                </c:pt>
                <c:pt idx="1">
                  <c:v>2440</c:v>
                </c:pt>
                <c:pt idx="2">
                  <c:v>2440</c:v>
                </c:pt>
                <c:pt idx="3">
                  <c:v>2400</c:v>
                </c:pt>
                <c:pt idx="4">
                  <c:v>2400</c:v>
                </c:pt>
                <c:pt idx="5">
                  <c:v>2010</c:v>
                </c:pt>
                <c:pt idx="6">
                  <c:v>1178</c:v>
                </c:pt>
                <c:pt idx="7">
                  <c:v>810</c:v>
                </c:pt>
                <c:pt idx="8">
                  <c:v>469</c:v>
                </c:pt>
                <c:pt idx="9">
                  <c:v>469</c:v>
                </c:pt>
                <c:pt idx="10">
                  <c:v>312</c:v>
                </c:pt>
                <c:pt idx="11">
                  <c:v>40</c:v>
                </c:pt>
                <c:pt idx="12">
                  <c:v>0</c:v>
                </c:pt>
              </c:numCache>
            </c:numRef>
          </c:xVal>
          <c:yVal>
            <c:numRef>
              <c:f>'POOH screen drop 2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-0.24013999999999991</c:v>
                </c:pt>
                <c:pt idx="2">
                  <c:v>-0.52013999999999927</c:v>
                </c:pt>
                <c:pt idx="3">
                  <c:v>1.0730599999999997</c:v>
                </c:pt>
                <c:pt idx="4">
                  <c:v>1.0030599999999994</c:v>
                </c:pt>
                <c:pt idx="5">
                  <c:v>-0.25073999999999952</c:v>
                </c:pt>
                <c:pt idx="6">
                  <c:v>-2.4781800000000018</c:v>
                </c:pt>
                <c:pt idx="7">
                  <c:v>-3.714739999999999</c:v>
                </c:pt>
                <c:pt idx="8">
                  <c:v>-4.3269599999999997</c:v>
                </c:pt>
                <c:pt idx="9">
                  <c:v>-4.516960000000001</c:v>
                </c:pt>
                <c:pt idx="10">
                  <c:v>-4.2859000000000016</c:v>
                </c:pt>
                <c:pt idx="11">
                  <c:v>-5.7372600000000027</c:v>
                </c:pt>
                <c:pt idx="12">
                  <c:v>-7.4424600000000005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8-4C19-BEE6-3E80AB360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80736"/>
        <c:axId val="239416448"/>
      </c:scatterChart>
      <c:valAx>
        <c:axId val="2393807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9416448"/>
        <c:crosses val="autoZero"/>
        <c:crossBetween val="midCat"/>
      </c:valAx>
      <c:valAx>
        <c:axId val="23941644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3938073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screen drop 2 DY2H'!$E$6:$E$58</c:f>
              <c:numCache>
                <c:formatCode>0</c:formatCode>
                <c:ptCount val="53"/>
                <c:pt idx="0">
                  <c:v>0</c:v>
                </c:pt>
                <c:pt idx="1">
                  <c:v>35</c:v>
                </c:pt>
                <c:pt idx="2">
                  <c:v>71</c:v>
                </c:pt>
                <c:pt idx="3">
                  <c:v>248</c:v>
                </c:pt>
                <c:pt idx="4">
                  <c:v>330</c:v>
                </c:pt>
                <c:pt idx="5">
                  <c:v>425</c:v>
                </c:pt>
                <c:pt idx="6">
                  <c:v>578</c:v>
                </c:pt>
                <c:pt idx="7">
                  <c:v>695</c:v>
                </c:pt>
                <c:pt idx="8">
                  <c:v>813</c:v>
                </c:pt>
                <c:pt idx="9">
                  <c:v>978</c:v>
                </c:pt>
                <c:pt idx="10">
                  <c:v>1178</c:v>
                </c:pt>
                <c:pt idx="11">
                  <c:v>1403</c:v>
                </c:pt>
                <c:pt idx="12">
                  <c:v>1640</c:v>
                </c:pt>
                <c:pt idx="13">
                  <c:v>1723</c:v>
                </c:pt>
                <c:pt idx="14">
                  <c:v>1763</c:v>
                </c:pt>
                <c:pt idx="15">
                  <c:v>1843</c:v>
                </c:pt>
                <c:pt idx="16">
                  <c:v>1925</c:v>
                </c:pt>
                <c:pt idx="17">
                  <c:v>2030</c:v>
                </c:pt>
                <c:pt idx="18">
                  <c:v>2059</c:v>
                </c:pt>
                <c:pt idx="19">
                  <c:v>2426</c:v>
                </c:pt>
                <c:pt idx="20">
                  <c:v>2583</c:v>
                </c:pt>
                <c:pt idx="21">
                  <c:v>2714</c:v>
                </c:pt>
                <c:pt idx="22">
                  <c:v>2793</c:v>
                </c:pt>
                <c:pt idx="23">
                  <c:v>2897</c:v>
                </c:pt>
                <c:pt idx="24">
                  <c:v>3342</c:v>
                </c:pt>
                <c:pt idx="25">
                  <c:v>3473</c:v>
                </c:pt>
                <c:pt idx="26">
                  <c:v>4165</c:v>
                </c:pt>
                <c:pt idx="27">
                  <c:v>4181</c:v>
                </c:pt>
              </c:numCache>
            </c:numRef>
          </c:xVal>
          <c:yVal>
            <c:numRef>
              <c:f>'RIH screen drop 2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-2.22675</c:v>
                </c:pt>
                <c:pt idx="2">
                  <c:v>-2.7485499999999998</c:v>
                </c:pt>
                <c:pt idx="3">
                  <c:v>-3.9223999999999997</c:v>
                </c:pt>
                <c:pt idx="4">
                  <c:v>-4.5265000000000004</c:v>
                </c:pt>
                <c:pt idx="5">
                  <c:v>-5.2562499999999996</c:v>
                </c:pt>
                <c:pt idx="6">
                  <c:v>-6.0689000000000002</c:v>
                </c:pt>
                <c:pt idx="7">
                  <c:v>-6.8997499999999992</c:v>
                </c:pt>
                <c:pt idx="8">
                  <c:v>-7.4956499999999995</c:v>
                </c:pt>
                <c:pt idx="9">
                  <c:v>-8.6388999999999996</c:v>
                </c:pt>
                <c:pt idx="10">
                  <c:v>-9.9088999999999992</c:v>
                </c:pt>
                <c:pt idx="11">
                  <c:v>-11.105150000000002</c:v>
                </c:pt>
                <c:pt idx="12">
                  <c:v>-12.422000000000001</c:v>
                </c:pt>
                <c:pt idx="13">
                  <c:v>-13.30471</c:v>
                </c:pt>
                <c:pt idx="14">
                  <c:v>-15.05951</c:v>
                </c:pt>
                <c:pt idx="15">
                  <c:v>-15.55911</c:v>
                </c:pt>
                <c:pt idx="16">
                  <c:v>-15.827449999999999</c:v>
                </c:pt>
                <c:pt idx="17">
                  <c:v>-15.956299999999999</c:v>
                </c:pt>
                <c:pt idx="18">
                  <c:v>-16.163119999999999</c:v>
                </c:pt>
                <c:pt idx="19">
                  <c:v>-16.65598</c:v>
                </c:pt>
                <c:pt idx="20">
                  <c:v>-16.637039999999999</c:v>
                </c:pt>
                <c:pt idx="21">
                  <c:v>-17.043019999999999</c:v>
                </c:pt>
                <c:pt idx="22">
                  <c:v>-17.388839999999995</c:v>
                </c:pt>
                <c:pt idx="23">
                  <c:v>-17.639159999999997</c:v>
                </c:pt>
                <c:pt idx="24">
                  <c:v>-18.197259999999993</c:v>
                </c:pt>
                <c:pt idx="25">
                  <c:v>-18.273239999999994</c:v>
                </c:pt>
                <c:pt idx="26">
                  <c:v>-19.654599999999995</c:v>
                </c:pt>
                <c:pt idx="27">
                  <c:v>-20.363879999999995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37-4178-8673-D17B116F6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700416"/>
        <c:axId val="240743552"/>
      </c:scatterChart>
      <c:valAx>
        <c:axId val="24070041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0743552"/>
        <c:crosses val="autoZero"/>
        <c:crossBetween val="midCat"/>
      </c:valAx>
      <c:valAx>
        <c:axId val="2407435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070041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screen drop 1 DY2H'!$E$6:$E$58</c:f>
              <c:numCache>
                <c:formatCode>0</c:formatCode>
                <c:ptCount val="53"/>
                <c:pt idx="0">
                  <c:v>4155</c:v>
                </c:pt>
                <c:pt idx="1">
                  <c:v>4155</c:v>
                </c:pt>
                <c:pt idx="2">
                  <c:v>3820</c:v>
                </c:pt>
                <c:pt idx="3">
                  <c:v>3470</c:v>
                </c:pt>
                <c:pt idx="4">
                  <c:v>3215</c:v>
                </c:pt>
                <c:pt idx="5">
                  <c:v>2903</c:v>
                </c:pt>
                <c:pt idx="6">
                  <c:v>2700</c:v>
                </c:pt>
                <c:pt idx="7">
                  <c:v>2360</c:v>
                </c:pt>
                <c:pt idx="8">
                  <c:v>2360</c:v>
                </c:pt>
                <c:pt idx="9">
                  <c:v>2091</c:v>
                </c:pt>
                <c:pt idx="10">
                  <c:v>1589</c:v>
                </c:pt>
                <c:pt idx="11">
                  <c:v>1120</c:v>
                </c:pt>
                <c:pt idx="12">
                  <c:v>490</c:v>
                </c:pt>
                <c:pt idx="13">
                  <c:v>434</c:v>
                </c:pt>
                <c:pt idx="14">
                  <c:v>434</c:v>
                </c:pt>
                <c:pt idx="15">
                  <c:v>14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'POOH screen drop 1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-0.28000000000000025</c:v>
                </c:pt>
                <c:pt idx="2">
                  <c:v>-3.2856999999999998</c:v>
                </c:pt>
                <c:pt idx="3">
                  <c:v>-4.3126999999999986</c:v>
                </c:pt>
                <c:pt idx="4">
                  <c:v>-5.5147999999999993</c:v>
                </c:pt>
                <c:pt idx="5">
                  <c:v>-6.3613599999999977</c:v>
                </c:pt>
                <c:pt idx="6">
                  <c:v>-6.7036199999999955</c:v>
                </c:pt>
                <c:pt idx="7">
                  <c:v>-8.2164199999999958</c:v>
                </c:pt>
                <c:pt idx="8">
                  <c:v>-8.4064199999999971</c:v>
                </c:pt>
                <c:pt idx="9">
                  <c:v>-8.7403999999999975</c:v>
                </c:pt>
                <c:pt idx="10">
                  <c:v>-9.8866599999999991</c:v>
                </c:pt>
                <c:pt idx="11">
                  <c:v>-10.504639999999995</c:v>
                </c:pt>
                <c:pt idx="12">
                  <c:v>-10.399239999999999</c:v>
                </c:pt>
                <c:pt idx="13">
                  <c:v>-10.554519999999997</c:v>
                </c:pt>
                <c:pt idx="14">
                  <c:v>-10.814519999999995</c:v>
                </c:pt>
                <c:pt idx="15">
                  <c:v>-12.599119999999992</c:v>
                </c:pt>
                <c:pt idx="16">
                  <c:v>-13.467939999999992</c:v>
                </c:pt>
                <c:pt idx="17">
                  <c:v>-15.04793999999999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2A-49D0-ADAD-77D7FFB0F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62528"/>
        <c:axId val="243568640"/>
      </c:scatterChart>
      <c:valAx>
        <c:axId val="24186252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3568640"/>
        <c:crosses val="autoZero"/>
        <c:crossBetween val="midCat"/>
      </c:valAx>
      <c:valAx>
        <c:axId val="24356864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186252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'RIH_screens_Drop1 DY2H'!$E$6:$E$58</c:f>
              <c:numCache>
                <c:formatCode>0</c:formatCode>
                <c:ptCount val="53"/>
                <c:pt idx="0">
                  <c:v>1</c:v>
                </c:pt>
                <c:pt idx="1">
                  <c:v>212</c:v>
                </c:pt>
                <c:pt idx="2">
                  <c:v>827</c:v>
                </c:pt>
                <c:pt idx="3">
                  <c:v>1697</c:v>
                </c:pt>
                <c:pt idx="4">
                  <c:v>2145</c:v>
                </c:pt>
                <c:pt idx="5">
                  <c:v>2641</c:v>
                </c:pt>
                <c:pt idx="6">
                  <c:v>3135</c:v>
                </c:pt>
                <c:pt idx="7">
                  <c:v>3218</c:v>
                </c:pt>
                <c:pt idx="8">
                  <c:v>3234</c:v>
                </c:pt>
                <c:pt idx="9">
                  <c:v>3710</c:v>
                </c:pt>
                <c:pt idx="10">
                  <c:v>4103</c:v>
                </c:pt>
                <c:pt idx="11">
                  <c:v>4402</c:v>
                </c:pt>
                <c:pt idx="12">
                  <c:v>4795</c:v>
                </c:pt>
                <c:pt idx="13">
                  <c:v>5298</c:v>
                </c:pt>
                <c:pt idx="14">
                  <c:v>6109</c:v>
                </c:pt>
                <c:pt idx="15">
                  <c:v>6483</c:v>
                </c:pt>
                <c:pt idx="16">
                  <c:v>6759</c:v>
                </c:pt>
              </c:numCache>
            </c:numRef>
          </c:xVal>
          <c:yVal>
            <c:numRef>
              <c:f>'RIH_screens_Drop1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-3.4755500000000001</c:v>
                </c:pt>
                <c:pt idx="2">
                  <c:v>-8.3013000000000012</c:v>
                </c:pt>
                <c:pt idx="3">
                  <c:v>-13.434800000000003</c:v>
                </c:pt>
                <c:pt idx="4">
                  <c:v>-16.807200000000002</c:v>
                </c:pt>
                <c:pt idx="5">
                  <c:v>-20.372</c:v>
                </c:pt>
                <c:pt idx="6">
                  <c:v>-23.656700000000001</c:v>
                </c:pt>
                <c:pt idx="7">
                  <c:v>-24.255850000000002</c:v>
                </c:pt>
                <c:pt idx="8">
                  <c:v>-27.986650000000001</c:v>
                </c:pt>
                <c:pt idx="9">
                  <c:v>-31.116770000000002</c:v>
                </c:pt>
                <c:pt idx="10">
                  <c:v>-33.074710000000003</c:v>
                </c:pt>
                <c:pt idx="11">
                  <c:v>-34.201340000000002</c:v>
                </c:pt>
                <c:pt idx="12">
                  <c:v>-36.689280000000004</c:v>
                </c:pt>
                <c:pt idx="13">
                  <c:v>-38.667390000000005</c:v>
                </c:pt>
                <c:pt idx="14">
                  <c:v>-42.947770000000006</c:v>
                </c:pt>
                <c:pt idx="15">
                  <c:v>-44.642150000000008</c:v>
                </c:pt>
                <c:pt idx="16">
                  <c:v>-46.512230000000002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2-4754-B0D9-14F619392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55712"/>
        <c:axId val="248757632"/>
      </c:scatterChart>
      <c:valAx>
        <c:axId val="24875571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8757632"/>
        <c:crosses val="autoZero"/>
        <c:crossBetween val="midCat"/>
      </c:valAx>
      <c:valAx>
        <c:axId val="24875763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875571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'BOP test DY2H'!$E$6:$E$58</c:f>
              <c:numCache>
                <c:formatCode>0</c:formatCode>
                <c:ptCount val="53"/>
                <c:pt idx="0">
                  <c:v>0</c:v>
                </c:pt>
                <c:pt idx="1">
                  <c:v>48</c:v>
                </c:pt>
                <c:pt idx="2">
                  <c:v>351</c:v>
                </c:pt>
                <c:pt idx="3">
                  <c:v>351</c:v>
                </c:pt>
                <c:pt idx="4">
                  <c:v>351</c:v>
                </c:pt>
                <c:pt idx="5">
                  <c:v>351</c:v>
                </c:pt>
              </c:numCache>
            </c:numRef>
          </c:xVal>
          <c:yVal>
            <c:numRef>
              <c:f>'BOP test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-0.68976000000000037</c:v>
                </c:pt>
                <c:pt idx="2">
                  <c:v>-1.8938700000000004</c:v>
                </c:pt>
                <c:pt idx="3">
                  <c:v>-3.6938700000000004</c:v>
                </c:pt>
                <c:pt idx="4">
                  <c:v>-5.333870000000001</c:v>
                </c:pt>
                <c:pt idx="5">
                  <c:v>-7.4638700000000009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0A-49AD-A9FC-77053125B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52096"/>
        <c:axId val="249292288"/>
      </c:scatterChart>
      <c:valAx>
        <c:axId val="24925209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9292288"/>
        <c:crosses val="autoZero"/>
        <c:crossBetween val="midCat"/>
      </c:valAx>
      <c:valAx>
        <c:axId val="24929228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92520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8.5 Drilling RUN 8'!$E$6:$E$58</c:f>
              <c:numCache>
                <c:formatCode>0</c:formatCode>
                <c:ptCount val="53"/>
                <c:pt idx="0">
                  <c:v>7390</c:v>
                </c:pt>
                <c:pt idx="1">
                  <c:v>7390</c:v>
                </c:pt>
                <c:pt idx="2">
                  <c:v>7009</c:v>
                </c:pt>
                <c:pt idx="3">
                  <c:v>6383</c:v>
                </c:pt>
                <c:pt idx="4">
                  <c:v>5779</c:v>
                </c:pt>
                <c:pt idx="5">
                  <c:v>4819</c:v>
                </c:pt>
                <c:pt idx="6">
                  <c:v>2996</c:v>
                </c:pt>
                <c:pt idx="7">
                  <c:v>2939</c:v>
                </c:pt>
                <c:pt idx="8">
                  <c:v>2388</c:v>
                </c:pt>
                <c:pt idx="9">
                  <c:v>2388</c:v>
                </c:pt>
                <c:pt idx="10">
                  <c:v>1635</c:v>
                </c:pt>
                <c:pt idx="11">
                  <c:v>1026</c:v>
                </c:pt>
                <c:pt idx="12">
                  <c:v>446</c:v>
                </c:pt>
                <c:pt idx="13">
                  <c:v>446</c:v>
                </c:pt>
                <c:pt idx="14">
                  <c:v>69</c:v>
                </c:pt>
                <c:pt idx="15">
                  <c:v>41</c:v>
                </c:pt>
                <c:pt idx="16">
                  <c:v>21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'POOH 8.5 Drilling RUN 8'!$M$6:$M$58</c:f>
              <c:numCache>
                <c:formatCode>0.00</c:formatCode>
                <c:ptCount val="53"/>
                <c:pt idx="0">
                  <c:v>0</c:v>
                </c:pt>
                <c:pt idx="1">
                  <c:v>-0.24999999999999911</c:v>
                </c:pt>
                <c:pt idx="2">
                  <c:v>-2.745029999999999</c:v>
                </c:pt>
                <c:pt idx="3">
                  <c:v>-5.4094099999999985</c:v>
                </c:pt>
                <c:pt idx="4">
                  <c:v>-9.6399299999999997</c:v>
                </c:pt>
                <c:pt idx="5">
                  <c:v>-13.17633</c:v>
                </c:pt>
                <c:pt idx="6">
                  <c:v>-20.846899999999998</c:v>
                </c:pt>
                <c:pt idx="7">
                  <c:v>-20.855529999999995</c:v>
                </c:pt>
                <c:pt idx="8">
                  <c:v>-22.385619999999996</c:v>
                </c:pt>
                <c:pt idx="9">
                  <c:v>-22.625619999999998</c:v>
                </c:pt>
                <c:pt idx="10">
                  <c:v>-24.944889999999997</c:v>
                </c:pt>
                <c:pt idx="11">
                  <c:v>-26.499199999999998</c:v>
                </c:pt>
                <c:pt idx="12">
                  <c:v>-27.941399999999998</c:v>
                </c:pt>
                <c:pt idx="13">
                  <c:v>-28.281400000000001</c:v>
                </c:pt>
                <c:pt idx="14">
                  <c:v>-30.23883</c:v>
                </c:pt>
                <c:pt idx="15">
                  <c:v>-31.515349999999998</c:v>
                </c:pt>
                <c:pt idx="16">
                  <c:v>-32.807149999999993</c:v>
                </c:pt>
                <c:pt idx="17">
                  <c:v>-36.214539999999992</c:v>
                </c:pt>
                <c:pt idx="18">
                  <c:v>-36.704539999999987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E8-4518-8204-09476F80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01312"/>
        <c:axId val="279903232"/>
      </c:scatterChart>
      <c:valAx>
        <c:axId val="27990131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79903232"/>
        <c:crosses val="autoZero"/>
        <c:crossBetween val="midCat"/>
      </c:valAx>
      <c:valAx>
        <c:axId val="27990323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7990131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8.5 Drilling RUN 8 '!$E$6:$E$58</c:f>
              <c:numCache>
                <c:formatCode>0</c:formatCode>
                <c:ptCount val="5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764</c:v>
                </c:pt>
                <c:pt idx="16">
                  <c:v>1278</c:v>
                </c:pt>
                <c:pt idx="17">
                  <c:v>1722</c:v>
                </c:pt>
                <c:pt idx="18">
                  <c:v>1950</c:v>
                </c:pt>
                <c:pt idx="19">
                  <c:v>2475</c:v>
                </c:pt>
                <c:pt idx="20">
                  <c:v>2998</c:v>
                </c:pt>
                <c:pt idx="21">
                  <c:v>3288</c:v>
                </c:pt>
                <c:pt idx="22">
                  <c:v>3637</c:v>
                </c:pt>
                <c:pt idx="23">
                  <c:v>4904</c:v>
                </c:pt>
                <c:pt idx="24">
                  <c:v>5276</c:v>
                </c:pt>
              </c:numCache>
            </c:numRef>
          </c:xVal>
          <c:yVal>
            <c:numRef>
              <c:f>'RIH 8.5 Drilling RUN 8 '!$M$6:$M$58</c:f>
              <c:numCache>
                <c:formatCode>0.00</c:formatCode>
                <c:ptCount val="53"/>
                <c:pt idx="0">
                  <c:v>0</c:v>
                </c:pt>
                <c:pt idx="1">
                  <c:v>-0.45000000000000018</c:v>
                </c:pt>
                <c:pt idx="2">
                  <c:v>-1.4100000000000001</c:v>
                </c:pt>
                <c:pt idx="3">
                  <c:v>-2.92</c:v>
                </c:pt>
                <c:pt idx="4">
                  <c:v>-3.29</c:v>
                </c:pt>
                <c:pt idx="5">
                  <c:v>-3.419999999999999</c:v>
                </c:pt>
                <c:pt idx="6">
                  <c:v>-4.1899999999999995</c:v>
                </c:pt>
                <c:pt idx="7">
                  <c:v>-6.31</c:v>
                </c:pt>
                <c:pt idx="8">
                  <c:v>-7.77</c:v>
                </c:pt>
                <c:pt idx="9">
                  <c:v>-9.18</c:v>
                </c:pt>
                <c:pt idx="10">
                  <c:v>-10.940000000000001</c:v>
                </c:pt>
                <c:pt idx="11">
                  <c:v>-12.860000000000001</c:v>
                </c:pt>
                <c:pt idx="12">
                  <c:v>-13.22</c:v>
                </c:pt>
                <c:pt idx="13">
                  <c:v>-13.86</c:v>
                </c:pt>
                <c:pt idx="14">
                  <c:v>-15.1</c:v>
                </c:pt>
                <c:pt idx="15">
                  <c:v>-19.327459999999999</c:v>
                </c:pt>
                <c:pt idx="16">
                  <c:v>-20.949079999999999</c:v>
                </c:pt>
                <c:pt idx="17">
                  <c:v>-21.5776</c:v>
                </c:pt>
                <c:pt idx="18">
                  <c:v>-22.286839999999998</c:v>
                </c:pt>
                <c:pt idx="19">
                  <c:v>-23.345089999999999</c:v>
                </c:pt>
                <c:pt idx="20">
                  <c:v>-24.276679999999999</c:v>
                </c:pt>
                <c:pt idx="21">
                  <c:v>-24.492379999999997</c:v>
                </c:pt>
                <c:pt idx="22">
                  <c:v>-25.204549999999994</c:v>
                </c:pt>
                <c:pt idx="23">
                  <c:v>-30.013659999999994</c:v>
                </c:pt>
                <c:pt idx="24">
                  <c:v>-32.09241999999999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F7-4F60-9A90-CE6D6AA18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79200"/>
        <c:axId val="281799680"/>
      </c:scatterChart>
      <c:valAx>
        <c:axId val="2817792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1799680"/>
        <c:crosses val="autoZero"/>
        <c:crossBetween val="midCat"/>
      </c:valAx>
      <c:valAx>
        <c:axId val="2817996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17792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8.5 Drilling RUN 7'!$E$6:$E$58</c:f>
              <c:numCache>
                <c:formatCode>0</c:formatCode>
                <c:ptCount val="53"/>
                <c:pt idx="0">
                  <c:v>5494</c:v>
                </c:pt>
                <c:pt idx="1">
                  <c:v>5494</c:v>
                </c:pt>
                <c:pt idx="2">
                  <c:v>5464</c:v>
                </c:pt>
                <c:pt idx="3">
                  <c:v>5269</c:v>
                </c:pt>
                <c:pt idx="4">
                  <c:v>4883</c:v>
                </c:pt>
                <c:pt idx="5">
                  <c:v>4592</c:v>
                </c:pt>
                <c:pt idx="6">
                  <c:v>3375</c:v>
                </c:pt>
                <c:pt idx="7">
                  <c:v>3027</c:v>
                </c:pt>
                <c:pt idx="8">
                  <c:v>2390</c:v>
                </c:pt>
                <c:pt idx="9">
                  <c:v>2390</c:v>
                </c:pt>
                <c:pt idx="10">
                  <c:v>1801</c:v>
                </c:pt>
                <c:pt idx="11">
                  <c:v>1317</c:v>
                </c:pt>
                <c:pt idx="12">
                  <c:v>591</c:v>
                </c:pt>
                <c:pt idx="13">
                  <c:v>591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'POOH 8.5 Drilling RUN 7'!$M$6:$M$58</c:f>
              <c:numCache>
                <c:formatCode>0.00</c:formatCode>
                <c:ptCount val="53"/>
                <c:pt idx="0">
                  <c:v>0</c:v>
                </c:pt>
                <c:pt idx="1">
                  <c:v>-0.34999999999999964</c:v>
                </c:pt>
                <c:pt idx="2">
                  <c:v>-0.86770000000000003</c:v>
                </c:pt>
                <c:pt idx="3">
                  <c:v>-1.3277500000000004</c:v>
                </c:pt>
                <c:pt idx="4">
                  <c:v>-2.4554900000000006</c:v>
                </c:pt>
                <c:pt idx="5">
                  <c:v>-3.6121800000000004</c:v>
                </c:pt>
                <c:pt idx="6">
                  <c:v>-6.8652100000000011</c:v>
                </c:pt>
                <c:pt idx="7">
                  <c:v>-7.9205300000000012</c:v>
                </c:pt>
                <c:pt idx="8">
                  <c:v>-9.8313600000000037</c:v>
                </c:pt>
                <c:pt idx="9">
                  <c:v>-9.9413600000000031</c:v>
                </c:pt>
                <c:pt idx="10">
                  <c:v>-11.893870000000003</c:v>
                </c:pt>
                <c:pt idx="11">
                  <c:v>-13.24943</c:v>
                </c:pt>
                <c:pt idx="12">
                  <c:v>-14.707769999999996</c:v>
                </c:pt>
                <c:pt idx="13">
                  <c:v>-14.807769999999998</c:v>
                </c:pt>
                <c:pt idx="14">
                  <c:v>-20.58146</c:v>
                </c:pt>
                <c:pt idx="15">
                  <c:v>-22.40146</c:v>
                </c:pt>
                <c:pt idx="16">
                  <c:v>-25.301459999999999</c:v>
                </c:pt>
                <c:pt idx="17">
                  <c:v>-41.391460000000002</c:v>
                </c:pt>
                <c:pt idx="18">
                  <c:v>-43.201460000000004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B-42B9-B757-99B0D949A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04672"/>
        <c:axId val="286206976"/>
      </c:scatterChart>
      <c:valAx>
        <c:axId val="28620467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6206976"/>
        <c:crosses val="autoZero"/>
        <c:crossBetween val="midCat"/>
      </c:valAx>
      <c:valAx>
        <c:axId val="2862069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62046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8.5 drilling (2)'!$E$6:$E$58</c:f>
              <c:numCache>
                <c:formatCode>0</c:formatCode>
                <c:ptCount val="53"/>
                <c:pt idx="0">
                  <c:v>387</c:v>
                </c:pt>
                <c:pt idx="1">
                  <c:v>503</c:v>
                </c:pt>
                <c:pt idx="2">
                  <c:v>657</c:v>
                </c:pt>
                <c:pt idx="3">
                  <c:v>763</c:v>
                </c:pt>
                <c:pt idx="4">
                  <c:v>889</c:v>
                </c:pt>
                <c:pt idx="5">
                  <c:v>1072</c:v>
                </c:pt>
                <c:pt idx="6">
                  <c:v>1171</c:v>
                </c:pt>
                <c:pt idx="7">
                  <c:v>1461</c:v>
                </c:pt>
                <c:pt idx="8">
                  <c:v>1838</c:v>
                </c:pt>
                <c:pt idx="9">
                  <c:v>2677</c:v>
                </c:pt>
                <c:pt idx="10">
                  <c:v>3112</c:v>
                </c:pt>
                <c:pt idx="11">
                  <c:v>4014</c:v>
                </c:pt>
                <c:pt idx="12">
                  <c:v>4565</c:v>
                </c:pt>
                <c:pt idx="13">
                  <c:v>4749</c:v>
                </c:pt>
                <c:pt idx="14">
                  <c:v>5111</c:v>
                </c:pt>
              </c:numCache>
            </c:numRef>
          </c:xVal>
          <c:yVal>
            <c:numRef>
              <c:f>'RIH 8.5 drilling (2)'!$M$6:$M$58</c:f>
              <c:numCache>
                <c:formatCode>0.00</c:formatCode>
                <c:ptCount val="53"/>
                <c:pt idx="0">
                  <c:v>0</c:v>
                </c:pt>
                <c:pt idx="1">
                  <c:v>-5.6279999999999664E-2</c:v>
                </c:pt>
                <c:pt idx="2">
                  <c:v>-0.23910000000000053</c:v>
                </c:pt>
                <c:pt idx="3">
                  <c:v>-1.3820800000000002</c:v>
                </c:pt>
                <c:pt idx="4">
                  <c:v>-2.3716599999999994</c:v>
                </c:pt>
                <c:pt idx="5">
                  <c:v>-3.6610500000000004</c:v>
                </c:pt>
                <c:pt idx="6">
                  <c:v>-5.6607200000000004</c:v>
                </c:pt>
                <c:pt idx="7">
                  <c:v>-7.9664200000000012</c:v>
                </c:pt>
                <c:pt idx="8">
                  <c:v>-10.401830000000002</c:v>
                </c:pt>
                <c:pt idx="9">
                  <c:v>-13.125700000000002</c:v>
                </c:pt>
                <c:pt idx="10">
                  <c:v>-14.574249999999999</c:v>
                </c:pt>
                <c:pt idx="11">
                  <c:v>-17.927909999999997</c:v>
                </c:pt>
                <c:pt idx="12">
                  <c:v>-19.712739999999997</c:v>
                </c:pt>
                <c:pt idx="13">
                  <c:v>-20.185459999999992</c:v>
                </c:pt>
                <c:pt idx="14">
                  <c:v>-22.120919999999991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4-4C15-915F-C32DC450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649472"/>
        <c:axId val="309047680"/>
      </c:scatterChart>
      <c:valAx>
        <c:axId val="29864947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09047680"/>
        <c:crosses val="autoZero"/>
        <c:crossBetween val="midCat"/>
      </c:valAx>
      <c:valAx>
        <c:axId val="3090476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986494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8.5 Drilling RUN 6'!$E$6:$E$58</c:f>
              <c:numCache>
                <c:formatCode>0</c:formatCode>
                <c:ptCount val="53"/>
                <c:pt idx="0">
                  <c:v>5171</c:v>
                </c:pt>
                <c:pt idx="1">
                  <c:v>4910</c:v>
                </c:pt>
                <c:pt idx="2">
                  <c:v>4561</c:v>
                </c:pt>
              </c:numCache>
            </c:numRef>
          </c:xVal>
          <c:yVal>
            <c:numRef>
              <c:f>'POOH 8.5 Drilling RUN 6'!$M$6:$M$58</c:f>
              <c:numCache>
                <c:formatCode>0.00</c:formatCode>
                <c:ptCount val="53"/>
                <c:pt idx="0">
                  <c:v>0</c:v>
                </c:pt>
                <c:pt idx="1">
                  <c:v>-1.8289899999999999</c:v>
                </c:pt>
                <c:pt idx="2">
                  <c:v>-4.1098999999999988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9C-4A6A-862E-C804E6717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73024"/>
        <c:axId val="309074944"/>
      </c:scatterChart>
      <c:valAx>
        <c:axId val="30907302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09074944"/>
        <c:crosses val="autoZero"/>
        <c:crossBetween val="midCat"/>
      </c:valAx>
      <c:valAx>
        <c:axId val="30907494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0907302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8.5 Drilling '!$E$6:$E$58</c:f>
              <c:numCache>
                <c:formatCode>0</c:formatCode>
                <c:ptCount val="53"/>
                <c:pt idx="0">
                  <c:v>97</c:v>
                </c:pt>
                <c:pt idx="1">
                  <c:v>533</c:v>
                </c:pt>
                <c:pt idx="2">
                  <c:v>824</c:v>
                </c:pt>
                <c:pt idx="3">
                  <c:v>1228</c:v>
                </c:pt>
                <c:pt idx="4">
                  <c:v>1577</c:v>
                </c:pt>
                <c:pt idx="5">
                  <c:v>2850</c:v>
                </c:pt>
                <c:pt idx="6">
                  <c:v>2880</c:v>
                </c:pt>
                <c:pt idx="7">
                  <c:v>2996</c:v>
                </c:pt>
                <c:pt idx="8">
                  <c:v>3212</c:v>
                </c:pt>
                <c:pt idx="9">
                  <c:v>3227</c:v>
                </c:pt>
                <c:pt idx="10">
                  <c:v>3313</c:v>
                </c:pt>
              </c:numCache>
            </c:numRef>
          </c:xVal>
          <c:yVal>
            <c:numRef>
              <c:f>'RIH 8.5 Drilling '!$M$6:$M$58</c:f>
              <c:numCache>
                <c:formatCode>0.00</c:formatCode>
                <c:ptCount val="53"/>
                <c:pt idx="0">
                  <c:v>0</c:v>
                </c:pt>
                <c:pt idx="1">
                  <c:v>-1.0218800000000003</c:v>
                </c:pt>
                <c:pt idx="2">
                  <c:v>-1.9609100000000002</c:v>
                </c:pt>
                <c:pt idx="3">
                  <c:v>-3.9062300000000008</c:v>
                </c:pt>
                <c:pt idx="4">
                  <c:v>-4.9283999999999999</c:v>
                </c:pt>
                <c:pt idx="5">
                  <c:v>-16.237490000000001</c:v>
                </c:pt>
                <c:pt idx="6">
                  <c:v>-19.137390000000003</c:v>
                </c:pt>
                <c:pt idx="7">
                  <c:v>-25.053669999999997</c:v>
                </c:pt>
                <c:pt idx="8">
                  <c:v>-30.692950000000003</c:v>
                </c:pt>
                <c:pt idx="9">
                  <c:v>-30.632899999999999</c:v>
                </c:pt>
                <c:pt idx="10">
                  <c:v>-34.979280000000003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34-49D9-98F7-A5053E230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14016"/>
        <c:axId val="366615936"/>
      </c:scatterChart>
      <c:valAx>
        <c:axId val="36661401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66615936"/>
        <c:crosses val="autoZero"/>
        <c:crossBetween val="midCat"/>
      </c:valAx>
      <c:valAx>
        <c:axId val="3666159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6661401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'WOW fill well'!$E$6:$E$58</c:f>
              <c:numCache>
                <c:formatCode>0</c:formatCode>
                <c:ptCount val="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62</c:v>
                </c:pt>
                <c:pt idx="12">
                  <c:v>279</c:v>
                </c:pt>
                <c:pt idx="13">
                  <c:v>351</c:v>
                </c:pt>
                <c:pt idx="14">
                  <c:v>351</c:v>
                </c:pt>
                <c:pt idx="15">
                  <c:v>351</c:v>
                </c:pt>
                <c:pt idx="16">
                  <c:v>351</c:v>
                </c:pt>
                <c:pt idx="17">
                  <c:v>351</c:v>
                </c:pt>
              </c:numCache>
            </c:numRef>
          </c:xVal>
          <c:yVal>
            <c:numRef>
              <c:f>'WOW fill well'!$M$6:$M$58</c:f>
              <c:numCache>
                <c:formatCode>0.00</c:formatCode>
                <c:ptCount val="53"/>
                <c:pt idx="0">
                  <c:v>0</c:v>
                </c:pt>
                <c:pt idx="1">
                  <c:v>-3.7600000000000193</c:v>
                </c:pt>
                <c:pt idx="2">
                  <c:v>-6.2800000000000011</c:v>
                </c:pt>
                <c:pt idx="3">
                  <c:v>-7.5999999999999943</c:v>
                </c:pt>
                <c:pt idx="4">
                  <c:v>-9.0600000000000023</c:v>
                </c:pt>
                <c:pt idx="5">
                  <c:v>-8.4000000000000057</c:v>
                </c:pt>
                <c:pt idx="6">
                  <c:v>-10.280000000000001</c:v>
                </c:pt>
                <c:pt idx="7">
                  <c:v>-19</c:v>
                </c:pt>
                <c:pt idx="8">
                  <c:v>-138.43</c:v>
                </c:pt>
                <c:pt idx="9">
                  <c:v>-138.92000000000002</c:v>
                </c:pt>
                <c:pt idx="10">
                  <c:v>-140.80000000000001</c:v>
                </c:pt>
                <c:pt idx="11">
                  <c:v>-141.06932</c:v>
                </c:pt>
                <c:pt idx="12">
                  <c:v>-142.22629000000001</c:v>
                </c:pt>
                <c:pt idx="13">
                  <c:v>-144.10380999999998</c:v>
                </c:pt>
                <c:pt idx="14">
                  <c:v>-148.06380999999999</c:v>
                </c:pt>
                <c:pt idx="15">
                  <c:v>-148.92381</c:v>
                </c:pt>
                <c:pt idx="16">
                  <c:v>-149.94381000000001</c:v>
                </c:pt>
                <c:pt idx="17">
                  <c:v>-152.93381000000002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29-4B08-A21B-15C8E22FC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638016"/>
        <c:axId val="584749440"/>
      </c:scatterChart>
      <c:valAx>
        <c:axId val="38763801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84749440"/>
        <c:crosses val="autoZero"/>
        <c:crossBetween val="midCat"/>
      </c:valAx>
      <c:valAx>
        <c:axId val="58474944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763801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MWD_05 DY2H'!$E$6:$E$58</c:f>
              <c:numCache>
                <c:formatCode>0</c:formatCode>
                <c:ptCount val="53"/>
                <c:pt idx="0">
                  <c:v>3465</c:v>
                </c:pt>
                <c:pt idx="1">
                  <c:v>3143</c:v>
                </c:pt>
                <c:pt idx="2">
                  <c:v>2910</c:v>
                </c:pt>
                <c:pt idx="3">
                  <c:v>2562</c:v>
                </c:pt>
                <c:pt idx="4">
                  <c:v>2388</c:v>
                </c:pt>
                <c:pt idx="5">
                  <c:v>1864</c:v>
                </c:pt>
                <c:pt idx="6">
                  <c:v>1691</c:v>
                </c:pt>
                <c:pt idx="7">
                  <c:v>1404</c:v>
                </c:pt>
                <c:pt idx="8">
                  <c:v>994</c:v>
                </c:pt>
                <c:pt idx="9">
                  <c:v>648</c:v>
                </c:pt>
                <c:pt idx="10">
                  <c:v>241</c:v>
                </c:pt>
              </c:numCache>
            </c:numRef>
          </c:xVal>
          <c:yVal>
            <c:numRef>
              <c:f>'POOH MWD_05 DY2H'!$M$6:$M$58</c:f>
              <c:numCache>
                <c:formatCode>0.00</c:formatCode>
                <c:ptCount val="53"/>
                <c:pt idx="0">
                  <c:v>0</c:v>
                </c:pt>
                <c:pt idx="1">
                  <c:v>-0.89998000000000022</c:v>
                </c:pt>
                <c:pt idx="2">
                  <c:v>-1.7624500000000007</c:v>
                </c:pt>
                <c:pt idx="3">
                  <c:v>-2.5277699999999994</c:v>
                </c:pt>
                <c:pt idx="4">
                  <c:v>-3.5004299999999997</c:v>
                </c:pt>
                <c:pt idx="5">
                  <c:v>-5.5395900000000005</c:v>
                </c:pt>
                <c:pt idx="6">
                  <c:v>-6.9266599999999992</c:v>
                </c:pt>
                <c:pt idx="7">
                  <c:v>-7.9009900000000002</c:v>
                </c:pt>
                <c:pt idx="8">
                  <c:v>-9.5028900000000007</c:v>
                </c:pt>
                <c:pt idx="9">
                  <c:v>-10.477030000000001</c:v>
                </c:pt>
                <c:pt idx="10">
                  <c:v>-13.092160000000002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6F-4466-9221-E514F3552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26944"/>
        <c:axId val="131429120"/>
      </c:scatterChart>
      <c:valAx>
        <c:axId val="13142694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429120"/>
        <c:crosses val="autoZero"/>
        <c:crossBetween val="midCat"/>
      </c:valAx>
      <c:valAx>
        <c:axId val="13142912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42694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8.5 drilling'!$E$6:$E$58</c:f>
              <c:numCache>
                <c:formatCode>0</c:formatCode>
                <c:ptCount val="53"/>
                <c:pt idx="0">
                  <c:v>69</c:v>
                </c:pt>
                <c:pt idx="1">
                  <c:v>208</c:v>
                </c:pt>
                <c:pt idx="2">
                  <c:v>562</c:v>
                </c:pt>
                <c:pt idx="3">
                  <c:v>1228</c:v>
                </c:pt>
                <c:pt idx="4">
                  <c:v>1548</c:v>
                </c:pt>
                <c:pt idx="5">
                  <c:v>1895</c:v>
                </c:pt>
              </c:numCache>
            </c:numRef>
          </c:xVal>
          <c:yVal>
            <c:numRef>
              <c:f>'RIH 8.5 drilling'!$M$6:$M$58</c:f>
              <c:numCache>
                <c:formatCode>0.00</c:formatCode>
                <c:ptCount val="53"/>
                <c:pt idx="0">
                  <c:v>0</c:v>
                </c:pt>
                <c:pt idx="1">
                  <c:v>-0.68287000000000053</c:v>
                </c:pt>
                <c:pt idx="2">
                  <c:v>-2.4116900000000001</c:v>
                </c:pt>
                <c:pt idx="3">
                  <c:v>-4.8194700000000008</c:v>
                </c:pt>
                <c:pt idx="4">
                  <c:v>-8.2150700000000008</c:v>
                </c:pt>
                <c:pt idx="5">
                  <c:v>-9.780580000000004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1-4D5D-85BB-0AF640D6E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28192"/>
        <c:axId val="131530112"/>
      </c:scatterChart>
      <c:valAx>
        <c:axId val="13152819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530112"/>
        <c:crosses val="autoZero"/>
        <c:crossBetween val="midCat"/>
      </c:valAx>
      <c:valAx>
        <c:axId val="13153011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5281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'Test BOP'!$E$6:$E$58</c:f>
              <c:numCache>
                <c:formatCode>0</c:formatCode>
                <c:ptCount val="53"/>
                <c:pt idx="0">
                  <c:v>66</c:v>
                </c:pt>
                <c:pt idx="1">
                  <c:v>320</c:v>
                </c:pt>
                <c:pt idx="2">
                  <c:v>347</c:v>
                </c:pt>
                <c:pt idx="3">
                  <c:v>347</c:v>
                </c:pt>
                <c:pt idx="4">
                  <c:v>346.6</c:v>
                </c:pt>
                <c:pt idx="5">
                  <c:v>346.7</c:v>
                </c:pt>
                <c:pt idx="6">
                  <c:v>347</c:v>
                </c:pt>
                <c:pt idx="7">
                  <c:v>347.3</c:v>
                </c:pt>
                <c:pt idx="8">
                  <c:v>347</c:v>
                </c:pt>
                <c:pt idx="9">
                  <c:v>225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'Test BOP'!$M$6:$M$58</c:f>
              <c:numCache>
                <c:formatCode>0.00</c:formatCode>
                <c:ptCount val="53"/>
                <c:pt idx="0">
                  <c:v>0</c:v>
                </c:pt>
                <c:pt idx="1">
                  <c:v>-1.2399800000000007</c:v>
                </c:pt>
                <c:pt idx="2">
                  <c:v>-3.4279700000000002</c:v>
                </c:pt>
                <c:pt idx="3">
                  <c:v>-7.7379700000000007</c:v>
                </c:pt>
                <c:pt idx="4">
                  <c:v>-10.326222000000001</c:v>
                </c:pt>
                <c:pt idx="5">
                  <c:v>-13.686659000000001</c:v>
                </c:pt>
                <c:pt idx="6">
                  <c:v>-13.747970000000002</c:v>
                </c:pt>
                <c:pt idx="7">
                  <c:v>-14.789281000000003</c:v>
                </c:pt>
                <c:pt idx="8">
                  <c:v>-19.077970000000001</c:v>
                </c:pt>
                <c:pt idx="9">
                  <c:v>-20.33483</c:v>
                </c:pt>
                <c:pt idx="10">
                  <c:v>-20.881580000000003</c:v>
                </c:pt>
                <c:pt idx="11">
                  <c:v>-24.021580000000004</c:v>
                </c:pt>
                <c:pt idx="12">
                  <c:v>-25.301580000000005</c:v>
                </c:pt>
                <c:pt idx="13">
                  <c:v>-26.741580000000006</c:v>
                </c:pt>
                <c:pt idx="14">
                  <c:v>-29.751580000000008</c:v>
                </c:pt>
                <c:pt idx="15">
                  <c:v>-30.951580000000007</c:v>
                </c:pt>
                <c:pt idx="16">
                  <c:v>-34.831580000000002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3D-4543-8A06-E83A865FB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84704"/>
        <c:axId val="131786624"/>
      </c:scatterChart>
      <c:valAx>
        <c:axId val="1317847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786624"/>
        <c:crosses val="autoZero"/>
        <c:crossBetween val="midCat"/>
      </c:valAx>
      <c:valAx>
        <c:axId val="1317866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7847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Mill#2'!$E$6:$E$58</c:f>
              <c:numCache>
                <c:formatCode>0</c:formatCode>
                <c:ptCount val="53"/>
                <c:pt idx="0">
                  <c:v>2343</c:v>
                </c:pt>
                <c:pt idx="1">
                  <c:v>2124</c:v>
                </c:pt>
                <c:pt idx="2">
                  <c:v>1873</c:v>
                </c:pt>
                <c:pt idx="3">
                  <c:v>1611</c:v>
                </c:pt>
                <c:pt idx="4">
                  <c:v>1323</c:v>
                </c:pt>
                <c:pt idx="5">
                  <c:v>983</c:v>
                </c:pt>
                <c:pt idx="6">
                  <c:v>693</c:v>
                </c:pt>
                <c:pt idx="7">
                  <c:v>693</c:v>
                </c:pt>
              </c:numCache>
            </c:numRef>
          </c:xVal>
          <c:yVal>
            <c:numRef>
              <c:f>'POOH Mill#2'!$M$6:$M$58</c:f>
              <c:numCache>
                <c:formatCode>0.00</c:formatCode>
                <c:ptCount val="53"/>
                <c:pt idx="0">
                  <c:v>0</c:v>
                </c:pt>
                <c:pt idx="1">
                  <c:v>-0.35296999999999967</c:v>
                </c:pt>
                <c:pt idx="2">
                  <c:v>-3.3873899999999999</c:v>
                </c:pt>
                <c:pt idx="3">
                  <c:v>-5.0354299999999999</c:v>
                </c:pt>
                <c:pt idx="4">
                  <c:v>-7.2783900000000017</c:v>
                </c:pt>
                <c:pt idx="5">
                  <c:v>-9.4011899999999997</c:v>
                </c:pt>
                <c:pt idx="6">
                  <c:v>-11.522989999999997</c:v>
                </c:pt>
                <c:pt idx="7">
                  <c:v>-12.292989999999996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93-4DF3-85E6-CA3010B82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03392"/>
        <c:axId val="131809664"/>
      </c:scatterChart>
      <c:valAx>
        <c:axId val="13180339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809664"/>
        <c:crosses val="autoZero"/>
        <c:crossBetween val="midCat"/>
      </c:valAx>
      <c:valAx>
        <c:axId val="13180966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8033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Mill#2'!$E$6:$E$58</c:f>
              <c:numCache>
                <c:formatCode>0</c:formatCode>
                <c:ptCount val="53"/>
                <c:pt idx="0">
                  <c:v>40</c:v>
                </c:pt>
                <c:pt idx="1">
                  <c:v>122</c:v>
                </c:pt>
                <c:pt idx="2">
                  <c:v>242</c:v>
                </c:pt>
                <c:pt idx="3">
                  <c:v>406</c:v>
                </c:pt>
                <c:pt idx="4">
                  <c:v>512</c:v>
                </c:pt>
                <c:pt idx="5">
                  <c:v>721</c:v>
                </c:pt>
                <c:pt idx="6">
                  <c:v>1431</c:v>
                </c:pt>
                <c:pt idx="7">
                  <c:v>1533</c:v>
                </c:pt>
                <c:pt idx="8">
                  <c:v>1761</c:v>
                </c:pt>
                <c:pt idx="9">
                  <c:v>1761</c:v>
                </c:pt>
                <c:pt idx="10">
                  <c:v>2072</c:v>
                </c:pt>
                <c:pt idx="11">
                  <c:v>2371</c:v>
                </c:pt>
                <c:pt idx="12">
                  <c:v>2405.46</c:v>
                </c:pt>
                <c:pt idx="13">
                  <c:v>2407.1</c:v>
                </c:pt>
                <c:pt idx="14">
                  <c:v>2407.08</c:v>
                </c:pt>
                <c:pt idx="15">
                  <c:v>2406.89</c:v>
                </c:pt>
                <c:pt idx="16">
                  <c:v>2397.27</c:v>
                </c:pt>
                <c:pt idx="17">
                  <c:v>2397</c:v>
                </c:pt>
              </c:numCache>
            </c:numRef>
          </c:xVal>
          <c:yVal>
            <c:numRef>
              <c:f>'RIH Mill#2'!$M$6:$M$58</c:f>
              <c:numCache>
                <c:formatCode>0.00</c:formatCode>
                <c:ptCount val="53"/>
                <c:pt idx="0">
                  <c:v>0</c:v>
                </c:pt>
                <c:pt idx="1">
                  <c:v>-0.23833999999999994</c:v>
                </c:pt>
                <c:pt idx="2">
                  <c:v>-1.8927400000000003</c:v>
                </c:pt>
                <c:pt idx="3">
                  <c:v>-2.7594200000000004</c:v>
                </c:pt>
                <c:pt idx="4">
                  <c:v>-3.9809000000000001</c:v>
                </c:pt>
                <c:pt idx="5">
                  <c:v>-4.7221200000000003</c:v>
                </c:pt>
                <c:pt idx="6">
                  <c:v>-7.4339200000000014</c:v>
                </c:pt>
                <c:pt idx="7">
                  <c:v>-7.5930800000000014</c:v>
                </c:pt>
                <c:pt idx="8">
                  <c:v>-8.4153200000000012</c:v>
                </c:pt>
                <c:pt idx="9">
                  <c:v>-9.1253200000000021</c:v>
                </c:pt>
                <c:pt idx="10">
                  <c:v>-10.334390000000001</c:v>
                </c:pt>
                <c:pt idx="11">
                  <c:v>-11.911019999999999</c:v>
                </c:pt>
                <c:pt idx="12">
                  <c:v>63.1683898</c:v>
                </c:pt>
                <c:pt idx="13">
                  <c:v>56.871223000000001</c:v>
                </c:pt>
                <c:pt idx="14">
                  <c:v>55.971310400000007</c:v>
                </c:pt>
                <c:pt idx="15">
                  <c:v>50.082140700000004</c:v>
                </c:pt>
                <c:pt idx="16">
                  <c:v>-53.935819899999998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F4-4146-9D34-582B43948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87872"/>
        <c:axId val="131889792"/>
      </c:scatterChart>
      <c:valAx>
        <c:axId val="13188787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889792"/>
        <c:crosses val="autoZero"/>
        <c:crossBetween val="midCat"/>
      </c:valAx>
      <c:valAx>
        <c:axId val="13188979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8878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'POOHafter mill#1'!$E$6:$E$58</c:f>
              <c:numCache>
                <c:formatCode>0</c:formatCode>
                <c:ptCount val="53"/>
                <c:pt idx="0">
                  <c:v>2342</c:v>
                </c:pt>
                <c:pt idx="1">
                  <c:v>2015</c:v>
                </c:pt>
                <c:pt idx="2">
                  <c:v>1892</c:v>
                </c:pt>
                <c:pt idx="3">
                  <c:v>1839</c:v>
                </c:pt>
                <c:pt idx="4">
                  <c:v>1493</c:v>
                </c:pt>
                <c:pt idx="5">
                  <c:v>1414</c:v>
                </c:pt>
                <c:pt idx="6">
                  <c:v>970</c:v>
                </c:pt>
                <c:pt idx="7">
                  <c:v>605</c:v>
                </c:pt>
                <c:pt idx="8">
                  <c:v>500</c:v>
                </c:pt>
                <c:pt idx="9">
                  <c:v>500</c:v>
                </c:pt>
                <c:pt idx="10">
                  <c:v>381</c:v>
                </c:pt>
                <c:pt idx="11">
                  <c:v>184</c:v>
                </c:pt>
                <c:pt idx="12">
                  <c:v>52</c:v>
                </c:pt>
              </c:numCache>
            </c:numRef>
          </c:xVal>
          <c:yVal>
            <c:numRef>
              <c:f>'POOHafter mill#1'!$M$6:$M$58</c:f>
              <c:numCache>
                <c:formatCode>0.00</c:formatCode>
                <c:ptCount val="53"/>
                <c:pt idx="0">
                  <c:v>0</c:v>
                </c:pt>
                <c:pt idx="1">
                  <c:v>-1.78101</c:v>
                </c:pt>
                <c:pt idx="2">
                  <c:v>-2.8696699999999997</c:v>
                </c:pt>
                <c:pt idx="3">
                  <c:v>-2.9789299999999987</c:v>
                </c:pt>
                <c:pt idx="4">
                  <c:v>-5.3982499999999982</c:v>
                </c:pt>
                <c:pt idx="5">
                  <c:v>-5.4724299999999984</c:v>
                </c:pt>
                <c:pt idx="6">
                  <c:v>-7.3449099999999987</c:v>
                </c:pt>
                <c:pt idx="7">
                  <c:v>-9.9232099999999974</c:v>
                </c:pt>
                <c:pt idx="8">
                  <c:v>-10.052309999999999</c:v>
                </c:pt>
                <c:pt idx="9">
                  <c:v>-10.632309999999997</c:v>
                </c:pt>
                <c:pt idx="10">
                  <c:v>-11.153289999999998</c:v>
                </c:pt>
                <c:pt idx="11">
                  <c:v>-14.852399999999999</c:v>
                </c:pt>
                <c:pt idx="12">
                  <c:v>-15.725560000000002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CF-4CFC-A45D-4A370F139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63904"/>
        <c:axId val="131966080"/>
      </c:scatterChart>
      <c:valAx>
        <c:axId val="1319639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966080"/>
        <c:crosses val="autoZero"/>
        <c:crossBetween val="midCat"/>
      </c:valAx>
      <c:valAx>
        <c:axId val="1319660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9639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with whipstock'!$E$6:$E$58</c:f>
              <c:numCache>
                <c:formatCode>0</c:formatCode>
                <c:ptCount val="53"/>
                <c:pt idx="0">
                  <c:v>251</c:v>
                </c:pt>
                <c:pt idx="1">
                  <c:v>454</c:v>
                </c:pt>
                <c:pt idx="2">
                  <c:v>1266</c:v>
                </c:pt>
                <c:pt idx="3">
                  <c:v>1684</c:v>
                </c:pt>
                <c:pt idx="4">
                  <c:v>2395</c:v>
                </c:pt>
              </c:numCache>
            </c:numRef>
          </c:xVal>
          <c:yVal>
            <c:numRef>
              <c:f>'RIH with whipstock'!$M$6:$M$58</c:f>
              <c:numCache>
                <c:formatCode>0.00</c:formatCode>
                <c:ptCount val="53"/>
                <c:pt idx="0">
                  <c:v>0</c:v>
                </c:pt>
                <c:pt idx="1">
                  <c:v>-1.5071100000000002</c:v>
                </c:pt>
                <c:pt idx="2">
                  <c:v>-7.0480700000000009</c:v>
                </c:pt>
                <c:pt idx="3">
                  <c:v>-9.5905100000000019</c:v>
                </c:pt>
                <c:pt idx="4">
                  <c:v>-15.13401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BF-4AED-90AC-2822F3630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0656"/>
        <c:axId val="131992576"/>
      </c:scatterChart>
      <c:valAx>
        <c:axId val="1319906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992576"/>
        <c:crosses val="autoZero"/>
        <c:crossBetween val="midCat"/>
      </c:valAx>
      <c:valAx>
        <c:axId val="1319925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9906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'PPOH with RT'!$E$6:$E$58</c:f>
              <c:numCache>
                <c:formatCode>0</c:formatCode>
                <c:ptCount val="53"/>
                <c:pt idx="0">
                  <c:v>2386</c:v>
                </c:pt>
                <c:pt idx="1">
                  <c:v>2242</c:v>
                </c:pt>
                <c:pt idx="2">
                  <c:v>2085</c:v>
                </c:pt>
                <c:pt idx="3">
                  <c:v>1955</c:v>
                </c:pt>
                <c:pt idx="4">
                  <c:v>1772</c:v>
                </c:pt>
                <c:pt idx="5">
                  <c:v>1615</c:v>
                </c:pt>
                <c:pt idx="6">
                  <c:v>1380</c:v>
                </c:pt>
                <c:pt idx="7">
                  <c:v>1197</c:v>
                </c:pt>
                <c:pt idx="8">
                  <c:v>988</c:v>
                </c:pt>
                <c:pt idx="9">
                  <c:v>648</c:v>
                </c:pt>
                <c:pt idx="10">
                  <c:v>517</c:v>
                </c:pt>
                <c:pt idx="11">
                  <c:v>491</c:v>
                </c:pt>
                <c:pt idx="12">
                  <c:v>491</c:v>
                </c:pt>
                <c:pt idx="13">
                  <c:v>228</c:v>
                </c:pt>
                <c:pt idx="14">
                  <c:v>24</c:v>
                </c:pt>
                <c:pt idx="15">
                  <c:v>24</c:v>
                </c:pt>
                <c:pt idx="16">
                  <c:v>0</c:v>
                </c:pt>
                <c:pt idx="17">
                  <c:v>0</c:v>
                </c:pt>
              </c:numCache>
            </c:numRef>
          </c:xVal>
          <c:yVal>
            <c:numRef>
              <c:f>'PPOH with RT'!$M$6:$M$58</c:f>
              <c:numCache>
                <c:formatCode>0.00</c:formatCode>
                <c:ptCount val="53"/>
                <c:pt idx="0">
                  <c:v>0</c:v>
                </c:pt>
                <c:pt idx="1">
                  <c:v>-3.4964800000000005</c:v>
                </c:pt>
                <c:pt idx="2">
                  <c:v>-5.415420000000001</c:v>
                </c:pt>
                <c:pt idx="3">
                  <c:v>-6.960020000000001</c:v>
                </c:pt>
                <c:pt idx="4">
                  <c:v>-9.1838799999999985</c:v>
                </c:pt>
                <c:pt idx="5">
                  <c:v>-11.59282</c:v>
                </c:pt>
                <c:pt idx="6">
                  <c:v>-14.296519999999997</c:v>
                </c:pt>
                <c:pt idx="7">
                  <c:v>-15.610379999999997</c:v>
                </c:pt>
                <c:pt idx="8">
                  <c:v>-17.829159999999998</c:v>
                </c:pt>
                <c:pt idx="9">
                  <c:v>-20.811959999999996</c:v>
                </c:pt>
                <c:pt idx="10">
                  <c:v>-21.985979999999991</c:v>
                </c:pt>
                <c:pt idx="11">
                  <c:v>-22.190899999999996</c:v>
                </c:pt>
                <c:pt idx="12">
                  <c:v>-23.270899999999994</c:v>
                </c:pt>
                <c:pt idx="13">
                  <c:v>-26.64835999999999</c:v>
                </c:pt>
                <c:pt idx="14">
                  <c:v>-23.376879999999986</c:v>
                </c:pt>
                <c:pt idx="15">
                  <c:v>-23.946879999999986</c:v>
                </c:pt>
                <c:pt idx="16">
                  <c:v>-23.531999999999982</c:v>
                </c:pt>
                <c:pt idx="17">
                  <c:v>-26.081999999999979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8C-469B-B446-7C2C9C107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95360"/>
        <c:axId val="132195840"/>
      </c:scatterChart>
      <c:valAx>
        <c:axId val="13209536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195840"/>
        <c:crosses val="autoZero"/>
        <c:crossBetween val="midCat"/>
      </c:valAx>
      <c:valAx>
        <c:axId val="13219584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0953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RIH_screens!$E$6:$E$58</c:f>
              <c:numCache>
                <c:formatCode>0</c:formatCode>
                <c:ptCount val="53"/>
                <c:pt idx="0">
                  <c:v>24</c:v>
                </c:pt>
                <c:pt idx="1">
                  <c:v>58</c:v>
                </c:pt>
                <c:pt idx="2">
                  <c:v>165</c:v>
                </c:pt>
                <c:pt idx="3">
                  <c:v>188</c:v>
                </c:pt>
                <c:pt idx="4">
                  <c:v>248</c:v>
                </c:pt>
                <c:pt idx="5">
                  <c:v>355</c:v>
                </c:pt>
                <c:pt idx="6">
                  <c:v>426</c:v>
                </c:pt>
                <c:pt idx="7">
                  <c:v>637</c:v>
                </c:pt>
                <c:pt idx="8">
                  <c:v>943</c:v>
                </c:pt>
                <c:pt idx="9">
                  <c:v>967</c:v>
                </c:pt>
                <c:pt idx="10">
                  <c:v>1192</c:v>
                </c:pt>
                <c:pt idx="11">
                  <c:v>1262</c:v>
                </c:pt>
                <c:pt idx="12">
                  <c:v>1262</c:v>
                </c:pt>
                <c:pt idx="13">
                  <c:v>1366</c:v>
                </c:pt>
                <c:pt idx="14">
                  <c:v>1685</c:v>
                </c:pt>
                <c:pt idx="15">
                  <c:v>1744</c:v>
                </c:pt>
                <c:pt idx="16">
                  <c:v>2001</c:v>
                </c:pt>
                <c:pt idx="17">
                  <c:v>2084</c:v>
                </c:pt>
                <c:pt idx="18">
                  <c:v>2373</c:v>
                </c:pt>
                <c:pt idx="19">
                  <c:v>2432</c:v>
                </c:pt>
                <c:pt idx="20">
                  <c:v>2693</c:v>
                </c:pt>
                <c:pt idx="21">
                  <c:v>2742</c:v>
                </c:pt>
                <c:pt idx="22">
                  <c:v>2749</c:v>
                </c:pt>
                <c:pt idx="23">
                  <c:v>3006</c:v>
                </c:pt>
                <c:pt idx="24">
                  <c:v>3242</c:v>
                </c:pt>
                <c:pt idx="25">
                  <c:v>3374</c:v>
                </c:pt>
                <c:pt idx="26">
                  <c:v>3557</c:v>
                </c:pt>
                <c:pt idx="27">
                  <c:v>4107</c:v>
                </c:pt>
                <c:pt idx="28">
                  <c:v>4133</c:v>
                </c:pt>
                <c:pt idx="29">
                  <c:v>4395</c:v>
                </c:pt>
                <c:pt idx="30">
                  <c:v>4665</c:v>
                </c:pt>
                <c:pt idx="31" formatCode="General">
                  <c:v>4682</c:v>
                </c:pt>
                <c:pt idx="32" formatCode="General">
                  <c:v>5048</c:v>
                </c:pt>
                <c:pt idx="33" formatCode="General">
                  <c:v>5073</c:v>
                </c:pt>
                <c:pt idx="34" formatCode="General">
                  <c:v>5137</c:v>
                </c:pt>
                <c:pt idx="35" formatCode="General">
                  <c:v>5137</c:v>
                </c:pt>
              </c:numCache>
            </c:numRef>
          </c:xVal>
          <c:yVal>
            <c:numRef>
              <c:f>RIH_screens!$M$6:$M$58</c:f>
              <c:numCache>
                <c:formatCode>0.00</c:formatCode>
                <c:ptCount val="53"/>
                <c:pt idx="0">
                  <c:v>0</c:v>
                </c:pt>
                <c:pt idx="1">
                  <c:v>-0.97169999999999979</c:v>
                </c:pt>
                <c:pt idx="2">
                  <c:v>-4.0520499999999995</c:v>
                </c:pt>
                <c:pt idx="3">
                  <c:v>-5.2282000000000002</c:v>
                </c:pt>
                <c:pt idx="4">
                  <c:v>-6.6211999999999991</c:v>
                </c:pt>
                <c:pt idx="5">
                  <c:v>-9.961549999999999</c:v>
                </c:pt>
                <c:pt idx="6">
                  <c:v>-11.960100000000001</c:v>
                </c:pt>
                <c:pt idx="7">
                  <c:v>-18.525649999999999</c:v>
                </c:pt>
                <c:pt idx="8">
                  <c:v>-25.760949999999998</c:v>
                </c:pt>
                <c:pt idx="9">
                  <c:v>-26.312149999999995</c:v>
                </c:pt>
                <c:pt idx="10">
                  <c:v>-31.628399999999999</c:v>
                </c:pt>
                <c:pt idx="11">
                  <c:v>-34.651899999999998</c:v>
                </c:pt>
                <c:pt idx="12">
                  <c:v>-37.951900000000002</c:v>
                </c:pt>
                <c:pt idx="13">
                  <c:v>-41.997100000000003</c:v>
                </c:pt>
                <c:pt idx="14">
                  <c:v>-49.52805</c:v>
                </c:pt>
                <c:pt idx="15">
                  <c:v>-44.225999999999999</c:v>
                </c:pt>
                <c:pt idx="16">
                  <c:v>-50.873850000000004</c:v>
                </c:pt>
                <c:pt idx="17">
                  <c:v>-53.503</c:v>
                </c:pt>
                <c:pt idx="18">
                  <c:v>-61.162450000000007</c:v>
                </c:pt>
                <c:pt idx="19">
                  <c:v>-62.270400000000009</c:v>
                </c:pt>
                <c:pt idx="20">
                  <c:v>-68.48845</c:v>
                </c:pt>
                <c:pt idx="21">
                  <c:v>-73.065899999999999</c:v>
                </c:pt>
                <c:pt idx="22">
                  <c:v>-76.521250000000009</c:v>
                </c:pt>
                <c:pt idx="23">
                  <c:v>-84.93434000000002</c:v>
                </c:pt>
                <c:pt idx="24">
                  <c:v>-90.011220000000009</c:v>
                </c:pt>
                <c:pt idx="25">
                  <c:v>-92.387780000000021</c:v>
                </c:pt>
                <c:pt idx="26">
                  <c:v>-95.17392000000001</c:v>
                </c:pt>
                <c:pt idx="27">
                  <c:v>-106.11292000000002</c:v>
                </c:pt>
                <c:pt idx="28">
                  <c:v>-107.06800000000003</c:v>
                </c:pt>
                <c:pt idx="29">
                  <c:v>-112.38996000000002</c:v>
                </c:pt>
                <c:pt idx="30">
                  <c:v>-119.04656000000001</c:v>
                </c:pt>
                <c:pt idx="31">
                  <c:v>-120.35642000000001</c:v>
                </c:pt>
                <c:pt idx="32">
                  <c:v>-129.33870000000002</c:v>
                </c:pt>
                <c:pt idx="33">
                  <c:v>-130.64320000000001</c:v>
                </c:pt>
                <c:pt idx="34">
                  <c:v>-130.72032000000002</c:v>
                </c:pt>
                <c:pt idx="35">
                  <c:v>-131.52032000000003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84-9AF3-18B710B2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9104"/>
        <c:axId val="132325376"/>
      </c:scatterChart>
      <c:valAx>
        <c:axId val="1323191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325376"/>
        <c:crosses val="autoZero"/>
        <c:crossBetween val="midCat"/>
      </c:valAx>
      <c:valAx>
        <c:axId val="1323253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3191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MWD_04 DY1H (2)'!$E$6:$E$58</c:f>
              <c:numCache>
                <c:formatCode>0</c:formatCode>
                <c:ptCount val="53"/>
                <c:pt idx="0" formatCode="General">
                  <c:v>3439</c:v>
                </c:pt>
                <c:pt idx="1">
                  <c:v>3352</c:v>
                </c:pt>
                <c:pt idx="2">
                  <c:v>3236</c:v>
                </c:pt>
                <c:pt idx="3">
                  <c:v>2964</c:v>
                </c:pt>
                <c:pt idx="4">
                  <c:v>2950</c:v>
                </c:pt>
                <c:pt idx="5">
                  <c:v>2949</c:v>
                </c:pt>
                <c:pt idx="6">
                  <c:v>2948</c:v>
                </c:pt>
                <c:pt idx="7">
                  <c:v>2947</c:v>
                </c:pt>
                <c:pt idx="8">
                  <c:v>2949</c:v>
                </c:pt>
                <c:pt idx="9">
                  <c:v>2951</c:v>
                </c:pt>
                <c:pt idx="10">
                  <c:v>2952</c:v>
                </c:pt>
                <c:pt idx="11">
                  <c:v>2953</c:v>
                </c:pt>
                <c:pt idx="12">
                  <c:v>2960</c:v>
                </c:pt>
                <c:pt idx="13">
                  <c:v>2974</c:v>
                </c:pt>
                <c:pt idx="14">
                  <c:v>2971</c:v>
                </c:pt>
                <c:pt idx="15">
                  <c:v>2970</c:v>
                </c:pt>
                <c:pt idx="16">
                  <c:v>2967</c:v>
                </c:pt>
                <c:pt idx="17">
                  <c:v>2965</c:v>
                </c:pt>
                <c:pt idx="18">
                  <c:v>2961</c:v>
                </c:pt>
                <c:pt idx="19">
                  <c:v>2959</c:v>
                </c:pt>
                <c:pt idx="20">
                  <c:v>2956</c:v>
                </c:pt>
                <c:pt idx="21">
                  <c:v>2952</c:v>
                </c:pt>
                <c:pt idx="22">
                  <c:v>2951</c:v>
                </c:pt>
                <c:pt idx="23">
                  <c:v>2949</c:v>
                </c:pt>
                <c:pt idx="24">
                  <c:v>2972</c:v>
                </c:pt>
                <c:pt idx="25">
                  <c:v>2968</c:v>
                </c:pt>
                <c:pt idx="26">
                  <c:v>2967</c:v>
                </c:pt>
                <c:pt idx="27">
                  <c:v>2956</c:v>
                </c:pt>
                <c:pt idx="28">
                  <c:v>2946</c:v>
                </c:pt>
                <c:pt idx="29">
                  <c:v>2946</c:v>
                </c:pt>
                <c:pt idx="30">
                  <c:v>2946</c:v>
                </c:pt>
                <c:pt idx="31">
                  <c:v>2801.65</c:v>
                </c:pt>
                <c:pt idx="32">
                  <c:v>2628</c:v>
                </c:pt>
                <c:pt idx="33">
                  <c:v>2421</c:v>
                </c:pt>
                <c:pt idx="34">
                  <c:v>2421</c:v>
                </c:pt>
                <c:pt idx="35" formatCode="General">
                  <c:v>2337</c:v>
                </c:pt>
                <c:pt idx="36">
                  <c:v>2047</c:v>
                </c:pt>
                <c:pt idx="37" formatCode="General">
                  <c:v>1786</c:v>
                </c:pt>
                <c:pt idx="38" formatCode="General">
                  <c:v>1553</c:v>
                </c:pt>
                <c:pt idx="39" formatCode="General">
                  <c:v>1436</c:v>
                </c:pt>
                <c:pt idx="40" formatCode="General">
                  <c:v>1206</c:v>
                </c:pt>
                <c:pt idx="41" formatCode="General">
                  <c:v>916</c:v>
                </c:pt>
                <c:pt idx="42" formatCode="General">
                  <c:v>655</c:v>
                </c:pt>
                <c:pt idx="43" formatCode="General">
                  <c:v>509</c:v>
                </c:pt>
                <c:pt idx="44" formatCode="General">
                  <c:v>509</c:v>
                </c:pt>
                <c:pt idx="45" formatCode="General">
                  <c:v>216</c:v>
                </c:pt>
                <c:pt idx="46">
                  <c:v>81</c:v>
                </c:pt>
                <c:pt idx="47">
                  <c:v>81</c:v>
                </c:pt>
                <c:pt idx="48" formatCode="General">
                  <c:v>42</c:v>
                </c:pt>
              </c:numCache>
            </c:numRef>
          </c:xVal>
          <c:yVal>
            <c:numRef>
              <c:f>'POOH MWD_04 DY1H (2)'!$M$6:$M$58</c:f>
              <c:numCache>
                <c:formatCode>0.00</c:formatCode>
                <c:ptCount val="53"/>
                <c:pt idx="0">
                  <c:v>0</c:v>
                </c:pt>
                <c:pt idx="1">
                  <c:v>-753.01632999999993</c:v>
                </c:pt>
                <c:pt idx="2">
                  <c:v>-754.89476999999999</c:v>
                </c:pt>
                <c:pt idx="3">
                  <c:v>-760.70524999999998</c:v>
                </c:pt>
                <c:pt idx="4">
                  <c:v>-783.51351</c:v>
                </c:pt>
                <c:pt idx="5">
                  <c:v>-784.80910000000006</c:v>
                </c:pt>
                <c:pt idx="6">
                  <c:v>-787.27469000000008</c:v>
                </c:pt>
                <c:pt idx="7">
                  <c:v>-789.12028000000009</c:v>
                </c:pt>
                <c:pt idx="8">
                  <c:v>-791.96910000000014</c:v>
                </c:pt>
                <c:pt idx="9">
                  <c:v>-795.74792000000014</c:v>
                </c:pt>
                <c:pt idx="10">
                  <c:v>-797.46233000000018</c:v>
                </c:pt>
                <c:pt idx="11">
                  <c:v>-799.04674000000011</c:v>
                </c:pt>
                <c:pt idx="12">
                  <c:v>-800.5176100000001</c:v>
                </c:pt>
                <c:pt idx="13">
                  <c:v>-806.71935000000008</c:v>
                </c:pt>
                <c:pt idx="14">
                  <c:v>-814.48612000000003</c:v>
                </c:pt>
                <c:pt idx="15">
                  <c:v>-815.72171000000003</c:v>
                </c:pt>
                <c:pt idx="16">
                  <c:v>-817.93848000000014</c:v>
                </c:pt>
                <c:pt idx="17">
                  <c:v>-820.73966000000019</c:v>
                </c:pt>
                <c:pt idx="18">
                  <c:v>-825.45202000000018</c:v>
                </c:pt>
                <c:pt idx="19">
                  <c:v>-827.44320000000016</c:v>
                </c:pt>
                <c:pt idx="20">
                  <c:v>-831.53997000000015</c:v>
                </c:pt>
                <c:pt idx="21">
                  <c:v>-837.9423300000002</c:v>
                </c:pt>
                <c:pt idx="22">
                  <c:v>-839.87792000000024</c:v>
                </c:pt>
                <c:pt idx="23">
                  <c:v>-842.65910000000019</c:v>
                </c:pt>
                <c:pt idx="24">
                  <c:v>-850.66053000000011</c:v>
                </c:pt>
                <c:pt idx="25">
                  <c:v>-858.27289000000019</c:v>
                </c:pt>
                <c:pt idx="26">
                  <c:v>-858.72848000000022</c:v>
                </c:pt>
                <c:pt idx="27">
                  <c:v>-881.86997000000019</c:v>
                </c:pt>
                <c:pt idx="28">
                  <c:v>-999.56587000000025</c:v>
                </c:pt>
                <c:pt idx="29">
                  <c:v>-1000.5158700000003</c:v>
                </c:pt>
                <c:pt idx="30">
                  <c:v>-1001.9858700000003</c:v>
                </c:pt>
                <c:pt idx="31">
                  <c:v>-1002.4192865000003</c:v>
                </c:pt>
                <c:pt idx="32">
                  <c:v>-1004.4534900000003</c:v>
                </c:pt>
                <c:pt idx="33">
                  <c:v>-1001.5006200000004</c:v>
                </c:pt>
                <c:pt idx="34">
                  <c:v>-1003.0006200000004</c:v>
                </c:pt>
                <c:pt idx="35">
                  <c:v>-1004.9901800000004</c:v>
                </c:pt>
                <c:pt idx="36">
                  <c:v>-1009.0312800000004</c:v>
                </c:pt>
                <c:pt idx="37">
                  <c:v>-1011.4902700000005</c:v>
                </c:pt>
                <c:pt idx="38">
                  <c:v>-1015.5227400000003</c:v>
                </c:pt>
                <c:pt idx="39">
                  <c:v>-1015.5467700000004</c:v>
                </c:pt>
                <c:pt idx="40">
                  <c:v>-1017.8324700000003</c:v>
                </c:pt>
                <c:pt idx="41">
                  <c:v>-1020.7835700000003</c:v>
                </c:pt>
                <c:pt idx="42">
                  <c:v>-1024.8325600000003</c:v>
                </c:pt>
                <c:pt idx="43">
                  <c:v>-1025.5587000000003</c:v>
                </c:pt>
                <c:pt idx="44">
                  <c:v>-1026.9387000000004</c:v>
                </c:pt>
                <c:pt idx="45">
                  <c:v>-1030.8565700000004</c:v>
                </c:pt>
                <c:pt idx="46">
                  <c:v>-1036.7512200000003</c:v>
                </c:pt>
                <c:pt idx="47">
                  <c:v>-1038.3812200000004</c:v>
                </c:pt>
                <c:pt idx="48">
                  <c:v>-1047.6392300000007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7F-4963-B3F9-74FB1EDB3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07680"/>
        <c:axId val="132409600"/>
      </c:scatterChart>
      <c:valAx>
        <c:axId val="1324076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409600"/>
        <c:crosses val="autoZero"/>
        <c:crossBetween val="midCat"/>
      </c:valAx>
      <c:valAx>
        <c:axId val="1324096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4076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'Cure losses'!$E$6:$E$58</c:f>
              <c:numCache>
                <c:formatCode>0</c:formatCode>
                <c:ptCount val="53"/>
                <c:pt idx="0">
                  <c:v>5264</c:v>
                </c:pt>
                <c:pt idx="1">
                  <c:v>5263</c:v>
                </c:pt>
                <c:pt idx="2">
                  <c:v>5263</c:v>
                </c:pt>
                <c:pt idx="4">
                  <c:v>5244</c:v>
                </c:pt>
                <c:pt idx="5">
                  <c:v>5244</c:v>
                </c:pt>
                <c:pt idx="7">
                  <c:v>5248</c:v>
                </c:pt>
                <c:pt idx="8">
                  <c:v>5249.54</c:v>
                </c:pt>
                <c:pt idx="9">
                  <c:v>5253</c:v>
                </c:pt>
                <c:pt idx="10">
                  <c:v>5253</c:v>
                </c:pt>
                <c:pt idx="11">
                  <c:v>5253</c:v>
                </c:pt>
                <c:pt idx="12">
                  <c:v>5253</c:v>
                </c:pt>
                <c:pt idx="13">
                  <c:v>5253</c:v>
                </c:pt>
                <c:pt idx="14">
                  <c:v>5253</c:v>
                </c:pt>
                <c:pt idx="16">
                  <c:v>5269</c:v>
                </c:pt>
                <c:pt idx="17">
                  <c:v>5350</c:v>
                </c:pt>
                <c:pt idx="18">
                  <c:v>5352</c:v>
                </c:pt>
                <c:pt idx="19">
                  <c:v>5352</c:v>
                </c:pt>
                <c:pt idx="23">
                  <c:v>5352</c:v>
                </c:pt>
                <c:pt idx="24">
                  <c:v>5352</c:v>
                </c:pt>
                <c:pt idx="26">
                  <c:v>5363.37</c:v>
                </c:pt>
                <c:pt idx="27">
                  <c:v>5364.22</c:v>
                </c:pt>
                <c:pt idx="29">
                  <c:v>5367.43</c:v>
                </c:pt>
                <c:pt idx="30">
                  <c:v>5367.43</c:v>
                </c:pt>
                <c:pt idx="31" formatCode="General">
                  <c:v>5374.22</c:v>
                </c:pt>
                <c:pt idx="32" formatCode="General">
                  <c:v>5376.41</c:v>
                </c:pt>
                <c:pt idx="33" formatCode="General">
                  <c:v>5376.48</c:v>
                </c:pt>
                <c:pt idx="34" formatCode="General">
                  <c:v>5378.46</c:v>
                </c:pt>
                <c:pt idx="36" formatCode="General">
                  <c:v>5381</c:v>
                </c:pt>
                <c:pt idx="37" formatCode="General">
                  <c:v>5381</c:v>
                </c:pt>
                <c:pt idx="38" formatCode="General">
                  <c:v>5322.4</c:v>
                </c:pt>
                <c:pt idx="39" formatCode="General">
                  <c:v>5295.06</c:v>
                </c:pt>
                <c:pt idx="40" formatCode="General">
                  <c:v>5268.24</c:v>
                </c:pt>
                <c:pt idx="41" formatCode="General">
                  <c:v>5268.24</c:v>
                </c:pt>
                <c:pt idx="42" formatCode="General">
                  <c:v>5268.24</c:v>
                </c:pt>
                <c:pt idx="46" formatCode="General">
                  <c:v>3446</c:v>
                </c:pt>
                <c:pt idx="47" formatCode="General">
                  <c:v>3447</c:v>
                </c:pt>
                <c:pt idx="48" formatCode="General">
                  <c:v>3449</c:v>
                </c:pt>
                <c:pt idx="49">
                  <c:v>3450</c:v>
                </c:pt>
              </c:numCache>
            </c:numRef>
          </c:xVal>
          <c:yVal>
            <c:numRef>
              <c:f>'Cure losses'!$M$6:$M$58</c:f>
              <c:numCache>
                <c:formatCode>0.00</c:formatCode>
                <c:ptCount val="53"/>
                <c:pt idx="0">
                  <c:v>0</c:v>
                </c:pt>
                <c:pt idx="1">
                  <c:v>-0.53563000000000094</c:v>
                </c:pt>
                <c:pt idx="2">
                  <c:v>-1.4356300000000004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35-4EF3-A628-B47F9EFE2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88928"/>
        <c:axId val="133399296"/>
      </c:scatterChart>
      <c:valAx>
        <c:axId val="13338892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399296"/>
        <c:crosses val="autoZero"/>
        <c:crossBetween val="midCat"/>
      </c:valAx>
      <c:valAx>
        <c:axId val="133399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38892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'RIH_MWD_04 DY1H'!$E$6:$E$58</c:f>
              <c:numCache>
                <c:formatCode>0</c:formatCode>
                <c:ptCount val="53"/>
                <c:pt idx="0">
                  <c:v>131</c:v>
                </c:pt>
                <c:pt idx="1">
                  <c:v>509</c:v>
                </c:pt>
                <c:pt idx="2">
                  <c:v>1002</c:v>
                </c:pt>
                <c:pt idx="3">
                  <c:v>1380</c:v>
                </c:pt>
                <c:pt idx="4">
                  <c:v>1901</c:v>
                </c:pt>
                <c:pt idx="5">
                  <c:v>2413</c:v>
                </c:pt>
                <c:pt idx="6">
                  <c:v>2801</c:v>
                </c:pt>
                <c:pt idx="7">
                  <c:v>3840</c:v>
                </c:pt>
                <c:pt idx="8">
                  <c:v>4397</c:v>
                </c:pt>
              </c:numCache>
            </c:numRef>
          </c:xVal>
          <c:yVal>
            <c:numRef>
              <c:f>'RIH_MWD_04 DY1H'!$M$6:$M$58</c:f>
              <c:numCache>
                <c:formatCode>0.00</c:formatCode>
                <c:ptCount val="53"/>
                <c:pt idx="0">
                  <c:v>0</c:v>
                </c:pt>
                <c:pt idx="1">
                  <c:v>-0.46873999999999949</c:v>
                </c:pt>
                <c:pt idx="2">
                  <c:v>-0.77042999999999928</c:v>
                </c:pt>
                <c:pt idx="3">
                  <c:v>-1.1691699999999976</c:v>
                </c:pt>
                <c:pt idx="4">
                  <c:v>-1.3040999999999983</c:v>
                </c:pt>
                <c:pt idx="5">
                  <c:v>-1.4490599999999993</c:v>
                </c:pt>
                <c:pt idx="6">
                  <c:v>-2.261099999999999</c:v>
                </c:pt>
                <c:pt idx="7">
                  <c:v>-2.9109699999999989</c:v>
                </c:pt>
                <c:pt idx="8">
                  <c:v>-4.2857800000000026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3B-4E6E-90E9-642313C6C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81600"/>
        <c:axId val="133483520"/>
      </c:scatterChart>
      <c:valAx>
        <c:axId val="1334816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483520"/>
        <c:crosses val="autoZero"/>
        <c:crossBetween val="midCat"/>
      </c:valAx>
      <c:valAx>
        <c:axId val="13348352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4816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MWD_03 DY1H'!$E$6:$E$58</c:f>
              <c:numCache>
                <c:formatCode>0</c:formatCode>
                <c:ptCount val="53"/>
                <c:pt idx="0">
                  <c:v>4792</c:v>
                </c:pt>
                <c:pt idx="1">
                  <c:v>4792</c:v>
                </c:pt>
                <c:pt idx="2">
                  <c:v>4615</c:v>
                </c:pt>
                <c:pt idx="3">
                  <c:v>4397</c:v>
                </c:pt>
                <c:pt idx="4">
                  <c:v>4397</c:v>
                </c:pt>
                <c:pt idx="5">
                  <c:v>4049</c:v>
                </c:pt>
                <c:pt idx="6">
                  <c:v>3875</c:v>
                </c:pt>
                <c:pt idx="7">
                  <c:v>3207</c:v>
                </c:pt>
                <c:pt idx="8">
                  <c:v>2424</c:v>
                </c:pt>
                <c:pt idx="9">
                  <c:v>2424</c:v>
                </c:pt>
                <c:pt idx="10">
                  <c:v>2047</c:v>
                </c:pt>
                <c:pt idx="11">
                  <c:v>1815</c:v>
                </c:pt>
                <c:pt idx="12">
                  <c:v>1554</c:v>
                </c:pt>
                <c:pt idx="13">
                  <c:v>1235</c:v>
                </c:pt>
                <c:pt idx="14">
                  <c:v>771</c:v>
                </c:pt>
                <c:pt idx="15">
                  <c:v>539</c:v>
                </c:pt>
                <c:pt idx="16">
                  <c:v>539</c:v>
                </c:pt>
                <c:pt idx="17">
                  <c:v>132</c:v>
                </c:pt>
                <c:pt idx="18">
                  <c:v>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xVal>
          <c:yVal>
            <c:numRef>
              <c:f>'POOH MWD_03 DY1H'!$M$6:$M$58</c:f>
              <c:numCache>
                <c:formatCode>0.00</c:formatCode>
                <c:ptCount val="53"/>
                <c:pt idx="0">
                  <c:v>0</c:v>
                </c:pt>
                <c:pt idx="1">
                  <c:v>-0.13999999999999879</c:v>
                </c:pt>
                <c:pt idx="2">
                  <c:v>-0.52650999999999981</c:v>
                </c:pt>
                <c:pt idx="3">
                  <c:v>-1.0438499999999995</c:v>
                </c:pt>
                <c:pt idx="4">
                  <c:v>-1.5138499999999993</c:v>
                </c:pt>
                <c:pt idx="5">
                  <c:v>-3.1091699999999989</c:v>
                </c:pt>
                <c:pt idx="6">
                  <c:v>-2.971829999999998</c:v>
                </c:pt>
                <c:pt idx="7">
                  <c:v>-4.8059499999999975</c:v>
                </c:pt>
                <c:pt idx="8">
                  <c:v>-5.992919999999998</c:v>
                </c:pt>
                <c:pt idx="9">
                  <c:v>-6.1329199999999986</c:v>
                </c:pt>
                <c:pt idx="10">
                  <c:v>-6.7303499999999996</c:v>
                </c:pt>
                <c:pt idx="11">
                  <c:v>-7.2572299999999998</c:v>
                </c:pt>
                <c:pt idx="12">
                  <c:v>-7.5562199999999997</c:v>
                </c:pt>
                <c:pt idx="13">
                  <c:v>-7.9994300000000003</c:v>
                </c:pt>
                <c:pt idx="14">
                  <c:v>-8.7031899999999993</c:v>
                </c:pt>
                <c:pt idx="15">
                  <c:v>-9.0500699999999981</c:v>
                </c:pt>
                <c:pt idx="16">
                  <c:v>-9.2000699999999966</c:v>
                </c:pt>
                <c:pt idx="17">
                  <c:v>-10.695199999999996</c:v>
                </c:pt>
                <c:pt idx="18">
                  <c:v>-10.963829999999994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9F-4610-ADEF-FAA70A4EB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8080"/>
        <c:axId val="133924352"/>
      </c:scatterChart>
      <c:valAx>
        <c:axId val="1339180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924352"/>
        <c:crosses val="autoZero"/>
        <c:crossBetween val="midCat"/>
      </c:valAx>
      <c:valAx>
        <c:axId val="1339243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9180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8.5in BHA DY1H'!$E$6:$E$58</c:f>
              <c:numCache>
                <c:formatCode>0</c:formatCode>
                <c:ptCount val="53"/>
                <c:pt idx="0">
                  <c:v>191</c:v>
                </c:pt>
                <c:pt idx="1">
                  <c:v>335</c:v>
                </c:pt>
                <c:pt idx="2">
                  <c:v>422.9</c:v>
                </c:pt>
                <c:pt idx="3">
                  <c:v>509</c:v>
                </c:pt>
                <c:pt idx="4">
                  <c:v>725</c:v>
                </c:pt>
                <c:pt idx="5">
                  <c:v>961</c:v>
                </c:pt>
                <c:pt idx="6">
                  <c:v>961</c:v>
                </c:pt>
                <c:pt idx="7">
                  <c:v>973</c:v>
                </c:pt>
                <c:pt idx="8">
                  <c:v>1264</c:v>
                </c:pt>
                <c:pt idx="9">
                  <c:v>1873</c:v>
                </c:pt>
                <c:pt idx="10">
                  <c:v>2076</c:v>
                </c:pt>
              </c:numCache>
            </c:numRef>
          </c:xVal>
          <c:yVal>
            <c:numRef>
              <c:f>'RIH 8.5in BHA DY1H'!$M$6:$M$58</c:f>
              <c:numCache>
                <c:formatCode>0.00</c:formatCode>
                <c:ptCount val="53"/>
                <c:pt idx="0">
                  <c:v>0</c:v>
                </c:pt>
                <c:pt idx="1">
                  <c:v>0.18047999999999975</c:v>
                </c:pt>
                <c:pt idx="2">
                  <c:v>0.72877299999999989</c:v>
                </c:pt>
                <c:pt idx="3">
                  <c:v>0.69106000000000023</c:v>
                </c:pt>
                <c:pt idx="4">
                  <c:v>2.1917800000000014</c:v>
                </c:pt>
                <c:pt idx="5">
                  <c:v>1.1259000000000015</c:v>
                </c:pt>
                <c:pt idx="6">
                  <c:v>1.1259000000000015</c:v>
                </c:pt>
                <c:pt idx="7">
                  <c:v>2.2159400000000016</c:v>
                </c:pt>
                <c:pt idx="8">
                  <c:v>2.1869100000000028</c:v>
                </c:pt>
                <c:pt idx="9">
                  <c:v>0.98894000000000659</c:v>
                </c:pt>
                <c:pt idx="10">
                  <c:v>1.0829500000000074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58-4890-904C-4E0603C54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77408"/>
        <c:axId val="134979584"/>
      </c:scatterChart>
      <c:valAx>
        <c:axId val="13497740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979584"/>
        <c:crosses val="autoZero"/>
        <c:crossBetween val="midCat"/>
      </c:valAx>
      <c:valAx>
        <c:axId val="13497958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97740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8 58 Exp Liner (2)'!$E$6:$E$58</c:f>
              <c:numCache>
                <c:formatCode>0</c:formatCode>
                <c:ptCount val="53"/>
                <c:pt idx="0">
                  <c:v>2295</c:v>
                </c:pt>
                <c:pt idx="1">
                  <c:v>2268</c:v>
                </c:pt>
                <c:pt idx="2">
                  <c:v>2186</c:v>
                </c:pt>
                <c:pt idx="3">
                  <c:v>2105</c:v>
                </c:pt>
                <c:pt idx="4">
                  <c:v>2050</c:v>
                </c:pt>
                <c:pt idx="5">
                  <c:v>1670</c:v>
                </c:pt>
                <c:pt idx="6">
                  <c:v>1588</c:v>
                </c:pt>
                <c:pt idx="7">
                  <c:v>1509</c:v>
                </c:pt>
                <c:pt idx="8">
                  <c:v>1456</c:v>
                </c:pt>
                <c:pt idx="9">
                  <c:v>985</c:v>
                </c:pt>
                <c:pt idx="10">
                  <c:v>592</c:v>
                </c:pt>
                <c:pt idx="11">
                  <c:v>555</c:v>
                </c:pt>
                <c:pt idx="12">
                  <c:v>265</c:v>
                </c:pt>
                <c:pt idx="13">
                  <c:v>0</c:v>
                </c:pt>
                <c:pt idx="16">
                  <c:v>2439</c:v>
                </c:pt>
                <c:pt idx="17">
                  <c:v>2436</c:v>
                </c:pt>
                <c:pt idx="18">
                  <c:v>2436</c:v>
                </c:pt>
                <c:pt idx="19">
                  <c:v>2404</c:v>
                </c:pt>
                <c:pt idx="20">
                  <c:v>2404</c:v>
                </c:pt>
                <c:pt idx="21">
                  <c:v>2406</c:v>
                </c:pt>
              </c:numCache>
            </c:numRef>
          </c:xVal>
          <c:yVal>
            <c:numRef>
              <c:f>'POOH 8 58 Exp Liner (2)'!$M$6:$M$58</c:f>
              <c:numCache>
                <c:formatCode>0.00</c:formatCode>
                <c:ptCount val="53"/>
                <c:pt idx="0">
                  <c:v>0</c:v>
                </c:pt>
                <c:pt idx="1">
                  <c:v>0.7079899999999999</c:v>
                </c:pt>
                <c:pt idx="2">
                  <c:v>2.6363300000000001</c:v>
                </c:pt>
                <c:pt idx="3">
                  <c:v>5.0702999999999996</c:v>
                </c:pt>
                <c:pt idx="4">
                  <c:v>6.6406499999999991</c:v>
                </c:pt>
                <c:pt idx="5">
                  <c:v>11.641249999999999</c:v>
                </c:pt>
                <c:pt idx="6">
                  <c:v>11.449590000000001</c:v>
                </c:pt>
                <c:pt idx="7">
                  <c:v>13.014819999999999</c:v>
                </c:pt>
                <c:pt idx="8">
                  <c:v>13.045559999999998</c:v>
                </c:pt>
                <c:pt idx="9">
                  <c:v>12.588739999999998</c:v>
                </c:pt>
                <c:pt idx="10">
                  <c:v>11.826679999999998</c:v>
                </c:pt>
                <c:pt idx="11">
                  <c:v>12.329849999999997</c:v>
                </c:pt>
                <c:pt idx="12">
                  <c:v>13.198749999999997</c:v>
                </c:pt>
                <c:pt idx="13">
                  <c:v>13.677399999999997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51-4EA6-9C59-694EFD497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70080"/>
        <c:axId val="135072000"/>
      </c:scatterChart>
      <c:valAx>
        <c:axId val="1350700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5072000"/>
        <c:crosses val="autoZero"/>
        <c:crossBetween val="midCat"/>
      </c:valAx>
      <c:valAx>
        <c:axId val="1350720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50700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8 58 Exp Liner'!$E$6:$E$58</c:f>
              <c:numCache>
                <c:formatCode>0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13.75</c:v>
                </c:pt>
                <c:pt idx="5">
                  <c:v>25</c:v>
                </c:pt>
                <c:pt idx="6">
                  <c:v>69.5</c:v>
                </c:pt>
                <c:pt idx="7">
                  <c:v>80.8</c:v>
                </c:pt>
                <c:pt idx="8">
                  <c:v>103</c:v>
                </c:pt>
                <c:pt idx="9">
                  <c:v>114</c:v>
                </c:pt>
                <c:pt idx="10">
                  <c:v>136</c:v>
                </c:pt>
                <c:pt idx="11">
                  <c:v>158</c:v>
                </c:pt>
                <c:pt idx="12">
                  <c:v>202</c:v>
                </c:pt>
                <c:pt idx="13">
                  <c:v>213</c:v>
                </c:pt>
                <c:pt idx="14">
                  <c:v>258</c:v>
                </c:pt>
                <c:pt idx="15">
                  <c:v>280</c:v>
                </c:pt>
                <c:pt idx="16">
                  <c:v>292</c:v>
                </c:pt>
                <c:pt idx="17">
                  <c:v>302</c:v>
                </c:pt>
                <c:pt idx="18">
                  <c:v>370</c:v>
                </c:pt>
                <c:pt idx="19">
                  <c:v>393</c:v>
                </c:pt>
                <c:pt idx="20">
                  <c:v>404</c:v>
                </c:pt>
                <c:pt idx="21">
                  <c:v>426</c:v>
                </c:pt>
                <c:pt idx="22">
                  <c:v>539</c:v>
                </c:pt>
                <c:pt idx="23">
                  <c:v>550</c:v>
                </c:pt>
                <c:pt idx="24">
                  <c:v>573</c:v>
                </c:pt>
                <c:pt idx="25">
                  <c:v>573</c:v>
                </c:pt>
                <c:pt idx="26">
                  <c:v>579</c:v>
                </c:pt>
                <c:pt idx="27">
                  <c:v>579</c:v>
                </c:pt>
                <c:pt idx="28">
                  <c:v>579</c:v>
                </c:pt>
                <c:pt idx="29">
                  <c:v>579</c:v>
                </c:pt>
                <c:pt idx="30">
                  <c:v>579</c:v>
                </c:pt>
                <c:pt idx="31" formatCode="General">
                  <c:v>618</c:v>
                </c:pt>
                <c:pt idx="32" formatCode="General">
                  <c:v>1561</c:v>
                </c:pt>
                <c:pt idx="33" formatCode="General">
                  <c:v>1751</c:v>
                </c:pt>
                <c:pt idx="34" formatCode="General">
                  <c:v>1996</c:v>
                </c:pt>
                <c:pt idx="35" formatCode="General">
                  <c:v>2442</c:v>
                </c:pt>
              </c:numCache>
            </c:numRef>
          </c:xVal>
          <c:yVal>
            <c:numRef>
              <c:f>'RIH 8 58 Exp Liner'!$M$6:$M$58</c:f>
              <c:numCache>
                <c:formatCode>0.00</c:formatCode>
                <c:ptCount val="53"/>
                <c:pt idx="0">
                  <c:v>0</c:v>
                </c:pt>
                <c:pt idx="1">
                  <c:v>-0.27000000000000046</c:v>
                </c:pt>
                <c:pt idx="2">
                  <c:v>-0.95000000000000018</c:v>
                </c:pt>
                <c:pt idx="3">
                  <c:v>-1.2000000000000002</c:v>
                </c:pt>
                <c:pt idx="4">
                  <c:v>-1.51830625</c:v>
                </c:pt>
                <c:pt idx="5">
                  <c:v>-0.59237499999999943</c:v>
                </c:pt>
                <c:pt idx="6">
                  <c:v>0.31019750000000057</c:v>
                </c:pt>
                <c:pt idx="7">
                  <c:v>0.19424400000000031</c:v>
                </c:pt>
                <c:pt idx="8">
                  <c:v>0.37741500000000094</c:v>
                </c:pt>
                <c:pt idx="9">
                  <c:v>0.33277000000000001</c:v>
                </c:pt>
                <c:pt idx="10">
                  <c:v>0.13348000000000049</c:v>
                </c:pt>
                <c:pt idx="11">
                  <c:v>-0.38580999999999932</c:v>
                </c:pt>
                <c:pt idx="12">
                  <c:v>-0.2043899999999983</c:v>
                </c:pt>
                <c:pt idx="13">
                  <c:v>-0.17903499999999894</c:v>
                </c:pt>
                <c:pt idx="14">
                  <c:v>-6.5309999999998425E-2</c:v>
                </c:pt>
                <c:pt idx="15">
                  <c:v>-0.39459999999999873</c:v>
                </c:pt>
                <c:pt idx="16">
                  <c:v>-0.29693999999999754</c:v>
                </c:pt>
                <c:pt idx="17">
                  <c:v>-0.34388999999999825</c:v>
                </c:pt>
                <c:pt idx="18">
                  <c:v>-0.2771499999999989</c:v>
                </c:pt>
                <c:pt idx="19">
                  <c:v>-9.4134999999997859E-2</c:v>
                </c:pt>
                <c:pt idx="20">
                  <c:v>-1.8779999999997798E-2</c:v>
                </c:pt>
                <c:pt idx="21">
                  <c:v>0.10193000000000296</c:v>
                </c:pt>
                <c:pt idx="22">
                  <c:v>-0.30760499999999524</c:v>
                </c:pt>
                <c:pt idx="23">
                  <c:v>-0.60224999999999795</c:v>
                </c:pt>
                <c:pt idx="24">
                  <c:v>-0.47923499999999564</c:v>
                </c:pt>
                <c:pt idx="25">
                  <c:v>-0.45923499999999606</c:v>
                </c:pt>
                <c:pt idx="26">
                  <c:v>-0.47540499999999497</c:v>
                </c:pt>
                <c:pt idx="27">
                  <c:v>-0.79540499999999525</c:v>
                </c:pt>
                <c:pt idx="28">
                  <c:v>-1.0154049999999977</c:v>
                </c:pt>
                <c:pt idx="29">
                  <c:v>-1.1754049999999978</c:v>
                </c:pt>
                <c:pt idx="30">
                  <c:v>-1.3554049999999975</c:v>
                </c:pt>
                <c:pt idx="31">
                  <c:v>-3.6373949999999979</c:v>
                </c:pt>
                <c:pt idx="32">
                  <c:v>-6.8793849999999956</c:v>
                </c:pt>
                <c:pt idx="33">
                  <c:v>-3.7699849999999984</c:v>
                </c:pt>
                <c:pt idx="34">
                  <c:v>-3.196284999999996</c:v>
                </c:pt>
                <c:pt idx="35">
                  <c:v>-6.5963250000000002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02-4596-A1AD-DF06C2AB7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86784"/>
        <c:axId val="135697152"/>
      </c:scatterChart>
      <c:valAx>
        <c:axId val="13568678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5697152"/>
        <c:crosses val="autoZero"/>
        <c:crossBetween val="midCat"/>
      </c:valAx>
      <c:valAx>
        <c:axId val="1356971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56867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'Circ BU and POOH MWD02'!$E$6:$E$58</c:f>
              <c:numCache>
                <c:formatCode>0</c:formatCode>
                <c:ptCount val="53"/>
                <c:pt idx="0">
                  <c:v>2448</c:v>
                </c:pt>
                <c:pt idx="1">
                  <c:v>2398</c:v>
                </c:pt>
                <c:pt idx="2">
                  <c:v>2398</c:v>
                </c:pt>
                <c:pt idx="3">
                  <c:v>2398</c:v>
                </c:pt>
                <c:pt idx="4">
                  <c:v>2398</c:v>
                </c:pt>
                <c:pt idx="5">
                  <c:v>2398</c:v>
                </c:pt>
                <c:pt idx="6">
                  <c:v>2316</c:v>
                </c:pt>
                <c:pt idx="7">
                  <c:v>2176</c:v>
                </c:pt>
                <c:pt idx="8">
                  <c:v>2176</c:v>
                </c:pt>
                <c:pt idx="9">
                  <c:v>2176</c:v>
                </c:pt>
                <c:pt idx="10">
                  <c:v>1962</c:v>
                </c:pt>
                <c:pt idx="11">
                  <c:v>1146</c:v>
                </c:pt>
                <c:pt idx="12">
                  <c:v>874</c:v>
                </c:pt>
                <c:pt idx="13">
                  <c:v>584</c:v>
                </c:pt>
                <c:pt idx="14">
                  <c:v>526</c:v>
                </c:pt>
                <c:pt idx="15">
                  <c:v>526</c:v>
                </c:pt>
                <c:pt idx="16">
                  <c:v>149</c:v>
                </c:pt>
              </c:numCache>
            </c:numRef>
          </c:xVal>
          <c:yVal>
            <c:numRef>
              <c:f>'Circ BU and POOH MWD02'!$M$6:$M$58</c:f>
              <c:numCache>
                <c:formatCode>0.00</c:formatCode>
                <c:ptCount val="53"/>
                <c:pt idx="0">
                  <c:v>0</c:v>
                </c:pt>
                <c:pt idx="1">
                  <c:v>-0.53149999999999997</c:v>
                </c:pt>
                <c:pt idx="2">
                  <c:v>-0.37149999999999983</c:v>
                </c:pt>
                <c:pt idx="3">
                  <c:v>-0.30149999999999955</c:v>
                </c:pt>
                <c:pt idx="4">
                  <c:v>-0.24150000000000085</c:v>
                </c:pt>
                <c:pt idx="5">
                  <c:v>-0.25150000000000061</c:v>
                </c:pt>
                <c:pt idx="6">
                  <c:v>-0.1031599999999997</c:v>
                </c:pt>
                <c:pt idx="7">
                  <c:v>0.10864000000000007</c:v>
                </c:pt>
                <c:pt idx="8">
                  <c:v>0.20863999999999971</c:v>
                </c:pt>
                <c:pt idx="9">
                  <c:v>0.15863999999999989</c:v>
                </c:pt>
                <c:pt idx="10">
                  <c:v>-0.52618000000000009</c:v>
                </c:pt>
                <c:pt idx="11">
                  <c:v>-1.0702599999999993</c:v>
                </c:pt>
                <c:pt idx="12">
                  <c:v>-0.82161999999999846</c:v>
                </c:pt>
                <c:pt idx="13">
                  <c:v>-0.93271999999999977</c:v>
                </c:pt>
                <c:pt idx="14">
                  <c:v>-1.0469400000000011</c:v>
                </c:pt>
                <c:pt idx="15">
                  <c:v>-1.0469400000000011</c:v>
                </c:pt>
                <c:pt idx="16">
                  <c:v>-1.6343700000000005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08-46D3-9332-97206E30C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18016"/>
        <c:axId val="135719936"/>
      </c:scatterChart>
      <c:valAx>
        <c:axId val="13571801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5719936"/>
        <c:crosses val="autoZero"/>
        <c:crossBetween val="midCat"/>
      </c:valAx>
      <c:valAx>
        <c:axId val="1357199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571801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'mwd02'!$E$6:$E$58</c:f>
              <c:numCache>
                <c:formatCode>0</c:formatCode>
                <c:ptCount val="53"/>
                <c:pt idx="0">
                  <c:v>150</c:v>
                </c:pt>
                <c:pt idx="1">
                  <c:v>462</c:v>
                </c:pt>
                <c:pt idx="2">
                  <c:v>875</c:v>
                </c:pt>
                <c:pt idx="3">
                  <c:v>983</c:v>
                </c:pt>
                <c:pt idx="4">
                  <c:v>1255</c:v>
                </c:pt>
                <c:pt idx="5">
                  <c:v>1854</c:v>
                </c:pt>
                <c:pt idx="6">
                  <c:v>2153</c:v>
                </c:pt>
              </c:numCache>
            </c:numRef>
          </c:xVal>
          <c:yVal>
            <c:numRef>
              <c:f>'mwd02'!$M$6:$M$58</c:f>
              <c:numCache>
                <c:formatCode>0.00</c:formatCode>
                <c:ptCount val="53"/>
                <c:pt idx="0">
                  <c:v>0</c:v>
                </c:pt>
                <c:pt idx="1">
                  <c:v>-8.960000000000079E-3</c:v>
                </c:pt>
                <c:pt idx="2">
                  <c:v>-3.4249999999998337E-2</c:v>
                </c:pt>
                <c:pt idx="3">
                  <c:v>0.10583000000000098</c:v>
                </c:pt>
                <c:pt idx="4">
                  <c:v>4.4550000000000978E-2</c:v>
                </c:pt>
                <c:pt idx="5">
                  <c:v>-1.4337099999999978</c:v>
                </c:pt>
                <c:pt idx="6">
                  <c:v>-1.2399699999999996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E0-4195-8862-60969D862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4912"/>
        <c:axId val="141989376"/>
      </c:scatterChart>
      <c:valAx>
        <c:axId val="14197491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989376"/>
        <c:crosses val="autoZero"/>
        <c:crossBetween val="midCat"/>
      </c:valAx>
      <c:valAx>
        <c:axId val="1419893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97491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'Clean BOP'!$E$6:$E$58</c:f>
              <c:numCache>
                <c:formatCode>0</c:formatCode>
                <c:ptCount val="53"/>
                <c:pt idx="0">
                  <c:v>20</c:v>
                </c:pt>
                <c:pt idx="1">
                  <c:v>332</c:v>
                </c:pt>
                <c:pt idx="2">
                  <c:v>305</c:v>
                </c:pt>
              </c:numCache>
            </c:numRef>
          </c:xVal>
          <c:yVal>
            <c:numRef>
              <c:f>'Clean BOP'!$M$6:$M$58</c:f>
              <c:numCache>
                <c:formatCode>0.00</c:formatCode>
                <c:ptCount val="53"/>
                <c:pt idx="0">
                  <c:v>0</c:v>
                </c:pt>
                <c:pt idx="1">
                  <c:v>0.13656000000000001</c:v>
                </c:pt>
                <c:pt idx="2">
                  <c:v>-0.19545000000000279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5E-4B5A-8C5E-5961F096D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6736"/>
        <c:axId val="142139392"/>
      </c:scatterChart>
      <c:valAx>
        <c:axId val="1421167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39392"/>
        <c:crosses val="autoZero"/>
        <c:crossBetween val="midCat"/>
      </c:valAx>
      <c:valAx>
        <c:axId val="14213939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1673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WS and Mill'!$E$6:$E$58</c:f>
              <c:numCache>
                <c:formatCode>0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19</c:v>
                </c:pt>
                <c:pt idx="3">
                  <c:v>54</c:v>
                </c:pt>
                <c:pt idx="4">
                  <c:v>54</c:v>
                </c:pt>
                <c:pt idx="5">
                  <c:v>200</c:v>
                </c:pt>
                <c:pt idx="6">
                  <c:v>200</c:v>
                </c:pt>
                <c:pt idx="7">
                  <c:v>245</c:v>
                </c:pt>
                <c:pt idx="8">
                  <c:v>481</c:v>
                </c:pt>
                <c:pt idx="9">
                  <c:v>664</c:v>
                </c:pt>
                <c:pt idx="10">
                  <c:v>960</c:v>
                </c:pt>
                <c:pt idx="11">
                  <c:v>1411</c:v>
                </c:pt>
                <c:pt idx="12">
                  <c:v>1876</c:v>
                </c:pt>
                <c:pt idx="13">
                  <c:v>2181</c:v>
                </c:pt>
                <c:pt idx="14">
                  <c:v>2181</c:v>
                </c:pt>
                <c:pt idx="15">
                  <c:v>2181</c:v>
                </c:pt>
                <c:pt idx="16">
                  <c:v>2181</c:v>
                </c:pt>
                <c:pt idx="17">
                  <c:v>2181</c:v>
                </c:pt>
                <c:pt idx="18">
                  <c:v>2181</c:v>
                </c:pt>
                <c:pt idx="19">
                  <c:v>2181</c:v>
                </c:pt>
                <c:pt idx="20">
                  <c:v>2181</c:v>
                </c:pt>
                <c:pt idx="21">
                  <c:v>2181</c:v>
                </c:pt>
                <c:pt idx="22">
                  <c:v>2181</c:v>
                </c:pt>
                <c:pt idx="23">
                  <c:v>2181</c:v>
                </c:pt>
                <c:pt idx="24">
                  <c:v>2181</c:v>
                </c:pt>
                <c:pt idx="25">
                  <c:v>2181</c:v>
                </c:pt>
                <c:pt idx="26">
                  <c:v>2181</c:v>
                </c:pt>
                <c:pt idx="27">
                  <c:v>2181</c:v>
                </c:pt>
                <c:pt idx="28">
                  <c:v>2181</c:v>
                </c:pt>
                <c:pt idx="29">
                  <c:v>2182</c:v>
                </c:pt>
                <c:pt idx="30">
                  <c:v>2182</c:v>
                </c:pt>
                <c:pt idx="31" formatCode="General">
                  <c:v>2184</c:v>
                </c:pt>
                <c:pt idx="32" formatCode="General">
                  <c:v>2185</c:v>
                </c:pt>
                <c:pt idx="33" formatCode="General">
                  <c:v>2186</c:v>
                </c:pt>
                <c:pt idx="34" formatCode="General">
                  <c:v>2187</c:v>
                </c:pt>
                <c:pt idx="35" formatCode="General">
                  <c:v>2087</c:v>
                </c:pt>
                <c:pt idx="36" formatCode="General">
                  <c:v>1798</c:v>
                </c:pt>
                <c:pt idx="37" formatCode="General">
                  <c:v>734</c:v>
                </c:pt>
                <c:pt idx="38" formatCode="General">
                  <c:v>0</c:v>
                </c:pt>
                <c:pt idx="39" formatCode="General">
                  <c:v>0</c:v>
                </c:pt>
              </c:numCache>
            </c:numRef>
          </c:xVal>
          <c:yVal>
            <c:numRef>
              <c:f>'RIH WS and Mill'!$M$6:$M$58</c:f>
              <c:numCache>
                <c:formatCode>0.00</c:formatCode>
                <c:ptCount val="53"/>
                <c:pt idx="0">
                  <c:v>0</c:v>
                </c:pt>
                <c:pt idx="1">
                  <c:v>-1.3399999999999999</c:v>
                </c:pt>
                <c:pt idx="2">
                  <c:v>-3.4026699999999996</c:v>
                </c:pt>
                <c:pt idx="3">
                  <c:v>-6.4102199999999989</c:v>
                </c:pt>
                <c:pt idx="4">
                  <c:v>-6.990219999999999</c:v>
                </c:pt>
                <c:pt idx="5">
                  <c:v>-8.8159999999999989</c:v>
                </c:pt>
                <c:pt idx="6">
                  <c:v>-9.1559999999999988</c:v>
                </c:pt>
                <c:pt idx="7">
                  <c:v>-10.052849999999999</c:v>
                </c:pt>
                <c:pt idx="8">
                  <c:v>-10.852329999999998</c:v>
                </c:pt>
                <c:pt idx="9">
                  <c:v>-11.817519999999998</c:v>
                </c:pt>
                <c:pt idx="10">
                  <c:v>-13.056559999999999</c:v>
                </c:pt>
                <c:pt idx="11">
                  <c:v>-15.525299999999998</c:v>
                </c:pt>
                <c:pt idx="12">
                  <c:v>-18.0244</c:v>
                </c:pt>
                <c:pt idx="13">
                  <c:v>-18.997250000000001</c:v>
                </c:pt>
                <c:pt idx="14">
                  <c:v>-22.917250000000003</c:v>
                </c:pt>
                <c:pt idx="15">
                  <c:v>-29.087250000000004</c:v>
                </c:pt>
                <c:pt idx="16">
                  <c:v>-54.917250000000003</c:v>
                </c:pt>
                <c:pt idx="17">
                  <c:v>-76.587249999999997</c:v>
                </c:pt>
                <c:pt idx="18">
                  <c:v>-91.497249999999994</c:v>
                </c:pt>
                <c:pt idx="19">
                  <c:v>-104.47725</c:v>
                </c:pt>
                <c:pt idx="20">
                  <c:v>-123.47725</c:v>
                </c:pt>
                <c:pt idx="21">
                  <c:v>-149.77724999999998</c:v>
                </c:pt>
                <c:pt idx="22">
                  <c:v>-159.92725000000002</c:v>
                </c:pt>
                <c:pt idx="23">
                  <c:v>-163.32724999999999</c:v>
                </c:pt>
                <c:pt idx="24">
                  <c:v>-172.92725000000002</c:v>
                </c:pt>
                <c:pt idx="25">
                  <c:v>-175.32724999999999</c:v>
                </c:pt>
                <c:pt idx="26">
                  <c:v>-176.32724999999999</c:v>
                </c:pt>
                <c:pt idx="27">
                  <c:v>-177.27725000000004</c:v>
                </c:pt>
                <c:pt idx="28">
                  <c:v>-177.57725000000005</c:v>
                </c:pt>
                <c:pt idx="29">
                  <c:v>-178.93162000000004</c:v>
                </c:pt>
                <c:pt idx="30">
                  <c:v>-180.53162000000003</c:v>
                </c:pt>
                <c:pt idx="31">
                  <c:v>-181.24036000000001</c:v>
                </c:pt>
                <c:pt idx="32">
                  <c:v>-182.14473000000001</c:v>
                </c:pt>
                <c:pt idx="33">
                  <c:v>-182.74910000000003</c:v>
                </c:pt>
                <c:pt idx="34">
                  <c:v>-185.05347000000003</c:v>
                </c:pt>
                <c:pt idx="35">
                  <c:v>-184.71647000000004</c:v>
                </c:pt>
                <c:pt idx="36">
                  <c:v>-185.01354000000006</c:v>
                </c:pt>
                <c:pt idx="37">
                  <c:v>-185.38386000000006</c:v>
                </c:pt>
                <c:pt idx="38">
                  <c:v>-186.27628000000004</c:v>
                </c:pt>
                <c:pt idx="39">
                  <c:v>-186.25628000000006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2-41F6-B915-895CAA287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23104"/>
        <c:axId val="142625024"/>
      </c:scatterChart>
      <c:valAx>
        <c:axId val="1426231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25024"/>
        <c:crosses val="autoZero"/>
        <c:crossBetween val="midCat"/>
      </c:valAx>
      <c:valAx>
        <c:axId val="1426250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231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Cleanout!$E$6:$E$58</c:f>
              <c:numCache>
                <c:formatCode>0</c:formatCode>
                <c:ptCount val="53"/>
                <c:pt idx="0">
                  <c:v>120</c:v>
                </c:pt>
                <c:pt idx="1">
                  <c:v>566</c:v>
                </c:pt>
                <c:pt idx="2">
                  <c:v>701</c:v>
                </c:pt>
                <c:pt idx="3">
                  <c:v>1522</c:v>
                </c:pt>
                <c:pt idx="4">
                  <c:v>2081</c:v>
                </c:pt>
                <c:pt idx="5">
                  <c:v>2149</c:v>
                </c:pt>
                <c:pt idx="6">
                  <c:v>2175</c:v>
                </c:pt>
                <c:pt idx="7">
                  <c:v>2198</c:v>
                </c:pt>
                <c:pt idx="8">
                  <c:v>2196</c:v>
                </c:pt>
                <c:pt idx="9">
                  <c:v>2201</c:v>
                </c:pt>
                <c:pt idx="10">
                  <c:v>2196</c:v>
                </c:pt>
                <c:pt idx="11">
                  <c:v>2196</c:v>
                </c:pt>
                <c:pt idx="12">
                  <c:v>2196</c:v>
                </c:pt>
                <c:pt idx="13">
                  <c:v>2196</c:v>
                </c:pt>
                <c:pt idx="14">
                  <c:v>2196</c:v>
                </c:pt>
                <c:pt idx="15">
                  <c:v>2196</c:v>
                </c:pt>
                <c:pt idx="16">
                  <c:v>2170</c:v>
                </c:pt>
                <c:pt idx="17">
                  <c:v>1762</c:v>
                </c:pt>
                <c:pt idx="18">
                  <c:v>1245</c:v>
                </c:pt>
                <c:pt idx="19">
                  <c:v>729</c:v>
                </c:pt>
                <c:pt idx="20">
                  <c:v>566</c:v>
                </c:pt>
                <c:pt idx="21">
                  <c:v>566</c:v>
                </c:pt>
                <c:pt idx="22">
                  <c:v>434</c:v>
                </c:pt>
                <c:pt idx="23">
                  <c:v>120</c:v>
                </c:pt>
                <c:pt idx="24">
                  <c:v>115</c:v>
                </c:pt>
                <c:pt idx="25">
                  <c:v>0</c:v>
                </c:pt>
              </c:numCache>
            </c:numRef>
          </c:xVal>
          <c:yVal>
            <c:numRef>
              <c:f>Cleanout!$M$6:$M$58</c:f>
              <c:numCache>
                <c:formatCode>0.00</c:formatCode>
                <c:ptCount val="53"/>
                <c:pt idx="0">
                  <c:v>0</c:v>
                </c:pt>
                <c:pt idx="1">
                  <c:v>-1.3747799999999994</c:v>
                </c:pt>
                <c:pt idx="2">
                  <c:v>-1.5896800000000004</c:v>
                </c:pt>
                <c:pt idx="3">
                  <c:v>-3.2422199999999997</c:v>
                </c:pt>
                <c:pt idx="4">
                  <c:v>-4.1808799999999984</c:v>
                </c:pt>
                <c:pt idx="5">
                  <c:v>-13.040319999999998</c:v>
                </c:pt>
                <c:pt idx="6">
                  <c:v>-14.775399999999991</c:v>
                </c:pt>
                <c:pt idx="7">
                  <c:v>-22.595909999999993</c:v>
                </c:pt>
                <c:pt idx="8">
                  <c:v>-29.137169999999987</c:v>
                </c:pt>
                <c:pt idx="9">
                  <c:v>-33.599019999999996</c:v>
                </c:pt>
                <c:pt idx="10">
                  <c:v>-35.537169999999989</c:v>
                </c:pt>
                <c:pt idx="11">
                  <c:v>-35.287169999999989</c:v>
                </c:pt>
                <c:pt idx="12">
                  <c:v>-35.057169999999992</c:v>
                </c:pt>
                <c:pt idx="13">
                  <c:v>-35.017169999999993</c:v>
                </c:pt>
                <c:pt idx="14">
                  <c:v>-35.257169999999995</c:v>
                </c:pt>
                <c:pt idx="15">
                  <c:v>-35.337169999999993</c:v>
                </c:pt>
                <c:pt idx="16">
                  <c:v>-35.223549999999989</c:v>
                </c:pt>
                <c:pt idx="17">
                  <c:v>-35.340589999999992</c:v>
                </c:pt>
                <c:pt idx="18">
                  <c:v>-36.621299999999991</c:v>
                </c:pt>
                <c:pt idx="19">
                  <c:v>-37.286379999999994</c:v>
                </c:pt>
                <c:pt idx="20">
                  <c:v>-37.694069999999996</c:v>
                </c:pt>
                <c:pt idx="21">
                  <c:v>-38.024069999999995</c:v>
                </c:pt>
                <c:pt idx="22">
                  <c:v>-37.777509999999992</c:v>
                </c:pt>
                <c:pt idx="23">
                  <c:v>-38.855389999999993</c:v>
                </c:pt>
                <c:pt idx="24">
                  <c:v>-40.272489999999991</c:v>
                </c:pt>
                <c:pt idx="25">
                  <c:v>-41.675789999999992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B4-4237-BF7C-A83F73607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6800"/>
        <c:axId val="147043072"/>
      </c:scatterChart>
      <c:valAx>
        <c:axId val="1470368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043072"/>
        <c:crosses val="autoZero"/>
        <c:crossBetween val="midCat"/>
      </c:valAx>
      <c:valAx>
        <c:axId val="14704307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0368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to pull IP'!$E$6:$E$58</c:f>
              <c:numCache>
                <c:formatCode>0</c:formatCode>
                <c:ptCount val="53"/>
                <c:pt idx="0">
                  <c:v>20</c:v>
                </c:pt>
                <c:pt idx="1">
                  <c:v>112</c:v>
                </c:pt>
                <c:pt idx="2">
                  <c:v>1147</c:v>
                </c:pt>
                <c:pt idx="3">
                  <c:v>1282</c:v>
                </c:pt>
                <c:pt idx="4">
                  <c:v>1813</c:v>
                </c:pt>
                <c:pt idx="5">
                  <c:v>2093</c:v>
                </c:pt>
                <c:pt idx="6">
                  <c:v>2093</c:v>
                </c:pt>
                <c:pt idx="7">
                  <c:v>2085</c:v>
                </c:pt>
                <c:pt idx="8">
                  <c:v>2058</c:v>
                </c:pt>
                <c:pt idx="9">
                  <c:v>2058</c:v>
                </c:pt>
                <c:pt idx="10">
                  <c:v>2030</c:v>
                </c:pt>
                <c:pt idx="11">
                  <c:v>2030</c:v>
                </c:pt>
                <c:pt idx="12">
                  <c:v>2030</c:v>
                </c:pt>
                <c:pt idx="13">
                  <c:v>2030</c:v>
                </c:pt>
                <c:pt idx="14">
                  <c:v>1976</c:v>
                </c:pt>
                <c:pt idx="15">
                  <c:v>1976</c:v>
                </c:pt>
                <c:pt idx="16">
                  <c:v>1949</c:v>
                </c:pt>
                <c:pt idx="17">
                  <c:v>1949</c:v>
                </c:pt>
                <c:pt idx="18">
                  <c:v>1921</c:v>
                </c:pt>
                <c:pt idx="19">
                  <c:v>1921</c:v>
                </c:pt>
                <c:pt idx="20">
                  <c:v>1894</c:v>
                </c:pt>
                <c:pt idx="21">
                  <c:v>1840</c:v>
                </c:pt>
                <c:pt idx="22">
                  <c:v>1771</c:v>
                </c:pt>
                <c:pt idx="23">
                  <c:v>1690</c:v>
                </c:pt>
                <c:pt idx="24">
                  <c:v>1690</c:v>
                </c:pt>
                <c:pt idx="25">
                  <c:v>1554</c:v>
                </c:pt>
                <c:pt idx="26">
                  <c:v>1527</c:v>
                </c:pt>
                <c:pt idx="27">
                  <c:v>1527</c:v>
                </c:pt>
                <c:pt idx="28">
                  <c:v>1393</c:v>
                </c:pt>
                <c:pt idx="29">
                  <c:v>1393</c:v>
                </c:pt>
                <c:pt idx="30">
                  <c:v>1257</c:v>
                </c:pt>
                <c:pt idx="31" formatCode="General">
                  <c:v>1121</c:v>
                </c:pt>
                <c:pt idx="32" formatCode="General">
                  <c:v>985</c:v>
                </c:pt>
                <c:pt idx="33" formatCode="General">
                  <c:v>849</c:v>
                </c:pt>
                <c:pt idx="34" formatCode="General">
                  <c:v>849</c:v>
                </c:pt>
                <c:pt idx="35" formatCode="General">
                  <c:v>821</c:v>
                </c:pt>
                <c:pt idx="36" formatCode="General">
                  <c:v>685</c:v>
                </c:pt>
                <c:pt idx="37" formatCode="General">
                  <c:v>549</c:v>
                </c:pt>
                <c:pt idx="38" formatCode="General">
                  <c:v>492</c:v>
                </c:pt>
                <c:pt idx="39" formatCode="General">
                  <c:v>492</c:v>
                </c:pt>
                <c:pt idx="40" formatCode="General">
                  <c:v>361</c:v>
                </c:pt>
                <c:pt idx="41" formatCode="General">
                  <c:v>125</c:v>
                </c:pt>
                <c:pt idx="42" formatCode="General">
                  <c:v>112</c:v>
                </c:pt>
                <c:pt idx="43" formatCode="General">
                  <c:v>4</c:v>
                </c:pt>
                <c:pt idx="44" formatCode="General">
                  <c:v>4</c:v>
                </c:pt>
                <c:pt idx="45" formatCode="General">
                  <c:v>206</c:v>
                </c:pt>
                <c:pt idx="46" formatCode="General">
                  <c:v>191</c:v>
                </c:pt>
                <c:pt idx="47" formatCode="General">
                  <c:v>174</c:v>
                </c:pt>
                <c:pt idx="48" formatCode="General">
                  <c:v>112</c:v>
                </c:pt>
                <c:pt idx="49">
                  <c:v>32</c:v>
                </c:pt>
              </c:numCache>
            </c:numRef>
          </c:xVal>
          <c:yVal>
            <c:numRef>
              <c:f>'RIH to pull IP'!$M$6:$M$58</c:f>
              <c:numCache>
                <c:formatCode>0.00</c:formatCode>
                <c:ptCount val="53"/>
                <c:pt idx="0">
                  <c:v>0</c:v>
                </c:pt>
                <c:pt idx="1">
                  <c:v>-1.8955600000000001</c:v>
                </c:pt>
                <c:pt idx="2">
                  <c:v>-3.486460000000001</c:v>
                </c:pt>
                <c:pt idx="3">
                  <c:v>-4.4913600000000002</c:v>
                </c:pt>
                <c:pt idx="4">
                  <c:v>-5.8393000000000015</c:v>
                </c:pt>
                <c:pt idx="5">
                  <c:v>-10.0017</c:v>
                </c:pt>
                <c:pt idx="6">
                  <c:v>-10.131699999999999</c:v>
                </c:pt>
                <c:pt idx="7">
                  <c:v>-11.676739999999995</c:v>
                </c:pt>
                <c:pt idx="8">
                  <c:v>-11.448749999999997</c:v>
                </c:pt>
                <c:pt idx="9">
                  <c:v>-11.538749999999997</c:v>
                </c:pt>
                <c:pt idx="10">
                  <c:v>-11.386389999999995</c:v>
                </c:pt>
                <c:pt idx="11">
                  <c:v>-11.606389999999998</c:v>
                </c:pt>
                <c:pt idx="12">
                  <c:v>-11.676389999999998</c:v>
                </c:pt>
                <c:pt idx="13">
                  <c:v>-11.876389999999997</c:v>
                </c:pt>
                <c:pt idx="14">
                  <c:v>-11.840409999999995</c:v>
                </c:pt>
                <c:pt idx="15">
                  <c:v>-11.940409999999996</c:v>
                </c:pt>
                <c:pt idx="16">
                  <c:v>-12.052419999999998</c:v>
                </c:pt>
                <c:pt idx="17">
                  <c:v>-12.192419999999995</c:v>
                </c:pt>
                <c:pt idx="18">
                  <c:v>-12.130059999999997</c:v>
                </c:pt>
                <c:pt idx="19">
                  <c:v>-12.390059999999995</c:v>
                </c:pt>
                <c:pt idx="20">
                  <c:v>-12.332069999999998</c:v>
                </c:pt>
                <c:pt idx="21">
                  <c:v>-12.506089999999997</c:v>
                </c:pt>
                <c:pt idx="22">
                  <c:v>-13.284559999999999</c:v>
                </c:pt>
                <c:pt idx="23">
                  <c:v>-13.660589999999999</c:v>
                </c:pt>
                <c:pt idx="24">
                  <c:v>-13.900589999999999</c:v>
                </c:pt>
                <c:pt idx="25">
                  <c:v>-14.006269999999999</c:v>
                </c:pt>
                <c:pt idx="26">
                  <c:v>-14.31828</c:v>
                </c:pt>
                <c:pt idx="27">
                  <c:v>-14.518280000000001</c:v>
                </c:pt>
                <c:pt idx="28">
                  <c:v>-14.762700000000001</c:v>
                </c:pt>
                <c:pt idx="29">
                  <c:v>-15.072700000000001</c:v>
                </c:pt>
                <c:pt idx="30">
                  <c:v>-15.098380000000002</c:v>
                </c:pt>
                <c:pt idx="31">
                  <c:v>-15.554060000000003</c:v>
                </c:pt>
                <c:pt idx="32">
                  <c:v>-15.929740000000004</c:v>
                </c:pt>
                <c:pt idx="33">
                  <c:v>-16.535420000000002</c:v>
                </c:pt>
                <c:pt idx="34">
                  <c:v>-17.065420000000003</c:v>
                </c:pt>
                <c:pt idx="35">
                  <c:v>-16.873060000000002</c:v>
                </c:pt>
                <c:pt idx="36">
                  <c:v>-17.118740000000003</c:v>
                </c:pt>
                <c:pt idx="37">
                  <c:v>-17.664420000000003</c:v>
                </c:pt>
                <c:pt idx="38">
                  <c:v>-18.265330000000006</c:v>
                </c:pt>
                <c:pt idx="39">
                  <c:v>-18.605330000000006</c:v>
                </c:pt>
                <c:pt idx="40">
                  <c:v>-18.539350000000006</c:v>
                </c:pt>
                <c:pt idx="41">
                  <c:v>-21.082470000000004</c:v>
                </c:pt>
                <c:pt idx="42">
                  <c:v>-21.114930000000001</c:v>
                </c:pt>
                <c:pt idx="43">
                  <c:v>-24.572290000000002</c:v>
                </c:pt>
                <c:pt idx="44">
                  <c:v>-26.08229</c:v>
                </c:pt>
                <c:pt idx="45">
                  <c:v>-29.169449999999998</c:v>
                </c:pt>
                <c:pt idx="46">
                  <c:v>-29.705249999999999</c:v>
                </c:pt>
                <c:pt idx="47">
                  <c:v>-30.222490000000001</c:v>
                </c:pt>
                <c:pt idx="48">
                  <c:v>-31.207129999999999</c:v>
                </c:pt>
                <c:pt idx="49">
                  <c:v>-35.44473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42-4CDA-975D-1B11124D9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12096"/>
        <c:axId val="147414016"/>
      </c:scatterChart>
      <c:valAx>
        <c:axId val="14741209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414016"/>
        <c:crosses val="autoZero"/>
        <c:crossBetween val="midCat"/>
      </c:valAx>
      <c:valAx>
        <c:axId val="14741401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4120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IP'!$E$6:$E$58</c:f>
              <c:numCache>
                <c:formatCode>0</c:formatCode>
                <c:ptCount val="53"/>
                <c:pt idx="0">
                  <c:v>2256</c:v>
                </c:pt>
                <c:pt idx="1">
                  <c:v>2256</c:v>
                </c:pt>
                <c:pt idx="2">
                  <c:v>2003</c:v>
                </c:pt>
                <c:pt idx="3">
                  <c:v>1474</c:v>
                </c:pt>
                <c:pt idx="4">
                  <c:v>656</c:v>
                </c:pt>
                <c:pt idx="5">
                  <c:v>656</c:v>
                </c:pt>
                <c:pt idx="6">
                  <c:v>278</c:v>
                </c:pt>
              </c:numCache>
            </c:numRef>
          </c:xVal>
          <c:yVal>
            <c:numRef>
              <c:f>'POOH IP'!$M$6:$M$58</c:f>
              <c:numCache>
                <c:formatCode>0.00</c:formatCode>
                <c:ptCount val="53"/>
                <c:pt idx="0">
                  <c:v>0</c:v>
                </c:pt>
                <c:pt idx="1">
                  <c:v>-0.12999999999999989</c:v>
                </c:pt>
                <c:pt idx="2">
                  <c:v>-0.55438999999999994</c:v>
                </c:pt>
                <c:pt idx="3">
                  <c:v>-1.9626599999999996</c:v>
                </c:pt>
                <c:pt idx="4">
                  <c:v>-3.7579999999999991</c:v>
                </c:pt>
                <c:pt idx="5">
                  <c:v>-3.968</c:v>
                </c:pt>
                <c:pt idx="6">
                  <c:v>-5.4187599999999989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4-4F8C-9153-1C79A34D5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1376"/>
        <c:axId val="152745472"/>
      </c:scatterChart>
      <c:valAx>
        <c:axId val="15266137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745472"/>
        <c:crosses val="autoZero"/>
        <c:crossBetween val="midCat"/>
      </c:valAx>
      <c:valAx>
        <c:axId val="15274547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6613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mill_spear_2'!$E$6:$E$58</c:f>
              <c:numCache>
                <c:formatCode>0</c:formatCode>
                <c:ptCount val="53"/>
                <c:pt idx="0">
                  <c:v>124</c:v>
                </c:pt>
                <c:pt idx="1">
                  <c:v>492</c:v>
                </c:pt>
                <c:pt idx="2">
                  <c:v>850</c:v>
                </c:pt>
                <c:pt idx="3">
                  <c:v>2087</c:v>
                </c:pt>
              </c:numCache>
            </c:numRef>
          </c:xVal>
          <c:yVal>
            <c:numRef>
              <c:f>'RIH mill_spear_2'!$M$6:$M$58</c:f>
              <c:numCache>
                <c:formatCode>0.00</c:formatCode>
                <c:ptCount val="53"/>
                <c:pt idx="0">
                  <c:v>0</c:v>
                </c:pt>
                <c:pt idx="1">
                  <c:v>-3.0722400000000007</c:v>
                </c:pt>
                <c:pt idx="2">
                  <c:v>-4.617160000000001</c:v>
                </c:pt>
                <c:pt idx="3">
                  <c:v>-10.177540000000004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9B-480D-BFAD-7EC125F94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0880"/>
        <c:axId val="153133056"/>
      </c:scatterChart>
      <c:valAx>
        <c:axId val="1531308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133056"/>
        <c:crosses val="autoZero"/>
        <c:crossBetween val="midCat"/>
      </c:valAx>
      <c:valAx>
        <c:axId val="1531330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1308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mill_spear'!$E$6:$E$58</c:f>
              <c:numCache>
                <c:formatCode>0</c:formatCode>
                <c:ptCount val="53"/>
                <c:pt idx="0">
                  <c:v>107</c:v>
                </c:pt>
                <c:pt idx="1">
                  <c:v>298</c:v>
                </c:pt>
                <c:pt idx="2">
                  <c:v>629</c:v>
                </c:pt>
                <c:pt idx="3">
                  <c:v>1363</c:v>
                </c:pt>
                <c:pt idx="4">
                  <c:v>1900</c:v>
                </c:pt>
                <c:pt idx="5">
                  <c:v>1900</c:v>
                </c:pt>
                <c:pt idx="6">
                  <c:v>1900</c:v>
                </c:pt>
                <c:pt idx="7">
                  <c:v>1900</c:v>
                </c:pt>
                <c:pt idx="8">
                  <c:v>1900</c:v>
                </c:pt>
                <c:pt idx="9">
                  <c:v>1900</c:v>
                </c:pt>
                <c:pt idx="10">
                  <c:v>1900</c:v>
                </c:pt>
                <c:pt idx="11">
                  <c:v>2073</c:v>
                </c:pt>
                <c:pt idx="12">
                  <c:v>1583</c:v>
                </c:pt>
                <c:pt idx="13">
                  <c:v>875</c:v>
                </c:pt>
                <c:pt idx="14">
                  <c:v>875</c:v>
                </c:pt>
                <c:pt idx="15">
                  <c:v>766</c:v>
                </c:pt>
                <c:pt idx="16">
                  <c:v>549</c:v>
                </c:pt>
                <c:pt idx="17">
                  <c:v>481</c:v>
                </c:pt>
                <c:pt idx="18">
                  <c:v>296</c:v>
                </c:pt>
                <c:pt idx="19">
                  <c:v>296</c:v>
                </c:pt>
                <c:pt idx="20">
                  <c:v>296</c:v>
                </c:pt>
                <c:pt idx="21">
                  <c:v>296</c:v>
                </c:pt>
                <c:pt idx="22">
                  <c:v>210</c:v>
                </c:pt>
                <c:pt idx="23">
                  <c:v>210</c:v>
                </c:pt>
                <c:pt idx="24">
                  <c:v>207</c:v>
                </c:pt>
                <c:pt idx="25">
                  <c:v>199</c:v>
                </c:pt>
                <c:pt idx="26">
                  <c:v>199</c:v>
                </c:pt>
                <c:pt idx="27">
                  <c:v>199</c:v>
                </c:pt>
                <c:pt idx="28">
                  <c:v>189</c:v>
                </c:pt>
                <c:pt idx="29">
                  <c:v>185</c:v>
                </c:pt>
                <c:pt idx="30">
                  <c:v>67</c:v>
                </c:pt>
                <c:pt idx="31" formatCode="General">
                  <c:v>67</c:v>
                </c:pt>
                <c:pt idx="32" formatCode="General">
                  <c:v>1</c:v>
                </c:pt>
                <c:pt idx="33" formatCode="General">
                  <c:v>1</c:v>
                </c:pt>
                <c:pt idx="34" formatCode="General">
                  <c:v>1</c:v>
                </c:pt>
                <c:pt idx="35" formatCode="General">
                  <c:v>1</c:v>
                </c:pt>
                <c:pt idx="36" formatCode="General">
                  <c:v>1</c:v>
                </c:pt>
                <c:pt idx="37" formatCode="General">
                  <c:v>1</c:v>
                </c:pt>
                <c:pt idx="38" formatCode="General">
                  <c:v>1</c:v>
                </c:pt>
                <c:pt idx="39" formatCode="General">
                  <c:v>1</c:v>
                </c:pt>
                <c:pt idx="40" formatCode="General">
                  <c:v>1</c:v>
                </c:pt>
                <c:pt idx="41" formatCode="General">
                  <c:v>1</c:v>
                </c:pt>
                <c:pt idx="42" formatCode="General">
                  <c:v>1</c:v>
                </c:pt>
                <c:pt idx="43" formatCode="General">
                  <c:v>1</c:v>
                </c:pt>
                <c:pt idx="44" formatCode="General">
                  <c:v>1</c:v>
                </c:pt>
                <c:pt idx="45" formatCode="General">
                  <c:v>1</c:v>
                </c:pt>
              </c:numCache>
            </c:numRef>
          </c:xVal>
          <c:yVal>
            <c:numRef>
              <c:f>'RIH mill_spear'!$M$6:$M$58</c:f>
              <c:numCache>
                <c:formatCode>0.00</c:formatCode>
                <c:ptCount val="53"/>
                <c:pt idx="0">
                  <c:v>0</c:v>
                </c:pt>
                <c:pt idx="1">
                  <c:v>-0.92263000000000117</c:v>
                </c:pt>
                <c:pt idx="2">
                  <c:v>-1.6825700000000001</c:v>
                </c:pt>
                <c:pt idx="3">
                  <c:v>-3.3657300000000028</c:v>
                </c:pt>
                <c:pt idx="4">
                  <c:v>-4.1681099999999986</c:v>
                </c:pt>
                <c:pt idx="5">
                  <c:v>-21.968110000000003</c:v>
                </c:pt>
                <c:pt idx="6">
                  <c:v>-49.488109999999999</c:v>
                </c:pt>
                <c:pt idx="7">
                  <c:v>-75.128109999999992</c:v>
                </c:pt>
                <c:pt idx="8">
                  <c:v>-107.46811000000001</c:v>
                </c:pt>
                <c:pt idx="9">
                  <c:v>-134.64811000000003</c:v>
                </c:pt>
                <c:pt idx="10">
                  <c:v>-150.06811000000002</c:v>
                </c:pt>
                <c:pt idx="11">
                  <c:v>-150.06412</c:v>
                </c:pt>
                <c:pt idx="12">
                  <c:v>-150.84282000000002</c:v>
                </c:pt>
                <c:pt idx="13">
                  <c:v>-153.18886000000003</c:v>
                </c:pt>
                <c:pt idx="14">
                  <c:v>-154.65886000000003</c:v>
                </c:pt>
                <c:pt idx="15">
                  <c:v>-154.75253000000001</c:v>
                </c:pt>
                <c:pt idx="16">
                  <c:v>-156.74424000000002</c:v>
                </c:pt>
                <c:pt idx="17">
                  <c:v>-159.47708</c:v>
                </c:pt>
                <c:pt idx="18">
                  <c:v>-162.04978000000003</c:v>
                </c:pt>
                <c:pt idx="19">
                  <c:v>-162.31978000000004</c:v>
                </c:pt>
                <c:pt idx="20">
                  <c:v>-163.04978000000003</c:v>
                </c:pt>
                <c:pt idx="21">
                  <c:v>-164.30978000000002</c:v>
                </c:pt>
                <c:pt idx="22">
                  <c:v>-167.4699</c:v>
                </c:pt>
                <c:pt idx="23">
                  <c:v>-168.3399</c:v>
                </c:pt>
                <c:pt idx="24">
                  <c:v>-173.21706</c:v>
                </c:pt>
                <c:pt idx="25">
                  <c:v>-173.05282000000003</c:v>
                </c:pt>
                <c:pt idx="26">
                  <c:v>-176.17282000000003</c:v>
                </c:pt>
                <c:pt idx="27">
                  <c:v>-178.26282000000003</c:v>
                </c:pt>
                <c:pt idx="28">
                  <c:v>-180.45002000000002</c:v>
                </c:pt>
                <c:pt idx="29">
                  <c:v>-183.48290000000003</c:v>
                </c:pt>
                <c:pt idx="30">
                  <c:v>-188.74786000000003</c:v>
                </c:pt>
                <c:pt idx="31">
                  <c:v>-191.94786000000002</c:v>
                </c:pt>
                <c:pt idx="32">
                  <c:v>-191.94538000000003</c:v>
                </c:pt>
                <c:pt idx="33">
                  <c:v>-195.66538000000003</c:v>
                </c:pt>
                <c:pt idx="34">
                  <c:v>-199.68538000000004</c:v>
                </c:pt>
                <c:pt idx="35">
                  <c:v>-204.47538000000003</c:v>
                </c:pt>
                <c:pt idx="36">
                  <c:v>-207.68538000000004</c:v>
                </c:pt>
                <c:pt idx="37">
                  <c:v>-211.85538000000003</c:v>
                </c:pt>
                <c:pt idx="38">
                  <c:v>-215.18538000000004</c:v>
                </c:pt>
                <c:pt idx="39">
                  <c:v>-218.47538000000003</c:v>
                </c:pt>
                <c:pt idx="40">
                  <c:v>-218.47538000000003</c:v>
                </c:pt>
                <c:pt idx="41">
                  <c:v>-220.74538000000004</c:v>
                </c:pt>
                <c:pt idx="42">
                  <c:v>-225.49538000000004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4-408A-B260-AFC231213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54624"/>
        <c:axId val="153356544"/>
      </c:scatterChart>
      <c:valAx>
        <c:axId val="15335462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56544"/>
        <c:crosses val="autoZero"/>
        <c:crossBetween val="midCat"/>
      </c:valAx>
      <c:valAx>
        <c:axId val="15335654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5462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taper mill'!$E$6:$E$58</c:f>
              <c:numCache>
                <c:formatCode>0</c:formatCode>
                <c:ptCount val="53"/>
                <c:pt idx="0">
                  <c:v>75</c:v>
                </c:pt>
                <c:pt idx="1">
                  <c:v>742</c:v>
                </c:pt>
                <c:pt idx="2">
                  <c:v>1870</c:v>
                </c:pt>
                <c:pt idx="3">
                  <c:v>1870</c:v>
                </c:pt>
                <c:pt idx="4">
                  <c:v>1870</c:v>
                </c:pt>
                <c:pt idx="5">
                  <c:v>1148</c:v>
                </c:pt>
                <c:pt idx="6">
                  <c:v>624</c:v>
                </c:pt>
                <c:pt idx="7">
                  <c:v>624</c:v>
                </c:pt>
                <c:pt idx="8">
                  <c:v>71</c:v>
                </c:pt>
                <c:pt idx="9">
                  <c:v>61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xVal>
          <c:yVal>
            <c:numRef>
              <c:f>'RIH taper mill'!$M$6:$M$58</c:f>
              <c:numCache>
                <c:formatCode>0.00</c:formatCode>
                <c:ptCount val="53"/>
                <c:pt idx="0">
                  <c:v>0</c:v>
                </c:pt>
                <c:pt idx="1">
                  <c:v>-1.2985800000000012</c:v>
                </c:pt>
                <c:pt idx="2">
                  <c:v>-3.6133000000000024</c:v>
                </c:pt>
                <c:pt idx="3">
                  <c:v>-4.1632999999999996</c:v>
                </c:pt>
                <c:pt idx="4">
                  <c:v>-4.263300000000001</c:v>
                </c:pt>
                <c:pt idx="5">
                  <c:v>-5.8081600000000009</c:v>
                </c:pt>
                <c:pt idx="6">
                  <c:v>-5.9782800000000016</c:v>
                </c:pt>
                <c:pt idx="7">
                  <c:v>-6.198280000000004</c:v>
                </c:pt>
                <c:pt idx="8">
                  <c:v>-10.671670000000006</c:v>
                </c:pt>
                <c:pt idx="9">
                  <c:v>-11.377970000000005</c:v>
                </c:pt>
                <c:pt idx="10">
                  <c:v>-11.823170000000006</c:v>
                </c:pt>
                <c:pt idx="11">
                  <c:v>-13.663170000000006</c:v>
                </c:pt>
                <c:pt idx="12">
                  <c:v>-15.583170000000006</c:v>
                </c:pt>
                <c:pt idx="13">
                  <c:v>-17.363170000000007</c:v>
                </c:pt>
                <c:pt idx="14">
                  <c:v>-17.403170000000006</c:v>
                </c:pt>
                <c:pt idx="15">
                  <c:v>-18.393170000000005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E6-4EC0-A9F7-59B933744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88000"/>
        <c:axId val="153490176"/>
      </c:scatterChart>
      <c:valAx>
        <c:axId val="1534880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490176"/>
        <c:crosses val="autoZero"/>
        <c:crossBetween val="midCat"/>
      </c:valAx>
      <c:valAx>
        <c:axId val="1534901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488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fish hook'!$E$6:$E$58</c:f>
              <c:numCache>
                <c:formatCode>0</c:formatCode>
                <c:ptCount val="53"/>
                <c:pt idx="0">
                  <c:v>228</c:v>
                </c:pt>
                <c:pt idx="1">
                  <c:v>696</c:v>
                </c:pt>
                <c:pt idx="2">
                  <c:v>887</c:v>
                </c:pt>
                <c:pt idx="3">
                  <c:v>1876</c:v>
                </c:pt>
                <c:pt idx="4">
                  <c:v>1876</c:v>
                </c:pt>
                <c:pt idx="5">
                  <c:v>1876</c:v>
                </c:pt>
                <c:pt idx="6">
                  <c:v>912</c:v>
                </c:pt>
                <c:pt idx="7">
                  <c:v>618</c:v>
                </c:pt>
                <c:pt idx="8">
                  <c:v>618</c:v>
                </c:pt>
                <c:pt idx="9">
                  <c:v>220</c:v>
                </c:pt>
                <c:pt idx="10">
                  <c:v>47</c:v>
                </c:pt>
                <c:pt idx="11">
                  <c:v>1</c:v>
                </c:pt>
                <c:pt idx="12">
                  <c:v>1</c:v>
                </c:pt>
                <c:pt idx="13">
                  <c:v>69</c:v>
                </c:pt>
                <c:pt idx="14">
                  <c:v>236</c:v>
                </c:pt>
                <c:pt idx="15">
                  <c:v>643</c:v>
                </c:pt>
                <c:pt idx="16">
                  <c:v>1053</c:v>
                </c:pt>
                <c:pt idx="17">
                  <c:v>1869</c:v>
                </c:pt>
                <c:pt idx="18">
                  <c:v>1866</c:v>
                </c:pt>
                <c:pt idx="19">
                  <c:v>1866</c:v>
                </c:pt>
                <c:pt idx="20">
                  <c:v>1812</c:v>
                </c:pt>
                <c:pt idx="21">
                  <c:v>1131</c:v>
                </c:pt>
                <c:pt idx="22">
                  <c:v>614</c:v>
                </c:pt>
                <c:pt idx="23">
                  <c:v>614</c:v>
                </c:pt>
              </c:numCache>
            </c:numRef>
          </c:xVal>
          <c:yVal>
            <c:numRef>
              <c:f>'RIH fish hook'!$M$6:$M$58</c:f>
              <c:numCache>
                <c:formatCode>0.00</c:formatCode>
                <c:ptCount val="53"/>
                <c:pt idx="0">
                  <c:v>0</c:v>
                </c:pt>
                <c:pt idx="1">
                  <c:v>-2.6663199999999998</c:v>
                </c:pt>
                <c:pt idx="2">
                  <c:v>-2.9226599999999996</c:v>
                </c:pt>
                <c:pt idx="3">
                  <c:v>-7.3295200000000023</c:v>
                </c:pt>
                <c:pt idx="4">
                  <c:v>-8.2195200000000028</c:v>
                </c:pt>
                <c:pt idx="5">
                  <c:v>-8.2895200000000031</c:v>
                </c:pt>
                <c:pt idx="6">
                  <c:v>-10.636840000000005</c:v>
                </c:pt>
                <c:pt idx="7">
                  <c:v>-10.972060000000003</c:v>
                </c:pt>
                <c:pt idx="8">
                  <c:v>-11.312060000000002</c:v>
                </c:pt>
                <c:pt idx="9">
                  <c:v>-13.472799999999999</c:v>
                </c:pt>
                <c:pt idx="10">
                  <c:v>-15.012460000000001</c:v>
                </c:pt>
                <c:pt idx="11">
                  <c:v>-16.22578</c:v>
                </c:pt>
                <c:pt idx="12">
                  <c:v>-17.90578</c:v>
                </c:pt>
                <c:pt idx="13">
                  <c:v>-19.49522</c:v>
                </c:pt>
                <c:pt idx="14">
                  <c:v>-19.82208</c:v>
                </c:pt>
                <c:pt idx="15">
                  <c:v>-21.84826</c:v>
                </c:pt>
                <c:pt idx="16">
                  <c:v>-23.081659999999999</c:v>
                </c:pt>
                <c:pt idx="17">
                  <c:v>-31.165499999999998</c:v>
                </c:pt>
                <c:pt idx="18">
                  <c:v>-31.168279999999996</c:v>
                </c:pt>
                <c:pt idx="19">
                  <c:v>-31.248279999999994</c:v>
                </c:pt>
                <c:pt idx="20">
                  <c:v>-31.252299999999998</c:v>
                </c:pt>
                <c:pt idx="21">
                  <c:v>-33.376329999999996</c:v>
                </c:pt>
                <c:pt idx="22">
                  <c:v>-34.307039999999994</c:v>
                </c:pt>
                <c:pt idx="23">
                  <c:v>-34.487039999999993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53-444E-B546-A3CDD7BEA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42528"/>
        <c:axId val="154344448"/>
      </c:scatterChart>
      <c:valAx>
        <c:axId val="15434252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344448"/>
        <c:crosses val="autoZero"/>
        <c:crossBetween val="midCat"/>
      </c:valAx>
      <c:valAx>
        <c:axId val="15434444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34252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spear 4'!$E$6:$E$58</c:f>
              <c:numCache>
                <c:formatCode>0</c:formatCode>
                <c:ptCount val="53"/>
                <c:pt idx="0">
                  <c:v>17</c:v>
                </c:pt>
                <c:pt idx="1">
                  <c:v>200</c:v>
                </c:pt>
                <c:pt idx="2">
                  <c:v>552</c:v>
                </c:pt>
                <c:pt idx="3">
                  <c:v>1748</c:v>
                </c:pt>
                <c:pt idx="4">
                  <c:v>1817</c:v>
                </c:pt>
                <c:pt idx="5">
                  <c:v>1817</c:v>
                </c:pt>
                <c:pt idx="6">
                  <c:v>1803</c:v>
                </c:pt>
                <c:pt idx="7">
                  <c:v>1341</c:v>
                </c:pt>
                <c:pt idx="8">
                  <c:v>606</c:v>
                </c:pt>
                <c:pt idx="9">
                  <c:v>606</c:v>
                </c:pt>
                <c:pt idx="10">
                  <c:v>200</c:v>
                </c:pt>
              </c:numCache>
            </c:numRef>
          </c:xVal>
          <c:yVal>
            <c:numRef>
              <c:f>'RIH spear 4'!$M$6:$M$58</c:f>
              <c:numCache>
                <c:formatCode>0.00</c:formatCode>
                <c:ptCount val="53"/>
                <c:pt idx="0">
                  <c:v>0</c:v>
                </c:pt>
                <c:pt idx="1">
                  <c:v>-0.17614000000000041</c:v>
                </c:pt>
                <c:pt idx="2">
                  <c:v>-0.90438000000000018</c:v>
                </c:pt>
                <c:pt idx="3">
                  <c:v>-2.8409000000000013</c:v>
                </c:pt>
                <c:pt idx="4">
                  <c:v>-3.8324300000000013</c:v>
                </c:pt>
                <c:pt idx="5">
                  <c:v>-4.0724300000000007</c:v>
                </c:pt>
                <c:pt idx="6">
                  <c:v>-4.0712500000000009</c:v>
                </c:pt>
                <c:pt idx="7">
                  <c:v>-5.0123100000000003</c:v>
                </c:pt>
                <c:pt idx="8">
                  <c:v>-6.11036</c:v>
                </c:pt>
                <c:pt idx="9">
                  <c:v>-6.4603599999999997</c:v>
                </c:pt>
                <c:pt idx="10">
                  <c:v>-8.3061399999999992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F8-4745-BC13-DA0643F7A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7600"/>
        <c:axId val="154379776"/>
      </c:scatterChart>
      <c:valAx>
        <c:axId val="1543776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379776"/>
        <c:crosses val="autoZero"/>
        <c:crossBetween val="midCat"/>
      </c:valAx>
      <c:valAx>
        <c:axId val="1543797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3776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cutter_run5'!$E$6:$E$58</c:f>
              <c:numCache>
                <c:formatCode>0</c:formatCode>
                <c:ptCount val="53"/>
                <c:pt idx="0">
                  <c:v>70</c:v>
                </c:pt>
                <c:pt idx="1">
                  <c:v>255</c:v>
                </c:pt>
                <c:pt idx="2">
                  <c:v>377</c:v>
                </c:pt>
                <c:pt idx="3">
                  <c:v>757</c:v>
                </c:pt>
                <c:pt idx="4">
                  <c:v>1600</c:v>
                </c:pt>
                <c:pt idx="5">
                  <c:v>1890.4</c:v>
                </c:pt>
                <c:pt idx="6">
                  <c:v>1890</c:v>
                </c:pt>
                <c:pt idx="7">
                  <c:v>1409</c:v>
                </c:pt>
                <c:pt idx="8">
                  <c:v>646</c:v>
                </c:pt>
                <c:pt idx="9">
                  <c:v>646</c:v>
                </c:pt>
                <c:pt idx="10">
                  <c:v>292</c:v>
                </c:pt>
                <c:pt idx="11">
                  <c:v>113</c:v>
                </c:pt>
                <c:pt idx="12">
                  <c:v>113</c:v>
                </c:pt>
                <c:pt idx="13">
                  <c:v>113</c:v>
                </c:pt>
                <c:pt idx="14">
                  <c:v>113</c:v>
                </c:pt>
              </c:numCache>
            </c:numRef>
          </c:xVal>
          <c:yVal>
            <c:numRef>
              <c:f>'RIH cutter_run5'!$M$6:$M$58</c:f>
              <c:numCache>
                <c:formatCode>0.00</c:formatCode>
                <c:ptCount val="53"/>
                <c:pt idx="0">
                  <c:v>0</c:v>
                </c:pt>
                <c:pt idx="1">
                  <c:v>-0.32149999999999945</c:v>
                </c:pt>
                <c:pt idx="2">
                  <c:v>-0.84177999999999997</c:v>
                </c:pt>
                <c:pt idx="3">
                  <c:v>-1.972979999999998</c:v>
                </c:pt>
                <c:pt idx="4">
                  <c:v>-4.5417999999999985</c:v>
                </c:pt>
                <c:pt idx="5">
                  <c:v>-4.9926959999999987</c:v>
                </c:pt>
                <c:pt idx="6">
                  <c:v>-5.076399999999996</c:v>
                </c:pt>
                <c:pt idx="7">
                  <c:v>-6.6844299999999954</c:v>
                </c:pt>
                <c:pt idx="8">
                  <c:v>-7.8401199999999953</c:v>
                </c:pt>
                <c:pt idx="9">
                  <c:v>-7.9301199999999952</c:v>
                </c:pt>
                <c:pt idx="10">
                  <c:v>-9.0831399999999949</c:v>
                </c:pt>
                <c:pt idx="11">
                  <c:v>-10.249319999999994</c:v>
                </c:pt>
                <c:pt idx="12">
                  <c:v>-11.309319999999992</c:v>
                </c:pt>
                <c:pt idx="13">
                  <c:v>-13.209319999999993</c:v>
                </c:pt>
                <c:pt idx="14">
                  <c:v>-14.969319999999993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3-4CC4-B290-749EBE733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37504"/>
        <c:axId val="154443776"/>
      </c:scatterChart>
      <c:valAx>
        <c:axId val="1544375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443776"/>
        <c:crosses val="autoZero"/>
        <c:crossBetween val="midCat"/>
      </c:valAx>
      <c:valAx>
        <c:axId val="1544437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4375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spear 3'!$E$6:$E$58</c:f>
              <c:numCache>
                <c:formatCode>0</c:formatCode>
                <c:ptCount val="53"/>
                <c:pt idx="0">
                  <c:v>82</c:v>
                </c:pt>
                <c:pt idx="1">
                  <c:v>213</c:v>
                </c:pt>
                <c:pt idx="2">
                  <c:v>525</c:v>
                </c:pt>
                <c:pt idx="3">
                  <c:v>525</c:v>
                </c:pt>
                <c:pt idx="4">
                  <c:v>1068</c:v>
                </c:pt>
                <c:pt idx="5">
                  <c:v>1801</c:v>
                </c:pt>
                <c:pt idx="6">
                  <c:v>1829</c:v>
                </c:pt>
                <c:pt idx="7">
                  <c:v>1829</c:v>
                </c:pt>
                <c:pt idx="8">
                  <c:v>1829</c:v>
                </c:pt>
                <c:pt idx="9">
                  <c:v>1817</c:v>
                </c:pt>
                <c:pt idx="10">
                  <c:v>1817</c:v>
                </c:pt>
                <c:pt idx="11">
                  <c:v>1817</c:v>
                </c:pt>
                <c:pt idx="12">
                  <c:v>1803</c:v>
                </c:pt>
                <c:pt idx="13">
                  <c:v>1150</c:v>
                </c:pt>
                <c:pt idx="14">
                  <c:v>579</c:v>
                </c:pt>
                <c:pt idx="15">
                  <c:v>579</c:v>
                </c:pt>
                <c:pt idx="16">
                  <c:v>579</c:v>
                </c:pt>
                <c:pt idx="17">
                  <c:v>213</c:v>
                </c:pt>
                <c:pt idx="18">
                  <c:v>70</c:v>
                </c:pt>
              </c:numCache>
            </c:numRef>
          </c:xVal>
          <c:yVal>
            <c:numRef>
              <c:f>'RIH spear 3'!$M$6:$M$58</c:f>
              <c:numCache>
                <c:formatCode>0.00</c:formatCode>
                <c:ptCount val="53"/>
                <c:pt idx="0">
                  <c:v>0</c:v>
                </c:pt>
                <c:pt idx="1">
                  <c:v>-0.30597999999999947</c:v>
                </c:pt>
                <c:pt idx="2">
                  <c:v>-1.0894200000000001</c:v>
                </c:pt>
                <c:pt idx="3">
                  <c:v>-1.4394199999999997</c:v>
                </c:pt>
                <c:pt idx="4">
                  <c:v>-1.9923299999999995</c:v>
                </c:pt>
                <c:pt idx="5">
                  <c:v>-3.7255399999999987</c:v>
                </c:pt>
                <c:pt idx="6">
                  <c:v>-4.6279000000000003</c:v>
                </c:pt>
                <c:pt idx="7">
                  <c:v>-5.1178999999999997</c:v>
                </c:pt>
                <c:pt idx="8">
                  <c:v>-7.3879000000000001</c:v>
                </c:pt>
                <c:pt idx="9">
                  <c:v>-8.8054600000000001</c:v>
                </c:pt>
                <c:pt idx="10">
                  <c:v>-8.8954599999999999</c:v>
                </c:pt>
                <c:pt idx="11">
                  <c:v>-9.2054599999999986</c:v>
                </c:pt>
                <c:pt idx="12">
                  <c:v>-9.4242799999999995</c:v>
                </c:pt>
                <c:pt idx="13">
                  <c:v>-12.00067</c:v>
                </c:pt>
                <c:pt idx="14">
                  <c:v>-12.415399999999998</c:v>
                </c:pt>
                <c:pt idx="15">
                  <c:v>-12.5954</c:v>
                </c:pt>
                <c:pt idx="16">
                  <c:v>-12.835399999999998</c:v>
                </c:pt>
                <c:pt idx="17">
                  <c:v>-14.095979999999997</c:v>
                </c:pt>
                <c:pt idx="18">
                  <c:v>-15.483039999999997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F8-4D27-BE64-0CC0E9A4D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75232"/>
        <c:axId val="154577152"/>
      </c:scatterChart>
      <c:valAx>
        <c:axId val="15457523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577152"/>
        <c:crosses val="autoZero"/>
        <c:crossBetween val="midCat"/>
      </c:valAx>
      <c:valAx>
        <c:axId val="1545771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57523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cutter_run4'!$E$6:$E$58</c:f>
              <c:numCache>
                <c:formatCode>0</c:formatCode>
                <c:ptCount val="53"/>
                <c:pt idx="0">
                  <c:v>89</c:v>
                </c:pt>
                <c:pt idx="1">
                  <c:v>263</c:v>
                </c:pt>
                <c:pt idx="2">
                  <c:v>683</c:v>
                </c:pt>
                <c:pt idx="3">
                  <c:v>1470</c:v>
                </c:pt>
                <c:pt idx="4">
                  <c:v>1879</c:v>
                </c:pt>
                <c:pt idx="5">
                  <c:v>1899</c:v>
                </c:pt>
                <c:pt idx="6">
                  <c:v>1900</c:v>
                </c:pt>
                <c:pt idx="7">
                  <c:v>1900</c:v>
                </c:pt>
                <c:pt idx="8">
                  <c:v>1900</c:v>
                </c:pt>
                <c:pt idx="9">
                  <c:v>1900</c:v>
                </c:pt>
                <c:pt idx="10">
                  <c:v>1900</c:v>
                </c:pt>
                <c:pt idx="11">
                  <c:v>1900</c:v>
                </c:pt>
                <c:pt idx="12">
                  <c:v>1900</c:v>
                </c:pt>
                <c:pt idx="13">
                  <c:v>1335</c:v>
                </c:pt>
                <c:pt idx="14">
                  <c:v>1281</c:v>
                </c:pt>
                <c:pt idx="15">
                  <c:v>655</c:v>
                </c:pt>
                <c:pt idx="16">
                  <c:v>655</c:v>
                </c:pt>
              </c:numCache>
            </c:numRef>
          </c:xVal>
          <c:yVal>
            <c:numRef>
              <c:f>'RIH cutter_run4'!$M$6:$M$58</c:f>
              <c:numCache>
                <c:formatCode>0.00</c:formatCode>
                <c:ptCount val="53"/>
                <c:pt idx="0">
                  <c:v>0</c:v>
                </c:pt>
                <c:pt idx="1">
                  <c:v>-1.1686599999999996</c:v>
                </c:pt>
                <c:pt idx="2">
                  <c:v>-2.1094600000000012</c:v>
                </c:pt>
                <c:pt idx="3">
                  <c:v>-4.3968400000000045</c:v>
                </c:pt>
                <c:pt idx="4">
                  <c:v>-5.7345000000000041</c:v>
                </c:pt>
                <c:pt idx="5">
                  <c:v>-5.7393000000000036</c:v>
                </c:pt>
                <c:pt idx="6">
                  <c:v>-14.675039999999992</c:v>
                </c:pt>
                <c:pt idx="7">
                  <c:v>-14.525039999999986</c:v>
                </c:pt>
                <c:pt idx="8">
                  <c:v>-15.075039999999998</c:v>
                </c:pt>
                <c:pt idx="9">
                  <c:v>-15.935039999999983</c:v>
                </c:pt>
                <c:pt idx="10">
                  <c:v>-16.135039999999982</c:v>
                </c:pt>
                <c:pt idx="11">
                  <c:v>-15.945039999999983</c:v>
                </c:pt>
                <c:pt idx="12">
                  <c:v>-16.135039999999982</c:v>
                </c:pt>
                <c:pt idx="13">
                  <c:v>-18.505989999999983</c:v>
                </c:pt>
                <c:pt idx="14">
                  <c:v>-18.520009999999981</c:v>
                </c:pt>
                <c:pt idx="15">
                  <c:v>-19.87438999999998</c:v>
                </c:pt>
                <c:pt idx="16">
                  <c:v>-19.974389999999982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CD-402C-8E33-32D4B200E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30784"/>
        <c:axId val="154641152"/>
      </c:scatterChart>
      <c:valAx>
        <c:axId val="15463078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641152"/>
        <c:crosses val="autoZero"/>
        <c:crossBetween val="midCat"/>
      </c:valAx>
      <c:valAx>
        <c:axId val="1546411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6307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spear 2'!$E$6:$E$58</c:f>
              <c:numCache>
                <c:formatCode>0</c:formatCode>
                <c:ptCount val="53"/>
                <c:pt idx="0">
                  <c:v>17</c:v>
                </c:pt>
                <c:pt idx="1">
                  <c:v>200</c:v>
                </c:pt>
                <c:pt idx="2">
                  <c:v>608</c:v>
                </c:pt>
                <c:pt idx="3">
                  <c:v>1765</c:v>
                </c:pt>
                <c:pt idx="4">
                  <c:v>1827</c:v>
                </c:pt>
                <c:pt idx="5">
                  <c:v>1827</c:v>
                </c:pt>
                <c:pt idx="6">
                  <c:v>1803</c:v>
                </c:pt>
                <c:pt idx="7">
                  <c:v>1722</c:v>
                </c:pt>
                <c:pt idx="8">
                  <c:v>1342</c:v>
                </c:pt>
                <c:pt idx="9">
                  <c:v>909</c:v>
                </c:pt>
                <c:pt idx="10">
                  <c:v>583</c:v>
                </c:pt>
                <c:pt idx="11">
                  <c:v>583</c:v>
                </c:pt>
                <c:pt idx="12">
                  <c:v>200</c:v>
                </c:pt>
                <c:pt idx="13">
                  <c:v>37</c:v>
                </c:pt>
                <c:pt idx="14">
                  <c:v>37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'RIH spear 2'!$M$6:$M$58</c:f>
              <c:numCache>
                <c:formatCode>0.00</c:formatCode>
                <c:ptCount val="53"/>
                <c:pt idx="0">
                  <c:v>0</c:v>
                </c:pt>
                <c:pt idx="1">
                  <c:v>-0.11614000000000035</c:v>
                </c:pt>
                <c:pt idx="2">
                  <c:v>-0.65910000000000002</c:v>
                </c:pt>
                <c:pt idx="3">
                  <c:v>-3.1151900000000001</c:v>
                </c:pt>
                <c:pt idx="4">
                  <c:v>-4.2361299999999993</c:v>
                </c:pt>
                <c:pt idx="5">
                  <c:v>-4.4861299999999993</c:v>
                </c:pt>
                <c:pt idx="6">
                  <c:v>-4.9112499999999999</c:v>
                </c:pt>
                <c:pt idx="7">
                  <c:v>-5.6172799999999992</c:v>
                </c:pt>
                <c:pt idx="8">
                  <c:v>-6.5766799999999987</c:v>
                </c:pt>
                <c:pt idx="9">
                  <c:v>-7.5444699999999987</c:v>
                </c:pt>
                <c:pt idx="10">
                  <c:v>-8.0298499999999997</c:v>
                </c:pt>
                <c:pt idx="11">
                  <c:v>-8.2098499999999994</c:v>
                </c:pt>
                <c:pt idx="12">
                  <c:v>-10.376139999999998</c:v>
                </c:pt>
                <c:pt idx="13">
                  <c:v>-10.291599999999999</c:v>
                </c:pt>
                <c:pt idx="14">
                  <c:v>-11.901599999999998</c:v>
                </c:pt>
                <c:pt idx="15">
                  <c:v>-13.580719999999999</c:v>
                </c:pt>
                <c:pt idx="16">
                  <c:v>-14.420719999999999</c:v>
                </c:pt>
                <c:pt idx="17">
                  <c:v>-16.20072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0-49E4-8893-DA5E96185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27360"/>
        <c:axId val="159329280"/>
      </c:scatterChart>
      <c:valAx>
        <c:axId val="15932736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329280"/>
        <c:crosses val="autoZero"/>
        <c:crossBetween val="midCat"/>
      </c:valAx>
      <c:valAx>
        <c:axId val="1593292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3273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cutter_run3'!$E$6:$E$58</c:f>
              <c:numCache>
                <c:formatCode>0</c:formatCode>
                <c:ptCount val="53"/>
                <c:pt idx="0">
                  <c:v>22</c:v>
                </c:pt>
                <c:pt idx="1">
                  <c:v>137</c:v>
                </c:pt>
                <c:pt idx="2">
                  <c:v>243</c:v>
                </c:pt>
                <c:pt idx="3">
                  <c:v>247</c:v>
                </c:pt>
                <c:pt idx="4">
                  <c:v>458</c:v>
                </c:pt>
                <c:pt idx="5">
                  <c:v>1001</c:v>
                </c:pt>
                <c:pt idx="6">
                  <c:v>1298</c:v>
                </c:pt>
                <c:pt idx="7">
                  <c:v>1677</c:v>
                </c:pt>
                <c:pt idx="8">
                  <c:v>2076</c:v>
                </c:pt>
                <c:pt idx="9">
                  <c:v>2076</c:v>
                </c:pt>
                <c:pt idx="10">
                  <c:v>2094</c:v>
                </c:pt>
                <c:pt idx="11">
                  <c:v>2094</c:v>
                </c:pt>
                <c:pt idx="12">
                  <c:v>2094</c:v>
                </c:pt>
                <c:pt idx="13">
                  <c:v>2094</c:v>
                </c:pt>
                <c:pt idx="14">
                  <c:v>2094</c:v>
                </c:pt>
                <c:pt idx="15">
                  <c:v>2094</c:v>
                </c:pt>
                <c:pt idx="16">
                  <c:v>2077</c:v>
                </c:pt>
                <c:pt idx="17">
                  <c:v>2034</c:v>
                </c:pt>
                <c:pt idx="18">
                  <c:v>1789</c:v>
                </c:pt>
                <c:pt idx="19">
                  <c:v>890</c:v>
                </c:pt>
                <c:pt idx="20">
                  <c:v>645</c:v>
                </c:pt>
                <c:pt idx="21">
                  <c:v>645</c:v>
                </c:pt>
                <c:pt idx="22">
                  <c:v>269</c:v>
                </c:pt>
                <c:pt idx="23">
                  <c:v>269</c:v>
                </c:pt>
              </c:numCache>
            </c:numRef>
          </c:xVal>
          <c:yVal>
            <c:numRef>
              <c:f>'RIH cutter_run3'!$M$6:$M$58</c:f>
              <c:numCache>
                <c:formatCode>0.00</c:formatCode>
                <c:ptCount val="53"/>
                <c:pt idx="0">
                  <c:v>0</c:v>
                </c:pt>
                <c:pt idx="1">
                  <c:v>-1.8910500000000003</c:v>
                </c:pt>
                <c:pt idx="2">
                  <c:v>-3.6236699999999997</c:v>
                </c:pt>
                <c:pt idx="3">
                  <c:v>-5.9707499999999998</c:v>
                </c:pt>
                <c:pt idx="4">
                  <c:v>-8.2042400000000004</c:v>
                </c:pt>
                <c:pt idx="5">
                  <c:v>-9.3710599999999999</c:v>
                </c:pt>
                <c:pt idx="6">
                  <c:v>-11.21584</c:v>
                </c:pt>
                <c:pt idx="7">
                  <c:v>-12.351300000000002</c:v>
                </c:pt>
                <c:pt idx="8">
                  <c:v>-12.83156</c:v>
                </c:pt>
                <c:pt idx="9">
                  <c:v>-13.351559999999999</c:v>
                </c:pt>
                <c:pt idx="10">
                  <c:v>-13.634879999999999</c:v>
                </c:pt>
                <c:pt idx="11">
                  <c:v>-20.504880000000004</c:v>
                </c:pt>
                <c:pt idx="12">
                  <c:v>-20.974880000000002</c:v>
                </c:pt>
                <c:pt idx="13">
                  <c:v>-24.254879999999989</c:v>
                </c:pt>
                <c:pt idx="14">
                  <c:v>-24.254879999999989</c:v>
                </c:pt>
                <c:pt idx="15">
                  <c:v>-24.64487999999999</c:v>
                </c:pt>
                <c:pt idx="16">
                  <c:v>-24.640589999999989</c:v>
                </c:pt>
                <c:pt idx="17">
                  <c:v>-25.02267999999999</c:v>
                </c:pt>
                <c:pt idx="18">
                  <c:v>-25.95202999999999</c:v>
                </c:pt>
                <c:pt idx="19">
                  <c:v>-27.823399999999989</c:v>
                </c:pt>
                <c:pt idx="20">
                  <c:v>-28.792749999999987</c:v>
                </c:pt>
                <c:pt idx="21">
                  <c:v>-29.102749999999986</c:v>
                </c:pt>
                <c:pt idx="22">
                  <c:v>-32.749629999999989</c:v>
                </c:pt>
                <c:pt idx="23">
                  <c:v>-33.719629999999988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B4-408C-BEB7-5ECB4FD8D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9872"/>
        <c:axId val="207140352"/>
      </c:scatterChart>
      <c:valAx>
        <c:axId val="20703987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40352"/>
        <c:crosses val="autoZero"/>
        <c:crossBetween val="midCat"/>
      </c:valAx>
      <c:valAx>
        <c:axId val="2071403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0398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cutter_run2'!$E$6:$E$58</c:f>
              <c:numCache>
                <c:formatCode>0</c:formatCode>
                <c:ptCount val="53"/>
                <c:pt idx="0">
                  <c:v>277</c:v>
                </c:pt>
                <c:pt idx="1">
                  <c:v>277</c:v>
                </c:pt>
                <c:pt idx="2">
                  <c:v>357</c:v>
                </c:pt>
                <c:pt idx="3">
                  <c:v>793</c:v>
                </c:pt>
                <c:pt idx="4">
                  <c:v>1609</c:v>
                </c:pt>
                <c:pt idx="5">
                  <c:v>1879</c:v>
                </c:pt>
                <c:pt idx="6">
                  <c:v>1899</c:v>
                </c:pt>
                <c:pt idx="7">
                  <c:v>1899</c:v>
                </c:pt>
                <c:pt idx="8">
                  <c:v>1899</c:v>
                </c:pt>
                <c:pt idx="9">
                  <c:v>1899</c:v>
                </c:pt>
                <c:pt idx="10">
                  <c:v>1899</c:v>
                </c:pt>
                <c:pt idx="11">
                  <c:v>1899</c:v>
                </c:pt>
                <c:pt idx="12">
                  <c:v>1899</c:v>
                </c:pt>
                <c:pt idx="13">
                  <c:v>1899</c:v>
                </c:pt>
                <c:pt idx="14">
                  <c:v>1899</c:v>
                </c:pt>
                <c:pt idx="15">
                  <c:v>1899</c:v>
                </c:pt>
                <c:pt idx="16">
                  <c:v>1899</c:v>
                </c:pt>
                <c:pt idx="17">
                  <c:v>1899</c:v>
                </c:pt>
                <c:pt idx="18">
                  <c:v>1282</c:v>
                </c:pt>
              </c:numCache>
            </c:numRef>
          </c:xVal>
          <c:yVal>
            <c:numRef>
              <c:f>'RIH cutter_run2'!$M$6:$M$58</c:f>
              <c:numCache>
                <c:formatCode>0.00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-0.26920000000000033</c:v>
                </c:pt>
                <c:pt idx="3">
                  <c:v>-1.8418399999999995</c:v>
                </c:pt>
                <c:pt idx="4">
                  <c:v>-8.6556800000000003</c:v>
                </c:pt>
                <c:pt idx="5">
                  <c:v>-4.6854800000000019</c:v>
                </c:pt>
                <c:pt idx="6">
                  <c:v>-5.0002800000000178</c:v>
                </c:pt>
                <c:pt idx="7">
                  <c:v>-12.200280000000014</c:v>
                </c:pt>
                <c:pt idx="8">
                  <c:v>-13.440280000000008</c:v>
                </c:pt>
                <c:pt idx="9">
                  <c:v>-15.400280000000016</c:v>
                </c:pt>
                <c:pt idx="10">
                  <c:v>-16.790280000000017</c:v>
                </c:pt>
                <c:pt idx="11">
                  <c:v>-17.830280000000009</c:v>
                </c:pt>
                <c:pt idx="12">
                  <c:v>-19.410280000000007</c:v>
                </c:pt>
                <c:pt idx="13">
                  <c:v>-20.820280000000018</c:v>
                </c:pt>
                <c:pt idx="14">
                  <c:v>-20.820280000000004</c:v>
                </c:pt>
                <c:pt idx="15">
                  <c:v>-20.980280000000004</c:v>
                </c:pt>
                <c:pt idx="16">
                  <c:v>-21.560280000000006</c:v>
                </c:pt>
                <c:pt idx="17">
                  <c:v>-21.770280000000007</c:v>
                </c:pt>
                <c:pt idx="18">
                  <c:v>-23.983990000000002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2-4765-8B5A-AD7A759CC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16576"/>
        <c:axId val="207822848"/>
      </c:scatterChart>
      <c:valAx>
        <c:axId val="20781657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822848"/>
        <c:crosses val="autoZero"/>
        <c:crossBetween val="midCat"/>
      </c:valAx>
      <c:valAx>
        <c:axId val="20782284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8165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spear'!$E$6:$E$58</c:f>
              <c:numCache>
                <c:formatCode>0</c:formatCode>
                <c:ptCount val="53"/>
                <c:pt idx="0">
                  <c:v>16</c:v>
                </c:pt>
                <c:pt idx="1">
                  <c:v>200</c:v>
                </c:pt>
                <c:pt idx="2">
                  <c:v>988</c:v>
                </c:pt>
                <c:pt idx="3">
                  <c:v>1818</c:v>
                </c:pt>
                <c:pt idx="4">
                  <c:v>1560</c:v>
                </c:pt>
                <c:pt idx="5">
                  <c:v>1152</c:v>
                </c:pt>
                <c:pt idx="6">
                  <c:v>581</c:v>
                </c:pt>
                <c:pt idx="7">
                  <c:v>581</c:v>
                </c:pt>
                <c:pt idx="8">
                  <c:v>200</c:v>
                </c:pt>
              </c:numCache>
            </c:numRef>
          </c:xVal>
          <c:yVal>
            <c:numRef>
              <c:f>'RIH spear'!$M$6:$M$58</c:f>
              <c:numCache>
                <c:formatCode>0.00</c:formatCode>
                <c:ptCount val="53"/>
                <c:pt idx="0">
                  <c:v>0</c:v>
                </c:pt>
                <c:pt idx="1">
                  <c:v>-0.31671999999999967</c:v>
                </c:pt>
                <c:pt idx="2">
                  <c:v>-1.7202799999999994</c:v>
                </c:pt>
                <c:pt idx="3">
                  <c:v>-4.4973799999999997</c:v>
                </c:pt>
                <c:pt idx="4">
                  <c:v>-5.0799199999999995</c:v>
                </c:pt>
                <c:pt idx="5">
                  <c:v>-6.3669599999999988</c:v>
                </c:pt>
                <c:pt idx="6">
                  <c:v>-8.0616899999999987</c:v>
                </c:pt>
                <c:pt idx="7">
                  <c:v>-8.3416899999999981</c:v>
                </c:pt>
                <c:pt idx="8">
                  <c:v>-9.8267199999999981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9D-400F-A8B9-EABD80626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56000"/>
        <c:axId val="207857920"/>
      </c:scatterChart>
      <c:valAx>
        <c:axId val="2078560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857920"/>
        <c:crosses val="autoZero"/>
        <c:crossBetween val="midCat"/>
      </c:valAx>
      <c:valAx>
        <c:axId val="20785792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856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cutter'!$E$6:$E$58</c:f>
              <c:numCache>
                <c:formatCode>0</c:formatCode>
                <c:ptCount val="53"/>
                <c:pt idx="0">
                  <c:v>80</c:v>
                </c:pt>
                <c:pt idx="1">
                  <c:v>263</c:v>
                </c:pt>
                <c:pt idx="2">
                  <c:v>436</c:v>
                </c:pt>
                <c:pt idx="3">
                  <c:v>1582</c:v>
                </c:pt>
                <c:pt idx="4">
                  <c:v>1901</c:v>
                </c:pt>
                <c:pt idx="5">
                  <c:v>1901</c:v>
                </c:pt>
                <c:pt idx="6">
                  <c:v>1901</c:v>
                </c:pt>
                <c:pt idx="7">
                  <c:v>1901</c:v>
                </c:pt>
                <c:pt idx="8">
                  <c:v>1901</c:v>
                </c:pt>
                <c:pt idx="9">
                  <c:v>1901</c:v>
                </c:pt>
                <c:pt idx="10">
                  <c:v>1901</c:v>
                </c:pt>
                <c:pt idx="11">
                  <c:v>1901</c:v>
                </c:pt>
                <c:pt idx="12">
                  <c:v>1901</c:v>
                </c:pt>
                <c:pt idx="13">
                  <c:v>1901</c:v>
                </c:pt>
                <c:pt idx="14">
                  <c:v>1901</c:v>
                </c:pt>
                <c:pt idx="15">
                  <c:v>1901</c:v>
                </c:pt>
                <c:pt idx="16">
                  <c:v>1901</c:v>
                </c:pt>
                <c:pt idx="17">
                  <c:v>1901</c:v>
                </c:pt>
                <c:pt idx="18">
                  <c:v>1901</c:v>
                </c:pt>
                <c:pt idx="19">
                  <c:v>1174</c:v>
                </c:pt>
                <c:pt idx="20">
                  <c:v>657</c:v>
                </c:pt>
                <c:pt idx="21">
                  <c:v>657</c:v>
                </c:pt>
              </c:numCache>
            </c:numRef>
          </c:xVal>
          <c:yVal>
            <c:numRef>
              <c:f>'RIH cutter'!$M$6:$M$58</c:f>
              <c:numCache>
                <c:formatCode>0.00</c:formatCode>
                <c:ptCount val="53"/>
                <c:pt idx="0">
                  <c:v>0</c:v>
                </c:pt>
                <c:pt idx="1">
                  <c:v>-1.1651900000000004</c:v>
                </c:pt>
                <c:pt idx="2">
                  <c:v>-1.7282100000000002</c:v>
                </c:pt>
                <c:pt idx="3">
                  <c:v>-5.0662500000000037</c:v>
                </c:pt>
                <c:pt idx="4">
                  <c:v>-6.9673100000000012</c:v>
                </c:pt>
                <c:pt idx="5">
                  <c:v>-6.9673100000000154</c:v>
                </c:pt>
                <c:pt idx="6">
                  <c:v>-15.017310000000013</c:v>
                </c:pt>
                <c:pt idx="7">
                  <c:v>-19.987310000000008</c:v>
                </c:pt>
                <c:pt idx="8">
                  <c:v>-20.79731000000001</c:v>
                </c:pt>
                <c:pt idx="9">
                  <c:v>-20.67731000000002</c:v>
                </c:pt>
                <c:pt idx="10">
                  <c:v>-22.897310000000019</c:v>
                </c:pt>
                <c:pt idx="11">
                  <c:v>-25.31731000000002</c:v>
                </c:pt>
                <c:pt idx="12">
                  <c:v>-29.187310000000011</c:v>
                </c:pt>
                <c:pt idx="13">
                  <c:v>-28.417310000000015</c:v>
                </c:pt>
                <c:pt idx="14">
                  <c:v>-28.417310000000015</c:v>
                </c:pt>
                <c:pt idx="15">
                  <c:v>-28.61731000000001</c:v>
                </c:pt>
                <c:pt idx="16">
                  <c:v>-28.61731000000001</c:v>
                </c:pt>
                <c:pt idx="17">
                  <c:v>-28.817310000000013</c:v>
                </c:pt>
                <c:pt idx="18">
                  <c:v>-29.077310000000011</c:v>
                </c:pt>
                <c:pt idx="19">
                  <c:v>-31.330320000000015</c:v>
                </c:pt>
                <c:pt idx="20">
                  <c:v>-32.411030000000011</c:v>
                </c:pt>
                <c:pt idx="21">
                  <c:v>-32.761030000000012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6-401C-87D9-23605FDF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28064"/>
        <c:axId val="209150720"/>
      </c:scatterChart>
      <c:valAx>
        <c:axId val="20912806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50720"/>
        <c:crosses val="autoZero"/>
        <c:crossBetween val="midCat"/>
      </c:valAx>
      <c:valAx>
        <c:axId val="20915072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2806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Guns run#2'!$E$6:$E$58</c:f>
              <c:numCache>
                <c:formatCode>0</c:formatCode>
                <c:ptCount val="53"/>
                <c:pt idx="0">
                  <c:v>288</c:v>
                </c:pt>
                <c:pt idx="1">
                  <c:v>459</c:v>
                </c:pt>
                <c:pt idx="2">
                  <c:v>785</c:v>
                </c:pt>
                <c:pt idx="3">
                  <c:v>1764</c:v>
                </c:pt>
                <c:pt idx="4">
                  <c:v>2110</c:v>
                </c:pt>
                <c:pt idx="5">
                  <c:v>2110</c:v>
                </c:pt>
                <c:pt idx="6">
                  <c:v>2110</c:v>
                </c:pt>
                <c:pt idx="7">
                  <c:v>2110</c:v>
                </c:pt>
                <c:pt idx="8">
                  <c:v>2110</c:v>
                </c:pt>
                <c:pt idx="9">
                  <c:v>2110</c:v>
                </c:pt>
                <c:pt idx="10">
                  <c:v>2110</c:v>
                </c:pt>
                <c:pt idx="11">
                  <c:v>2110</c:v>
                </c:pt>
                <c:pt idx="12">
                  <c:v>2110</c:v>
                </c:pt>
                <c:pt idx="13">
                  <c:v>2110</c:v>
                </c:pt>
                <c:pt idx="14">
                  <c:v>2110</c:v>
                </c:pt>
                <c:pt idx="15">
                  <c:v>2110</c:v>
                </c:pt>
                <c:pt idx="16">
                  <c:v>2110</c:v>
                </c:pt>
                <c:pt idx="17">
                  <c:v>2110</c:v>
                </c:pt>
                <c:pt idx="18">
                  <c:v>2110</c:v>
                </c:pt>
                <c:pt idx="19">
                  <c:v>2110</c:v>
                </c:pt>
                <c:pt idx="20">
                  <c:v>2110</c:v>
                </c:pt>
                <c:pt idx="21">
                  <c:v>1354</c:v>
                </c:pt>
                <c:pt idx="22">
                  <c:v>703</c:v>
                </c:pt>
                <c:pt idx="23">
                  <c:v>675</c:v>
                </c:pt>
                <c:pt idx="24">
                  <c:v>675</c:v>
                </c:pt>
              </c:numCache>
            </c:numRef>
          </c:xVal>
          <c:yVal>
            <c:numRef>
              <c:f>'RIH Guns run#2'!$M$6:$M$58</c:f>
              <c:numCache>
                <c:formatCode>0.00</c:formatCode>
                <c:ptCount val="53"/>
                <c:pt idx="0">
                  <c:v>0</c:v>
                </c:pt>
                <c:pt idx="1">
                  <c:v>-1.4391799999999999</c:v>
                </c:pt>
                <c:pt idx="2">
                  <c:v>-2.7538</c:v>
                </c:pt>
                <c:pt idx="3">
                  <c:v>-6.6620300000000015</c:v>
                </c:pt>
                <c:pt idx="4">
                  <c:v>-10.37405</c:v>
                </c:pt>
                <c:pt idx="5">
                  <c:v>-10.374050000000015</c:v>
                </c:pt>
                <c:pt idx="6">
                  <c:v>-9.9840500000000141</c:v>
                </c:pt>
                <c:pt idx="7">
                  <c:v>-19.714050000000004</c:v>
                </c:pt>
                <c:pt idx="8">
                  <c:v>-20.964050000000004</c:v>
                </c:pt>
                <c:pt idx="9">
                  <c:v>-19.174050000000012</c:v>
                </c:pt>
                <c:pt idx="10">
                  <c:v>-21.464050000000004</c:v>
                </c:pt>
                <c:pt idx="11">
                  <c:v>-26.684050000000006</c:v>
                </c:pt>
                <c:pt idx="12">
                  <c:v>-28.584050000000026</c:v>
                </c:pt>
                <c:pt idx="13">
                  <c:v>-30.574050000000021</c:v>
                </c:pt>
                <c:pt idx="14">
                  <c:v>-36.624050000000025</c:v>
                </c:pt>
                <c:pt idx="15">
                  <c:v>-37.954050000000016</c:v>
                </c:pt>
                <c:pt idx="16">
                  <c:v>-41.374050000000025</c:v>
                </c:pt>
                <c:pt idx="17">
                  <c:v>-43.214050000000029</c:v>
                </c:pt>
                <c:pt idx="18">
                  <c:v>-43.214050000000029</c:v>
                </c:pt>
                <c:pt idx="19">
                  <c:v>-43.734050000000025</c:v>
                </c:pt>
                <c:pt idx="20">
                  <c:v>-43.734050000000025</c:v>
                </c:pt>
                <c:pt idx="21">
                  <c:v>-46.470330000000018</c:v>
                </c:pt>
                <c:pt idx="22">
                  <c:v>-48.985460000000025</c:v>
                </c:pt>
                <c:pt idx="23">
                  <c:v>-48.993100000000027</c:v>
                </c:pt>
                <c:pt idx="24">
                  <c:v>-49.213100000000026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11-49E3-AB1C-3F6FBA74E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65216"/>
        <c:axId val="210267136"/>
      </c:scatterChart>
      <c:valAx>
        <c:axId val="21026521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267136"/>
        <c:crosses val="autoZero"/>
        <c:crossBetween val="midCat"/>
      </c:valAx>
      <c:valAx>
        <c:axId val="2102671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26521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'RIH Guns'!$E$6:$E$58</c:f>
              <c:numCache>
                <c:formatCode>0</c:formatCode>
                <c:ptCount val="53"/>
                <c:pt idx="0">
                  <c:v>332</c:v>
                </c:pt>
                <c:pt idx="1">
                  <c:v>357</c:v>
                </c:pt>
                <c:pt idx="2">
                  <c:v>785</c:v>
                </c:pt>
                <c:pt idx="3">
                  <c:v>1576</c:v>
                </c:pt>
                <c:pt idx="4">
                  <c:v>1929</c:v>
                </c:pt>
                <c:pt idx="5">
                  <c:v>1956</c:v>
                </c:pt>
                <c:pt idx="6">
                  <c:v>2091</c:v>
                </c:pt>
                <c:pt idx="7">
                  <c:v>2091</c:v>
                </c:pt>
                <c:pt idx="8">
                  <c:v>2091</c:v>
                </c:pt>
                <c:pt idx="9">
                  <c:v>2091</c:v>
                </c:pt>
                <c:pt idx="10">
                  <c:v>2091</c:v>
                </c:pt>
                <c:pt idx="11">
                  <c:v>2110</c:v>
                </c:pt>
                <c:pt idx="12">
                  <c:v>2110</c:v>
                </c:pt>
                <c:pt idx="13">
                  <c:v>2110</c:v>
                </c:pt>
                <c:pt idx="14">
                  <c:v>2110</c:v>
                </c:pt>
                <c:pt idx="15">
                  <c:v>2110</c:v>
                </c:pt>
                <c:pt idx="16">
                  <c:v>2110</c:v>
                </c:pt>
                <c:pt idx="17" formatCode="General">
                  <c:v>2110</c:v>
                </c:pt>
                <c:pt idx="18" formatCode="General">
                  <c:v>2110</c:v>
                </c:pt>
                <c:pt idx="19" formatCode="General">
                  <c:v>2110</c:v>
                </c:pt>
                <c:pt idx="20" formatCode="General">
                  <c:v>2096</c:v>
                </c:pt>
                <c:pt idx="21" formatCode="General">
                  <c:v>2096</c:v>
                </c:pt>
                <c:pt idx="22" formatCode="General">
                  <c:v>1330</c:v>
                </c:pt>
                <c:pt idx="23" formatCode="General">
                  <c:v>895</c:v>
                </c:pt>
                <c:pt idx="24" formatCode="General">
                  <c:v>895</c:v>
                </c:pt>
                <c:pt idx="25" formatCode="General">
                  <c:v>516</c:v>
                </c:pt>
              </c:numCache>
            </c:numRef>
          </c:xVal>
          <c:yVal>
            <c:numRef>
              <c:f>'RIH Guns'!$M$6:$M$58</c:f>
              <c:numCache>
                <c:formatCode>0.00</c:formatCode>
                <c:ptCount val="53"/>
                <c:pt idx="0">
                  <c:v>0</c:v>
                </c:pt>
                <c:pt idx="1">
                  <c:v>-2.5244999999999997</c:v>
                </c:pt>
                <c:pt idx="2">
                  <c:v>-6.7627399999999991</c:v>
                </c:pt>
                <c:pt idx="3">
                  <c:v>-10.62941</c:v>
                </c:pt>
                <c:pt idx="4">
                  <c:v>-13.042019999999999</c:v>
                </c:pt>
                <c:pt idx="5">
                  <c:v>-13.100009999999999</c:v>
                </c:pt>
                <c:pt idx="6">
                  <c:v>-16.449959999999997</c:v>
                </c:pt>
                <c:pt idx="7">
                  <c:v>-16.449959999999997</c:v>
                </c:pt>
                <c:pt idx="8">
                  <c:v>-17.14996</c:v>
                </c:pt>
                <c:pt idx="9">
                  <c:v>-17.14996</c:v>
                </c:pt>
                <c:pt idx="10">
                  <c:v>-17.609960000000001</c:v>
                </c:pt>
                <c:pt idx="11">
                  <c:v>-17.702989999999993</c:v>
                </c:pt>
                <c:pt idx="12">
                  <c:v>-21.192990000000002</c:v>
                </c:pt>
                <c:pt idx="13">
                  <c:v>-25.192990000000002</c:v>
                </c:pt>
                <c:pt idx="14">
                  <c:v>-29.692990000000002</c:v>
                </c:pt>
                <c:pt idx="15">
                  <c:v>-29.692990000000002</c:v>
                </c:pt>
                <c:pt idx="16">
                  <c:v>-30.692990000000002</c:v>
                </c:pt>
                <c:pt idx="17">
                  <c:v>-30.992989999999999</c:v>
                </c:pt>
                <c:pt idx="18">
                  <c:v>-32.692989999999988</c:v>
                </c:pt>
                <c:pt idx="19">
                  <c:v>-33.54299000000001</c:v>
                </c:pt>
                <c:pt idx="20">
                  <c:v>-36.871809999999996</c:v>
                </c:pt>
                <c:pt idx="21">
                  <c:v>-37.431809999999999</c:v>
                </c:pt>
                <c:pt idx="22">
                  <c:v>-40.244389999999996</c:v>
                </c:pt>
                <c:pt idx="23">
                  <c:v>-42.543439999999997</c:v>
                </c:pt>
                <c:pt idx="24">
                  <c:v>-43.113439999999997</c:v>
                </c:pt>
                <c:pt idx="25">
                  <c:v>-45.107209999999995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A2-4973-A99F-E2AC5FB7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9072"/>
        <c:axId val="211174912"/>
      </c:scatterChart>
      <c:valAx>
        <c:axId val="21041907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74912"/>
        <c:crosses val="autoZero"/>
        <c:crossBetween val="midCat"/>
      </c:valAx>
      <c:valAx>
        <c:axId val="21117491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4190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'POOH ME Plug'!$E$6:$E$58</c:f>
              <c:numCache>
                <c:formatCode>0</c:formatCode>
                <c:ptCount val="53"/>
                <c:pt idx="0">
                  <c:v>1810</c:v>
                </c:pt>
                <c:pt idx="1">
                  <c:v>1810</c:v>
                </c:pt>
                <c:pt idx="2">
                  <c:v>1810</c:v>
                </c:pt>
                <c:pt idx="3">
                  <c:v>1810</c:v>
                </c:pt>
                <c:pt idx="4">
                  <c:v>1810</c:v>
                </c:pt>
                <c:pt idx="5">
                  <c:v>1810</c:v>
                </c:pt>
                <c:pt idx="6">
                  <c:v>1742</c:v>
                </c:pt>
                <c:pt idx="7">
                  <c:v>1686</c:v>
                </c:pt>
                <c:pt idx="8" formatCode="General">
                  <c:v>1441</c:v>
                </c:pt>
                <c:pt idx="9" formatCode="General">
                  <c:v>1441</c:v>
                </c:pt>
                <c:pt idx="10" formatCode="General">
                  <c:v>1197</c:v>
                </c:pt>
                <c:pt idx="11" formatCode="General">
                  <c:v>491</c:v>
                </c:pt>
                <c:pt idx="12" formatCode="General">
                  <c:v>491</c:v>
                </c:pt>
                <c:pt idx="13" formatCode="General">
                  <c:v>110</c:v>
                </c:pt>
                <c:pt idx="14" formatCode="General">
                  <c:v>110</c:v>
                </c:pt>
                <c:pt idx="15" formatCode="General">
                  <c:v>110</c:v>
                </c:pt>
              </c:numCache>
            </c:numRef>
          </c:xVal>
          <c:yVal>
            <c:numRef>
              <c:f>'POOH ME Plug'!$M$6:$M$58</c:f>
              <c:numCache>
                <c:formatCode>0.00</c:formatCode>
                <c:ptCount val="53"/>
                <c:pt idx="0">
                  <c:v>0</c:v>
                </c:pt>
                <c:pt idx="1">
                  <c:v>-2.0600000000000023</c:v>
                </c:pt>
                <c:pt idx="2">
                  <c:v>-3.7700000000000102</c:v>
                </c:pt>
                <c:pt idx="3">
                  <c:v>-6.5200000000000102</c:v>
                </c:pt>
                <c:pt idx="4">
                  <c:v>-7.8400000000000034</c:v>
                </c:pt>
                <c:pt idx="5">
                  <c:v>-8.7200000000000024</c:v>
                </c:pt>
                <c:pt idx="6">
                  <c:v>-10.700560000000001</c:v>
                </c:pt>
                <c:pt idx="7">
                  <c:v>-11.955840000000002</c:v>
                </c:pt>
                <c:pt idx="8">
                  <c:v>-15.135190000000001</c:v>
                </c:pt>
                <c:pt idx="9">
                  <c:v>-15.195190000000004</c:v>
                </c:pt>
                <c:pt idx="10">
                  <c:v>-17.698910000000005</c:v>
                </c:pt>
                <c:pt idx="11">
                  <c:v>-25.373690000000003</c:v>
                </c:pt>
                <c:pt idx="12">
                  <c:v>-26.173690000000001</c:v>
                </c:pt>
                <c:pt idx="13">
                  <c:v>-29.928719999999998</c:v>
                </c:pt>
                <c:pt idx="14">
                  <c:v>-31.248719999999999</c:v>
                </c:pt>
                <c:pt idx="15">
                  <c:v>-31.828719999999997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E8-47D4-93F1-A34DAA693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0944"/>
        <c:axId val="211341312"/>
      </c:scatterChart>
      <c:valAx>
        <c:axId val="21133094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341312"/>
        <c:crosses val="autoZero"/>
        <c:crossBetween val="midCat"/>
      </c:valAx>
      <c:valAx>
        <c:axId val="21134131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33094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29516160837527E-2"/>
          <c:y val="1.72913855442818E-2"/>
          <c:w val="0.88571428571428557"/>
          <c:h val="0.8971193415637860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'Kill well_Pull Plug'!$E$6:$E$58</c:f>
              <c:numCache>
                <c:formatCode>0</c:formatCode>
                <c:ptCount val="53"/>
                <c:pt idx="0">
                  <c:v>1975</c:v>
                </c:pt>
                <c:pt idx="1">
                  <c:v>1975</c:v>
                </c:pt>
                <c:pt idx="2" formatCode="General">
                  <c:v>1816</c:v>
                </c:pt>
                <c:pt idx="3" formatCode="General">
                  <c:v>1816</c:v>
                </c:pt>
                <c:pt idx="4" formatCode="General">
                  <c:v>1816</c:v>
                </c:pt>
                <c:pt idx="5" formatCode="General">
                  <c:v>1808</c:v>
                </c:pt>
                <c:pt idx="6" formatCode="General">
                  <c:v>1808</c:v>
                </c:pt>
                <c:pt idx="7" formatCode="General">
                  <c:v>1808</c:v>
                </c:pt>
                <c:pt idx="8" formatCode="General">
                  <c:v>1808</c:v>
                </c:pt>
                <c:pt idx="9" formatCode="General">
                  <c:v>1808</c:v>
                </c:pt>
                <c:pt idx="10" formatCode="General">
                  <c:v>1808</c:v>
                </c:pt>
                <c:pt idx="11" formatCode="General">
                  <c:v>1808</c:v>
                </c:pt>
                <c:pt idx="12" formatCode="General">
                  <c:v>1808</c:v>
                </c:pt>
                <c:pt idx="13" formatCode="General">
                  <c:v>1808</c:v>
                </c:pt>
                <c:pt idx="14" formatCode="General">
                  <c:v>1808</c:v>
                </c:pt>
                <c:pt idx="15" formatCode="General">
                  <c:v>1808</c:v>
                </c:pt>
                <c:pt idx="16" formatCode="General">
                  <c:v>1808</c:v>
                </c:pt>
                <c:pt idx="17" formatCode="General">
                  <c:v>1808</c:v>
                </c:pt>
                <c:pt idx="18" formatCode="General">
                  <c:v>1808</c:v>
                </c:pt>
                <c:pt idx="19" formatCode="General">
                  <c:v>1808</c:v>
                </c:pt>
                <c:pt idx="20" formatCode="General">
                  <c:v>1808</c:v>
                </c:pt>
                <c:pt idx="21" formatCode="General">
                  <c:v>1808</c:v>
                </c:pt>
                <c:pt idx="22" formatCode="General">
                  <c:v>1808</c:v>
                </c:pt>
                <c:pt idx="23" formatCode="General">
                  <c:v>1808</c:v>
                </c:pt>
                <c:pt idx="24" formatCode="General">
                  <c:v>1808</c:v>
                </c:pt>
                <c:pt idx="25" formatCode="General">
                  <c:v>1808</c:v>
                </c:pt>
                <c:pt idx="26" formatCode="General">
                  <c:v>1808</c:v>
                </c:pt>
                <c:pt idx="27" formatCode="General">
                  <c:v>1808</c:v>
                </c:pt>
                <c:pt idx="28" formatCode="General">
                  <c:v>1808</c:v>
                </c:pt>
                <c:pt idx="29" formatCode="General">
                  <c:v>1808</c:v>
                </c:pt>
                <c:pt idx="30" formatCode="General">
                  <c:v>1808</c:v>
                </c:pt>
                <c:pt idx="31" formatCode="General">
                  <c:v>1808</c:v>
                </c:pt>
                <c:pt idx="32" formatCode="General">
                  <c:v>1808</c:v>
                </c:pt>
                <c:pt idx="33" formatCode="General">
                  <c:v>1808</c:v>
                </c:pt>
                <c:pt idx="34" formatCode="General">
                  <c:v>1808</c:v>
                </c:pt>
                <c:pt idx="35" formatCode="General">
                  <c:v>1808</c:v>
                </c:pt>
                <c:pt idx="36" formatCode="General">
                  <c:v>1808</c:v>
                </c:pt>
                <c:pt idx="37" formatCode="General">
                  <c:v>1808</c:v>
                </c:pt>
                <c:pt idx="38" formatCode="General">
                  <c:v>1808</c:v>
                </c:pt>
                <c:pt idx="39" formatCode="General">
                  <c:v>1808</c:v>
                </c:pt>
                <c:pt idx="40" formatCode="General">
                  <c:v>1808</c:v>
                </c:pt>
                <c:pt idx="41" formatCode="General">
                  <c:v>1808</c:v>
                </c:pt>
                <c:pt idx="42" formatCode="General">
                  <c:v>1808</c:v>
                </c:pt>
                <c:pt idx="43" formatCode="General">
                  <c:v>1808</c:v>
                </c:pt>
                <c:pt idx="44" formatCode="General">
                  <c:v>1808</c:v>
                </c:pt>
                <c:pt idx="45" formatCode="General">
                  <c:v>1808</c:v>
                </c:pt>
                <c:pt idx="46" formatCode="General">
                  <c:v>1808</c:v>
                </c:pt>
                <c:pt idx="47" formatCode="General">
                  <c:v>1808</c:v>
                </c:pt>
              </c:numCache>
            </c:numRef>
          </c:xVal>
          <c:yVal>
            <c:numRef>
              <c:f>'Kill well_Pull Plug'!$M$6:$M$58</c:f>
              <c:numCache>
                <c:formatCode>0.00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2.4822199999999972</c:v>
                </c:pt>
                <c:pt idx="3">
                  <c:v>3.0822199999999986</c:v>
                </c:pt>
                <c:pt idx="4">
                  <c:v>3.4822199999999759</c:v>
                </c:pt>
                <c:pt idx="5">
                  <c:v>3.5668599999999762</c:v>
                </c:pt>
                <c:pt idx="6">
                  <c:v>-50.23314000000002</c:v>
                </c:pt>
                <c:pt idx="7">
                  <c:v>-74.833140000000029</c:v>
                </c:pt>
                <c:pt idx="8">
                  <c:v>-91.533140000000031</c:v>
                </c:pt>
                <c:pt idx="9">
                  <c:v>-156.93314000000004</c:v>
                </c:pt>
                <c:pt idx="10">
                  <c:v>-227.13314000000003</c:v>
                </c:pt>
                <c:pt idx="11">
                  <c:v>-261.73313999999999</c:v>
                </c:pt>
                <c:pt idx="12">
                  <c:v>-329.33314000000001</c:v>
                </c:pt>
                <c:pt idx="13">
                  <c:v>-376.75314000000003</c:v>
                </c:pt>
                <c:pt idx="14">
                  <c:v>-381.52314000000001</c:v>
                </c:pt>
                <c:pt idx="15">
                  <c:v>-384.90314000000001</c:v>
                </c:pt>
                <c:pt idx="16">
                  <c:v>-387.73313999999999</c:v>
                </c:pt>
                <c:pt idx="17">
                  <c:v>-390.38313999999997</c:v>
                </c:pt>
                <c:pt idx="18">
                  <c:v>-393.00313999999997</c:v>
                </c:pt>
                <c:pt idx="19">
                  <c:v>-395.49313999999998</c:v>
                </c:pt>
                <c:pt idx="20">
                  <c:v>-397.88313999999997</c:v>
                </c:pt>
                <c:pt idx="21">
                  <c:v>-400.24313999999998</c:v>
                </c:pt>
                <c:pt idx="22">
                  <c:v>-402.43313999999998</c:v>
                </c:pt>
                <c:pt idx="23">
                  <c:v>-402.35314</c:v>
                </c:pt>
                <c:pt idx="24">
                  <c:v>-407.25313999999997</c:v>
                </c:pt>
                <c:pt idx="25">
                  <c:v>-410.79313999999994</c:v>
                </c:pt>
                <c:pt idx="26">
                  <c:v>-413.74313999999993</c:v>
                </c:pt>
                <c:pt idx="27">
                  <c:v>-416.23313999999993</c:v>
                </c:pt>
                <c:pt idx="28">
                  <c:v>-420.99313999999993</c:v>
                </c:pt>
                <c:pt idx="29">
                  <c:v>-423.37313999999992</c:v>
                </c:pt>
                <c:pt idx="30">
                  <c:v>-428.75313999999992</c:v>
                </c:pt>
                <c:pt idx="31">
                  <c:v>-429.04313999999994</c:v>
                </c:pt>
                <c:pt idx="32">
                  <c:v>-433.46313999999995</c:v>
                </c:pt>
                <c:pt idx="33">
                  <c:v>-435.16313999999994</c:v>
                </c:pt>
                <c:pt idx="34">
                  <c:v>-437.44313999999991</c:v>
                </c:pt>
                <c:pt idx="35">
                  <c:v>-439.72313999999989</c:v>
                </c:pt>
                <c:pt idx="36">
                  <c:v>-442.15313999999989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C9-4C1A-ACAC-445CB8854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94944"/>
        <c:axId val="211396864"/>
      </c:scatterChart>
      <c:valAx>
        <c:axId val="21139494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396864"/>
        <c:crosses val="autoZero"/>
        <c:crossBetween val="midCat"/>
      </c:valAx>
      <c:valAx>
        <c:axId val="21139686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TRIP VOL DIFFERENCE (m3)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39494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699" l="0.70000000000000062" r="0.70000000000000062" t="0.75000000000000699" header="0.30000000000000032" footer="0.30000000000000032"/>
    <c:pageSetup paperSize="259" orientation="landscape" horizontalDpi="300" verticalDpi="3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0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0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0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3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0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4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0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5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0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1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2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3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4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5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6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7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8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69.xml"/><Relationship Id="rId1" Type="http://schemas.openxmlformats.org/officeDocument/2006/relationships/image" Target="../media/image1.emf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147108</xdr:colOff>
      <xdr:row>0</xdr:row>
      <xdr:rowOff>76200</xdr:rowOff>
    </xdr:from>
    <xdr:to>
      <xdr:col>1</xdr:col>
      <xdr:colOff>1152525</xdr:colOff>
      <xdr:row>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3783" y="76200"/>
          <a:ext cx="100541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>
    <xdr:from>
      <xdr:col>19</xdr:col>
      <xdr:colOff>80433</xdr:colOff>
      <xdr:row>20</xdr:row>
      <xdr:rowOff>118530</xdr:rowOff>
    </xdr:from>
    <xdr:to>
      <xdr:col>29</xdr:col>
      <xdr:colOff>602193</xdr:colOff>
      <xdr:row>50</xdr:row>
      <xdr:rowOff>50796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28575</xdr:colOff>
      <xdr:row>0</xdr:row>
      <xdr:rowOff>0</xdr:rowOff>
    </xdr:from>
    <xdr:to>
      <xdr:col>29</xdr:col>
      <xdr:colOff>390525</xdr:colOff>
      <xdr:row>20</xdr:row>
      <xdr:rowOff>52705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350" y="0"/>
          <a:ext cx="6858000" cy="340550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50</xdr:row>
      <xdr:rowOff>114300</xdr:rowOff>
    </xdr:from>
    <xdr:to>
      <xdr:col>26</xdr:col>
      <xdr:colOff>180381</xdr:colOff>
      <xdr:row>86</xdr:row>
      <xdr:rowOff>37398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025" y="8039100"/>
          <a:ext cx="4752381" cy="5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"/>
  <sheetViews>
    <sheetView tabSelected="1" zoomScaleNormal="100" workbookViewId="0">
      <selection activeCell="C8" sqref="C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0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0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206" t="s">
        <v>20</v>
      </c>
      <c r="I5" s="20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20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207" t="s">
        <v>28</v>
      </c>
      <c r="E6" s="39">
        <v>774.49</v>
      </c>
      <c r="F6" s="40">
        <v>29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44626.138888888891</v>
      </c>
      <c r="R6" s="11"/>
      <c r="S6" s="11"/>
    </row>
    <row r="7" spans="1:20" ht="12" customHeight="1" x14ac:dyDescent="0.2">
      <c r="A7" s="37"/>
      <c r="B7" s="48" t="s">
        <v>37</v>
      </c>
      <c r="C7" s="49">
        <v>13.33</v>
      </c>
      <c r="D7" s="39"/>
      <c r="E7" s="39">
        <v>900</v>
      </c>
      <c r="F7" s="40">
        <v>35</v>
      </c>
      <c r="G7" s="51">
        <v>5</v>
      </c>
      <c r="H7" s="44">
        <f t="shared" ref="H7:H70" si="0">IF(E7="","",((E7-E6)*C7)/1000)</f>
        <v>1.6730482999999998</v>
      </c>
      <c r="I7" s="52">
        <f>IF(F7="","",F7-F6-G7)</f>
        <v>1</v>
      </c>
      <c r="J7" s="44">
        <f>IF(F7="","",I7-H7)</f>
        <v>-0.67304829999999982</v>
      </c>
      <c r="K7" s="44">
        <f>IF(F7="","",K6+H7)</f>
        <v>1.6730482999999998</v>
      </c>
      <c r="L7" s="44">
        <f>IF(F7="","",L6+I7)</f>
        <v>1</v>
      </c>
      <c r="M7" s="53">
        <f>IF(F7="","",L7-K7)</f>
        <v>-0.67304829999999982</v>
      </c>
      <c r="N7" s="231"/>
      <c r="O7" s="229"/>
      <c r="P7" s="230"/>
      <c r="Q7" s="47">
        <v>44626.177083333336</v>
      </c>
      <c r="R7" s="44">
        <f>IF(Q7="","",J7/((Q7-Q6)*24))</f>
        <v>-0.7342345090753678</v>
      </c>
      <c r="S7" s="44">
        <f t="shared" ref="S7:S70" si="1">IF(Q7="","",M7/((Q7-$Q$6)*24))</f>
        <v>-0.7342345090753678</v>
      </c>
    </row>
    <row r="8" spans="1:20" ht="12" customHeight="1" x14ac:dyDescent="0.2">
      <c r="A8" s="37"/>
      <c r="B8" s="48"/>
      <c r="C8" s="49">
        <v>13.33</v>
      </c>
      <c r="D8" s="54"/>
      <c r="E8" s="39">
        <v>1128.1199999999999</v>
      </c>
      <c r="F8" s="40">
        <v>29.67</v>
      </c>
      <c r="G8" s="51"/>
      <c r="H8" s="44">
        <f t="shared" si="0"/>
        <v>3.0408395999999986</v>
      </c>
      <c r="I8" s="52">
        <f>IF(F8="","",F8-F7-G8)</f>
        <v>-5.3299999999999983</v>
      </c>
      <c r="J8" s="44">
        <f>IF(F8="","",I8-H8)</f>
        <v>-8.3708395999999965</v>
      </c>
      <c r="K8" s="44">
        <f>IF(F8="","",K7+H8)</f>
        <v>4.7138878999999987</v>
      </c>
      <c r="L8" s="44">
        <f>IF(F8="","",L7+I8)</f>
        <v>-4.3299999999999983</v>
      </c>
      <c r="M8" s="53">
        <f>IF(F8="","",L8-K8)</f>
        <v>-9.0438878999999979</v>
      </c>
      <c r="N8" s="231"/>
      <c r="O8" s="229"/>
      <c r="P8" s="230"/>
      <c r="Q8" s="47">
        <v>44626.193749999999</v>
      </c>
      <c r="R8" s="44">
        <f t="shared" ref="R7:R70" si="2">IF(Q8="","",J8/((Q8-Q7)*24))</f>
        <v>-20.92709900487246</v>
      </c>
      <c r="S8" s="44">
        <f t="shared" si="1"/>
        <v>-6.8687756206377957</v>
      </c>
      <c r="T8" s="55"/>
    </row>
    <row r="9" spans="1:20" ht="12" customHeight="1" x14ac:dyDescent="0.2">
      <c r="A9" s="37"/>
      <c r="B9" s="48" t="s">
        <v>39</v>
      </c>
      <c r="C9" s="49">
        <v>13.33</v>
      </c>
      <c r="D9" s="54"/>
      <c r="E9" s="39">
        <v>1500</v>
      </c>
      <c r="F9" s="40">
        <v>38</v>
      </c>
      <c r="G9" s="51"/>
      <c r="H9" s="44">
        <f t="shared" si="0"/>
        <v>4.9571604000000011</v>
      </c>
      <c r="I9" s="52">
        <f>IF(F9="","",F9-F8-G9)</f>
        <v>8.3299999999999983</v>
      </c>
      <c r="J9" s="44">
        <f>IF(F9="","",I9-H9)</f>
        <v>3.3728395999999972</v>
      </c>
      <c r="K9" s="44">
        <f>IF(F9="","",K8+H9)</f>
        <v>9.6710482999999989</v>
      </c>
      <c r="L9" s="44">
        <f>IF(F9="","",L8+I9)</f>
        <v>4</v>
      </c>
      <c r="M9" s="53">
        <f>IF(F9="","",L9-K9)</f>
        <v>-5.6710482999999989</v>
      </c>
      <c r="N9" s="228"/>
      <c r="O9" s="229"/>
      <c r="P9" s="230"/>
      <c r="Q9" s="47">
        <v>44626.209027777775</v>
      </c>
      <c r="R9" s="44">
        <f t="shared" si="2"/>
        <v>9.1986534552269053</v>
      </c>
      <c r="S9" s="44">
        <f t="shared" si="1"/>
        <v>-3.368939584360338</v>
      </c>
    </row>
    <row r="10" spans="1:20" ht="12" customHeight="1" x14ac:dyDescent="0.2">
      <c r="A10" s="37"/>
      <c r="B10" s="48"/>
      <c r="C10" s="49">
        <v>13.33</v>
      </c>
      <c r="D10" s="54"/>
      <c r="E10" s="39">
        <v>845.33</v>
      </c>
      <c r="F10" s="40">
        <v>29.45</v>
      </c>
      <c r="G10" s="51"/>
      <c r="H10" s="44">
        <f t="shared" si="0"/>
        <v>-8.7267510999999995</v>
      </c>
      <c r="I10" s="52">
        <f>IF(F10="","",F10-F9-G10)</f>
        <v>-8.5500000000000007</v>
      </c>
      <c r="J10" s="44">
        <f t="shared" ref="J10:J73" si="3">IF(F10="","",I10-H10)</f>
        <v>0.17675109999999883</v>
      </c>
      <c r="K10" s="44">
        <f t="shared" ref="K10:K73" si="4">IF(F10="","",K9+H10)</f>
        <v>0.94429719999999939</v>
      </c>
      <c r="L10" s="44">
        <f t="shared" ref="L10:L73" si="5">IF(F10="","",L9+I10)</f>
        <v>-4.5500000000000007</v>
      </c>
      <c r="M10" s="53">
        <f t="shared" ref="M10:M73" si="6">IF(F10="","",L10-K10)</f>
        <v>-5.4942972000000001</v>
      </c>
      <c r="N10" s="228" t="s">
        <v>154</v>
      </c>
      <c r="O10" s="229"/>
      <c r="P10" s="230"/>
      <c r="Q10" s="47">
        <v>44626.243750000001</v>
      </c>
      <c r="R10" s="44">
        <f t="shared" si="2"/>
        <v>0.21210131997530676</v>
      </c>
      <c r="S10" s="44">
        <f t="shared" si="1"/>
        <v>-2.183164450334492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868.02</v>
      </c>
      <c r="F11" s="40">
        <v>29.44</v>
      </c>
      <c r="G11" s="51"/>
      <c r="H11" s="44">
        <f t="shared" si="0"/>
        <v>0.30245769999999922</v>
      </c>
      <c r="I11" s="52">
        <f t="shared" ref="I11:I74" si="7">IF(F11="","",F11-F10-G11)</f>
        <v>-9.9999999999980105E-3</v>
      </c>
      <c r="J11" s="44">
        <f t="shared" si="3"/>
        <v>-0.31245769999999723</v>
      </c>
      <c r="K11" s="44">
        <f t="shared" si="4"/>
        <v>1.2467548999999987</v>
      </c>
      <c r="L11" s="44">
        <f t="shared" si="5"/>
        <v>-4.5599999999999987</v>
      </c>
      <c r="M11" s="53">
        <f t="shared" si="6"/>
        <v>-5.8067548999999978</v>
      </c>
      <c r="N11" s="228"/>
      <c r="O11" s="229"/>
      <c r="P11" s="230"/>
      <c r="Q11" s="47"/>
      <c r="R11" s="44" t="str">
        <f t="shared" si="2"/>
        <v/>
      </c>
      <c r="S11" s="44" t="str">
        <f t="shared" si="1"/>
        <v/>
      </c>
    </row>
    <row r="12" spans="1:20" ht="12" customHeight="1" x14ac:dyDescent="0.2">
      <c r="A12" s="37"/>
      <c r="B12" s="48"/>
      <c r="C12" s="49">
        <v>13.33</v>
      </c>
      <c r="D12" s="54"/>
      <c r="E12" s="39">
        <v>894.94</v>
      </c>
      <c r="F12" s="56">
        <v>29.55</v>
      </c>
      <c r="G12" s="51"/>
      <c r="H12" s="44">
        <f t="shared" si="0"/>
        <v>0.35884360000000093</v>
      </c>
      <c r="I12" s="52">
        <f t="shared" si="7"/>
        <v>0.10999999999999943</v>
      </c>
      <c r="J12" s="44">
        <f t="shared" si="3"/>
        <v>-0.2488436000000015</v>
      </c>
      <c r="K12" s="44">
        <f t="shared" si="4"/>
        <v>1.6055984999999997</v>
      </c>
      <c r="L12" s="44">
        <f t="shared" si="5"/>
        <v>-4.4499999999999993</v>
      </c>
      <c r="M12" s="53">
        <f t="shared" si="6"/>
        <v>-6.0555984999999986</v>
      </c>
      <c r="N12" s="228"/>
      <c r="O12" s="229"/>
      <c r="P12" s="230"/>
      <c r="Q12" s="47"/>
      <c r="R12" s="44" t="str">
        <f t="shared" si="2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13.33</v>
      </c>
      <c r="D13" s="54"/>
      <c r="E13" s="39">
        <v>940.87</v>
      </c>
      <c r="F13" s="40">
        <v>31.26</v>
      </c>
      <c r="G13" s="51">
        <v>5</v>
      </c>
      <c r="H13" s="44">
        <f t="shared" si="0"/>
        <v>0.61224689999999926</v>
      </c>
      <c r="I13" s="52">
        <f t="shared" si="7"/>
        <v>-3.2899999999999991</v>
      </c>
      <c r="J13" s="44">
        <f t="shared" si="3"/>
        <v>-3.9022468999999984</v>
      </c>
      <c r="K13" s="44">
        <f t="shared" si="4"/>
        <v>2.217845399999999</v>
      </c>
      <c r="L13" s="44">
        <f t="shared" si="5"/>
        <v>-7.7399999999999984</v>
      </c>
      <c r="M13" s="53">
        <f t="shared" si="6"/>
        <v>-9.9578453999999965</v>
      </c>
      <c r="N13" s="228"/>
      <c r="O13" s="229"/>
      <c r="P13" s="230"/>
      <c r="Q13" s="47"/>
      <c r="R13" s="44" t="str">
        <f t="shared" si="2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13.33</v>
      </c>
      <c r="D14" s="54"/>
      <c r="E14" s="39">
        <v>968.58</v>
      </c>
      <c r="F14" s="40">
        <v>35</v>
      </c>
      <c r="G14" s="51"/>
      <c r="H14" s="44">
        <f t="shared" si="0"/>
        <v>0.36937430000000043</v>
      </c>
      <c r="I14" s="52">
        <f t="shared" si="7"/>
        <v>3.7399999999999984</v>
      </c>
      <c r="J14" s="44">
        <f t="shared" si="3"/>
        <v>3.3706256999999979</v>
      </c>
      <c r="K14" s="44">
        <f t="shared" si="4"/>
        <v>2.5872196999999995</v>
      </c>
      <c r="L14" s="44">
        <f t="shared" si="5"/>
        <v>-4</v>
      </c>
      <c r="M14" s="53">
        <f t="shared" si="6"/>
        <v>-6.5872196999999995</v>
      </c>
      <c r="N14" s="231"/>
      <c r="O14" s="229"/>
      <c r="P14" s="230"/>
      <c r="Q14" s="47"/>
      <c r="R14" s="44" t="str">
        <f t="shared" si="2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13.33</v>
      </c>
      <c r="D15" s="54"/>
      <c r="E15" s="39">
        <v>976.43</v>
      </c>
      <c r="F15" s="40">
        <v>29.44</v>
      </c>
      <c r="G15" s="51"/>
      <c r="H15" s="44">
        <f t="shared" si="0"/>
        <v>0.10464049999999879</v>
      </c>
      <c r="I15" s="52">
        <f t="shared" si="7"/>
        <v>-5.5599999999999987</v>
      </c>
      <c r="J15" s="44">
        <f t="shared" si="3"/>
        <v>-5.6646404999999973</v>
      </c>
      <c r="K15" s="44">
        <f t="shared" si="4"/>
        <v>2.691860199999998</v>
      </c>
      <c r="L15" s="44">
        <f t="shared" si="5"/>
        <v>-9.5599999999999987</v>
      </c>
      <c r="M15" s="53">
        <f t="shared" si="6"/>
        <v>-12.251860199999996</v>
      </c>
      <c r="N15" s="231"/>
      <c r="O15" s="229"/>
      <c r="P15" s="230"/>
      <c r="Q15" s="47"/>
      <c r="R15" s="44" t="str">
        <f t="shared" si="2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13.33</v>
      </c>
      <c r="D16" s="57"/>
      <c r="E16" s="39">
        <v>986.35</v>
      </c>
      <c r="F16" s="40">
        <v>29.44</v>
      </c>
      <c r="G16" s="51"/>
      <c r="H16" s="44">
        <f t="shared" si="0"/>
        <v>0.13223360000000095</v>
      </c>
      <c r="I16" s="52">
        <f t="shared" si="7"/>
        <v>0</v>
      </c>
      <c r="J16" s="44">
        <f t="shared" si="3"/>
        <v>-0.13223360000000095</v>
      </c>
      <c r="K16" s="44">
        <f t="shared" si="4"/>
        <v>2.8240937999999991</v>
      </c>
      <c r="L16" s="44">
        <f t="shared" si="5"/>
        <v>-9.5599999999999987</v>
      </c>
      <c r="M16" s="53">
        <f t="shared" si="6"/>
        <v>-12.384093799999999</v>
      </c>
      <c r="N16" s="228"/>
      <c r="O16" s="229"/>
      <c r="P16" s="230"/>
      <c r="Q16" s="47"/>
      <c r="R16" s="44" t="str">
        <f t="shared" si="2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/>
      <c r="F17" s="40"/>
      <c r="G17" s="51"/>
      <c r="H17" s="44" t="str">
        <f t="shared" si="0"/>
        <v/>
      </c>
      <c r="I17" s="52" t="str">
        <f t="shared" si="7"/>
        <v/>
      </c>
      <c r="J17" s="44" t="str">
        <f t="shared" si="3"/>
        <v/>
      </c>
      <c r="K17" s="44" t="str">
        <f t="shared" si="4"/>
        <v/>
      </c>
      <c r="L17" s="44" t="str">
        <f t="shared" si="5"/>
        <v/>
      </c>
      <c r="M17" s="53" t="str">
        <f t="shared" si="6"/>
        <v/>
      </c>
      <c r="N17" s="231"/>
      <c r="O17" s="229"/>
      <c r="P17" s="230"/>
      <c r="Q17" s="47"/>
      <c r="R17" s="44" t="str">
        <f t="shared" si="2"/>
        <v/>
      </c>
      <c r="S17" s="44" t="str">
        <f t="shared" si="1"/>
        <v/>
      </c>
    </row>
    <row r="18" spans="1:19" ht="12" customHeight="1" x14ac:dyDescent="0.2">
      <c r="A18" s="37"/>
      <c r="B18" s="48"/>
      <c r="C18" s="49"/>
      <c r="D18" s="54"/>
      <c r="E18" s="39"/>
      <c r="F18" s="40"/>
      <c r="G18" s="40"/>
      <c r="H18" s="44" t="str">
        <f t="shared" si="0"/>
        <v/>
      </c>
      <c r="I18" s="52" t="str">
        <f t="shared" si="7"/>
        <v/>
      </c>
      <c r="J18" s="44" t="str">
        <f t="shared" si="3"/>
        <v/>
      </c>
      <c r="K18" s="44" t="str">
        <f t="shared" si="4"/>
        <v/>
      </c>
      <c r="L18" s="44" t="str">
        <f t="shared" si="5"/>
        <v/>
      </c>
      <c r="M18" s="53" t="str">
        <f t="shared" si="6"/>
        <v/>
      </c>
      <c r="N18" s="228"/>
      <c r="O18" s="229"/>
      <c r="P18" s="230"/>
      <c r="Q18" s="47"/>
      <c r="R18" s="44" t="str">
        <f t="shared" si="2"/>
        <v/>
      </c>
      <c r="S18" s="44" t="str">
        <f t="shared" si="1"/>
        <v/>
      </c>
    </row>
    <row r="19" spans="1:19" ht="12" customHeight="1" x14ac:dyDescent="0.2">
      <c r="A19" s="37"/>
      <c r="B19" s="48"/>
      <c r="C19" s="49"/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2"/>
        <v/>
      </c>
      <c r="S19" s="44" t="str">
        <f t="shared" si="1"/>
        <v/>
      </c>
    </row>
    <row r="20" spans="1:19" ht="12" customHeight="1" x14ac:dyDescent="0.2">
      <c r="A20" s="37"/>
      <c r="B20" s="48"/>
      <c r="C20" s="49"/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2"/>
        <v/>
      </c>
      <c r="S20" s="44" t="str">
        <f t="shared" si="1"/>
        <v/>
      </c>
    </row>
    <row r="21" spans="1:19" ht="12" customHeight="1" x14ac:dyDescent="0.2">
      <c r="A21" s="37"/>
      <c r="B21" s="48"/>
      <c r="C21" s="49"/>
      <c r="D21" s="54"/>
      <c r="E21" s="39"/>
      <c r="F21" s="40"/>
      <c r="G21" s="51"/>
      <c r="H21" s="44" t="str">
        <f t="shared" si="0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2"/>
        <v/>
      </c>
      <c r="S21" s="44" t="str">
        <f t="shared" si="1"/>
        <v/>
      </c>
    </row>
    <row r="22" spans="1:19" ht="12" customHeight="1" x14ac:dyDescent="0.2">
      <c r="A22" s="37"/>
      <c r="B22" s="48"/>
      <c r="C22" s="49"/>
      <c r="D22" s="54"/>
      <c r="E22" s="39"/>
      <c r="F22" s="40"/>
      <c r="G22" s="51"/>
      <c r="H22" s="44" t="str">
        <f t="shared" si="0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2"/>
        <v/>
      </c>
      <c r="S22" s="44" t="str">
        <f t="shared" si="1"/>
        <v/>
      </c>
    </row>
    <row r="23" spans="1:19" ht="12" customHeight="1" x14ac:dyDescent="0.2">
      <c r="A23" s="37"/>
      <c r="B23" s="48"/>
      <c r="C23" s="49"/>
      <c r="D23" s="54"/>
      <c r="E23" s="39"/>
      <c r="F23" s="40"/>
      <c r="G23" s="51"/>
      <c r="H23" s="44" t="str">
        <f t="shared" si="0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2"/>
        <v/>
      </c>
      <c r="S23" s="44" t="str">
        <f t="shared" si="1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 t="str">
        <f t="shared" si="0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2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2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2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2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2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2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2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2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2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2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202"/>
      <c r="O34" s="203"/>
      <c r="P34" s="204"/>
      <c r="Q34" s="47"/>
      <c r="R34" s="44" t="str">
        <f t="shared" si="2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2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2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2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2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2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2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2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2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2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2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2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2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2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2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2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2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2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2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2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2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2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2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2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2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2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2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2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2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2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2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2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2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2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2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2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99"/>
      <c r="O76" s="200"/>
      <c r="P76" s="20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99"/>
      <c r="O77" s="200"/>
      <c r="P77" s="20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99"/>
      <c r="O78" s="200"/>
      <c r="P78" s="20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99"/>
      <c r="O79" s="200"/>
      <c r="P79" s="20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"/>
  <sheetViews>
    <sheetView zoomScaleNormal="100" workbookViewId="0">
      <selection activeCell="B7" sqref="B7:C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0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0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206" t="s">
        <v>20</v>
      </c>
      <c r="I5" s="20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20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207" t="s">
        <v>28</v>
      </c>
      <c r="E6" s="39">
        <v>134</v>
      </c>
      <c r="F6" s="40">
        <v>3.5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44626.138888888891</v>
      </c>
      <c r="R6" s="11"/>
      <c r="S6" s="11"/>
    </row>
    <row r="7" spans="1:20" ht="12" customHeight="1" x14ac:dyDescent="0.2">
      <c r="A7" s="37"/>
      <c r="B7" s="48" t="s">
        <v>37</v>
      </c>
      <c r="C7" s="49">
        <v>15.74</v>
      </c>
      <c r="D7" s="39"/>
      <c r="E7" s="39">
        <v>682</v>
      </c>
      <c r="F7" s="40">
        <v>8.84</v>
      </c>
      <c r="G7" s="51"/>
      <c r="H7" s="44"/>
      <c r="I7" s="52"/>
      <c r="J7" s="44"/>
      <c r="K7" s="44"/>
      <c r="L7" s="44"/>
      <c r="M7" s="53"/>
      <c r="N7" s="231"/>
      <c r="O7" s="229"/>
      <c r="P7" s="230"/>
      <c r="Q7" s="47">
        <v>44626.173611111109</v>
      </c>
      <c r="R7" s="44">
        <f t="shared" ref="R7:R70" si="0">IF(Q7="","",J7/((Q7-Q6)*24))</f>
        <v>0</v>
      </c>
      <c r="S7" s="44">
        <f t="shared" ref="S7:S70" si="1">IF(Q7="","",M7/((Q7-$Q$6)*24))</f>
        <v>0</v>
      </c>
    </row>
    <row r="8" spans="1:20" ht="12" customHeight="1" x14ac:dyDescent="0.2">
      <c r="A8" s="37"/>
      <c r="B8" s="48"/>
      <c r="C8" s="49">
        <v>15.74</v>
      </c>
      <c r="D8" s="54"/>
      <c r="E8" s="39"/>
      <c r="F8" s="40"/>
      <c r="G8" s="51"/>
      <c r="H8" s="44"/>
      <c r="I8" s="52"/>
      <c r="J8" s="44"/>
      <c r="K8" s="44"/>
      <c r="L8" s="44"/>
      <c r="M8" s="53"/>
      <c r="N8" s="231"/>
      <c r="O8" s="229"/>
      <c r="P8" s="230"/>
      <c r="Q8" s="47"/>
      <c r="R8" s="44" t="str">
        <f t="shared" si="0"/>
        <v/>
      </c>
      <c r="S8" s="44" t="str">
        <f t="shared" si="1"/>
        <v/>
      </c>
      <c r="T8" s="55"/>
    </row>
    <row r="9" spans="1:20" ht="12" customHeight="1" x14ac:dyDescent="0.2">
      <c r="A9" s="37"/>
      <c r="B9" s="48"/>
      <c r="C9" s="49">
        <v>15.74</v>
      </c>
      <c r="D9" s="54"/>
      <c r="E9" s="39"/>
      <c r="F9" s="40"/>
      <c r="G9" s="51"/>
      <c r="H9" s="44"/>
      <c r="I9" s="52"/>
      <c r="J9" s="44"/>
      <c r="K9" s="44"/>
      <c r="L9" s="44"/>
      <c r="M9" s="53"/>
      <c r="N9" s="228"/>
      <c r="O9" s="229"/>
      <c r="P9" s="230"/>
      <c r="Q9" s="47"/>
      <c r="R9" s="44" t="str">
        <f t="shared" si="0"/>
        <v/>
      </c>
      <c r="S9" s="44" t="str">
        <f t="shared" si="1"/>
        <v/>
      </c>
    </row>
    <row r="10" spans="1:20" ht="12" customHeight="1" x14ac:dyDescent="0.2">
      <c r="A10" s="37"/>
      <c r="B10" s="48"/>
      <c r="C10" s="49">
        <v>15.74</v>
      </c>
      <c r="D10" s="54"/>
      <c r="E10" s="39"/>
      <c r="F10" s="40"/>
      <c r="G10" s="51"/>
      <c r="H10" s="44"/>
      <c r="I10" s="52"/>
      <c r="J10" s="44"/>
      <c r="K10" s="44"/>
      <c r="L10" s="44"/>
      <c r="M10" s="53"/>
      <c r="N10" s="228"/>
      <c r="O10" s="229"/>
      <c r="P10" s="230"/>
      <c r="Q10" s="47"/>
      <c r="R10" s="44" t="str">
        <f t="shared" si="0"/>
        <v/>
      </c>
      <c r="S10" s="44" t="str">
        <f t="shared" si="1"/>
        <v/>
      </c>
      <c r="T10" s="55"/>
    </row>
    <row r="11" spans="1:20" ht="12" customHeight="1" x14ac:dyDescent="0.2">
      <c r="A11" s="37"/>
      <c r="B11" s="48"/>
      <c r="C11" s="49"/>
      <c r="D11" s="54"/>
      <c r="E11" s="39"/>
      <c r="F11" s="40"/>
      <c r="G11" s="51"/>
      <c r="H11" s="44"/>
      <c r="I11" s="52"/>
      <c r="J11" s="44"/>
      <c r="K11" s="44"/>
      <c r="L11" s="44"/>
      <c r="M11" s="53"/>
      <c r="N11" s="228"/>
      <c r="O11" s="229"/>
      <c r="P11" s="230"/>
      <c r="Q11" s="47"/>
      <c r="R11" s="44" t="str">
        <f t="shared" si="0"/>
        <v/>
      </c>
      <c r="S11" s="44" t="str">
        <f t="shared" si="1"/>
        <v/>
      </c>
    </row>
    <row r="12" spans="1:20" ht="12" customHeight="1" x14ac:dyDescent="0.2">
      <c r="A12" s="37"/>
      <c r="B12" s="48"/>
      <c r="C12" s="49"/>
      <c r="D12" s="54"/>
      <c r="E12" s="39"/>
      <c r="F12" s="56"/>
      <c r="G12" s="51"/>
      <c r="H12" s="44"/>
      <c r="I12" s="52"/>
      <c r="J12" s="44"/>
      <c r="K12" s="44"/>
      <c r="L12" s="44"/>
      <c r="M12" s="53"/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 t="s">
        <v>39</v>
      </c>
      <c r="C13" s="49">
        <v>15.93</v>
      </c>
      <c r="D13" s="54"/>
      <c r="E13" s="39"/>
      <c r="F13" s="40"/>
      <c r="G13" s="51"/>
      <c r="H13" s="44"/>
      <c r="I13" s="52"/>
      <c r="J13" s="44"/>
      <c r="K13" s="44"/>
      <c r="L13" s="44"/>
      <c r="M13" s="53"/>
      <c r="N13" s="228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/>
      <c r="D14" s="54"/>
      <c r="E14" s="39"/>
      <c r="F14" s="40"/>
      <c r="G14" s="51"/>
      <c r="H14" s="44"/>
      <c r="I14" s="52"/>
      <c r="J14" s="44"/>
      <c r="K14" s="44"/>
      <c r="L14" s="44"/>
      <c r="M14" s="53"/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/>
      <c r="D15" s="54"/>
      <c r="E15" s="39"/>
      <c r="F15" s="40"/>
      <c r="G15" s="51"/>
      <c r="H15" s="44"/>
      <c r="I15" s="52"/>
      <c r="J15" s="44"/>
      <c r="K15" s="44"/>
      <c r="L15" s="44"/>
      <c r="M15" s="53"/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/>
      <c r="D16" s="57"/>
      <c r="E16" s="39"/>
      <c r="F16" s="40"/>
      <c r="G16" s="51"/>
      <c r="H16" s="44"/>
      <c r="I16" s="52"/>
      <c r="J16" s="44"/>
      <c r="K16" s="44"/>
      <c r="L16" s="44"/>
      <c r="M16" s="53"/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/>
      <c r="D17" s="54"/>
      <c r="E17" s="39"/>
      <c r="F17" s="40"/>
      <c r="G17" s="51"/>
      <c r="H17" s="44"/>
      <c r="I17" s="52"/>
      <c r="J17" s="44"/>
      <c r="K17" s="44"/>
      <c r="L17" s="44"/>
      <c r="M17" s="53"/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/>
      <c r="D18" s="54"/>
      <c r="E18" s="39"/>
      <c r="F18" s="40"/>
      <c r="G18" s="40"/>
      <c r="H18" s="44"/>
      <c r="I18" s="52"/>
      <c r="J18" s="44"/>
      <c r="K18" s="44"/>
      <c r="L18" s="44"/>
      <c r="M18" s="53"/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/>
      <c r="D19" s="54"/>
      <c r="E19" s="39"/>
      <c r="F19" s="40"/>
      <c r="G19" s="40"/>
      <c r="H19" s="44"/>
      <c r="I19" s="52"/>
      <c r="J19" s="44"/>
      <c r="K19" s="44"/>
      <c r="L19" s="44"/>
      <c r="M19" s="53"/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/>
      <c r="D20" s="54"/>
      <c r="E20" s="39"/>
      <c r="F20" s="40"/>
      <c r="G20" s="40"/>
      <c r="H20" s="44"/>
      <c r="I20" s="52"/>
      <c r="J20" s="44"/>
      <c r="K20" s="44"/>
      <c r="L20" s="44"/>
      <c r="M20" s="53"/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/>
      <c r="D21" s="54"/>
      <c r="E21" s="39"/>
      <c r="F21" s="40"/>
      <c r="G21" s="51"/>
      <c r="H21" s="44"/>
      <c r="I21" s="52"/>
      <c r="J21" s="44"/>
      <c r="K21" s="44"/>
      <c r="L21" s="44"/>
      <c r="M21" s="53"/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/>
      <c r="D22" s="54"/>
      <c r="E22" s="39"/>
      <c r="F22" s="40"/>
      <c r="G22" s="51"/>
      <c r="H22" s="44"/>
      <c r="I22" s="52"/>
      <c r="J22" s="44"/>
      <c r="K22" s="44"/>
      <c r="L22" s="44"/>
      <c r="M22" s="53"/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/>
      <c r="D23" s="54"/>
      <c r="E23" s="39"/>
      <c r="F23" s="40"/>
      <c r="G23" s="51"/>
      <c r="H23" s="44"/>
      <c r="I23" s="52"/>
      <c r="J23" s="44"/>
      <c r="K23" s="44"/>
      <c r="L23" s="44"/>
      <c r="M23" s="53"/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/>
      <c r="I24" s="52"/>
      <c r="J24" s="44"/>
      <c r="K24" s="44"/>
      <c r="L24" s="44"/>
      <c r="M24" s="53"/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/>
      <c r="I25" s="52"/>
      <c r="J25" s="44"/>
      <c r="K25" s="44"/>
      <c r="L25" s="44"/>
      <c r="M25" s="53"/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/>
      <c r="I26" s="52"/>
      <c r="J26" s="44"/>
      <c r="K26" s="44"/>
      <c r="L26" s="44"/>
      <c r="M26" s="53"/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/>
      <c r="I27" s="52"/>
      <c r="J27" s="44"/>
      <c r="K27" s="44"/>
      <c r="L27" s="44"/>
      <c r="M27" s="53"/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/>
      <c r="I28" s="52"/>
      <c r="J28" s="44"/>
      <c r="K28" s="44"/>
      <c r="L28" s="44"/>
      <c r="M28" s="53"/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/>
      <c r="I29" s="52"/>
      <c r="J29" s="44"/>
      <c r="K29" s="44"/>
      <c r="L29" s="44"/>
      <c r="M29" s="53"/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/>
      <c r="I30" s="52"/>
      <c r="J30" s="44"/>
      <c r="K30" s="44"/>
      <c r="L30" s="44"/>
      <c r="M30" s="53"/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/>
      <c r="I31" s="52"/>
      <c r="J31" s="44"/>
      <c r="K31" s="44"/>
      <c r="L31" s="44"/>
      <c r="M31" s="53"/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/>
      <c r="I32" s="52"/>
      <c r="J32" s="44"/>
      <c r="K32" s="44"/>
      <c r="L32" s="44"/>
      <c r="M32" s="53"/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/>
      <c r="I33" s="52"/>
      <c r="J33" s="44"/>
      <c r="K33" s="44"/>
      <c r="L33" s="44"/>
      <c r="M33" s="53"/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/>
      <c r="I34" s="52"/>
      <c r="J34" s="44"/>
      <c r="K34" s="44"/>
      <c r="L34" s="44"/>
      <c r="M34" s="53"/>
      <c r="N34" s="202"/>
      <c r="O34" s="203"/>
      <c r="P34" s="204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/>
      <c r="I35" s="52"/>
      <c r="J35" s="44"/>
      <c r="K35" s="44"/>
      <c r="L35" s="44"/>
      <c r="M35" s="53"/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/>
      <c r="I36" s="52"/>
      <c r="J36" s="44"/>
      <c r="K36" s="44"/>
      <c r="L36" s="44"/>
      <c r="M36" s="53"/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/>
      <c r="I37" s="52"/>
      <c r="J37" s="44"/>
      <c r="K37" s="44"/>
      <c r="L37" s="44"/>
      <c r="M37" s="53"/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/>
      <c r="I38" s="52"/>
      <c r="J38" s="44"/>
      <c r="K38" s="44"/>
      <c r="L38" s="44"/>
      <c r="M38" s="53"/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/>
      <c r="I39" s="52"/>
      <c r="J39" s="44"/>
      <c r="K39" s="44"/>
      <c r="L39" s="44"/>
      <c r="M39" s="53"/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ref="H40:H74" si="2">IF(E40="","",((E40-E39)*C40)/1000)</f>
        <v/>
      </c>
      <c r="I40" s="52" t="str">
        <f t="shared" ref="I40:I74" si="3">IF(F40="","",F40-F39-G40)</f>
        <v/>
      </c>
      <c r="J40" s="44" t="str">
        <f t="shared" ref="J40:J103" si="4">IF(F40="","",I40-H40)</f>
        <v/>
      </c>
      <c r="K40" s="44" t="str">
        <f t="shared" ref="K40:K103" si="5">IF(F40="","",K39+H40)</f>
        <v/>
      </c>
      <c r="L40" s="44" t="str">
        <f t="shared" ref="L40:L103" si="6">IF(F40="","",L39+I40)</f>
        <v/>
      </c>
      <c r="M40" s="53" t="str">
        <f t="shared" ref="M40:M103" si="7">IF(F40="","",L40-K40)</f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2"/>
        <v/>
      </c>
      <c r="I41" s="52" t="str">
        <f t="shared" si="3"/>
        <v/>
      </c>
      <c r="J41" s="44" t="str">
        <f t="shared" si="4"/>
        <v/>
      </c>
      <c r="K41" s="44" t="str">
        <f t="shared" si="5"/>
        <v/>
      </c>
      <c r="L41" s="44" t="str">
        <f t="shared" si="6"/>
        <v/>
      </c>
      <c r="M41" s="53" t="str">
        <f t="shared" si="7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2"/>
        <v/>
      </c>
      <c r="I42" s="52" t="str">
        <f t="shared" si="3"/>
        <v/>
      </c>
      <c r="J42" s="44" t="str">
        <f t="shared" si="4"/>
        <v/>
      </c>
      <c r="K42" s="44" t="str">
        <f t="shared" si="5"/>
        <v/>
      </c>
      <c r="L42" s="44" t="str">
        <f t="shared" si="6"/>
        <v/>
      </c>
      <c r="M42" s="53" t="str">
        <f t="shared" si="7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2"/>
        <v/>
      </c>
      <c r="I43" s="52" t="str">
        <f t="shared" si="3"/>
        <v/>
      </c>
      <c r="J43" s="44" t="str">
        <f t="shared" si="4"/>
        <v/>
      </c>
      <c r="K43" s="44" t="str">
        <f t="shared" si="5"/>
        <v/>
      </c>
      <c r="L43" s="44" t="str">
        <f t="shared" si="6"/>
        <v/>
      </c>
      <c r="M43" s="53" t="str">
        <f t="shared" si="7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2"/>
        <v/>
      </c>
      <c r="I44" s="52" t="str">
        <f t="shared" si="3"/>
        <v/>
      </c>
      <c r="J44" s="44" t="str">
        <f t="shared" si="4"/>
        <v/>
      </c>
      <c r="K44" s="44" t="str">
        <f t="shared" si="5"/>
        <v/>
      </c>
      <c r="L44" s="44" t="str">
        <f t="shared" si="6"/>
        <v/>
      </c>
      <c r="M44" s="53" t="str">
        <f t="shared" si="7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2"/>
        <v/>
      </c>
      <c r="I45" s="52" t="str">
        <f t="shared" si="3"/>
        <v/>
      </c>
      <c r="J45" s="44" t="str">
        <f t="shared" si="4"/>
        <v/>
      </c>
      <c r="K45" s="44" t="str">
        <f t="shared" si="5"/>
        <v/>
      </c>
      <c r="L45" s="44" t="str">
        <f t="shared" si="6"/>
        <v/>
      </c>
      <c r="M45" s="53" t="str">
        <f t="shared" si="7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2"/>
        <v/>
      </c>
      <c r="I46" s="52" t="str">
        <f t="shared" si="3"/>
        <v/>
      </c>
      <c r="J46" s="44" t="str">
        <f t="shared" si="4"/>
        <v/>
      </c>
      <c r="K46" s="44" t="str">
        <f t="shared" si="5"/>
        <v/>
      </c>
      <c r="L46" s="44" t="str">
        <f t="shared" si="6"/>
        <v/>
      </c>
      <c r="M46" s="53" t="str">
        <f t="shared" si="7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2"/>
        <v/>
      </c>
      <c r="I47" s="52" t="str">
        <f t="shared" si="3"/>
        <v/>
      </c>
      <c r="J47" s="44" t="str">
        <f t="shared" si="4"/>
        <v/>
      </c>
      <c r="K47" s="44" t="str">
        <f t="shared" si="5"/>
        <v/>
      </c>
      <c r="L47" s="44" t="str">
        <f t="shared" si="6"/>
        <v/>
      </c>
      <c r="M47" s="53" t="str">
        <f t="shared" si="7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2"/>
        <v/>
      </c>
      <c r="I48" s="52" t="str">
        <f t="shared" si="3"/>
        <v/>
      </c>
      <c r="J48" s="44" t="str">
        <f t="shared" si="4"/>
        <v/>
      </c>
      <c r="K48" s="44" t="str">
        <f t="shared" si="5"/>
        <v/>
      </c>
      <c r="L48" s="44" t="str">
        <f t="shared" si="6"/>
        <v/>
      </c>
      <c r="M48" s="53" t="str">
        <f t="shared" si="7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3"/>
        <v/>
      </c>
      <c r="J49" s="44" t="str">
        <f t="shared" si="4"/>
        <v/>
      </c>
      <c r="K49" s="44" t="str">
        <f t="shared" si="5"/>
        <v/>
      </c>
      <c r="L49" s="44" t="str">
        <f t="shared" si="6"/>
        <v/>
      </c>
      <c r="M49" s="53" t="str">
        <f t="shared" si="7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3"/>
        <v/>
      </c>
      <c r="J50" s="44" t="str">
        <f t="shared" si="4"/>
        <v/>
      </c>
      <c r="K50" s="44" t="str">
        <f t="shared" si="5"/>
        <v/>
      </c>
      <c r="L50" s="44" t="str">
        <f t="shared" si="6"/>
        <v/>
      </c>
      <c r="M50" s="53" t="str">
        <f t="shared" si="7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3"/>
        <v/>
      </c>
      <c r="J51" s="44" t="str">
        <f t="shared" si="4"/>
        <v/>
      </c>
      <c r="K51" s="44" t="str">
        <f t="shared" si="5"/>
        <v/>
      </c>
      <c r="L51" s="44" t="str">
        <f t="shared" si="6"/>
        <v/>
      </c>
      <c r="M51" s="53" t="str">
        <f t="shared" si="7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2"/>
        <v/>
      </c>
      <c r="I52" s="52" t="str">
        <f t="shared" si="3"/>
        <v/>
      </c>
      <c r="J52" s="44" t="str">
        <f t="shared" si="4"/>
        <v/>
      </c>
      <c r="K52" s="44" t="str">
        <f t="shared" si="5"/>
        <v/>
      </c>
      <c r="L52" s="44" t="str">
        <f t="shared" si="6"/>
        <v/>
      </c>
      <c r="M52" s="53" t="str">
        <f t="shared" si="7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2"/>
        <v/>
      </c>
      <c r="I53" s="52" t="str">
        <f t="shared" si="3"/>
        <v/>
      </c>
      <c r="J53" s="44" t="str">
        <f t="shared" si="4"/>
        <v/>
      </c>
      <c r="K53" s="44" t="str">
        <f t="shared" si="5"/>
        <v/>
      </c>
      <c r="L53" s="44" t="str">
        <f t="shared" si="6"/>
        <v/>
      </c>
      <c r="M53" s="53" t="str">
        <f t="shared" si="7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2"/>
        <v/>
      </c>
      <c r="I54" s="52" t="str">
        <f t="shared" si="3"/>
        <v/>
      </c>
      <c r="J54" s="44" t="str">
        <f t="shared" si="4"/>
        <v/>
      </c>
      <c r="K54" s="44" t="str">
        <f t="shared" si="5"/>
        <v/>
      </c>
      <c r="L54" s="44" t="str">
        <f t="shared" si="6"/>
        <v/>
      </c>
      <c r="M54" s="53" t="str">
        <f t="shared" si="7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2"/>
        <v/>
      </c>
      <c r="I55" s="52" t="str">
        <f t="shared" si="3"/>
        <v/>
      </c>
      <c r="J55" s="44" t="str">
        <f t="shared" si="4"/>
        <v/>
      </c>
      <c r="K55" s="44" t="str">
        <f t="shared" si="5"/>
        <v/>
      </c>
      <c r="L55" s="44" t="str">
        <f t="shared" si="6"/>
        <v/>
      </c>
      <c r="M55" s="53" t="str">
        <f t="shared" si="7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2"/>
        <v/>
      </c>
      <c r="I56" s="52" t="str">
        <f t="shared" si="3"/>
        <v/>
      </c>
      <c r="J56" s="44" t="str">
        <f t="shared" si="4"/>
        <v/>
      </c>
      <c r="K56" s="44" t="str">
        <f t="shared" si="5"/>
        <v/>
      </c>
      <c r="L56" s="44" t="str">
        <f t="shared" si="6"/>
        <v/>
      </c>
      <c r="M56" s="53" t="str">
        <f t="shared" si="7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2"/>
        <v/>
      </c>
      <c r="I57" s="52" t="str">
        <f t="shared" si="3"/>
        <v/>
      </c>
      <c r="J57" s="44" t="str">
        <f t="shared" si="4"/>
        <v/>
      </c>
      <c r="K57" s="44" t="str">
        <f t="shared" si="5"/>
        <v/>
      </c>
      <c r="L57" s="44" t="str">
        <f t="shared" si="6"/>
        <v/>
      </c>
      <c r="M57" s="53" t="str">
        <f t="shared" si="7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2"/>
        <v/>
      </c>
      <c r="I58" s="52" t="str">
        <f t="shared" si="3"/>
        <v/>
      </c>
      <c r="J58" s="44" t="str">
        <f t="shared" si="4"/>
        <v/>
      </c>
      <c r="K58" s="44" t="str">
        <f t="shared" si="5"/>
        <v/>
      </c>
      <c r="L58" s="44" t="str">
        <f t="shared" si="6"/>
        <v/>
      </c>
      <c r="M58" s="53" t="str">
        <f t="shared" si="7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2"/>
        <v/>
      </c>
      <c r="I59" s="52" t="str">
        <f t="shared" si="3"/>
        <v/>
      </c>
      <c r="J59" s="44" t="str">
        <f t="shared" si="4"/>
        <v/>
      </c>
      <c r="K59" s="44" t="str">
        <f t="shared" si="5"/>
        <v/>
      </c>
      <c r="L59" s="44" t="str">
        <f t="shared" si="6"/>
        <v/>
      </c>
      <c r="M59" s="53" t="str">
        <f t="shared" si="7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2"/>
        <v/>
      </c>
      <c r="I60" s="52" t="str">
        <f t="shared" si="3"/>
        <v/>
      </c>
      <c r="J60" s="44" t="str">
        <f t="shared" si="4"/>
        <v/>
      </c>
      <c r="K60" s="44" t="str">
        <f t="shared" si="5"/>
        <v/>
      </c>
      <c r="L60" s="44" t="str">
        <f t="shared" si="6"/>
        <v/>
      </c>
      <c r="M60" s="53" t="str">
        <f t="shared" si="7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2"/>
        <v/>
      </c>
      <c r="I61" s="52" t="str">
        <f t="shared" si="3"/>
        <v/>
      </c>
      <c r="J61" s="44" t="str">
        <f t="shared" si="4"/>
        <v/>
      </c>
      <c r="K61" s="44" t="str">
        <f t="shared" si="5"/>
        <v/>
      </c>
      <c r="L61" s="44" t="str">
        <f t="shared" si="6"/>
        <v/>
      </c>
      <c r="M61" s="53" t="str">
        <f t="shared" si="7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2"/>
        <v/>
      </c>
      <c r="I62" s="52" t="str">
        <f t="shared" si="3"/>
        <v/>
      </c>
      <c r="J62" s="44" t="str">
        <f t="shared" si="4"/>
        <v/>
      </c>
      <c r="K62" s="44" t="str">
        <f t="shared" si="5"/>
        <v/>
      </c>
      <c r="L62" s="44" t="str">
        <f t="shared" si="6"/>
        <v/>
      </c>
      <c r="M62" s="53" t="str">
        <f t="shared" si="7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2"/>
        <v/>
      </c>
      <c r="I63" s="52" t="str">
        <f t="shared" si="3"/>
        <v/>
      </c>
      <c r="J63" s="44" t="str">
        <f t="shared" si="4"/>
        <v/>
      </c>
      <c r="K63" s="44" t="str">
        <f t="shared" si="5"/>
        <v/>
      </c>
      <c r="L63" s="44" t="str">
        <f t="shared" si="6"/>
        <v/>
      </c>
      <c r="M63" s="53" t="str">
        <f t="shared" si="7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2"/>
        <v/>
      </c>
      <c r="I64" s="52" t="str">
        <f t="shared" si="3"/>
        <v/>
      </c>
      <c r="J64" s="44" t="str">
        <f t="shared" si="4"/>
        <v/>
      </c>
      <c r="K64" s="44" t="str">
        <f t="shared" si="5"/>
        <v/>
      </c>
      <c r="L64" s="44" t="str">
        <f t="shared" si="6"/>
        <v/>
      </c>
      <c r="M64" s="53" t="str">
        <f t="shared" si="7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2"/>
        <v/>
      </c>
      <c r="I65" s="52" t="str">
        <f t="shared" si="3"/>
        <v/>
      </c>
      <c r="J65" s="44" t="str">
        <f t="shared" si="4"/>
        <v/>
      </c>
      <c r="K65" s="44" t="str">
        <f t="shared" si="5"/>
        <v/>
      </c>
      <c r="L65" s="44" t="str">
        <f t="shared" si="6"/>
        <v/>
      </c>
      <c r="M65" s="53" t="str">
        <f t="shared" si="7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2"/>
        <v/>
      </c>
      <c r="I66" s="52" t="str">
        <f t="shared" si="3"/>
        <v/>
      </c>
      <c r="J66" s="44" t="str">
        <f t="shared" si="4"/>
        <v/>
      </c>
      <c r="K66" s="44" t="str">
        <f t="shared" si="5"/>
        <v/>
      </c>
      <c r="L66" s="44" t="str">
        <f t="shared" si="6"/>
        <v/>
      </c>
      <c r="M66" s="53" t="str">
        <f t="shared" si="7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2"/>
        <v/>
      </c>
      <c r="I67" s="52" t="str">
        <f t="shared" si="3"/>
        <v/>
      </c>
      <c r="J67" s="44" t="str">
        <f t="shared" si="4"/>
        <v/>
      </c>
      <c r="K67" s="44" t="str">
        <f t="shared" si="5"/>
        <v/>
      </c>
      <c r="L67" s="44" t="str">
        <f t="shared" si="6"/>
        <v/>
      </c>
      <c r="M67" s="53" t="str">
        <f t="shared" si="7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2"/>
        <v/>
      </c>
      <c r="I68" s="52" t="str">
        <f t="shared" si="3"/>
        <v/>
      </c>
      <c r="J68" s="44" t="str">
        <f t="shared" si="4"/>
        <v/>
      </c>
      <c r="K68" s="44" t="str">
        <f t="shared" si="5"/>
        <v/>
      </c>
      <c r="L68" s="44" t="str">
        <f t="shared" si="6"/>
        <v/>
      </c>
      <c r="M68" s="53" t="str">
        <f t="shared" si="7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2"/>
        <v/>
      </c>
      <c r="I69" s="52" t="str">
        <f t="shared" si="3"/>
        <v/>
      </c>
      <c r="J69" s="44" t="str">
        <f t="shared" si="4"/>
        <v/>
      </c>
      <c r="K69" s="44" t="str">
        <f t="shared" si="5"/>
        <v/>
      </c>
      <c r="L69" s="44" t="str">
        <f t="shared" si="6"/>
        <v/>
      </c>
      <c r="M69" s="53" t="str">
        <f t="shared" si="7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2"/>
        <v/>
      </c>
      <c r="I70" s="52" t="str">
        <f t="shared" si="3"/>
        <v/>
      </c>
      <c r="J70" s="44" t="str">
        <f t="shared" si="4"/>
        <v/>
      </c>
      <c r="K70" s="44" t="str">
        <f t="shared" si="5"/>
        <v/>
      </c>
      <c r="L70" s="44" t="str">
        <f t="shared" si="6"/>
        <v/>
      </c>
      <c r="M70" s="53" t="str">
        <f t="shared" si="7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2"/>
        <v/>
      </c>
      <c r="I71" s="52" t="str">
        <f t="shared" si="3"/>
        <v/>
      </c>
      <c r="J71" s="44" t="str">
        <f t="shared" si="4"/>
        <v/>
      </c>
      <c r="K71" s="44" t="str">
        <f t="shared" si="5"/>
        <v/>
      </c>
      <c r="L71" s="44" t="str">
        <f t="shared" si="6"/>
        <v/>
      </c>
      <c r="M71" s="53" t="str">
        <f t="shared" si="7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2"/>
        <v/>
      </c>
      <c r="I72" s="52" t="str">
        <f t="shared" si="3"/>
        <v/>
      </c>
      <c r="J72" s="44" t="str">
        <f t="shared" si="4"/>
        <v/>
      </c>
      <c r="K72" s="44" t="str">
        <f t="shared" si="5"/>
        <v/>
      </c>
      <c r="L72" s="44" t="str">
        <f t="shared" si="6"/>
        <v/>
      </c>
      <c r="M72" s="53" t="str">
        <f t="shared" si="7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2"/>
        <v/>
      </c>
      <c r="I73" s="52" t="str">
        <f t="shared" si="3"/>
        <v/>
      </c>
      <c r="J73" s="44" t="str">
        <f t="shared" si="4"/>
        <v/>
      </c>
      <c r="K73" s="44" t="str">
        <f t="shared" si="5"/>
        <v/>
      </c>
      <c r="L73" s="44" t="str">
        <f t="shared" si="6"/>
        <v/>
      </c>
      <c r="M73" s="53" t="str">
        <f t="shared" si="7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2"/>
        <v/>
      </c>
      <c r="I74" s="52" t="str">
        <f t="shared" si="3"/>
        <v/>
      </c>
      <c r="J74" s="44" t="str">
        <f t="shared" si="4"/>
        <v/>
      </c>
      <c r="K74" s="44" t="str">
        <f t="shared" si="5"/>
        <v/>
      </c>
      <c r="L74" s="44" t="str">
        <f t="shared" si="6"/>
        <v/>
      </c>
      <c r="M74" s="53" t="str">
        <f t="shared" si="7"/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4"/>
        <v/>
      </c>
      <c r="K75" s="44" t="str">
        <f>IF(F75="","",K74+H75)</f>
        <v/>
      </c>
      <c r="L75" s="44" t="str">
        <f>IF(F75="","",L74+I75)</f>
        <v/>
      </c>
      <c r="M75" s="53" t="str">
        <f t="shared" si="7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0">IF(E76="","",((E76-E75)*C76)/1000)</f>
        <v/>
      </c>
      <c r="I76" s="52" t="str">
        <f t="shared" ref="I76:I112" si="11">IF(F76="","",F76-F75-G76)</f>
        <v/>
      </c>
      <c r="J76" s="44" t="str">
        <f t="shared" si="4"/>
        <v/>
      </c>
      <c r="K76" s="44" t="str">
        <f t="shared" ref="K76:K89" si="12">IF(F76="","",K75+H76)</f>
        <v/>
      </c>
      <c r="L76" s="44" t="str">
        <f t="shared" ref="L76:L89" si="13">IF(F76="","",L75+I76)</f>
        <v/>
      </c>
      <c r="M76" s="53" t="str">
        <f t="shared" si="7"/>
        <v/>
      </c>
      <c r="N76" s="199"/>
      <c r="O76" s="200"/>
      <c r="P76" s="20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0"/>
        <v/>
      </c>
      <c r="I77" s="52" t="str">
        <f t="shared" si="11"/>
        <v/>
      </c>
      <c r="J77" s="44" t="str">
        <f t="shared" si="4"/>
        <v/>
      </c>
      <c r="K77" s="44" t="str">
        <f t="shared" si="12"/>
        <v/>
      </c>
      <c r="L77" s="44" t="str">
        <f t="shared" si="13"/>
        <v/>
      </c>
      <c r="M77" s="53" t="str">
        <f t="shared" si="7"/>
        <v/>
      </c>
      <c r="N77" s="199"/>
      <c r="O77" s="200"/>
      <c r="P77" s="20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0"/>
        <v/>
      </c>
      <c r="I78" s="52" t="str">
        <f t="shared" si="11"/>
        <v/>
      </c>
      <c r="J78" s="44" t="str">
        <f t="shared" si="4"/>
        <v/>
      </c>
      <c r="K78" s="44" t="str">
        <f t="shared" si="12"/>
        <v/>
      </c>
      <c r="L78" s="44" t="str">
        <f t="shared" si="13"/>
        <v/>
      </c>
      <c r="M78" s="53" t="str">
        <f t="shared" si="7"/>
        <v/>
      </c>
      <c r="N78" s="199"/>
      <c r="O78" s="200"/>
      <c r="P78" s="20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0"/>
        <v/>
      </c>
      <c r="I79" s="52" t="str">
        <f t="shared" si="11"/>
        <v/>
      </c>
      <c r="J79" s="44" t="str">
        <f t="shared" si="4"/>
        <v/>
      </c>
      <c r="K79" s="44" t="str">
        <f t="shared" si="12"/>
        <v/>
      </c>
      <c r="L79" s="44" t="str">
        <f t="shared" si="13"/>
        <v/>
      </c>
      <c r="M79" s="53" t="str">
        <f t="shared" si="7"/>
        <v/>
      </c>
      <c r="N79" s="199"/>
      <c r="O79" s="200"/>
      <c r="P79" s="20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0"/>
        <v/>
      </c>
      <c r="I80" s="52" t="str">
        <f t="shared" si="11"/>
        <v/>
      </c>
      <c r="J80" s="44" t="str">
        <f t="shared" si="4"/>
        <v/>
      </c>
      <c r="K80" s="44" t="str">
        <f t="shared" si="12"/>
        <v/>
      </c>
      <c r="L80" s="44" t="str">
        <f t="shared" si="13"/>
        <v/>
      </c>
      <c r="M80" s="53" t="str">
        <f t="shared" si="7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0"/>
        <v/>
      </c>
      <c r="I81" s="52" t="str">
        <f t="shared" si="11"/>
        <v/>
      </c>
      <c r="J81" s="44" t="str">
        <f t="shared" si="4"/>
        <v/>
      </c>
      <c r="K81" s="44" t="str">
        <f t="shared" si="12"/>
        <v/>
      </c>
      <c r="L81" s="44" t="str">
        <f t="shared" si="13"/>
        <v/>
      </c>
      <c r="M81" s="53" t="str">
        <f t="shared" si="7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0"/>
        <v/>
      </c>
      <c r="I82" s="52" t="str">
        <f t="shared" si="11"/>
        <v/>
      </c>
      <c r="J82" s="44" t="str">
        <f t="shared" si="4"/>
        <v/>
      </c>
      <c r="K82" s="44" t="str">
        <f t="shared" si="12"/>
        <v/>
      </c>
      <c r="L82" s="44" t="str">
        <f t="shared" si="13"/>
        <v/>
      </c>
      <c r="M82" s="53" t="str">
        <f t="shared" si="7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0"/>
        <v/>
      </c>
      <c r="I83" s="52" t="str">
        <f t="shared" si="11"/>
        <v/>
      </c>
      <c r="J83" s="44" t="str">
        <f t="shared" si="4"/>
        <v/>
      </c>
      <c r="K83" s="44" t="str">
        <f t="shared" si="12"/>
        <v/>
      </c>
      <c r="L83" s="44" t="str">
        <f t="shared" si="13"/>
        <v/>
      </c>
      <c r="M83" s="53" t="str">
        <f t="shared" si="7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0"/>
        <v/>
      </c>
      <c r="I84" s="52" t="str">
        <f t="shared" si="11"/>
        <v/>
      </c>
      <c r="J84" s="44" t="str">
        <f t="shared" si="4"/>
        <v/>
      </c>
      <c r="K84" s="44" t="str">
        <f t="shared" si="12"/>
        <v/>
      </c>
      <c r="L84" s="44" t="str">
        <f t="shared" si="13"/>
        <v/>
      </c>
      <c r="M84" s="53" t="str">
        <f t="shared" si="7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0"/>
        <v/>
      </c>
      <c r="I85" s="52" t="str">
        <f t="shared" si="11"/>
        <v/>
      </c>
      <c r="J85" s="44" t="str">
        <f t="shared" si="4"/>
        <v/>
      </c>
      <c r="K85" s="44" t="str">
        <f t="shared" si="12"/>
        <v/>
      </c>
      <c r="L85" s="44" t="str">
        <f t="shared" si="13"/>
        <v/>
      </c>
      <c r="M85" s="53" t="str">
        <f t="shared" si="7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0"/>
        <v/>
      </c>
      <c r="I86" s="52" t="str">
        <f t="shared" si="11"/>
        <v/>
      </c>
      <c r="J86" s="44" t="str">
        <f t="shared" si="4"/>
        <v/>
      </c>
      <c r="K86" s="44" t="str">
        <f t="shared" si="12"/>
        <v/>
      </c>
      <c r="L86" s="44" t="str">
        <f t="shared" si="13"/>
        <v/>
      </c>
      <c r="M86" s="53" t="str">
        <f t="shared" si="7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0"/>
        <v/>
      </c>
      <c r="I87" s="52" t="str">
        <f t="shared" si="11"/>
        <v/>
      </c>
      <c r="J87" s="44" t="str">
        <f t="shared" si="4"/>
        <v/>
      </c>
      <c r="K87" s="44" t="str">
        <f t="shared" si="12"/>
        <v/>
      </c>
      <c r="L87" s="44" t="str">
        <f t="shared" si="13"/>
        <v/>
      </c>
      <c r="M87" s="53" t="str">
        <f t="shared" si="7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0"/>
        <v/>
      </c>
      <c r="I88" s="52" t="str">
        <f t="shared" si="11"/>
        <v/>
      </c>
      <c r="J88" s="44" t="str">
        <f t="shared" si="4"/>
        <v/>
      </c>
      <c r="K88" s="44" t="str">
        <f t="shared" si="12"/>
        <v/>
      </c>
      <c r="L88" s="44" t="str">
        <f t="shared" si="13"/>
        <v/>
      </c>
      <c r="M88" s="53" t="str">
        <f t="shared" si="7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0"/>
        <v/>
      </c>
      <c r="I89" s="52" t="str">
        <f t="shared" si="11"/>
        <v/>
      </c>
      <c r="J89" s="44" t="str">
        <f t="shared" si="4"/>
        <v/>
      </c>
      <c r="K89" s="44" t="str">
        <f t="shared" si="12"/>
        <v/>
      </c>
      <c r="L89" s="44" t="str">
        <f t="shared" si="13"/>
        <v/>
      </c>
      <c r="M89" s="53" t="str">
        <f t="shared" si="7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0"/>
        <v/>
      </c>
      <c r="I90" s="52" t="str">
        <f t="shared" si="11"/>
        <v/>
      </c>
      <c r="J90" s="44" t="str">
        <f t="shared" si="4"/>
        <v/>
      </c>
      <c r="K90" s="44" t="str">
        <f t="shared" si="5"/>
        <v/>
      </c>
      <c r="L90" s="44" t="str">
        <f t="shared" si="6"/>
        <v/>
      </c>
      <c r="M90" s="53" t="str">
        <f t="shared" si="7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0"/>
        <v/>
      </c>
      <c r="I91" s="52" t="str">
        <f t="shared" si="11"/>
        <v/>
      </c>
      <c r="J91" s="44" t="str">
        <f t="shared" si="4"/>
        <v/>
      </c>
      <c r="K91" s="44" t="str">
        <f t="shared" si="5"/>
        <v/>
      </c>
      <c r="L91" s="44" t="str">
        <f t="shared" si="6"/>
        <v/>
      </c>
      <c r="M91" s="53" t="str">
        <f t="shared" si="7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0"/>
        <v/>
      </c>
      <c r="I92" s="52" t="str">
        <f t="shared" si="11"/>
        <v/>
      </c>
      <c r="J92" s="44" t="str">
        <f t="shared" si="4"/>
        <v/>
      </c>
      <c r="K92" s="44" t="str">
        <f t="shared" si="5"/>
        <v/>
      </c>
      <c r="L92" s="44" t="str">
        <f t="shared" si="6"/>
        <v/>
      </c>
      <c r="M92" s="53" t="str">
        <f t="shared" si="7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0"/>
        <v/>
      </c>
      <c r="I93" s="52" t="str">
        <f t="shared" si="11"/>
        <v/>
      </c>
      <c r="J93" s="44" t="str">
        <f t="shared" si="4"/>
        <v/>
      </c>
      <c r="K93" s="44" t="str">
        <f t="shared" si="5"/>
        <v/>
      </c>
      <c r="L93" s="44" t="str">
        <f t="shared" si="6"/>
        <v/>
      </c>
      <c r="M93" s="53" t="str">
        <f t="shared" si="7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0"/>
        <v/>
      </c>
      <c r="I94" s="52" t="str">
        <f t="shared" si="11"/>
        <v/>
      </c>
      <c r="J94" s="44" t="str">
        <f t="shared" si="4"/>
        <v/>
      </c>
      <c r="K94" s="44" t="str">
        <f t="shared" si="5"/>
        <v/>
      </c>
      <c r="L94" s="44" t="str">
        <f t="shared" si="6"/>
        <v/>
      </c>
      <c r="M94" s="53" t="str">
        <f t="shared" si="7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0"/>
        <v/>
      </c>
      <c r="I95" s="52" t="str">
        <f t="shared" si="11"/>
        <v/>
      </c>
      <c r="J95" s="44" t="str">
        <f t="shared" si="4"/>
        <v/>
      </c>
      <c r="K95" s="44" t="str">
        <f t="shared" si="5"/>
        <v/>
      </c>
      <c r="L95" s="44" t="str">
        <f t="shared" si="6"/>
        <v/>
      </c>
      <c r="M95" s="53" t="str">
        <f t="shared" si="7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0"/>
        <v/>
      </c>
      <c r="I96" s="52" t="str">
        <f t="shared" si="11"/>
        <v/>
      </c>
      <c r="J96" s="44" t="str">
        <f t="shared" si="4"/>
        <v/>
      </c>
      <c r="K96" s="44" t="str">
        <f t="shared" si="5"/>
        <v/>
      </c>
      <c r="L96" s="44" t="str">
        <f t="shared" si="6"/>
        <v/>
      </c>
      <c r="M96" s="53" t="str">
        <f t="shared" si="7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0"/>
        <v/>
      </c>
      <c r="I97" s="52" t="str">
        <f t="shared" si="11"/>
        <v/>
      </c>
      <c r="J97" s="44" t="str">
        <f t="shared" si="4"/>
        <v/>
      </c>
      <c r="K97" s="44" t="str">
        <f t="shared" si="5"/>
        <v/>
      </c>
      <c r="L97" s="44" t="str">
        <f t="shared" si="6"/>
        <v/>
      </c>
      <c r="M97" s="53" t="str">
        <f t="shared" si="7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0"/>
        <v/>
      </c>
      <c r="I98" s="52" t="str">
        <f t="shared" si="11"/>
        <v/>
      </c>
      <c r="J98" s="44" t="str">
        <f t="shared" si="4"/>
        <v/>
      </c>
      <c r="K98" s="44" t="str">
        <f t="shared" si="5"/>
        <v/>
      </c>
      <c r="L98" s="44" t="str">
        <f t="shared" si="6"/>
        <v/>
      </c>
      <c r="M98" s="53" t="str">
        <f t="shared" si="7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0"/>
        <v/>
      </c>
      <c r="I99" s="52" t="str">
        <f t="shared" si="11"/>
        <v/>
      </c>
      <c r="J99" s="44" t="str">
        <f t="shared" si="4"/>
        <v/>
      </c>
      <c r="K99" s="44" t="str">
        <f t="shared" si="5"/>
        <v/>
      </c>
      <c r="L99" s="44" t="str">
        <f t="shared" si="6"/>
        <v/>
      </c>
      <c r="M99" s="53" t="str">
        <f t="shared" si="7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0"/>
        <v/>
      </c>
      <c r="I100" s="52" t="str">
        <f t="shared" si="11"/>
        <v/>
      </c>
      <c r="J100" s="44" t="str">
        <f t="shared" si="4"/>
        <v/>
      </c>
      <c r="K100" s="44" t="str">
        <f t="shared" si="5"/>
        <v/>
      </c>
      <c r="L100" s="44" t="str">
        <f t="shared" si="6"/>
        <v/>
      </c>
      <c r="M100" s="53" t="str">
        <f t="shared" si="7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0"/>
        <v/>
      </c>
      <c r="I101" s="52" t="str">
        <f t="shared" si="11"/>
        <v/>
      </c>
      <c r="J101" s="44" t="str">
        <f t="shared" si="4"/>
        <v/>
      </c>
      <c r="K101" s="44" t="str">
        <f t="shared" si="5"/>
        <v/>
      </c>
      <c r="L101" s="44" t="str">
        <f t="shared" si="6"/>
        <v/>
      </c>
      <c r="M101" s="53" t="str">
        <f t="shared" si="7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0"/>
        <v/>
      </c>
      <c r="I102" s="52" t="str">
        <f t="shared" si="11"/>
        <v/>
      </c>
      <c r="J102" s="44" t="str">
        <f t="shared" si="4"/>
        <v/>
      </c>
      <c r="K102" s="44" t="str">
        <f t="shared" si="5"/>
        <v/>
      </c>
      <c r="L102" s="44" t="str">
        <f t="shared" si="6"/>
        <v/>
      </c>
      <c r="M102" s="53" t="str">
        <f t="shared" si="7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0"/>
        <v/>
      </c>
      <c r="I103" s="52" t="str">
        <f t="shared" si="11"/>
        <v/>
      </c>
      <c r="J103" s="44" t="str">
        <f t="shared" si="4"/>
        <v/>
      </c>
      <c r="K103" s="44" t="str">
        <f t="shared" si="5"/>
        <v/>
      </c>
      <c r="L103" s="44" t="str">
        <f t="shared" si="6"/>
        <v/>
      </c>
      <c r="M103" s="53" t="str">
        <f t="shared" si="7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0"/>
        <v/>
      </c>
      <c r="I104" s="52" t="str">
        <f t="shared" si="11"/>
        <v/>
      </c>
      <c r="J104" s="44" t="str">
        <f t="shared" ref="J104:J112" si="14">IF(F104="","",I104-H104)</f>
        <v/>
      </c>
      <c r="K104" s="44" t="str">
        <f t="shared" ref="K104:K112" si="15">IF(F104="","",K103+H104)</f>
        <v/>
      </c>
      <c r="L104" s="44" t="str">
        <f t="shared" ref="L104:L112" si="16">IF(F104="","",L103+I104)</f>
        <v/>
      </c>
      <c r="M104" s="53" t="str">
        <f t="shared" ref="M104:M112" si="17">IF(F104="","",L104-K104)</f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0"/>
        <v/>
      </c>
      <c r="I105" s="52" t="str">
        <f t="shared" si="11"/>
        <v/>
      </c>
      <c r="J105" s="44" t="str">
        <f t="shared" si="14"/>
        <v/>
      </c>
      <c r="K105" s="44" t="str">
        <f t="shared" si="15"/>
        <v/>
      </c>
      <c r="L105" s="44" t="str">
        <f t="shared" si="16"/>
        <v/>
      </c>
      <c r="M105" s="53" t="str">
        <f t="shared" si="17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0"/>
        <v/>
      </c>
      <c r="I106" s="52" t="str">
        <f t="shared" si="11"/>
        <v/>
      </c>
      <c r="J106" s="44" t="str">
        <f t="shared" si="14"/>
        <v/>
      </c>
      <c r="K106" s="44" t="str">
        <f t="shared" si="15"/>
        <v/>
      </c>
      <c r="L106" s="44" t="str">
        <f t="shared" si="16"/>
        <v/>
      </c>
      <c r="M106" s="53" t="str">
        <f t="shared" si="17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0"/>
        <v/>
      </c>
      <c r="I107" s="52" t="str">
        <f t="shared" si="11"/>
        <v/>
      </c>
      <c r="J107" s="44" t="str">
        <f t="shared" si="14"/>
        <v/>
      </c>
      <c r="K107" s="44" t="str">
        <f t="shared" si="15"/>
        <v/>
      </c>
      <c r="L107" s="44" t="str">
        <f t="shared" si="16"/>
        <v/>
      </c>
      <c r="M107" s="53" t="str">
        <f t="shared" si="17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0"/>
        <v/>
      </c>
      <c r="I108" s="52" t="str">
        <f t="shared" si="11"/>
        <v/>
      </c>
      <c r="J108" s="44" t="str">
        <f t="shared" si="14"/>
        <v/>
      </c>
      <c r="K108" s="44" t="str">
        <f t="shared" si="15"/>
        <v/>
      </c>
      <c r="L108" s="44" t="str">
        <f t="shared" si="16"/>
        <v/>
      </c>
      <c r="M108" s="53" t="str">
        <f t="shared" si="17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0"/>
        <v/>
      </c>
      <c r="I109" s="52" t="str">
        <f t="shared" si="11"/>
        <v/>
      </c>
      <c r="J109" s="44" t="str">
        <f t="shared" si="14"/>
        <v/>
      </c>
      <c r="K109" s="44" t="str">
        <f t="shared" si="15"/>
        <v/>
      </c>
      <c r="L109" s="44" t="str">
        <f t="shared" si="16"/>
        <v/>
      </c>
      <c r="M109" s="53" t="str">
        <f t="shared" si="17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0"/>
        <v/>
      </c>
      <c r="I110" s="52" t="str">
        <f t="shared" si="11"/>
        <v/>
      </c>
      <c r="J110" s="44" t="str">
        <f t="shared" si="14"/>
        <v/>
      </c>
      <c r="K110" s="44" t="str">
        <f t="shared" si="15"/>
        <v/>
      </c>
      <c r="L110" s="44" t="str">
        <f t="shared" si="16"/>
        <v/>
      </c>
      <c r="M110" s="53" t="str">
        <f t="shared" si="17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0"/>
        <v/>
      </c>
      <c r="I111" s="52" t="str">
        <f t="shared" si="11"/>
        <v/>
      </c>
      <c r="J111" s="44" t="str">
        <f t="shared" si="14"/>
        <v/>
      </c>
      <c r="K111" s="44" t="str">
        <f t="shared" si="15"/>
        <v/>
      </c>
      <c r="L111" s="44" t="str">
        <f t="shared" si="16"/>
        <v/>
      </c>
      <c r="M111" s="53" t="str">
        <f t="shared" si="17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0"/>
        <v/>
      </c>
      <c r="I112" s="52" t="str">
        <f t="shared" si="11"/>
        <v/>
      </c>
      <c r="J112" s="44" t="str">
        <f t="shared" si="14"/>
        <v/>
      </c>
      <c r="K112" s="44" t="str">
        <f t="shared" si="15"/>
        <v/>
      </c>
      <c r="L112" s="44" t="str">
        <f t="shared" si="16"/>
        <v/>
      </c>
      <c r="M112" s="53" t="str">
        <f t="shared" si="17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"/>
  <sheetViews>
    <sheetView zoomScaleNormal="100" workbookViewId="0">
      <selection activeCell="E28" sqref="E2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0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0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206" t="s">
        <v>20</v>
      </c>
      <c r="I5" s="20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20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207" t="s">
        <v>28</v>
      </c>
      <c r="E6" s="39">
        <v>2366</v>
      </c>
      <c r="F6" s="40">
        <v>3.62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/>
      <c r="R6" s="11"/>
      <c r="S6" s="11"/>
    </row>
    <row r="7" spans="1:20" ht="12" customHeight="1" x14ac:dyDescent="0.2">
      <c r="A7" s="37"/>
      <c r="B7" s="48"/>
      <c r="C7" s="49">
        <v>10.58</v>
      </c>
      <c r="D7" s="39"/>
      <c r="E7" s="39">
        <v>2274</v>
      </c>
      <c r="F7" s="40">
        <v>2.4700000000000002</v>
      </c>
      <c r="G7" s="51"/>
      <c r="H7" s="44">
        <f t="shared" ref="H7:H70" si="0">IF(E7="","",((E7-E6)*C7)/1000)</f>
        <v>-0.97336</v>
      </c>
      <c r="I7" s="52">
        <f>IF(F7="","",F7-F6-G7)</f>
        <v>-1.1499999999999999</v>
      </c>
      <c r="J7" s="44">
        <f>IF(F7="","",I7-H7)</f>
        <v>-0.17663999999999991</v>
      </c>
      <c r="K7" s="44">
        <f>IF(F7="","",K6+H7)</f>
        <v>-0.97336</v>
      </c>
      <c r="L7" s="44">
        <f>IF(F7="","",L6+I7)</f>
        <v>-1.1499999999999999</v>
      </c>
      <c r="M7" s="53">
        <f>IF(F7="","",L7-K7)</f>
        <v>-0.17663999999999991</v>
      </c>
      <c r="N7" s="231"/>
      <c r="O7" s="229"/>
      <c r="P7" s="230"/>
      <c r="Q7" s="47">
        <v>44625.763194444444</v>
      </c>
      <c r="R7" s="44">
        <f t="shared" ref="R7:R70" si="1">IF(Q7="","",J7/((Q7-Q6)*24))</f>
        <v>-1.6492715133925729E-7</v>
      </c>
      <c r="S7" s="44">
        <f t="shared" ref="S7:S70" si="2">IF(Q7="","",M7/((Q7-$Q$6)*24))</f>
        <v>-1.6492715133925729E-7</v>
      </c>
    </row>
    <row r="8" spans="1:20" ht="12" customHeight="1" x14ac:dyDescent="0.2">
      <c r="A8" s="37"/>
      <c r="B8" s="48"/>
      <c r="C8" s="49">
        <v>10.58</v>
      </c>
      <c r="D8" s="54"/>
      <c r="E8" s="39">
        <v>2143</v>
      </c>
      <c r="F8" s="40">
        <v>6.3</v>
      </c>
      <c r="G8" s="51">
        <v>5.25</v>
      </c>
      <c r="H8" s="44">
        <f t="shared" si="0"/>
        <v>-1.38598</v>
      </c>
      <c r="I8" s="52">
        <f>IF(F8="","",F8-F7-G8)</f>
        <v>-1.4200000000000004</v>
      </c>
      <c r="J8" s="44">
        <f>IF(F8="","",I8-H8)</f>
        <v>-3.4020000000000383E-2</v>
      </c>
      <c r="K8" s="44">
        <f>IF(F8="","",K7+H8)</f>
        <v>-2.35934</v>
      </c>
      <c r="L8" s="44">
        <f>IF(F8="","",L7+I8)</f>
        <v>-2.5700000000000003</v>
      </c>
      <c r="M8" s="53">
        <f>IF(F8="","",L8-K8)</f>
        <v>-0.21066000000000029</v>
      </c>
      <c r="N8" s="231"/>
      <c r="O8" s="229"/>
      <c r="P8" s="230"/>
      <c r="Q8" s="47">
        <v>44625.770138888889</v>
      </c>
      <c r="R8" s="44">
        <f t="shared" si="1"/>
        <v>-0.20411999997623961</v>
      </c>
      <c r="S8" s="44">
        <f t="shared" si="2"/>
        <v>-1.9669128337016432E-7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1906</v>
      </c>
      <c r="F9" s="40">
        <v>2.7</v>
      </c>
      <c r="G9" s="51"/>
      <c r="H9" s="44">
        <f t="shared" si="0"/>
        <v>-2.50746</v>
      </c>
      <c r="I9" s="52">
        <f>IF(F9="","",F9-F8-G9)</f>
        <v>-3.5999999999999996</v>
      </c>
      <c r="J9" s="44">
        <f>IF(F9="","",I9-H9)</f>
        <v>-1.0925399999999996</v>
      </c>
      <c r="K9" s="44">
        <f>IF(F9="","",K8+H9)</f>
        <v>-4.8667999999999996</v>
      </c>
      <c r="L9" s="44">
        <f>IF(F9="","",L8+I9)</f>
        <v>-6.17</v>
      </c>
      <c r="M9" s="53">
        <f>IF(F9="","",L9-K9)</f>
        <v>-1.3032000000000004</v>
      </c>
      <c r="N9" s="228"/>
      <c r="O9" s="229"/>
      <c r="P9" s="230"/>
      <c r="Q9" s="47">
        <v>44625.783333333333</v>
      </c>
      <c r="R9" s="44">
        <f t="shared" si="1"/>
        <v>-3.4501263159585873</v>
      </c>
      <c r="S9" s="44">
        <f t="shared" si="2"/>
        <v>-1.2167853636182672E-6</v>
      </c>
    </row>
    <row r="10" spans="1:20" ht="12" customHeight="1" x14ac:dyDescent="0.2">
      <c r="A10" s="37"/>
      <c r="B10" s="48"/>
      <c r="C10" s="49">
        <v>10.58</v>
      </c>
      <c r="D10" s="54"/>
      <c r="E10" s="39">
        <v>1801</v>
      </c>
      <c r="F10" s="40">
        <v>7.75</v>
      </c>
      <c r="G10" s="51">
        <v>6.3</v>
      </c>
      <c r="H10" s="44">
        <f t="shared" si="0"/>
        <v>-1.1109</v>
      </c>
      <c r="I10" s="52">
        <f>IF(F10="","",F10-F9-G10)</f>
        <v>-1.25</v>
      </c>
      <c r="J10" s="44">
        <f t="shared" ref="J10:J73" si="3">IF(F10="","",I10-H10)</f>
        <v>-0.1391</v>
      </c>
      <c r="K10" s="44">
        <f t="shared" ref="K10:K73" si="4">IF(F10="","",K9+H10)</f>
        <v>-5.9776999999999996</v>
      </c>
      <c r="L10" s="44">
        <f t="shared" ref="L10:L73" si="5">IF(F10="","",L9+I10)</f>
        <v>-7.42</v>
      </c>
      <c r="M10" s="53">
        <f t="shared" ref="M10:M73" si="6">IF(F10="","",L10-K10)</f>
        <v>-1.4423000000000004</v>
      </c>
      <c r="N10" s="228"/>
      <c r="O10" s="229"/>
      <c r="P10" s="230"/>
      <c r="Q10" s="47">
        <v>44625.796527777777</v>
      </c>
      <c r="R10" s="44">
        <f t="shared" si="1"/>
        <v>-0.43926315791626819</v>
      </c>
      <c r="S10" s="44">
        <f t="shared" si="2"/>
        <v>-1.3466613037579305E-6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1461</v>
      </c>
      <c r="F11" s="40">
        <v>2.8</v>
      </c>
      <c r="G11" s="51"/>
      <c r="H11" s="44">
        <f t="shared" si="0"/>
        <v>-3.5972</v>
      </c>
      <c r="I11" s="52">
        <f t="shared" ref="I11:I74" si="7">IF(F11="","",F11-F10-G11)</f>
        <v>-4.95</v>
      </c>
      <c r="J11" s="44">
        <f t="shared" si="3"/>
        <v>-1.3528000000000002</v>
      </c>
      <c r="K11" s="44">
        <f t="shared" si="4"/>
        <v>-9.5748999999999995</v>
      </c>
      <c r="L11" s="44">
        <f t="shared" si="5"/>
        <v>-12.370000000000001</v>
      </c>
      <c r="M11" s="53">
        <f t="shared" si="6"/>
        <v>-2.7951000000000015</v>
      </c>
      <c r="N11" s="228"/>
      <c r="O11" s="229"/>
      <c r="P11" s="230"/>
      <c r="Q11" s="47">
        <v>44625.820833333331</v>
      </c>
      <c r="R11" s="44">
        <f t="shared" si="1"/>
        <v>-2.3190857143628509</v>
      </c>
      <c r="S11" s="44">
        <f t="shared" si="2"/>
        <v>-2.6097559176549242E-6</v>
      </c>
    </row>
    <row r="12" spans="1:20" ht="12" customHeight="1" x14ac:dyDescent="0.2">
      <c r="A12" s="37"/>
      <c r="B12" s="48"/>
      <c r="C12" s="49">
        <v>10.58</v>
      </c>
      <c r="D12" s="54"/>
      <c r="E12" s="39">
        <v>469</v>
      </c>
      <c r="F12" s="56">
        <v>4.0999999999999996</v>
      </c>
      <c r="G12" s="51">
        <v>14.9</v>
      </c>
      <c r="H12" s="44">
        <f t="shared" si="0"/>
        <v>-10.49536</v>
      </c>
      <c r="I12" s="52">
        <f t="shared" si="7"/>
        <v>-13.600000000000001</v>
      </c>
      <c r="J12" s="44">
        <f t="shared" si="3"/>
        <v>-3.1046400000000016</v>
      </c>
      <c r="K12" s="44">
        <f t="shared" si="4"/>
        <v>-20.070259999999998</v>
      </c>
      <c r="L12" s="44">
        <f t="shared" si="5"/>
        <v>-25.970000000000002</v>
      </c>
      <c r="M12" s="53">
        <f t="shared" si="6"/>
        <v>-5.8997400000000049</v>
      </c>
      <c r="N12" s="228"/>
      <c r="O12" s="229"/>
      <c r="P12" s="230"/>
      <c r="Q12" s="47">
        <v>44625.869444444441</v>
      </c>
      <c r="R12" s="44">
        <f t="shared" si="1"/>
        <v>-2.6611200000885145</v>
      </c>
      <c r="S12" s="44">
        <f t="shared" si="2"/>
        <v>-5.508520126560875E-6</v>
      </c>
    </row>
    <row r="13" spans="1:20" ht="12" customHeight="1" x14ac:dyDescent="0.2">
      <c r="A13" s="37"/>
      <c r="B13" s="48"/>
      <c r="C13" s="49">
        <v>10.58</v>
      </c>
      <c r="D13" s="54"/>
      <c r="E13" s="39">
        <v>469</v>
      </c>
      <c r="F13" s="40">
        <v>3.83</v>
      </c>
      <c r="G13" s="51"/>
      <c r="H13" s="44">
        <f t="shared" si="0"/>
        <v>0</v>
      </c>
      <c r="I13" s="52">
        <f t="shared" si="7"/>
        <v>-0.26999999999999957</v>
      </c>
      <c r="J13" s="44">
        <f t="shared" si="3"/>
        <v>-0.26999999999999957</v>
      </c>
      <c r="K13" s="44">
        <f t="shared" si="4"/>
        <v>-20.070259999999998</v>
      </c>
      <c r="L13" s="44">
        <f t="shared" si="5"/>
        <v>-26.240000000000002</v>
      </c>
      <c r="M13" s="53">
        <f t="shared" si="6"/>
        <v>-6.1697400000000044</v>
      </c>
      <c r="N13" s="228" t="s">
        <v>66</v>
      </c>
      <c r="O13" s="229"/>
      <c r="P13" s="230"/>
      <c r="Q13" s="47">
        <v>44625.876388888886</v>
      </c>
      <c r="R13" s="44">
        <f t="shared" si="1"/>
        <v>-1.6199999998114045</v>
      </c>
      <c r="S13" s="44">
        <f t="shared" si="2"/>
        <v>-5.7606151587872694E-6</v>
      </c>
    </row>
    <row r="14" spans="1:20" ht="12" customHeight="1" x14ac:dyDescent="0.2">
      <c r="A14" s="37"/>
      <c r="B14" s="48"/>
      <c r="C14" s="49">
        <v>10.58</v>
      </c>
      <c r="D14" s="54"/>
      <c r="E14" s="39"/>
      <c r="F14" s="40"/>
      <c r="G14" s="51"/>
      <c r="H14" s="44" t="str">
        <f t="shared" si="0"/>
        <v/>
      </c>
      <c r="I14" s="52" t="str">
        <f t="shared" si="7"/>
        <v/>
      </c>
      <c r="J14" s="44" t="str">
        <f t="shared" si="3"/>
        <v/>
      </c>
      <c r="K14" s="44" t="str">
        <f t="shared" si="4"/>
        <v/>
      </c>
      <c r="L14" s="44" t="str">
        <f t="shared" si="5"/>
        <v/>
      </c>
      <c r="M14" s="53" t="str">
        <f t="shared" si="6"/>
        <v/>
      </c>
      <c r="N14" s="231"/>
      <c r="O14" s="229"/>
      <c r="P14" s="230"/>
      <c r="Q14" s="47"/>
      <c r="R14" s="44" t="str">
        <f t="shared" si="1"/>
        <v/>
      </c>
      <c r="S14" s="44" t="str">
        <f t="shared" si="2"/>
        <v/>
      </c>
    </row>
    <row r="15" spans="1:20" ht="12" customHeight="1" x14ac:dyDescent="0.2">
      <c r="A15" s="37"/>
      <c r="B15" s="48"/>
      <c r="C15" s="49">
        <v>10.58</v>
      </c>
      <c r="D15" s="54"/>
      <c r="E15" s="39"/>
      <c r="F15" s="40"/>
      <c r="G15" s="51"/>
      <c r="H15" s="44" t="str">
        <f t="shared" si="0"/>
        <v/>
      </c>
      <c r="I15" s="52" t="str">
        <f t="shared" si="7"/>
        <v/>
      </c>
      <c r="J15" s="44" t="str">
        <f t="shared" si="3"/>
        <v/>
      </c>
      <c r="K15" s="44" t="str">
        <f t="shared" si="4"/>
        <v/>
      </c>
      <c r="L15" s="44" t="str">
        <f t="shared" si="5"/>
        <v/>
      </c>
      <c r="M15" s="53" t="str">
        <f t="shared" si="6"/>
        <v/>
      </c>
      <c r="N15" s="231"/>
      <c r="O15" s="229"/>
      <c r="P15" s="230"/>
      <c r="Q15" s="47"/>
      <c r="R15" s="44" t="str">
        <f t="shared" si="1"/>
        <v/>
      </c>
      <c r="S15" s="44" t="str">
        <f t="shared" si="2"/>
        <v/>
      </c>
    </row>
    <row r="16" spans="1:20" ht="12" customHeight="1" x14ac:dyDescent="0.2">
      <c r="A16" s="37"/>
      <c r="B16" s="48"/>
      <c r="C16" s="49">
        <v>10.58</v>
      </c>
      <c r="D16" s="57"/>
      <c r="E16" s="39"/>
      <c r="F16" s="40"/>
      <c r="G16" s="51"/>
      <c r="H16" s="44" t="str">
        <f t="shared" si="0"/>
        <v/>
      </c>
      <c r="I16" s="52" t="str">
        <f t="shared" si="7"/>
        <v/>
      </c>
      <c r="J16" s="44" t="str">
        <f t="shared" si="3"/>
        <v/>
      </c>
      <c r="K16" s="44" t="str">
        <f t="shared" si="4"/>
        <v/>
      </c>
      <c r="L16" s="44" t="str">
        <f t="shared" si="5"/>
        <v/>
      </c>
      <c r="M16" s="53" t="str">
        <f t="shared" si="6"/>
        <v/>
      </c>
      <c r="N16" s="228"/>
      <c r="O16" s="229"/>
      <c r="P16" s="230"/>
      <c r="Q16" s="47"/>
      <c r="R16" s="44" t="str">
        <f t="shared" si="1"/>
        <v/>
      </c>
      <c r="S16" s="44" t="str">
        <f t="shared" si="2"/>
        <v/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/>
      <c r="F17" s="40"/>
      <c r="G17" s="51"/>
      <c r="H17" s="44" t="str">
        <f t="shared" si="0"/>
        <v/>
      </c>
      <c r="I17" s="52" t="str">
        <f t="shared" si="7"/>
        <v/>
      </c>
      <c r="J17" s="44" t="str">
        <f t="shared" si="3"/>
        <v/>
      </c>
      <c r="K17" s="44" t="str">
        <f t="shared" si="4"/>
        <v/>
      </c>
      <c r="L17" s="44" t="str">
        <f t="shared" si="5"/>
        <v/>
      </c>
      <c r="M17" s="53" t="str">
        <f t="shared" si="6"/>
        <v/>
      </c>
      <c r="N17" s="231"/>
      <c r="O17" s="229"/>
      <c r="P17" s="230"/>
      <c r="Q17" s="47"/>
      <c r="R17" s="44" t="str">
        <f t="shared" si="1"/>
        <v/>
      </c>
      <c r="S17" s="44" t="str">
        <f t="shared" si="2"/>
        <v/>
      </c>
    </row>
    <row r="18" spans="1:19" ht="12" customHeight="1" x14ac:dyDescent="0.2">
      <c r="A18" s="37"/>
      <c r="B18" s="48"/>
      <c r="C18" s="49"/>
      <c r="D18" s="54"/>
      <c r="E18" s="39"/>
      <c r="F18" s="40"/>
      <c r="G18" s="40"/>
      <c r="H18" s="44" t="str">
        <f t="shared" si="0"/>
        <v/>
      </c>
      <c r="I18" s="52" t="str">
        <f t="shared" si="7"/>
        <v/>
      </c>
      <c r="J18" s="44" t="str">
        <f t="shared" si="3"/>
        <v/>
      </c>
      <c r="K18" s="44" t="str">
        <f t="shared" si="4"/>
        <v/>
      </c>
      <c r="L18" s="44" t="str">
        <f t="shared" si="5"/>
        <v/>
      </c>
      <c r="M18" s="53" t="str">
        <f t="shared" si="6"/>
        <v/>
      </c>
      <c r="N18" s="228"/>
      <c r="O18" s="229"/>
      <c r="P18" s="230"/>
      <c r="Q18" s="47"/>
      <c r="R18" s="44" t="str">
        <f t="shared" si="1"/>
        <v/>
      </c>
      <c r="S18" s="44" t="str">
        <f t="shared" si="2"/>
        <v/>
      </c>
    </row>
    <row r="19" spans="1:19" ht="12" customHeight="1" x14ac:dyDescent="0.2">
      <c r="A19" s="37"/>
      <c r="B19" s="48"/>
      <c r="C19" s="49"/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/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/>
      <c r="D21" s="54"/>
      <c r="E21" s="39"/>
      <c r="F21" s="40"/>
      <c r="G21" s="51"/>
      <c r="H21" s="44" t="str">
        <f t="shared" si="0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/>
      <c r="D22" s="54"/>
      <c r="E22" s="39"/>
      <c r="F22" s="40"/>
      <c r="G22" s="51"/>
      <c r="H22" s="44" t="str">
        <f t="shared" si="0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/>
      <c r="D23" s="54"/>
      <c r="E23" s="39"/>
      <c r="F23" s="40"/>
      <c r="G23" s="51"/>
      <c r="H23" s="44" t="str">
        <f t="shared" si="0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 t="str">
        <f t="shared" si="0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202"/>
      <c r="O34" s="203"/>
      <c r="P34" s="204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99"/>
      <c r="O76" s="200"/>
      <c r="P76" s="20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99"/>
      <c r="O77" s="200"/>
      <c r="P77" s="20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99"/>
      <c r="O78" s="200"/>
      <c r="P78" s="20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99"/>
      <c r="O79" s="200"/>
      <c r="P79" s="20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"/>
  <sheetViews>
    <sheetView zoomScaleNormal="100" workbookViewId="0">
      <selection activeCell="R18" sqref="R1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0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0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206" t="s">
        <v>20</v>
      </c>
      <c r="I5" s="20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20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207" t="s">
        <v>28</v>
      </c>
      <c r="E6" s="39">
        <v>5750</v>
      </c>
      <c r="F6" s="40">
        <v>7.36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44623.826388888891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5259</v>
      </c>
      <c r="F7" s="40">
        <v>3.02</v>
      </c>
      <c r="G7" s="51"/>
      <c r="H7" s="44">
        <f t="shared" ref="H7:H70" si="0">IF(E7="","",((E7-E6)*C7)/1000)</f>
        <v>-2.14567</v>
      </c>
      <c r="I7" s="52">
        <f>IF(F7="","",F7-F6-G7)</f>
        <v>-4.34</v>
      </c>
      <c r="J7" s="44">
        <f>IF(F7="","",I7-H7)</f>
        <v>-2.1943299999999999</v>
      </c>
      <c r="K7" s="44">
        <f>IF(F7="","",K6+H7)</f>
        <v>-2.14567</v>
      </c>
      <c r="L7" s="44">
        <f>IF(F7="","",L6+I7)</f>
        <v>-4.34</v>
      </c>
      <c r="M7" s="53">
        <f>IF(F7="","",L7-K7)</f>
        <v>-2.1943299999999999</v>
      </c>
      <c r="N7" s="231"/>
      <c r="O7" s="229"/>
      <c r="P7" s="230"/>
      <c r="Q7" s="47">
        <v>44623.854861111111</v>
      </c>
      <c r="R7" s="44">
        <f t="shared" ref="R7:R70" si="1">IF(Q7="","",J7/((Q7-Q6)*24))</f>
        <v>-3.2112146343469354</v>
      </c>
      <c r="S7" s="44">
        <f t="shared" ref="S7:S70" si="2">IF(Q7="","",M7/((Q7-$Q$6)*24))</f>
        <v>-3.2112146343469354</v>
      </c>
    </row>
    <row r="8" spans="1:20" ht="12" customHeight="1" x14ac:dyDescent="0.2">
      <c r="A8" s="37"/>
      <c r="B8" s="48"/>
      <c r="C8" s="49">
        <v>4.37</v>
      </c>
      <c r="D8" s="54"/>
      <c r="E8" s="39">
        <v>4959</v>
      </c>
      <c r="F8" s="40">
        <v>8.18</v>
      </c>
      <c r="G8" s="51">
        <v>7.2</v>
      </c>
      <c r="H8" s="44">
        <f t="shared" si="0"/>
        <v>-1.3109999999999999</v>
      </c>
      <c r="I8" s="52">
        <f>IF(F8="","",F8-F7-G8)</f>
        <v>-2.04</v>
      </c>
      <c r="J8" s="44">
        <f>IF(F8="","",I8-H8)</f>
        <v>-0.72900000000000009</v>
      </c>
      <c r="K8" s="44">
        <f>IF(F8="","",K7+H8)</f>
        <v>-3.4566699999999999</v>
      </c>
      <c r="L8" s="44">
        <f>IF(F8="","",L7+I8)</f>
        <v>-6.38</v>
      </c>
      <c r="M8" s="53">
        <f>IF(F8="","",L8-K8)</f>
        <v>-2.92333</v>
      </c>
      <c r="N8" s="231"/>
      <c r="O8" s="229"/>
      <c r="P8" s="230"/>
      <c r="Q8" s="47">
        <v>44623.867361111108</v>
      </c>
      <c r="R8" s="44">
        <f t="shared" si="1"/>
        <v>-2.4300000005657787</v>
      </c>
      <c r="S8" s="44">
        <f t="shared" si="2"/>
        <v>-2.9728779664419176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4474</v>
      </c>
      <c r="F9" s="40">
        <v>3.7</v>
      </c>
      <c r="G9" s="51"/>
      <c r="H9" s="44">
        <f t="shared" si="0"/>
        <v>-2.1194500000000001</v>
      </c>
      <c r="I9" s="52">
        <f>IF(F9="","",F9-F8-G9)</f>
        <v>-4.4799999999999995</v>
      </c>
      <c r="J9" s="44">
        <f>IF(F9="","",I9-H9)</f>
        <v>-2.3605499999999995</v>
      </c>
      <c r="K9" s="44">
        <f>IF(F9="","",K8+H9)</f>
        <v>-5.5761199999999995</v>
      </c>
      <c r="L9" s="44">
        <f>IF(F9="","",L8+I9)</f>
        <v>-10.86</v>
      </c>
      <c r="M9" s="53">
        <f>IF(F9="","",L9-K9)</f>
        <v>-5.2838799999999999</v>
      </c>
      <c r="N9" s="228"/>
      <c r="O9" s="229"/>
      <c r="P9" s="230"/>
      <c r="Q9" s="47">
        <v>44623.899305555555</v>
      </c>
      <c r="R9" s="44">
        <f t="shared" si="1"/>
        <v>-3.0789782606513834</v>
      </c>
      <c r="S9" s="44">
        <f t="shared" si="2"/>
        <v>-3.0193600001004284</v>
      </c>
    </row>
    <row r="10" spans="1:20" ht="12" customHeight="1" x14ac:dyDescent="0.2">
      <c r="A10" s="37"/>
      <c r="B10" s="48" t="s">
        <v>35</v>
      </c>
      <c r="C10" s="49">
        <v>4.41</v>
      </c>
      <c r="D10" s="54"/>
      <c r="E10" s="39">
        <v>4416</v>
      </c>
      <c r="F10" s="40">
        <v>8.5</v>
      </c>
      <c r="G10" s="51">
        <v>6.2</v>
      </c>
      <c r="H10" s="44">
        <f t="shared" si="0"/>
        <v>-0.25578000000000001</v>
      </c>
      <c r="I10" s="52">
        <f>IF(F10="","",F10-F9-G10)</f>
        <v>-1.4000000000000004</v>
      </c>
      <c r="J10" s="44">
        <f t="shared" ref="J10:J73" si="3">IF(F10="","",I10-H10)</f>
        <v>-1.1442200000000002</v>
      </c>
      <c r="K10" s="44">
        <f t="shared" ref="K10:K73" si="4">IF(F10="","",K9+H10)</f>
        <v>-5.8318999999999992</v>
      </c>
      <c r="L10" s="44">
        <f t="shared" ref="L10:L73" si="5">IF(F10="","",L9+I10)</f>
        <v>-12.26</v>
      </c>
      <c r="M10" s="53">
        <f t="shared" ref="M10:M73" si="6">IF(F10="","",L10-K10)</f>
        <v>-6.4281000000000006</v>
      </c>
      <c r="N10" s="228"/>
      <c r="O10" s="229"/>
      <c r="P10" s="230"/>
      <c r="Q10" s="47">
        <v>44623.928472222222</v>
      </c>
      <c r="R10" s="44">
        <f t="shared" si="1"/>
        <v>-1.6345999999728158</v>
      </c>
      <c r="S10" s="44">
        <f t="shared" si="2"/>
        <v>-2.6237142857641538</v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>
        <v>3892</v>
      </c>
      <c r="F11" s="40">
        <v>4.55</v>
      </c>
      <c r="G11" s="51"/>
      <c r="H11" s="44">
        <f t="shared" si="0"/>
        <v>-2.3108400000000002</v>
      </c>
      <c r="I11" s="52">
        <f t="shared" ref="I11:I74" si="7">IF(F11="","",F11-F10-G11)</f>
        <v>-3.95</v>
      </c>
      <c r="J11" s="44">
        <f t="shared" si="3"/>
        <v>-1.63916</v>
      </c>
      <c r="K11" s="44">
        <f t="shared" si="4"/>
        <v>-8.1427399999999999</v>
      </c>
      <c r="L11" s="44">
        <f t="shared" si="5"/>
        <v>-16.21</v>
      </c>
      <c r="M11" s="53">
        <f t="shared" si="6"/>
        <v>-8.067260000000001</v>
      </c>
      <c r="N11" s="228"/>
      <c r="O11" s="229"/>
      <c r="P11" s="230"/>
      <c r="Q11" s="47">
        <v>44623.959027777775</v>
      </c>
      <c r="R11" s="44">
        <f t="shared" si="1"/>
        <v>-2.2352181819837722</v>
      </c>
      <c r="S11" s="44">
        <f t="shared" si="2"/>
        <v>-2.5342178011274408</v>
      </c>
    </row>
    <row r="12" spans="1:20" ht="12" customHeight="1" x14ac:dyDescent="0.2">
      <c r="A12" s="37"/>
      <c r="B12" s="48"/>
      <c r="C12" s="49">
        <v>4.41</v>
      </c>
      <c r="D12" s="54"/>
      <c r="E12" s="39">
        <v>2293</v>
      </c>
      <c r="F12" s="56">
        <v>7.84</v>
      </c>
      <c r="G12" s="51">
        <v>14.7</v>
      </c>
      <c r="H12" s="44">
        <f t="shared" si="0"/>
        <v>-7.05159</v>
      </c>
      <c r="I12" s="52">
        <f t="shared" si="7"/>
        <v>-11.41</v>
      </c>
      <c r="J12" s="44">
        <f t="shared" si="3"/>
        <v>-4.3584100000000001</v>
      </c>
      <c r="K12" s="44">
        <f t="shared" si="4"/>
        <v>-15.194330000000001</v>
      </c>
      <c r="L12" s="44">
        <f t="shared" si="5"/>
        <v>-27.62</v>
      </c>
      <c r="M12" s="53">
        <f t="shared" si="6"/>
        <v>-12.42567</v>
      </c>
      <c r="N12" s="228"/>
      <c r="O12" s="229"/>
      <c r="P12" s="230"/>
      <c r="Q12" s="47">
        <v>44624.046527777777</v>
      </c>
      <c r="R12" s="44">
        <f t="shared" si="1"/>
        <v>-2.0754333332988173</v>
      </c>
      <c r="S12" s="44">
        <f t="shared" si="2"/>
        <v>-2.3518618296823628</v>
      </c>
    </row>
    <row r="13" spans="1:20" ht="12" customHeight="1" x14ac:dyDescent="0.2">
      <c r="A13" s="37"/>
      <c r="B13" s="48"/>
      <c r="C13" s="49">
        <v>4.41</v>
      </c>
      <c r="D13" s="54"/>
      <c r="E13" s="39">
        <v>2293</v>
      </c>
      <c r="F13" s="40">
        <v>7.58</v>
      </c>
      <c r="G13" s="51"/>
      <c r="H13" s="44">
        <f t="shared" si="0"/>
        <v>0</v>
      </c>
      <c r="I13" s="52">
        <f t="shared" si="7"/>
        <v>-0.25999999999999979</v>
      </c>
      <c r="J13" s="44">
        <f t="shared" si="3"/>
        <v>-0.25999999999999979</v>
      </c>
      <c r="K13" s="44">
        <f t="shared" si="4"/>
        <v>-15.194330000000001</v>
      </c>
      <c r="L13" s="44">
        <f t="shared" si="5"/>
        <v>-27.880000000000003</v>
      </c>
      <c r="M13" s="53">
        <f t="shared" si="6"/>
        <v>-12.685670000000002</v>
      </c>
      <c r="N13" s="228" t="s">
        <v>63</v>
      </c>
      <c r="O13" s="229"/>
      <c r="P13" s="230"/>
      <c r="Q13" s="47">
        <v>44624.053472222222</v>
      </c>
      <c r="R13" s="44">
        <f t="shared" si="1"/>
        <v>-1.5599999998183909</v>
      </c>
      <c r="S13" s="44">
        <f t="shared" si="2"/>
        <v>-2.3276458715795214</v>
      </c>
    </row>
    <row r="14" spans="1:20" ht="12" customHeight="1" x14ac:dyDescent="0.2">
      <c r="A14" s="37"/>
      <c r="B14" s="48"/>
      <c r="C14" s="49">
        <v>4.41</v>
      </c>
      <c r="D14" s="54"/>
      <c r="E14" s="39">
        <v>1571</v>
      </c>
      <c r="F14" s="40">
        <v>8.14</v>
      </c>
      <c r="G14" s="51">
        <v>6.5</v>
      </c>
      <c r="H14" s="44">
        <f t="shared" si="0"/>
        <v>-3.1840199999999999</v>
      </c>
      <c r="I14" s="52">
        <f t="shared" si="7"/>
        <v>-5.9399999999999995</v>
      </c>
      <c r="J14" s="44">
        <f t="shared" si="3"/>
        <v>-2.7559799999999997</v>
      </c>
      <c r="K14" s="44">
        <f t="shared" si="4"/>
        <v>-18.378350000000001</v>
      </c>
      <c r="L14" s="44">
        <f t="shared" si="5"/>
        <v>-33.82</v>
      </c>
      <c r="M14" s="53">
        <f t="shared" si="6"/>
        <v>-15.441649999999999</v>
      </c>
      <c r="N14" s="231"/>
      <c r="O14" s="229"/>
      <c r="P14" s="230"/>
      <c r="Q14" s="47">
        <v>44624.102083333331</v>
      </c>
      <c r="R14" s="44">
        <f t="shared" si="1"/>
        <v>-2.3622685715071436</v>
      </c>
      <c r="S14" s="44">
        <f t="shared" si="2"/>
        <v>-2.333750629753033</v>
      </c>
    </row>
    <row r="15" spans="1:20" ht="12" customHeight="1" x14ac:dyDescent="0.2">
      <c r="A15" s="37"/>
      <c r="B15" s="48"/>
      <c r="C15" s="49">
        <v>4.41</v>
      </c>
      <c r="D15" s="54"/>
      <c r="E15" s="39">
        <v>731</v>
      </c>
      <c r="F15" s="40">
        <v>2.1800000000000002</v>
      </c>
      <c r="G15" s="51"/>
      <c r="H15" s="44">
        <f t="shared" si="0"/>
        <v>-3.7044000000000001</v>
      </c>
      <c r="I15" s="52">
        <f t="shared" si="7"/>
        <v>-5.9600000000000009</v>
      </c>
      <c r="J15" s="44">
        <f t="shared" si="3"/>
        <v>-2.2556000000000007</v>
      </c>
      <c r="K15" s="44">
        <f t="shared" si="4"/>
        <v>-22.082750000000001</v>
      </c>
      <c r="L15" s="44">
        <f t="shared" si="5"/>
        <v>-39.78</v>
      </c>
      <c r="M15" s="53">
        <f t="shared" si="6"/>
        <v>-17.69725</v>
      </c>
      <c r="N15" s="231"/>
      <c r="O15" s="229"/>
      <c r="P15" s="230"/>
      <c r="Q15" s="47">
        <v>44624.143750000003</v>
      </c>
      <c r="R15" s="44">
        <f t="shared" si="1"/>
        <v>-2.2555999997374143</v>
      </c>
      <c r="S15" s="44">
        <f t="shared" si="2"/>
        <v>-2.3234901531633962</v>
      </c>
    </row>
    <row r="16" spans="1:20" ht="12" customHeight="1" x14ac:dyDescent="0.2">
      <c r="A16" s="37"/>
      <c r="B16" s="48"/>
      <c r="C16" s="49">
        <v>4.41</v>
      </c>
      <c r="D16" s="57"/>
      <c r="E16" s="39">
        <v>470</v>
      </c>
      <c r="F16" s="40">
        <v>7.88</v>
      </c>
      <c r="G16" s="51">
        <v>6.9</v>
      </c>
      <c r="H16" s="44">
        <f t="shared" si="0"/>
        <v>-1.1510100000000001</v>
      </c>
      <c r="I16" s="52">
        <f t="shared" si="7"/>
        <v>-1.2000000000000011</v>
      </c>
      <c r="J16" s="44">
        <f t="shared" si="3"/>
        <v>-4.8990000000000977E-2</v>
      </c>
      <c r="K16" s="44">
        <f t="shared" si="4"/>
        <v>-23.23376</v>
      </c>
      <c r="L16" s="44">
        <f t="shared" si="5"/>
        <v>-40.980000000000004</v>
      </c>
      <c r="M16" s="53">
        <f t="shared" si="6"/>
        <v>-17.746240000000004</v>
      </c>
      <c r="N16" s="228"/>
      <c r="O16" s="229"/>
      <c r="P16" s="230"/>
      <c r="Q16" s="47">
        <v>44624.158333333333</v>
      </c>
      <c r="R16" s="44">
        <f t="shared" si="1"/>
        <v>-0.13997142860402101</v>
      </c>
      <c r="S16" s="44">
        <f t="shared" si="2"/>
        <v>-2.2275615062902565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>
        <v>470</v>
      </c>
      <c r="F17" s="40">
        <v>7.59</v>
      </c>
      <c r="G17" s="51"/>
      <c r="H17" s="44">
        <f t="shared" si="0"/>
        <v>0</v>
      </c>
      <c r="I17" s="52">
        <f t="shared" si="7"/>
        <v>-0.29000000000000004</v>
      </c>
      <c r="J17" s="44">
        <f t="shared" si="3"/>
        <v>-0.29000000000000004</v>
      </c>
      <c r="K17" s="44">
        <f t="shared" si="4"/>
        <v>-23.23376</v>
      </c>
      <c r="L17" s="44">
        <f t="shared" si="5"/>
        <v>-41.27</v>
      </c>
      <c r="M17" s="53">
        <f t="shared" si="6"/>
        <v>-18.036240000000003</v>
      </c>
      <c r="N17" s="231" t="s">
        <v>63</v>
      </c>
      <c r="O17" s="229"/>
      <c r="P17" s="230"/>
      <c r="Q17" s="47">
        <v>44624.165277777778</v>
      </c>
      <c r="R17" s="44">
        <f t="shared" si="1"/>
        <v>-1.7399999997974376</v>
      </c>
      <c r="S17" s="44">
        <f t="shared" si="2"/>
        <v>-2.2175704918117431</v>
      </c>
    </row>
    <row r="18" spans="1:19" ht="12" customHeight="1" x14ac:dyDescent="0.2">
      <c r="A18" s="37"/>
      <c r="B18" s="48"/>
      <c r="C18" s="49">
        <v>4.41</v>
      </c>
      <c r="D18" s="54"/>
      <c r="E18" s="39">
        <v>153</v>
      </c>
      <c r="F18" s="40">
        <v>2.66</v>
      </c>
      <c r="G18" s="40"/>
      <c r="H18" s="44">
        <f t="shared" si="0"/>
        <v>-1.3979699999999999</v>
      </c>
      <c r="I18" s="52">
        <f t="shared" si="7"/>
        <v>-4.93</v>
      </c>
      <c r="J18" s="44">
        <f t="shared" si="3"/>
        <v>-3.5320299999999998</v>
      </c>
      <c r="K18" s="44">
        <f t="shared" si="4"/>
        <v>-24.631730000000001</v>
      </c>
      <c r="L18" s="44">
        <f t="shared" si="5"/>
        <v>-46.2</v>
      </c>
      <c r="M18" s="53">
        <f t="shared" si="6"/>
        <v>-21.568270000000002</v>
      </c>
      <c r="N18" s="228"/>
      <c r="O18" s="229"/>
      <c r="P18" s="230"/>
      <c r="Q18" s="47">
        <v>44624.214583333334</v>
      </c>
      <c r="R18" s="44">
        <f t="shared" si="1"/>
        <v>-2.9848140844678896</v>
      </c>
      <c r="S18" s="44">
        <f t="shared" si="2"/>
        <v>-2.3150200357820325</v>
      </c>
    </row>
    <row r="19" spans="1:19" ht="12" customHeight="1" x14ac:dyDescent="0.2">
      <c r="A19" s="37"/>
      <c r="B19" s="48"/>
      <c r="C19" s="49">
        <v>4.41</v>
      </c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>
        <v>4.41</v>
      </c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4.41</v>
      </c>
      <c r="D21" s="54"/>
      <c r="E21" s="39"/>
      <c r="F21" s="40"/>
      <c r="G21" s="51"/>
      <c r="H21" s="44" t="str">
        <f t="shared" si="0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4.41</v>
      </c>
      <c r="D22" s="54"/>
      <c r="E22" s="39"/>
      <c r="F22" s="40"/>
      <c r="G22" s="51"/>
      <c r="H22" s="44" t="str">
        <f t="shared" si="0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/>
      <c r="D23" s="54"/>
      <c r="E23" s="39"/>
      <c r="F23" s="40"/>
      <c r="G23" s="51"/>
      <c r="H23" s="44" t="str">
        <f t="shared" si="0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 t="str">
        <f t="shared" si="0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202"/>
      <c r="O34" s="203"/>
      <c r="P34" s="204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99"/>
      <c r="O76" s="200"/>
      <c r="P76" s="20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99"/>
      <c r="O77" s="200"/>
      <c r="P77" s="20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99"/>
      <c r="O78" s="200"/>
      <c r="P78" s="20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99"/>
      <c r="O79" s="200"/>
      <c r="P79" s="20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U112"/>
  <sheetViews>
    <sheetView zoomScaleNormal="100" workbookViewId="0">
      <selection activeCell="T95" sqref="T95:U9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9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9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96" t="s">
        <v>20</v>
      </c>
      <c r="I5" s="19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9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97" t="s">
        <v>28</v>
      </c>
      <c r="E6" s="39">
        <v>296</v>
      </c>
      <c r="F6" s="40">
        <v>4.76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44621.245138888888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580</v>
      </c>
      <c r="F7" s="40">
        <v>8.2200000000000006</v>
      </c>
      <c r="G7" s="51"/>
      <c r="H7" s="44">
        <f t="shared" ref="H7:H70" si="0">IF(E7="","",((E7-E6)*C7)/1000)</f>
        <v>3.78572</v>
      </c>
      <c r="I7" s="52">
        <f>IF(F7="","",F7-F6-G7)</f>
        <v>3.4600000000000009</v>
      </c>
      <c r="J7" s="44">
        <f>IF(F7="","",I7-H7)</f>
        <v>-0.32571999999999912</v>
      </c>
      <c r="K7" s="44">
        <f>IF(F7="","",K6+H7)</f>
        <v>3.78572</v>
      </c>
      <c r="L7" s="44">
        <f>IF(F7="","",L6+I7)</f>
        <v>3.4600000000000009</v>
      </c>
      <c r="M7" s="53">
        <f>IF(F7="","",L7-K7)</f>
        <v>-0.32571999999999912</v>
      </c>
      <c r="N7" s="231"/>
      <c r="O7" s="229"/>
      <c r="P7" s="230"/>
      <c r="Q7" s="47">
        <v>44621.259722222225</v>
      </c>
      <c r="R7" s="44">
        <f t="shared" ref="R7:R70" si="1">IF(Q7="","",J7/((Q7-Q6)*24))</f>
        <v>-0.93062857118093589</v>
      </c>
      <c r="S7" s="44">
        <f t="shared" ref="S7:S70" si="2">IF(Q7="","",M7/((Q7-$Q$6)*24))</f>
        <v>-0.93062857118093589</v>
      </c>
    </row>
    <row r="8" spans="1:20" ht="12" customHeight="1" x14ac:dyDescent="0.2">
      <c r="A8" s="37"/>
      <c r="B8" s="48"/>
      <c r="C8" s="49">
        <v>13.33</v>
      </c>
      <c r="D8" s="54"/>
      <c r="E8" s="39">
        <v>964</v>
      </c>
      <c r="F8" s="40">
        <v>6.31</v>
      </c>
      <c r="G8" s="51">
        <v>-6.1</v>
      </c>
      <c r="H8" s="44">
        <f t="shared" si="0"/>
        <v>5.1187200000000006</v>
      </c>
      <c r="I8" s="52">
        <f>IF(F8="","",F8-F7-G8)</f>
        <v>4.1899999999999986</v>
      </c>
      <c r="J8" s="44">
        <f>IF(F8="","",I8-H8)</f>
        <v>-0.92872000000000199</v>
      </c>
      <c r="K8" s="44">
        <f>IF(F8="","",K7+H8)</f>
        <v>8.904440000000001</v>
      </c>
      <c r="L8" s="44">
        <f>IF(F8="","",L7+I8)</f>
        <v>7.6499999999999995</v>
      </c>
      <c r="M8" s="53">
        <f>IF(F8="","",L8-K8)</f>
        <v>-1.2544400000000016</v>
      </c>
      <c r="N8" s="231"/>
      <c r="O8" s="229"/>
      <c r="P8" s="230"/>
      <c r="Q8" s="47">
        <v>44621.27847222222</v>
      </c>
      <c r="R8" s="44">
        <f t="shared" si="1"/>
        <v>-2.0638222227027478</v>
      </c>
      <c r="S8" s="44">
        <f t="shared" si="2"/>
        <v>-1.5680500000228201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1223</v>
      </c>
      <c r="F9" s="40">
        <v>8.9600000000000009</v>
      </c>
      <c r="G9" s="51"/>
      <c r="H9" s="44">
        <f t="shared" si="0"/>
        <v>3.4524699999999999</v>
      </c>
      <c r="I9" s="52">
        <f>IF(F9="","",F9-F8-G9)</f>
        <v>2.6500000000000012</v>
      </c>
      <c r="J9" s="44">
        <f>IF(F9="","",I9-H9)</f>
        <v>-0.80246999999999868</v>
      </c>
      <c r="K9" s="44">
        <f>IF(F9="","",K8+H9)</f>
        <v>12.356910000000001</v>
      </c>
      <c r="L9" s="44">
        <f>IF(F9="","",L8+I9)</f>
        <v>10.3</v>
      </c>
      <c r="M9" s="53">
        <f>IF(F9="","",L9-K9)</f>
        <v>-2.0569100000000002</v>
      </c>
      <c r="N9" s="228"/>
      <c r="O9" s="229"/>
      <c r="P9" s="230"/>
      <c r="Q9" s="47">
        <v>44621.290972222225</v>
      </c>
      <c r="R9" s="44">
        <f t="shared" si="1"/>
        <v>-2.6748999990657976</v>
      </c>
      <c r="S9" s="44">
        <f t="shared" si="2"/>
        <v>-1.8699181816598642</v>
      </c>
    </row>
    <row r="10" spans="1:20" ht="12" customHeight="1" x14ac:dyDescent="0.2">
      <c r="A10" s="37"/>
      <c r="B10" s="48"/>
      <c r="C10" s="49">
        <v>13.33</v>
      </c>
      <c r="D10" s="54"/>
      <c r="E10" s="39">
        <v>1223</v>
      </c>
      <c r="F10" s="40">
        <v>1.55</v>
      </c>
      <c r="G10" s="51">
        <v>-7.41</v>
      </c>
      <c r="H10" s="44">
        <f t="shared" si="0"/>
        <v>0</v>
      </c>
      <c r="I10" s="52">
        <f>IF(F10="","",F10-F9-G10)</f>
        <v>-8.8817841970012523E-16</v>
      </c>
      <c r="J10" s="44">
        <f t="shared" ref="J10:J73" si="3">IF(F10="","",I10-H10)</f>
        <v>-8.8817841970012523E-16</v>
      </c>
      <c r="K10" s="44">
        <f t="shared" ref="K10:K73" si="4">IF(F10="","",K9+H10)</f>
        <v>12.356910000000001</v>
      </c>
      <c r="L10" s="44">
        <f t="shared" ref="L10:L73" si="5">IF(F10="","",L9+I10)</f>
        <v>10.3</v>
      </c>
      <c r="M10" s="53">
        <f t="shared" ref="M10:M73" si="6">IF(F10="","",L10-K10)</f>
        <v>-2.0569100000000002</v>
      </c>
      <c r="N10" s="228"/>
      <c r="O10" s="229"/>
      <c r="P10" s="230"/>
      <c r="Q10" s="47">
        <v>44621.291666666664</v>
      </c>
      <c r="R10" s="44">
        <f t="shared" si="1"/>
        <v>-5.3290705566646499E-14</v>
      </c>
      <c r="S10" s="44">
        <f t="shared" si="2"/>
        <v>-1.8420089552686887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1573</v>
      </c>
      <c r="F11" s="40">
        <v>5.51</v>
      </c>
      <c r="G11" s="51"/>
      <c r="H11" s="44">
        <f t="shared" si="0"/>
        <v>4.6654999999999998</v>
      </c>
      <c r="I11" s="52">
        <f t="shared" ref="I11:I74" si="7">IF(F11="","",F11-F10-G11)</f>
        <v>3.96</v>
      </c>
      <c r="J11" s="44">
        <f t="shared" si="3"/>
        <v>-0.70549999999999979</v>
      </c>
      <c r="K11" s="44">
        <f t="shared" si="4"/>
        <v>17.022410000000001</v>
      </c>
      <c r="L11" s="44">
        <f t="shared" si="5"/>
        <v>14.260000000000002</v>
      </c>
      <c r="M11" s="53">
        <f t="shared" si="6"/>
        <v>-2.7624099999999991</v>
      </c>
      <c r="N11" s="228"/>
      <c r="O11" s="229"/>
      <c r="P11" s="230"/>
      <c r="Q11" s="47">
        <v>44621.325694444444</v>
      </c>
      <c r="R11" s="44">
        <f t="shared" si="1"/>
        <v>-0.86387755097525465</v>
      </c>
      <c r="S11" s="44">
        <f t="shared" si="2"/>
        <v>-1.4288327586092175</v>
      </c>
    </row>
    <row r="12" spans="1:20" ht="12" customHeight="1" x14ac:dyDescent="0.2">
      <c r="A12" s="37"/>
      <c r="B12" s="48"/>
      <c r="C12" s="49">
        <v>13.33</v>
      </c>
      <c r="D12" s="54"/>
      <c r="E12" s="39">
        <v>1981</v>
      </c>
      <c r="F12" s="56">
        <v>9.25</v>
      </c>
      <c r="G12" s="51"/>
      <c r="H12" s="44">
        <f t="shared" si="0"/>
        <v>5.4386400000000004</v>
      </c>
      <c r="I12" s="52">
        <f t="shared" si="7"/>
        <v>3.74</v>
      </c>
      <c r="J12" s="44">
        <f t="shared" si="3"/>
        <v>-1.6986400000000001</v>
      </c>
      <c r="K12" s="44">
        <f t="shared" si="4"/>
        <v>22.46105</v>
      </c>
      <c r="L12" s="44">
        <f t="shared" si="5"/>
        <v>18</v>
      </c>
      <c r="M12" s="53">
        <f t="shared" si="6"/>
        <v>-4.4610500000000002</v>
      </c>
      <c r="N12" s="228"/>
      <c r="O12" s="229"/>
      <c r="P12" s="230"/>
      <c r="Q12" s="47">
        <v>44621.344444444447</v>
      </c>
      <c r="R12" s="44">
        <f t="shared" si="1"/>
        <v>-3.7747555549696368</v>
      </c>
      <c r="S12" s="44">
        <f t="shared" si="2"/>
        <v>-1.8717692307021838</v>
      </c>
    </row>
    <row r="13" spans="1:20" ht="12" customHeight="1" x14ac:dyDescent="0.2">
      <c r="A13" s="37"/>
      <c r="B13" s="48"/>
      <c r="C13" s="49">
        <v>13.33</v>
      </c>
      <c r="D13" s="54"/>
      <c r="E13" s="39">
        <v>1981</v>
      </c>
      <c r="F13" s="40">
        <v>3</v>
      </c>
      <c r="G13" s="51">
        <v>-6.25</v>
      </c>
      <c r="H13" s="44">
        <f t="shared" si="0"/>
        <v>0</v>
      </c>
      <c r="I13" s="52">
        <f t="shared" si="7"/>
        <v>0</v>
      </c>
      <c r="J13" s="44">
        <f t="shared" si="3"/>
        <v>0</v>
      </c>
      <c r="K13" s="44">
        <f t="shared" si="4"/>
        <v>22.46105</v>
      </c>
      <c r="L13" s="44">
        <f t="shared" si="5"/>
        <v>18</v>
      </c>
      <c r="M13" s="53">
        <f t="shared" si="6"/>
        <v>-4.4610500000000002</v>
      </c>
      <c r="N13" s="231"/>
      <c r="O13" s="229"/>
      <c r="P13" s="230"/>
      <c r="Q13" s="47">
        <v>44621.34652777778</v>
      </c>
      <c r="R13" s="44">
        <f t="shared" si="1"/>
        <v>0</v>
      </c>
      <c r="S13" s="44">
        <f t="shared" si="2"/>
        <v>-1.8333082191225332</v>
      </c>
    </row>
    <row r="14" spans="1:20" ht="12" customHeight="1" x14ac:dyDescent="0.2">
      <c r="A14" s="37"/>
      <c r="B14" s="48"/>
      <c r="C14" s="49">
        <v>13.33</v>
      </c>
      <c r="D14" s="54"/>
      <c r="E14" s="39">
        <v>2680</v>
      </c>
      <c r="F14" s="40">
        <v>9.7200000000000006</v>
      </c>
      <c r="G14" s="51"/>
      <c r="H14" s="44">
        <f t="shared" si="0"/>
        <v>9.3176699999999997</v>
      </c>
      <c r="I14" s="52">
        <f t="shared" si="7"/>
        <v>6.7200000000000006</v>
      </c>
      <c r="J14" s="44">
        <f t="shared" si="3"/>
        <v>-2.597669999999999</v>
      </c>
      <c r="K14" s="44">
        <f t="shared" si="4"/>
        <v>31.77872</v>
      </c>
      <c r="L14" s="44">
        <f t="shared" si="5"/>
        <v>24.72</v>
      </c>
      <c r="M14" s="53">
        <f t="shared" si="6"/>
        <v>-7.058720000000001</v>
      </c>
      <c r="N14" s="231"/>
      <c r="O14" s="229"/>
      <c r="P14" s="230"/>
      <c r="Q14" s="47">
        <v>44621.384027777778</v>
      </c>
      <c r="R14" s="44">
        <f t="shared" si="1"/>
        <v>-2.8863000001120023</v>
      </c>
      <c r="S14" s="44">
        <f t="shared" si="2"/>
        <v>-2.1176159999753481</v>
      </c>
    </row>
    <row r="15" spans="1:20" ht="12" customHeight="1" x14ac:dyDescent="0.2">
      <c r="A15" s="37"/>
      <c r="B15" s="48"/>
      <c r="C15" s="49">
        <v>13.33</v>
      </c>
      <c r="D15" s="54"/>
      <c r="E15" s="39">
        <v>2680</v>
      </c>
      <c r="F15" s="40">
        <v>1.56</v>
      </c>
      <c r="G15" s="51">
        <v>-8.16</v>
      </c>
      <c r="H15" s="44">
        <f t="shared" si="0"/>
        <v>0</v>
      </c>
      <c r="I15" s="52">
        <f t="shared" si="7"/>
        <v>0</v>
      </c>
      <c r="J15" s="44">
        <f t="shared" si="3"/>
        <v>0</v>
      </c>
      <c r="K15" s="44">
        <f t="shared" si="4"/>
        <v>31.77872</v>
      </c>
      <c r="L15" s="44">
        <f t="shared" si="5"/>
        <v>24.72</v>
      </c>
      <c r="M15" s="53">
        <f t="shared" si="6"/>
        <v>-7.058720000000001</v>
      </c>
      <c r="N15" s="231"/>
      <c r="O15" s="229"/>
      <c r="P15" s="230"/>
      <c r="Q15" s="47">
        <v>44621.375</v>
      </c>
      <c r="R15" s="44">
        <f t="shared" si="1"/>
        <v>0</v>
      </c>
      <c r="S15" s="44">
        <f t="shared" si="2"/>
        <v>-2.2648299465015054</v>
      </c>
    </row>
    <row r="16" spans="1:20" ht="12" customHeight="1" x14ac:dyDescent="0.2">
      <c r="A16" s="37"/>
      <c r="B16" s="48"/>
      <c r="C16" s="49">
        <v>13.33</v>
      </c>
      <c r="D16" s="57"/>
      <c r="E16" s="39">
        <v>3115</v>
      </c>
      <c r="F16" s="40">
        <v>7.89</v>
      </c>
      <c r="G16" s="51"/>
      <c r="H16" s="44">
        <f t="shared" si="0"/>
        <v>5.7985500000000005</v>
      </c>
      <c r="I16" s="52">
        <f t="shared" si="7"/>
        <v>6.33</v>
      </c>
      <c r="J16" s="44">
        <f t="shared" si="3"/>
        <v>0.53144999999999953</v>
      </c>
      <c r="K16" s="44">
        <f t="shared" si="4"/>
        <v>37.577269999999999</v>
      </c>
      <c r="L16" s="44">
        <f t="shared" si="5"/>
        <v>31.049999999999997</v>
      </c>
      <c r="M16" s="53">
        <f t="shared" si="6"/>
        <v>-6.5272700000000015</v>
      </c>
      <c r="N16" s="228"/>
      <c r="O16" s="229"/>
      <c r="P16" s="230"/>
      <c r="Q16" s="47">
        <v>44621.407638888886</v>
      </c>
      <c r="R16" s="44">
        <f t="shared" si="1"/>
        <v>0.67844680856777329</v>
      </c>
      <c r="S16" s="44">
        <f t="shared" si="2"/>
        <v>-1.6736589743739625</v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>
        <v>3115</v>
      </c>
      <c r="F17" s="40">
        <v>1.6</v>
      </c>
      <c r="G17" s="51">
        <v>-6.29</v>
      </c>
      <c r="H17" s="44">
        <f t="shared" si="0"/>
        <v>0</v>
      </c>
      <c r="I17" s="52">
        <f t="shared" si="7"/>
        <v>8.8817841970012523E-16</v>
      </c>
      <c r="J17" s="44">
        <f t="shared" si="3"/>
        <v>8.8817841970012523E-16</v>
      </c>
      <c r="K17" s="44">
        <f t="shared" si="4"/>
        <v>37.577269999999999</v>
      </c>
      <c r="L17" s="44">
        <f t="shared" si="5"/>
        <v>31.049999999999997</v>
      </c>
      <c r="M17" s="53">
        <f t="shared" si="6"/>
        <v>-6.5272700000000015</v>
      </c>
      <c r="N17" s="231"/>
      <c r="O17" s="229"/>
      <c r="P17" s="230"/>
      <c r="Q17" s="47">
        <v>44621.408333333333</v>
      </c>
      <c r="R17" s="44">
        <f t="shared" si="1"/>
        <v>5.3290705008299585E-14</v>
      </c>
      <c r="S17" s="44">
        <f t="shared" si="2"/>
        <v>-1.6665370212683404</v>
      </c>
    </row>
    <row r="18" spans="1:19" ht="12" customHeight="1" x14ac:dyDescent="0.2">
      <c r="A18" s="37"/>
      <c r="B18" s="48"/>
      <c r="C18" s="49">
        <v>13.33</v>
      </c>
      <c r="D18" s="54"/>
      <c r="E18" s="39">
        <v>3719</v>
      </c>
      <c r="F18" s="40">
        <v>8.17</v>
      </c>
      <c r="G18" s="40"/>
      <c r="H18" s="44">
        <f t="shared" si="0"/>
        <v>8.0513200000000005</v>
      </c>
      <c r="I18" s="52">
        <f t="shared" si="7"/>
        <v>6.57</v>
      </c>
      <c r="J18" s="44">
        <f t="shared" si="3"/>
        <v>-1.4813200000000002</v>
      </c>
      <c r="K18" s="44">
        <f t="shared" si="4"/>
        <v>45.628590000000003</v>
      </c>
      <c r="L18" s="44">
        <f t="shared" si="5"/>
        <v>37.619999999999997</v>
      </c>
      <c r="M18" s="53">
        <f t="shared" si="6"/>
        <v>-8.0085900000000052</v>
      </c>
      <c r="N18" s="228"/>
      <c r="O18" s="229"/>
      <c r="P18" s="230"/>
      <c r="Q18" s="47">
        <v>44621.43472222222</v>
      </c>
      <c r="R18" s="44">
        <f t="shared" si="1"/>
        <v>-2.3389263159041209</v>
      </c>
      <c r="S18" s="44">
        <f t="shared" si="2"/>
        <v>-1.7601296703341749</v>
      </c>
    </row>
    <row r="19" spans="1:19" ht="12" customHeight="1" x14ac:dyDescent="0.2">
      <c r="A19" s="37"/>
      <c r="B19" s="48"/>
      <c r="C19" s="49">
        <v>13.33</v>
      </c>
      <c r="D19" s="54"/>
      <c r="E19" s="39">
        <v>3719</v>
      </c>
      <c r="F19" s="40">
        <v>2.2999999999999998</v>
      </c>
      <c r="G19" s="40">
        <v>-5.87</v>
      </c>
      <c r="H19" s="44">
        <f t="shared" si="0"/>
        <v>0</v>
      </c>
      <c r="I19" s="52">
        <f t="shared" si="7"/>
        <v>0</v>
      </c>
      <c r="J19" s="44">
        <f t="shared" si="3"/>
        <v>0</v>
      </c>
      <c r="K19" s="44">
        <f t="shared" si="4"/>
        <v>45.628590000000003</v>
      </c>
      <c r="L19" s="44">
        <f t="shared" si="5"/>
        <v>37.619999999999997</v>
      </c>
      <c r="M19" s="53">
        <f t="shared" si="6"/>
        <v>-8.0085900000000052</v>
      </c>
      <c r="N19" s="228"/>
      <c r="O19" s="229"/>
      <c r="P19" s="230"/>
      <c r="Q19" s="47">
        <v>44621.435416666667</v>
      </c>
      <c r="R19" s="44">
        <f t="shared" si="1"/>
        <v>0</v>
      </c>
      <c r="S19" s="44">
        <f t="shared" si="2"/>
        <v>-1.7537058393996672</v>
      </c>
    </row>
    <row r="20" spans="1:19" ht="12" customHeight="1" x14ac:dyDescent="0.2">
      <c r="A20" s="37"/>
      <c r="B20" s="48"/>
      <c r="C20" s="49">
        <v>13.33</v>
      </c>
      <c r="D20" s="54"/>
      <c r="E20" s="39">
        <v>3893</v>
      </c>
      <c r="F20" s="40">
        <v>4.24</v>
      </c>
      <c r="G20" s="40"/>
      <c r="H20" s="44">
        <f t="shared" si="0"/>
        <v>2.31942</v>
      </c>
      <c r="I20" s="52">
        <f t="shared" si="7"/>
        <v>1.9400000000000004</v>
      </c>
      <c r="J20" s="44">
        <f t="shared" si="3"/>
        <v>-0.37941999999999965</v>
      </c>
      <c r="K20" s="44">
        <f t="shared" si="4"/>
        <v>47.948010000000004</v>
      </c>
      <c r="L20" s="44">
        <f t="shared" si="5"/>
        <v>39.559999999999995</v>
      </c>
      <c r="M20" s="53">
        <f t="shared" si="6"/>
        <v>-8.3880100000000084</v>
      </c>
      <c r="N20" s="242"/>
      <c r="O20" s="229"/>
      <c r="P20" s="230"/>
      <c r="Q20" s="47">
        <v>44621.443749999999</v>
      </c>
      <c r="R20" s="44">
        <f t="shared" si="1"/>
        <v>-1.8971000004417014</v>
      </c>
      <c r="S20" s="44">
        <f t="shared" si="2"/>
        <v>-1.759722377623812</v>
      </c>
    </row>
    <row r="21" spans="1:19" ht="12" customHeight="1" x14ac:dyDescent="0.2">
      <c r="A21" s="37"/>
      <c r="B21" s="48"/>
      <c r="C21" s="49">
        <v>13.33</v>
      </c>
      <c r="D21" s="54"/>
      <c r="E21" s="39">
        <v>4490</v>
      </c>
      <c r="F21" s="40">
        <v>8.9</v>
      </c>
      <c r="G21" s="51"/>
      <c r="H21" s="44">
        <f t="shared" si="0"/>
        <v>7.9580099999999998</v>
      </c>
      <c r="I21" s="52">
        <f t="shared" si="7"/>
        <v>4.66</v>
      </c>
      <c r="J21" s="44">
        <f t="shared" si="3"/>
        <v>-3.2980099999999997</v>
      </c>
      <c r="K21" s="44">
        <f t="shared" si="4"/>
        <v>55.906020000000005</v>
      </c>
      <c r="L21" s="44">
        <f t="shared" si="5"/>
        <v>44.22</v>
      </c>
      <c r="M21" s="53">
        <f t="shared" si="6"/>
        <v>-11.686020000000006</v>
      </c>
      <c r="N21" s="228"/>
      <c r="O21" s="229"/>
      <c r="P21" s="230"/>
      <c r="Q21" s="47">
        <v>44621.518750000003</v>
      </c>
      <c r="R21" s="44">
        <f t="shared" si="1"/>
        <v>-1.832227777671128</v>
      </c>
      <c r="S21" s="44">
        <f t="shared" si="2"/>
        <v>-1.7795969542873793</v>
      </c>
    </row>
    <row r="22" spans="1:19" ht="12" customHeight="1" x14ac:dyDescent="0.2">
      <c r="A22" s="37"/>
      <c r="B22" s="48"/>
      <c r="C22" s="49">
        <v>15.74</v>
      </c>
      <c r="D22" s="54"/>
      <c r="E22" s="39">
        <v>4490</v>
      </c>
      <c r="F22" s="40">
        <v>1.9</v>
      </c>
      <c r="G22" s="51">
        <v>-7</v>
      </c>
      <c r="H22" s="44">
        <f t="shared" si="0"/>
        <v>0</v>
      </c>
      <c r="I22" s="52">
        <f t="shared" si="7"/>
        <v>0</v>
      </c>
      <c r="J22" s="44">
        <f t="shared" si="3"/>
        <v>0</v>
      </c>
      <c r="K22" s="44">
        <f t="shared" si="4"/>
        <v>55.906020000000005</v>
      </c>
      <c r="L22" s="44">
        <f t="shared" si="5"/>
        <v>44.22</v>
      </c>
      <c r="M22" s="53">
        <f t="shared" si="6"/>
        <v>-11.686020000000006</v>
      </c>
      <c r="N22" s="228"/>
      <c r="O22" s="229"/>
      <c r="P22" s="230"/>
      <c r="Q22" s="47">
        <v>44621.520138888889</v>
      </c>
      <c r="R22" s="44">
        <f t="shared" si="1"/>
        <v>0</v>
      </c>
      <c r="S22" s="44">
        <f t="shared" si="2"/>
        <v>-1.7706090908997225</v>
      </c>
    </row>
    <row r="23" spans="1:19" ht="12" customHeight="1" x14ac:dyDescent="0.2">
      <c r="A23" s="37"/>
      <c r="B23" s="48"/>
      <c r="C23" s="49">
        <v>15.74</v>
      </c>
      <c r="D23" s="54"/>
      <c r="E23" s="39">
        <v>4719</v>
      </c>
      <c r="F23" s="40">
        <v>5.23</v>
      </c>
      <c r="G23" s="51"/>
      <c r="H23" s="44">
        <f t="shared" si="0"/>
        <v>3.60446</v>
      </c>
      <c r="I23" s="52">
        <f t="shared" si="7"/>
        <v>3.3300000000000005</v>
      </c>
      <c r="J23" s="44">
        <f t="shared" si="3"/>
        <v>-0.27445999999999948</v>
      </c>
      <c r="K23" s="44">
        <f t="shared" si="4"/>
        <v>59.510480000000008</v>
      </c>
      <c r="L23" s="44">
        <f t="shared" si="5"/>
        <v>47.55</v>
      </c>
      <c r="M23" s="53">
        <f t="shared" si="6"/>
        <v>-11.960480000000011</v>
      </c>
      <c r="N23" s="228"/>
      <c r="O23" s="229"/>
      <c r="P23" s="230"/>
      <c r="Q23" s="47">
        <v>44621.536805555559</v>
      </c>
      <c r="R23" s="44">
        <f t="shared" si="1"/>
        <v>-0.68614999986021152</v>
      </c>
      <c r="S23" s="44">
        <f t="shared" si="2"/>
        <v>-1.7086399999715856</v>
      </c>
    </row>
    <row r="24" spans="1:19" ht="12" customHeight="1" x14ac:dyDescent="0.2">
      <c r="A24" s="37"/>
      <c r="B24" s="48"/>
      <c r="C24" s="49">
        <v>15.74</v>
      </c>
      <c r="D24" s="54"/>
      <c r="E24" s="39">
        <v>4800</v>
      </c>
      <c r="F24" s="40">
        <v>6.16</v>
      </c>
      <c r="G24" s="51"/>
      <c r="H24" s="44">
        <f t="shared" si="0"/>
        <v>1.27494</v>
      </c>
      <c r="I24" s="52">
        <f t="shared" si="7"/>
        <v>0.92999999999999972</v>
      </c>
      <c r="J24" s="44">
        <f t="shared" si="3"/>
        <v>-0.34494000000000025</v>
      </c>
      <c r="K24" s="44">
        <f t="shared" si="4"/>
        <v>60.785420000000009</v>
      </c>
      <c r="L24" s="44">
        <f t="shared" si="5"/>
        <v>48.48</v>
      </c>
      <c r="M24" s="53">
        <f t="shared" si="6"/>
        <v>-12.305420000000012</v>
      </c>
      <c r="N24" s="231"/>
      <c r="O24" s="229"/>
      <c r="P24" s="230"/>
      <c r="Q24" s="47">
        <v>44621.547222222223</v>
      </c>
      <c r="R24" s="44">
        <f t="shared" si="1"/>
        <v>-1.3797600003212513</v>
      </c>
      <c r="S24" s="44">
        <f t="shared" si="2"/>
        <v>-1.6972993103312022</v>
      </c>
    </row>
    <row r="25" spans="1:19" ht="12" customHeight="1" x14ac:dyDescent="0.2">
      <c r="A25" s="37"/>
      <c r="B25" s="48"/>
      <c r="C25" s="49">
        <v>15.74</v>
      </c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92"/>
      <c r="O34" s="193"/>
      <c r="P34" s="194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89"/>
      <c r="O76" s="190"/>
      <c r="P76" s="19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89"/>
      <c r="O77" s="190"/>
      <c r="P77" s="19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89"/>
      <c r="O78" s="190"/>
      <c r="P78" s="19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89"/>
      <c r="O79" s="190"/>
      <c r="P79" s="19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U112"/>
  <sheetViews>
    <sheetView zoomScaleNormal="100" workbookViewId="0">
      <selection activeCell="Q37" sqref="Q3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9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9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96" t="s">
        <v>20</v>
      </c>
      <c r="I5" s="19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9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97" t="s">
        <v>28</v>
      </c>
      <c r="E6" s="39">
        <v>4995</v>
      </c>
      <c r="F6" s="40">
        <v>6.68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44620.531944444447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19</v>
      </c>
      <c r="E7" s="39">
        <v>4995</v>
      </c>
      <c r="F7" s="40">
        <v>5.52</v>
      </c>
      <c r="G7" s="51"/>
      <c r="H7" s="44">
        <f t="shared" ref="H7:H70" si="0">IF(E7="","",((E7-E6)*C7)/1000)</f>
        <v>0</v>
      </c>
      <c r="I7" s="52">
        <f>IF(F7="","",F7-F6-G7)</f>
        <v>-1.1600000000000001</v>
      </c>
      <c r="J7" s="44">
        <f>IF(F7="","",I7-H7)</f>
        <v>-1.1600000000000001</v>
      </c>
      <c r="K7" s="44">
        <f>IF(F7="","",K6+H7)</f>
        <v>0</v>
      </c>
      <c r="L7" s="44">
        <f>IF(F7="","",L6+I7)</f>
        <v>-1.1600000000000001</v>
      </c>
      <c r="M7" s="53">
        <f>IF(F7="","",L7-K7)</f>
        <v>-1.1600000000000001</v>
      </c>
      <c r="N7" s="231"/>
      <c r="O7" s="229"/>
      <c r="P7" s="230"/>
      <c r="Q7" s="47">
        <v>44620.540277777778</v>
      </c>
      <c r="R7" s="44">
        <f t="shared" ref="R7:R70" si="1">IF(Q7="","",J7/((Q7-Q6)*24))</f>
        <v>-5.8000000013504183</v>
      </c>
      <c r="S7" s="44">
        <f t="shared" ref="S7:S70" si="2">IF(Q7="","",M7/((Q7-$Q$6)*24))</f>
        <v>-5.8000000013504183</v>
      </c>
    </row>
    <row r="8" spans="1:20" ht="12" customHeight="1" x14ac:dyDescent="0.2">
      <c r="A8" s="37"/>
      <c r="B8" s="48"/>
      <c r="C8" s="49">
        <v>4.37</v>
      </c>
      <c r="D8" s="54">
        <v>19</v>
      </c>
      <c r="E8" s="39">
        <v>4995</v>
      </c>
      <c r="F8" s="40">
        <v>5.1100000000000003</v>
      </c>
      <c r="G8" s="51"/>
      <c r="H8" s="44">
        <f t="shared" si="0"/>
        <v>0</v>
      </c>
      <c r="I8" s="52">
        <f>IF(F8="","",F8-F7-G8)</f>
        <v>-0.40999999999999925</v>
      </c>
      <c r="J8" s="44">
        <f>IF(F8="","",I8-H8)</f>
        <v>-0.40999999999999925</v>
      </c>
      <c r="K8" s="44">
        <f>IF(F8="","",K7+H8)</f>
        <v>0</v>
      </c>
      <c r="L8" s="44">
        <f>IF(F8="","",L7+I8)</f>
        <v>-1.5699999999999994</v>
      </c>
      <c r="M8" s="53">
        <f>IF(F8="","",L8-K8)</f>
        <v>-1.5699999999999994</v>
      </c>
      <c r="N8" s="231"/>
      <c r="O8" s="229"/>
      <c r="P8" s="230"/>
      <c r="Q8" s="47">
        <v>44620.542361111111</v>
      </c>
      <c r="R8" s="44">
        <f t="shared" si="1"/>
        <v>-8.2000000019091956</v>
      </c>
      <c r="S8" s="44">
        <f t="shared" si="2"/>
        <v>-6.2800000014621737</v>
      </c>
      <c r="T8" s="55"/>
    </row>
    <row r="9" spans="1:20" ht="12" customHeight="1" x14ac:dyDescent="0.2">
      <c r="A9" s="37"/>
      <c r="B9" s="48"/>
      <c r="C9" s="49">
        <v>4.37</v>
      </c>
      <c r="D9" s="54">
        <v>19</v>
      </c>
      <c r="E9" s="39">
        <v>4995</v>
      </c>
      <c r="F9" s="40">
        <v>4.7300000000000004</v>
      </c>
      <c r="G9" s="51"/>
      <c r="H9" s="44">
        <f t="shared" si="0"/>
        <v>0</v>
      </c>
      <c r="I9" s="52">
        <f>IF(F9="","",F9-F8-G9)</f>
        <v>-0.37999999999999989</v>
      </c>
      <c r="J9" s="44">
        <f>IF(F9="","",I9-H9)</f>
        <v>-0.37999999999999989</v>
      </c>
      <c r="K9" s="44">
        <f>IF(F9="","",K8+H9)</f>
        <v>0</v>
      </c>
      <c r="L9" s="44">
        <f>IF(F9="","",L8+I9)</f>
        <v>-1.9499999999999993</v>
      </c>
      <c r="M9" s="53">
        <f>IF(F9="","",L9-K9)</f>
        <v>-1.9499999999999993</v>
      </c>
      <c r="N9" s="228"/>
      <c r="O9" s="229"/>
      <c r="P9" s="230"/>
      <c r="Q9" s="47">
        <v>44620.544444444444</v>
      </c>
      <c r="R9" s="44">
        <f t="shared" si="1"/>
        <v>-7.6000000017695104</v>
      </c>
      <c r="S9" s="44">
        <f t="shared" si="2"/>
        <v>-6.5000000015133965</v>
      </c>
    </row>
    <row r="10" spans="1:20" ht="12" customHeight="1" x14ac:dyDescent="0.2">
      <c r="A10" s="37"/>
      <c r="B10" s="48"/>
      <c r="C10" s="49">
        <v>4.37</v>
      </c>
      <c r="D10" s="54">
        <v>17</v>
      </c>
      <c r="E10" s="39">
        <v>4944</v>
      </c>
      <c r="F10" s="40">
        <v>8.57</v>
      </c>
      <c r="G10" s="51">
        <v>4.0599999999999996</v>
      </c>
      <c r="H10" s="44">
        <f t="shared" si="0"/>
        <v>-0.22287000000000001</v>
      </c>
      <c r="I10" s="52">
        <f>IF(F10="","",F10-F9-G10)</f>
        <v>-0.21999999999999975</v>
      </c>
      <c r="J10" s="44">
        <f t="shared" ref="J10:J73" si="3">IF(F10="","",I10-H10)</f>
        <v>2.8700000000002612E-3</v>
      </c>
      <c r="K10" s="44">
        <f t="shared" ref="K10:K73" si="4">IF(F10="","",K9+H10)</f>
        <v>-0.22287000000000001</v>
      </c>
      <c r="L10" s="44">
        <f t="shared" ref="L10:L73" si="5">IF(F10="","",L9+I10)</f>
        <v>-2.169999999999999</v>
      </c>
      <c r="M10" s="53">
        <f t="shared" ref="M10:M73" si="6">IF(F10="","",L10-K10)</f>
        <v>-1.9471299999999991</v>
      </c>
      <c r="N10" s="228"/>
      <c r="O10" s="229"/>
      <c r="P10" s="230"/>
      <c r="Q10" s="47">
        <v>44620.56527777778</v>
      </c>
      <c r="R10" s="44">
        <f t="shared" si="1"/>
        <v>5.7399999993322983E-3</v>
      </c>
      <c r="S10" s="44">
        <f t="shared" si="2"/>
        <v>-2.4339125000354169</v>
      </c>
      <c r="T10" s="55"/>
    </row>
    <row r="11" spans="1:20" ht="12" customHeight="1" x14ac:dyDescent="0.2">
      <c r="A11" s="37"/>
      <c r="B11" s="48"/>
      <c r="C11" s="49">
        <v>4.37</v>
      </c>
      <c r="D11" s="54">
        <v>13</v>
      </c>
      <c r="E11" s="39">
        <v>4592</v>
      </c>
      <c r="F11" s="40">
        <v>6.4</v>
      </c>
      <c r="G11" s="51"/>
      <c r="H11" s="44">
        <f t="shared" si="0"/>
        <v>-1.5382400000000001</v>
      </c>
      <c r="I11" s="52">
        <f t="shared" ref="I11:I74" si="7">IF(F11="","",F11-F10-G11)</f>
        <v>-2.17</v>
      </c>
      <c r="J11" s="44">
        <f t="shared" si="3"/>
        <v>-0.63175999999999988</v>
      </c>
      <c r="K11" s="44">
        <f t="shared" si="4"/>
        <v>-1.76111</v>
      </c>
      <c r="L11" s="44">
        <f t="shared" si="5"/>
        <v>-4.339999999999999</v>
      </c>
      <c r="M11" s="53">
        <f t="shared" si="6"/>
        <v>-2.578889999999999</v>
      </c>
      <c r="N11" s="228"/>
      <c r="O11" s="229"/>
      <c r="P11" s="230"/>
      <c r="Q11" s="47">
        <v>44620.582638888889</v>
      </c>
      <c r="R11" s="44">
        <f t="shared" si="1"/>
        <v>-1.5162240001412091</v>
      </c>
      <c r="S11" s="44">
        <f t="shared" si="2"/>
        <v>-2.1196356165262418</v>
      </c>
    </row>
    <row r="12" spans="1:20" ht="12" customHeight="1" x14ac:dyDescent="0.2">
      <c r="A12" s="37"/>
      <c r="B12" s="48"/>
      <c r="C12" s="49">
        <v>4.37</v>
      </c>
      <c r="D12" s="54">
        <v>0</v>
      </c>
      <c r="E12" s="39">
        <v>4481</v>
      </c>
      <c r="F12" s="56">
        <v>5.68</v>
      </c>
      <c r="G12" s="51"/>
      <c r="H12" s="44">
        <f t="shared" si="0"/>
        <v>-0.48507</v>
      </c>
      <c r="I12" s="52">
        <f t="shared" si="7"/>
        <v>-0.72000000000000064</v>
      </c>
      <c r="J12" s="44">
        <f t="shared" si="3"/>
        <v>-0.23493000000000064</v>
      </c>
      <c r="K12" s="44">
        <f t="shared" si="4"/>
        <v>-2.2461799999999998</v>
      </c>
      <c r="L12" s="44">
        <f t="shared" si="5"/>
        <v>-5.0599999999999996</v>
      </c>
      <c r="M12" s="53">
        <f t="shared" si="6"/>
        <v>-2.8138199999999998</v>
      </c>
      <c r="N12" s="228"/>
      <c r="O12" s="229"/>
      <c r="P12" s="230"/>
      <c r="Q12" s="47">
        <v>44620.588888888888</v>
      </c>
      <c r="R12" s="44">
        <f t="shared" si="1"/>
        <v>-1.5662000003646637</v>
      </c>
      <c r="S12" s="44">
        <f t="shared" si="2"/>
        <v>-2.0588926830554413</v>
      </c>
    </row>
    <row r="13" spans="1:20" ht="12" customHeight="1" x14ac:dyDescent="0.2">
      <c r="A13" s="37"/>
      <c r="B13" s="48" t="s">
        <v>35</v>
      </c>
      <c r="C13" s="49">
        <v>4.41</v>
      </c>
      <c r="D13" s="54">
        <v>152</v>
      </c>
      <c r="E13" s="39">
        <v>4481</v>
      </c>
      <c r="F13" s="40">
        <v>5.68</v>
      </c>
      <c r="G13" s="51"/>
      <c r="H13" s="44">
        <f t="shared" si="0"/>
        <v>0</v>
      </c>
      <c r="I13" s="52">
        <f t="shared" si="7"/>
        <v>0</v>
      </c>
      <c r="J13" s="44">
        <f t="shared" si="3"/>
        <v>0</v>
      </c>
      <c r="K13" s="44">
        <f t="shared" si="4"/>
        <v>-2.2461799999999998</v>
      </c>
      <c r="L13" s="44">
        <f t="shared" si="5"/>
        <v>-5.0599999999999996</v>
      </c>
      <c r="M13" s="53">
        <f t="shared" si="6"/>
        <v>-2.8138199999999998</v>
      </c>
      <c r="N13" s="231"/>
      <c r="O13" s="229"/>
      <c r="P13" s="230"/>
      <c r="Q13" s="47">
        <v>44620.589583333334</v>
      </c>
      <c r="R13" s="44">
        <f t="shared" si="1"/>
        <v>0</v>
      </c>
      <c r="S13" s="44">
        <f t="shared" si="2"/>
        <v>-2.0340867470335997</v>
      </c>
    </row>
    <row r="14" spans="1:20" ht="12" customHeight="1" x14ac:dyDescent="0.2">
      <c r="A14" s="37"/>
      <c r="B14" s="48"/>
      <c r="C14" s="49">
        <v>4.41</v>
      </c>
      <c r="D14" s="54">
        <v>152</v>
      </c>
      <c r="E14" s="39">
        <v>4481</v>
      </c>
      <c r="F14" s="40">
        <v>5.21</v>
      </c>
      <c r="G14" s="51"/>
      <c r="H14" s="44">
        <f t="shared" si="0"/>
        <v>0</v>
      </c>
      <c r="I14" s="52">
        <f t="shared" si="7"/>
        <v>-0.46999999999999975</v>
      </c>
      <c r="J14" s="44">
        <f t="shared" si="3"/>
        <v>-0.46999999999999975</v>
      </c>
      <c r="K14" s="44">
        <f t="shared" si="4"/>
        <v>-2.2461799999999998</v>
      </c>
      <c r="L14" s="44">
        <f t="shared" si="5"/>
        <v>-5.5299999999999994</v>
      </c>
      <c r="M14" s="53">
        <f t="shared" si="6"/>
        <v>-3.2838199999999995</v>
      </c>
      <c r="N14" s="231" t="s">
        <v>151</v>
      </c>
      <c r="O14" s="229"/>
      <c r="P14" s="230"/>
      <c r="Q14" s="47">
        <v>44620.603472222225</v>
      </c>
      <c r="R14" s="44">
        <f t="shared" si="1"/>
        <v>-1.4099999998358537</v>
      </c>
      <c r="S14" s="44">
        <f t="shared" si="2"/>
        <v>-1.9129048543602836</v>
      </c>
    </row>
    <row r="15" spans="1:20" ht="12" customHeight="1" x14ac:dyDescent="0.2">
      <c r="A15" s="37"/>
      <c r="B15" s="48"/>
      <c r="C15" s="49">
        <v>4.41</v>
      </c>
      <c r="D15" s="54">
        <v>152</v>
      </c>
      <c r="E15" s="39">
        <v>4481</v>
      </c>
      <c r="F15" s="40">
        <v>4.9000000000000004</v>
      </c>
      <c r="G15" s="51"/>
      <c r="H15" s="44">
        <f t="shared" si="0"/>
        <v>0</v>
      </c>
      <c r="I15" s="52">
        <f t="shared" si="7"/>
        <v>-0.30999999999999961</v>
      </c>
      <c r="J15" s="44">
        <f t="shared" si="3"/>
        <v>-0.30999999999999961</v>
      </c>
      <c r="K15" s="44">
        <f t="shared" si="4"/>
        <v>-2.2461799999999998</v>
      </c>
      <c r="L15" s="44">
        <f t="shared" si="5"/>
        <v>-5.839999999999999</v>
      </c>
      <c r="M15" s="53">
        <f t="shared" si="6"/>
        <v>-3.5938199999999991</v>
      </c>
      <c r="N15" s="231"/>
      <c r="O15" s="229"/>
      <c r="P15" s="230"/>
      <c r="Q15" s="47">
        <v>44620.609722222223</v>
      </c>
      <c r="R15" s="44">
        <f t="shared" si="1"/>
        <v>-2.0666666671478473</v>
      </c>
      <c r="S15" s="44">
        <f t="shared" si="2"/>
        <v>-1.9252607143137301</v>
      </c>
    </row>
    <row r="16" spans="1:20" ht="12" customHeight="1" x14ac:dyDescent="0.2">
      <c r="A16" s="37"/>
      <c r="B16" s="48"/>
      <c r="C16" s="49">
        <v>4.41</v>
      </c>
      <c r="D16" s="57">
        <v>149</v>
      </c>
      <c r="E16" s="39">
        <v>4394</v>
      </c>
      <c r="F16" s="40">
        <v>3.88</v>
      </c>
      <c r="G16" s="51"/>
      <c r="H16" s="44">
        <f t="shared" si="0"/>
        <v>-0.38367000000000001</v>
      </c>
      <c r="I16" s="52">
        <f t="shared" si="7"/>
        <v>-1.0200000000000005</v>
      </c>
      <c r="J16" s="44">
        <f t="shared" si="3"/>
        <v>-0.63633000000000051</v>
      </c>
      <c r="K16" s="44">
        <f t="shared" si="4"/>
        <v>-2.6298499999999998</v>
      </c>
      <c r="L16" s="44">
        <f t="shared" si="5"/>
        <v>-6.8599999999999994</v>
      </c>
      <c r="M16" s="53">
        <f t="shared" si="6"/>
        <v>-4.2301500000000001</v>
      </c>
      <c r="N16" s="228"/>
      <c r="O16" s="229"/>
      <c r="P16" s="230"/>
      <c r="Q16" s="47">
        <v>44620.617361111108</v>
      </c>
      <c r="R16" s="44">
        <f t="shared" si="1"/>
        <v>-3.4708909110010366</v>
      </c>
      <c r="S16" s="44">
        <f t="shared" si="2"/>
        <v>-2.0634878050069481</v>
      </c>
      <c r="T16" s="55"/>
    </row>
    <row r="17" spans="1:19" ht="12" customHeight="1" x14ac:dyDescent="0.2">
      <c r="A17" s="37"/>
      <c r="B17" s="48"/>
      <c r="C17" s="49">
        <v>4.41</v>
      </c>
      <c r="D17" s="54">
        <v>140</v>
      </c>
      <c r="E17" s="39">
        <v>4115</v>
      </c>
      <c r="F17" s="40">
        <v>1.58</v>
      </c>
      <c r="G17" s="51"/>
      <c r="H17" s="44">
        <f t="shared" si="0"/>
        <v>-1.2303900000000001</v>
      </c>
      <c r="I17" s="52">
        <f t="shared" si="7"/>
        <v>-2.2999999999999998</v>
      </c>
      <c r="J17" s="44">
        <f t="shared" si="3"/>
        <v>-1.0696099999999997</v>
      </c>
      <c r="K17" s="44">
        <f t="shared" si="4"/>
        <v>-3.8602400000000001</v>
      </c>
      <c r="L17" s="44">
        <f t="shared" si="5"/>
        <v>-9.16</v>
      </c>
      <c r="M17" s="53">
        <f t="shared" si="6"/>
        <v>-5.29976</v>
      </c>
      <c r="N17" s="231"/>
      <c r="O17" s="229"/>
      <c r="P17" s="230"/>
      <c r="Q17" s="47">
        <v>44620.633333333331</v>
      </c>
      <c r="R17" s="44">
        <f t="shared" si="1"/>
        <v>-2.7902869563240147</v>
      </c>
      <c r="S17" s="44">
        <f t="shared" si="2"/>
        <v>-2.1779835617341412</v>
      </c>
    </row>
    <row r="18" spans="1:19" ht="12" customHeight="1" x14ac:dyDescent="0.2">
      <c r="A18" s="37"/>
      <c r="B18" s="48"/>
      <c r="C18" s="49">
        <v>4.41</v>
      </c>
      <c r="D18" s="54">
        <v>140</v>
      </c>
      <c r="E18" s="39">
        <v>4115</v>
      </c>
      <c r="F18" s="40">
        <v>7.97</v>
      </c>
      <c r="G18" s="40">
        <v>6.39</v>
      </c>
      <c r="H18" s="44">
        <f t="shared" si="0"/>
        <v>0</v>
      </c>
      <c r="I18" s="52">
        <f t="shared" si="7"/>
        <v>0</v>
      </c>
      <c r="J18" s="44">
        <f t="shared" si="3"/>
        <v>0</v>
      </c>
      <c r="K18" s="44">
        <f t="shared" si="4"/>
        <v>-3.8602400000000001</v>
      </c>
      <c r="L18" s="44">
        <f t="shared" si="5"/>
        <v>-9.16</v>
      </c>
      <c r="M18" s="53">
        <f t="shared" si="6"/>
        <v>-5.29976</v>
      </c>
      <c r="N18" s="228" t="s">
        <v>152</v>
      </c>
      <c r="O18" s="229"/>
      <c r="P18" s="230"/>
      <c r="Q18" s="47">
        <v>44620.634027777778</v>
      </c>
      <c r="R18" s="44">
        <f t="shared" si="1"/>
        <v>0</v>
      </c>
      <c r="S18" s="44">
        <f t="shared" si="2"/>
        <v>-2.1631673469798898</v>
      </c>
    </row>
    <row r="19" spans="1:19" ht="12" customHeight="1" x14ac:dyDescent="0.2">
      <c r="A19" s="37"/>
      <c r="B19" s="48"/>
      <c r="C19" s="49">
        <v>4.41</v>
      </c>
      <c r="D19" s="54">
        <v>108</v>
      </c>
      <c r="E19" s="39">
        <v>3205</v>
      </c>
      <c r="F19" s="40">
        <v>2.5</v>
      </c>
      <c r="G19" s="40"/>
      <c r="H19" s="44">
        <f t="shared" si="0"/>
        <v>-4.0130999999999997</v>
      </c>
      <c r="I19" s="52">
        <f t="shared" si="7"/>
        <v>-5.47</v>
      </c>
      <c r="J19" s="44">
        <f t="shared" si="3"/>
        <v>-1.4569000000000001</v>
      </c>
      <c r="K19" s="44">
        <f t="shared" si="4"/>
        <v>-7.8733399999999998</v>
      </c>
      <c r="L19" s="44">
        <f t="shared" si="5"/>
        <v>-14.629999999999999</v>
      </c>
      <c r="M19" s="53">
        <f t="shared" si="6"/>
        <v>-6.7566599999999992</v>
      </c>
      <c r="N19" s="228"/>
      <c r="O19" s="229"/>
      <c r="P19" s="230"/>
      <c r="Q19" s="47">
        <v>44620.668749999997</v>
      </c>
      <c r="R19" s="44">
        <f t="shared" si="1"/>
        <v>-1.7482800001628214</v>
      </c>
      <c r="S19" s="44">
        <f t="shared" si="2"/>
        <v>-2.0578659899255443</v>
      </c>
    </row>
    <row r="20" spans="1:19" ht="12" customHeight="1" x14ac:dyDescent="0.2">
      <c r="A20" s="37"/>
      <c r="B20" s="48"/>
      <c r="C20" s="49">
        <v>4.41</v>
      </c>
      <c r="D20" s="54">
        <v>104</v>
      </c>
      <c r="E20" s="39">
        <v>3086</v>
      </c>
      <c r="F20" s="40">
        <v>2.36</v>
      </c>
      <c r="G20" s="40"/>
      <c r="H20" s="44">
        <f t="shared" si="0"/>
        <v>-0.52478999999999998</v>
      </c>
      <c r="I20" s="52">
        <f t="shared" si="7"/>
        <v>-0.14000000000000012</v>
      </c>
      <c r="J20" s="44">
        <f t="shared" si="3"/>
        <v>0.38478999999999985</v>
      </c>
      <c r="K20" s="44">
        <f t="shared" si="4"/>
        <v>-8.3981300000000001</v>
      </c>
      <c r="L20" s="44">
        <f t="shared" si="5"/>
        <v>-14.77</v>
      </c>
      <c r="M20" s="53">
        <f t="shared" si="6"/>
        <v>-6.3718699999999995</v>
      </c>
      <c r="N20" s="242"/>
      <c r="O20" s="229"/>
      <c r="P20" s="230"/>
      <c r="Q20" s="47">
        <v>44620.672222222223</v>
      </c>
      <c r="R20" s="44">
        <f t="shared" si="1"/>
        <v>4.6174799946245439</v>
      </c>
      <c r="S20" s="44">
        <f t="shared" si="2"/>
        <v>-1.8926346534806169</v>
      </c>
    </row>
    <row r="21" spans="1:19" ht="12" customHeight="1" x14ac:dyDescent="0.2">
      <c r="A21" s="37"/>
      <c r="B21" s="48"/>
      <c r="C21" s="49">
        <v>4.41</v>
      </c>
      <c r="D21" s="54">
        <v>104</v>
      </c>
      <c r="E21" s="39">
        <v>3086</v>
      </c>
      <c r="F21" s="40">
        <v>7.73</v>
      </c>
      <c r="G21" s="51">
        <v>5.37</v>
      </c>
      <c r="H21" s="44">
        <f t="shared" si="0"/>
        <v>0</v>
      </c>
      <c r="I21" s="52">
        <f t="shared" si="7"/>
        <v>8.8817841970012523E-16</v>
      </c>
      <c r="J21" s="44">
        <f t="shared" si="3"/>
        <v>8.8817841970012523E-16</v>
      </c>
      <c r="K21" s="44">
        <f t="shared" si="4"/>
        <v>-8.3981300000000001</v>
      </c>
      <c r="L21" s="44">
        <f t="shared" si="5"/>
        <v>-14.77</v>
      </c>
      <c r="M21" s="53">
        <f t="shared" si="6"/>
        <v>-6.3718699999999995</v>
      </c>
      <c r="N21" s="228" t="s">
        <v>152</v>
      </c>
      <c r="O21" s="229"/>
      <c r="P21" s="230"/>
      <c r="Q21" s="47">
        <v>44620.67291666667</v>
      </c>
      <c r="R21" s="44">
        <f t="shared" si="1"/>
        <v>5.3290705008299585E-14</v>
      </c>
      <c r="S21" s="44">
        <f t="shared" si="2"/>
        <v>-1.8833113300341404</v>
      </c>
    </row>
    <row r="22" spans="1:19" ht="12" customHeight="1" x14ac:dyDescent="0.2">
      <c r="A22" s="37"/>
      <c r="B22" s="48"/>
      <c r="C22" s="49">
        <v>4.41</v>
      </c>
      <c r="D22" s="54">
        <v>81</v>
      </c>
      <c r="E22" s="39">
        <v>2419</v>
      </c>
      <c r="F22" s="40">
        <v>3.4</v>
      </c>
      <c r="G22" s="51"/>
      <c r="H22" s="44">
        <f t="shared" si="0"/>
        <v>-2.9414700000000003</v>
      </c>
      <c r="I22" s="52">
        <f t="shared" si="7"/>
        <v>-4.33</v>
      </c>
      <c r="J22" s="44">
        <f t="shared" si="3"/>
        <v>-1.3885299999999998</v>
      </c>
      <c r="K22" s="44">
        <f t="shared" si="4"/>
        <v>-11.339600000000001</v>
      </c>
      <c r="L22" s="44">
        <f t="shared" si="5"/>
        <v>-19.100000000000001</v>
      </c>
      <c r="M22" s="53">
        <f t="shared" si="6"/>
        <v>-7.7604000000000006</v>
      </c>
      <c r="N22" s="228"/>
      <c r="O22" s="229"/>
      <c r="P22" s="230"/>
      <c r="Q22" s="47">
        <v>44620.699305555558</v>
      </c>
      <c r="R22" s="44">
        <f t="shared" si="1"/>
        <v>-2.1924157895811494</v>
      </c>
      <c r="S22" s="44">
        <f t="shared" si="2"/>
        <v>-1.9320497925329871</v>
      </c>
    </row>
    <row r="23" spans="1:19" ht="12" customHeight="1" x14ac:dyDescent="0.2">
      <c r="A23" s="37"/>
      <c r="B23" s="48"/>
      <c r="C23" s="49">
        <v>4.41</v>
      </c>
      <c r="D23" s="54">
        <v>77</v>
      </c>
      <c r="E23" s="39">
        <v>2306</v>
      </c>
      <c r="F23" s="40">
        <v>2.57</v>
      </c>
      <c r="G23" s="51"/>
      <c r="H23" s="44">
        <f t="shared" si="0"/>
        <v>-0.49833000000000005</v>
      </c>
      <c r="I23" s="52">
        <f t="shared" si="7"/>
        <v>-0.83000000000000007</v>
      </c>
      <c r="J23" s="44">
        <f t="shared" si="3"/>
        <v>-0.33167000000000002</v>
      </c>
      <c r="K23" s="44">
        <f t="shared" si="4"/>
        <v>-11.83793</v>
      </c>
      <c r="L23" s="44">
        <f t="shared" si="5"/>
        <v>-19.93</v>
      </c>
      <c r="M23" s="53">
        <f t="shared" si="6"/>
        <v>-8.0920699999999997</v>
      </c>
      <c r="N23" s="228"/>
      <c r="O23" s="229"/>
      <c r="P23" s="230"/>
      <c r="Q23" s="47">
        <v>44620.709027777775</v>
      </c>
      <c r="R23" s="44">
        <f t="shared" si="1"/>
        <v>-1.4214428578284077</v>
      </c>
      <c r="S23" s="44">
        <f t="shared" si="2"/>
        <v>-1.9040164706403897</v>
      </c>
    </row>
    <row r="24" spans="1:19" ht="12" customHeight="1" x14ac:dyDescent="0.2">
      <c r="A24" s="37"/>
      <c r="B24" s="48"/>
      <c r="C24" s="49">
        <v>4.41</v>
      </c>
      <c r="D24" s="54">
        <v>77</v>
      </c>
      <c r="E24" s="39">
        <v>2306</v>
      </c>
      <c r="F24" s="40">
        <v>2.35</v>
      </c>
      <c r="G24" s="51"/>
      <c r="H24" s="44">
        <f t="shared" si="0"/>
        <v>0</v>
      </c>
      <c r="I24" s="52">
        <f t="shared" si="7"/>
        <v>-0.21999999999999975</v>
      </c>
      <c r="J24" s="44">
        <f t="shared" si="3"/>
        <v>-0.21999999999999975</v>
      </c>
      <c r="K24" s="44">
        <f t="shared" si="4"/>
        <v>-11.83793</v>
      </c>
      <c r="L24" s="44">
        <f t="shared" si="5"/>
        <v>-20.149999999999999</v>
      </c>
      <c r="M24" s="53">
        <f t="shared" si="6"/>
        <v>-8.3120699999999985</v>
      </c>
      <c r="N24" s="231" t="s">
        <v>153</v>
      </c>
      <c r="O24" s="229"/>
      <c r="P24" s="230"/>
      <c r="Q24" s="47">
        <v>44620.714583333334</v>
      </c>
      <c r="R24" s="44">
        <f t="shared" si="1"/>
        <v>-1.649999998943529</v>
      </c>
      <c r="S24" s="44">
        <f t="shared" si="2"/>
        <v>-1.8962897338537339</v>
      </c>
    </row>
    <row r="25" spans="1:19" ht="12" customHeight="1" x14ac:dyDescent="0.2">
      <c r="A25" s="37"/>
      <c r="B25" s="48"/>
      <c r="C25" s="49">
        <v>4.41</v>
      </c>
      <c r="D25" s="54">
        <v>77</v>
      </c>
      <c r="E25" s="39">
        <v>2306</v>
      </c>
      <c r="F25" s="40">
        <v>2.29</v>
      </c>
      <c r="G25" s="51"/>
      <c r="H25" s="44">
        <f t="shared" si="0"/>
        <v>0</v>
      </c>
      <c r="I25" s="52">
        <f t="shared" si="7"/>
        <v>-6.0000000000000053E-2</v>
      </c>
      <c r="J25" s="44">
        <f t="shared" si="3"/>
        <v>-6.0000000000000053E-2</v>
      </c>
      <c r="K25" s="44">
        <f t="shared" si="4"/>
        <v>-11.83793</v>
      </c>
      <c r="L25" s="44">
        <f t="shared" si="5"/>
        <v>-20.209999999999997</v>
      </c>
      <c r="M25" s="53">
        <f t="shared" si="6"/>
        <v>-8.3720699999999972</v>
      </c>
      <c r="N25" s="228"/>
      <c r="O25" s="229"/>
      <c r="P25" s="230"/>
      <c r="Q25" s="47">
        <v>44620.716666666667</v>
      </c>
      <c r="R25" s="44">
        <f t="shared" si="1"/>
        <v>-1.2000000002793978</v>
      </c>
      <c r="S25" s="44">
        <f t="shared" si="2"/>
        <v>-1.888436842123445</v>
      </c>
    </row>
    <row r="26" spans="1:19" ht="12" customHeight="1" x14ac:dyDescent="0.2">
      <c r="A26" s="37">
        <v>176.43</v>
      </c>
      <c r="B26" s="48"/>
      <c r="C26" s="49">
        <v>4.41</v>
      </c>
      <c r="D26" s="54">
        <v>77</v>
      </c>
      <c r="E26" s="39">
        <v>2306</v>
      </c>
      <c r="F26" s="40">
        <v>8.24</v>
      </c>
      <c r="G26" s="51">
        <v>5.95</v>
      </c>
      <c r="H26" s="44">
        <f>IF(E26="","",((E26-E25)*C26)/1000)</f>
        <v>0</v>
      </c>
      <c r="I26" s="52">
        <f>IF(F26="","",F26-F25-G26)</f>
        <v>0</v>
      </c>
      <c r="J26" s="44">
        <f t="shared" si="3"/>
        <v>0</v>
      </c>
      <c r="K26" s="44">
        <f t="shared" si="4"/>
        <v>-11.83793</v>
      </c>
      <c r="L26" s="44">
        <f t="shared" si="5"/>
        <v>-20.209999999999997</v>
      </c>
      <c r="M26" s="53">
        <f t="shared" si="6"/>
        <v>-8.3720699999999972</v>
      </c>
      <c r="N26" s="228" t="s">
        <v>152</v>
      </c>
      <c r="O26" s="229"/>
      <c r="P26" s="230"/>
      <c r="Q26" s="47">
        <v>44620.71875</v>
      </c>
      <c r="R26" s="44">
        <f t="shared" si="1"/>
        <v>0</v>
      </c>
      <c r="S26" s="44">
        <f t="shared" si="2"/>
        <v>-1.8673762082010661</v>
      </c>
    </row>
    <row r="27" spans="1:19" ht="12" customHeight="1" x14ac:dyDescent="0.2">
      <c r="A27" s="37"/>
      <c r="B27" s="48"/>
      <c r="C27" s="49">
        <v>4.41</v>
      </c>
      <c r="D27" s="58">
        <v>45</v>
      </c>
      <c r="E27" s="39">
        <v>1378</v>
      </c>
      <c r="F27" s="40">
        <v>1.98</v>
      </c>
      <c r="G27" s="51"/>
      <c r="H27" s="44">
        <f t="shared" si="0"/>
        <v>-4.0924800000000001</v>
      </c>
      <c r="I27" s="52">
        <f>IF(F27="","",F27-F26-G27)</f>
        <v>-6.26</v>
      </c>
      <c r="J27" s="44">
        <f>IF(F27="","",I27-H27)</f>
        <v>-2.1675199999999997</v>
      </c>
      <c r="K27" s="44">
        <f>IF(F27="","",K26+H27)</f>
        <v>-15.93041</v>
      </c>
      <c r="L27" s="44">
        <f>IF(F27="","",L26+I27)</f>
        <v>-26.47</v>
      </c>
      <c r="M27" s="53">
        <f>IF(F27="","",L27-K27)</f>
        <v>-10.539589999999999</v>
      </c>
      <c r="N27" s="231"/>
      <c r="O27" s="229"/>
      <c r="P27" s="230"/>
      <c r="Q27" s="47">
        <v>44620.769444444442</v>
      </c>
      <c r="R27" s="44">
        <f t="shared" si="1"/>
        <v>-1.7815232877450999</v>
      </c>
      <c r="S27" s="44">
        <f t="shared" si="2"/>
        <v>-1.8490508772269703</v>
      </c>
    </row>
    <row r="28" spans="1:19" ht="12" customHeight="1" x14ac:dyDescent="0.2">
      <c r="A28" s="37"/>
      <c r="B28" s="48"/>
      <c r="C28" s="49">
        <v>4.41</v>
      </c>
      <c r="D28" s="58">
        <v>45</v>
      </c>
      <c r="E28" s="39">
        <v>1317</v>
      </c>
      <c r="F28" s="40">
        <v>7.95</v>
      </c>
      <c r="G28" s="51">
        <v>6.24</v>
      </c>
      <c r="H28" s="44">
        <f t="shared" si="0"/>
        <v>-0.26900999999999997</v>
      </c>
      <c r="I28" s="52">
        <f>IF(F28="","",F28-F27-G28)</f>
        <v>-0.26999999999999957</v>
      </c>
      <c r="J28" s="44">
        <f t="shared" si="3"/>
        <v>-9.8999999999960231E-4</v>
      </c>
      <c r="K28" s="44">
        <f t="shared" si="4"/>
        <v>-16.19942</v>
      </c>
      <c r="L28" s="44">
        <f t="shared" si="5"/>
        <v>-26.74</v>
      </c>
      <c r="M28" s="53">
        <f t="shared" si="6"/>
        <v>-10.540579999999999</v>
      </c>
      <c r="N28" s="231" t="s">
        <v>152</v>
      </c>
      <c r="O28" s="229"/>
      <c r="P28" s="230"/>
      <c r="Q28" s="47">
        <v>44620.772916666669</v>
      </c>
      <c r="R28" s="44">
        <f t="shared" si="1"/>
        <v>-1.1879999986165088E-2</v>
      </c>
      <c r="S28" s="44">
        <f t="shared" si="2"/>
        <v>-1.8225786743540306</v>
      </c>
    </row>
    <row r="29" spans="1:19" ht="12" customHeight="1" x14ac:dyDescent="0.2">
      <c r="A29" s="37"/>
      <c r="B29" s="48"/>
      <c r="C29" s="49">
        <v>4.41</v>
      </c>
      <c r="D29" s="58"/>
      <c r="E29" s="39">
        <v>740</v>
      </c>
      <c r="F29" s="40">
        <v>4.04</v>
      </c>
      <c r="G29" s="51"/>
      <c r="H29" s="44">
        <f t="shared" si="0"/>
        <v>-2.5445700000000002</v>
      </c>
      <c r="I29" s="52">
        <f t="shared" si="7"/>
        <v>-3.91</v>
      </c>
      <c r="J29" s="44">
        <f t="shared" si="3"/>
        <v>-1.3654299999999999</v>
      </c>
      <c r="K29" s="44">
        <f t="shared" si="4"/>
        <v>-18.74399</v>
      </c>
      <c r="L29" s="44">
        <f t="shared" si="5"/>
        <v>-30.65</v>
      </c>
      <c r="M29" s="53">
        <f t="shared" si="6"/>
        <v>-11.906009999999998</v>
      </c>
      <c r="N29" s="228"/>
      <c r="O29" s="229"/>
      <c r="P29" s="230"/>
      <c r="Q29" s="47">
        <v>44620.797222222223</v>
      </c>
      <c r="R29" s="44">
        <f t="shared" si="1"/>
        <v>-2.3407371429349992</v>
      </c>
      <c r="S29" s="44">
        <f t="shared" si="2"/>
        <v>-1.8700539267095491</v>
      </c>
    </row>
    <row r="30" spans="1:19" ht="12" customHeight="1" x14ac:dyDescent="0.2">
      <c r="A30" s="37"/>
      <c r="B30" s="48"/>
      <c r="C30" s="49">
        <v>4.41</v>
      </c>
      <c r="D30" s="58"/>
      <c r="E30" s="39">
        <v>595</v>
      </c>
      <c r="F30" s="40">
        <v>7.8</v>
      </c>
      <c r="G30" s="59">
        <v>4.7</v>
      </c>
      <c r="H30" s="44">
        <f t="shared" si="0"/>
        <v>-0.63945000000000007</v>
      </c>
      <c r="I30" s="52">
        <f t="shared" si="7"/>
        <v>-0.94000000000000039</v>
      </c>
      <c r="J30" s="44">
        <f t="shared" si="3"/>
        <v>-0.30055000000000032</v>
      </c>
      <c r="K30" s="44">
        <f t="shared" si="4"/>
        <v>-19.38344</v>
      </c>
      <c r="L30" s="44">
        <f t="shared" si="5"/>
        <v>-31.59</v>
      </c>
      <c r="M30" s="53">
        <f t="shared" si="6"/>
        <v>-12.20656</v>
      </c>
      <c r="N30" s="228"/>
      <c r="O30" s="229"/>
      <c r="P30" s="230"/>
      <c r="Q30" s="47">
        <v>44620.802777777775</v>
      </c>
      <c r="R30" s="44">
        <f t="shared" si="1"/>
        <v>-2.2541250015088869</v>
      </c>
      <c r="S30" s="44">
        <f t="shared" si="2"/>
        <v>-1.8779323077259416</v>
      </c>
    </row>
    <row r="31" spans="1:19" ht="12" customHeight="1" x14ac:dyDescent="0.2">
      <c r="A31" s="37"/>
      <c r="B31" s="48"/>
      <c r="C31" s="49">
        <v>4.41</v>
      </c>
      <c r="D31" s="58"/>
      <c r="E31" s="39">
        <v>444</v>
      </c>
      <c r="F31" s="40">
        <v>6.86</v>
      </c>
      <c r="G31" s="51"/>
      <c r="H31" s="44">
        <f t="shared" si="0"/>
        <v>-0.66591</v>
      </c>
      <c r="I31" s="52">
        <f t="shared" si="7"/>
        <v>-0.9399999999999995</v>
      </c>
      <c r="J31" s="44">
        <f t="shared" si="3"/>
        <v>-0.2740899999999995</v>
      </c>
      <c r="K31" s="44">
        <f t="shared" si="4"/>
        <v>-20.04935</v>
      </c>
      <c r="L31" s="44">
        <f t="shared" si="5"/>
        <v>-32.53</v>
      </c>
      <c r="M31" s="53">
        <f t="shared" si="6"/>
        <v>-12.480650000000001</v>
      </c>
      <c r="N31" s="231"/>
      <c r="O31" s="229"/>
      <c r="P31" s="230"/>
      <c r="Q31" s="47">
        <v>44620.80972222222</v>
      </c>
      <c r="R31" s="44">
        <f t="shared" si="1"/>
        <v>-1.6445399998085473</v>
      </c>
      <c r="S31" s="44">
        <f t="shared" si="2"/>
        <v>-1.8720975000272426</v>
      </c>
    </row>
    <row r="32" spans="1:19" ht="12" customHeight="1" x14ac:dyDescent="0.2">
      <c r="A32" s="37"/>
      <c r="B32" s="48"/>
      <c r="C32" s="49">
        <v>4.41</v>
      </c>
      <c r="D32" s="58"/>
      <c r="E32" s="39">
        <v>444</v>
      </c>
      <c r="F32" s="40">
        <v>6.41</v>
      </c>
      <c r="G32" s="51"/>
      <c r="H32" s="44">
        <f t="shared" si="0"/>
        <v>0</v>
      </c>
      <c r="I32" s="52">
        <f t="shared" si="7"/>
        <v>-0.45000000000000018</v>
      </c>
      <c r="J32" s="44">
        <f t="shared" si="3"/>
        <v>-0.45000000000000018</v>
      </c>
      <c r="K32" s="44">
        <f t="shared" si="4"/>
        <v>-20.04935</v>
      </c>
      <c r="L32" s="44">
        <f t="shared" si="5"/>
        <v>-32.980000000000004</v>
      </c>
      <c r="M32" s="53">
        <f t="shared" si="6"/>
        <v>-12.930650000000004</v>
      </c>
      <c r="N32" s="228"/>
      <c r="O32" s="229"/>
      <c r="P32" s="230"/>
      <c r="Q32" s="47">
        <v>44620.816666666666</v>
      </c>
      <c r="R32" s="44">
        <f t="shared" si="1"/>
        <v>-2.6999999996856796</v>
      </c>
      <c r="S32" s="44">
        <f t="shared" si="2"/>
        <v>-1.8922902439239313</v>
      </c>
    </row>
    <row r="33" spans="1:19" ht="12" customHeight="1" x14ac:dyDescent="0.2">
      <c r="A33" s="37"/>
      <c r="B33" s="48"/>
      <c r="C33" s="49">
        <v>4.41</v>
      </c>
      <c r="D33" s="58"/>
      <c r="E33" s="39">
        <v>130</v>
      </c>
      <c r="F33" s="40">
        <v>3.43</v>
      </c>
      <c r="G33" s="51"/>
      <c r="H33" s="44">
        <f t="shared" si="0"/>
        <v>-1.3847400000000001</v>
      </c>
      <c r="I33" s="52">
        <f t="shared" si="7"/>
        <v>-2.98</v>
      </c>
      <c r="J33" s="44">
        <f t="shared" si="3"/>
        <v>-1.5952599999999999</v>
      </c>
      <c r="K33" s="44">
        <f t="shared" si="4"/>
        <v>-21.434090000000001</v>
      </c>
      <c r="L33" s="44">
        <f t="shared" si="5"/>
        <v>-35.96</v>
      </c>
      <c r="M33" s="53">
        <f t="shared" si="6"/>
        <v>-14.52591</v>
      </c>
      <c r="N33" s="231"/>
      <c r="O33" s="229"/>
      <c r="P33" s="230"/>
      <c r="Q33" s="47">
        <v>44620.84375</v>
      </c>
      <c r="R33" s="44">
        <f t="shared" si="1"/>
        <v>-2.4542461537582425</v>
      </c>
      <c r="S33" s="44">
        <f t="shared" si="2"/>
        <v>-1.9411015590341365</v>
      </c>
    </row>
    <row r="34" spans="1:19" ht="12" customHeight="1" x14ac:dyDescent="0.2">
      <c r="A34" s="37"/>
      <c r="B34" s="48"/>
      <c r="C34" s="49">
        <v>4.41</v>
      </c>
      <c r="D34" s="58"/>
      <c r="E34" s="39">
        <v>130</v>
      </c>
      <c r="F34" s="40">
        <v>7.83</v>
      </c>
      <c r="G34" s="51">
        <v>6.56</v>
      </c>
      <c r="H34" s="44">
        <f t="shared" si="0"/>
        <v>0</v>
      </c>
      <c r="I34" s="52">
        <f t="shared" si="7"/>
        <v>-2.1599999999999993</v>
      </c>
      <c r="J34" s="44">
        <f t="shared" si="3"/>
        <v>-2.1599999999999993</v>
      </c>
      <c r="K34" s="44">
        <f t="shared" si="4"/>
        <v>-21.434090000000001</v>
      </c>
      <c r="L34" s="44">
        <f t="shared" si="5"/>
        <v>-38.119999999999997</v>
      </c>
      <c r="M34" s="53">
        <f t="shared" si="6"/>
        <v>-16.685909999999996</v>
      </c>
      <c r="N34" s="192"/>
      <c r="O34" s="193"/>
      <c r="P34" s="194"/>
      <c r="Q34" s="47">
        <v>44620.861111111109</v>
      </c>
      <c r="R34" s="44">
        <f t="shared" si="1"/>
        <v>-5.1840000004827962</v>
      </c>
      <c r="S34" s="44">
        <f t="shared" si="2"/>
        <v>-2.1121405063540131</v>
      </c>
    </row>
    <row r="35" spans="1:19" ht="12" customHeight="1" x14ac:dyDescent="0.2">
      <c r="A35" s="37"/>
      <c r="B35" s="48"/>
      <c r="C35" s="49">
        <v>4.41</v>
      </c>
      <c r="D35" s="58"/>
      <c r="E35" s="39">
        <v>130</v>
      </c>
      <c r="F35" s="40">
        <v>7.31</v>
      </c>
      <c r="G35" s="51"/>
      <c r="H35" s="44">
        <f t="shared" si="0"/>
        <v>0</v>
      </c>
      <c r="I35" s="52">
        <f t="shared" si="7"/>
        <v>-0.52000000000000046</v>
      </c>
      <c r="J35" s="44">
        <f t="shared" si="3"/>
        <v>-0.52000000000000046</v>
      </c>
      <c r="K35" s="44">
        <f t="shared" si="4"/>
        <v>-21.434090000000001</v>
      </c>
      <c r="L35" s="44">
        <f t="shared" si="5"/>
        <v>-38.64</v>
      </c>
      <c r="M35" s="53">
        <f t="shared" si="6"/>
        <v>-17.205909999999999</v>
      </c>
      <c r="N35" s="228"/>
      <c r="O35" s="229"/>
      <c r="P35" s="230"/>
      <c r="Q35" s="47">
        <v>44620.875</v>
      </c>
      <c r="R35" s="44">
        <f t="shared" si="1"/>
        <v>-1.5599999998183935</v>
      </c>
      <c r="S35" s="44">
        <f t="shared" si="2"/>
        <v>-2.0897866396899025</v>
      </c>
    </row>
    <row r="36" spans="1:19" ht="12" customHeight="1" x14ac:dyDescent="0.2">
      <c r="A36" s="37"/>
      <c r="B36" s="48"/>
      <c r="C36" s="49">
        <v>4.41</v>
      </c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4.41</v>
      </c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>
        <v>4.41</v>
      </c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4.41</v>
      </c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4.41</v>
      </c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>
        <v>4.41</v>
      </c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4.41</v>
      </c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>
        <v>4.41</v>
      </c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89"/>
      <c r="O76" s="190"/>
      <c r="P76" s="19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89"/>
      <c r="O77" s="190"/>
      <c r="P77" s="19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89"/>
      <c r="O78" s="190"/>
      <c r="P78" s="19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89"/>
      <c r="O79" s="190"/>
      <c r="P79" s="19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112"/>
  <sheetViews>
    <sheetView zoomScaleNormal="100" workbookViewId="0">
      <selection activeCell="B7" sqref="B7:C1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8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8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86" t="s">
        <v>20</v>
      </c>
      <c r="I5" s="18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8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87" t="s">
        <v>28</v>
      </c>
      <c r="E6" s="39">
        <v>72</v>
      </c>
      <c r="F6" s="40">
        <v>3.2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44615.049305555556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102</v>
      </c>
      <c r="F7" s="40">
        <v>3.4</v>
      </c>
      <c r="G7" s="51"/>
      <c r="H7" s="44">
        <f t="shared" ref="H7:H70" si="0">IF(E7="","",((E7-E6)*C7)/1000)</f>
        <v>0.39989999999999998</v>
      </c>
      <c r="I7" s="52">
        <f>IF(F7="","",F7-F6-G7)</f>
        <v>0.19999999999999973</v>
      </c>
      <c r="J7" s="44">
        <f>IF(F7="","",I7-H7)</f>
        <v>-0.19990000000000024</v>
      </c>
      <c r="K7" s="44">
        <f>IF(F7="","",K6+H7)</f>
        <v>0.39989999999999998</v>
      </c>
      <c r="L7" s="44">
        <f>IF(F7="","",L6+I7)</f>
        <v>0.19999999999999973</v>
      </c>
      <c r="M7" s="53">
        <f>IF(F7="","",L7-K7)</f>
        <v>-0.19990000000000024</v>
      </c>
      <c r="N7" s="231"/>
      <c r="O7" s="229"/>
      <c r="P7" s="230"/>
      <c r="Q7" s="47">
        <v>44615.054861111108</v>
      </c>
      <c r="R7" s="44">
        <f t="shared" ref="R7:R70" si="1">IF(Q7="","",J7/((Q7-Q6)*24))</f>
        <v>-1.4992500010035819</v>
      </c>
      <c r="S7" s="44">
        <f t="shared" ref="S7:S70" si="2">IF(Q7="","",M7/((Q7-$Q$6)*24))</f>
        <v>-1.4992500010035819</v>
      </c>
    </row>
    <row r="8" spans="1:20" ht="12" customHeight="1" x14ac:dyDescent="0.2">
      <c r="A8" s="37"/>
      <c r="B8" s="48"/>
      <c r="C8" s="49">
        <v>13.33</v>
      </c>
      <c r="D8" s="54"/>
      <c r="E8" s="39">
        <v>449</v>
      </c>
      <c r="F8" s="40">
        <v>7.65</v>
      </c>
      <c r="G8" s="51"/>
      <c r="H8" s="44">
        <f t="shared" si="0"/>
        <v>4.6255100000000002</v>
      </c>
      <c r="I8" s="52">
        <f>IF(F8="","",F8-F7-G8)</f>
        <v>4.25</v>
      </c>
      <c r="J8" s="44">
        <f>IF(F8="","",I8-H8)</f>
        <v>-0.37551000000000023</v>
      </c>
      <c r="K8" s="44">
        <f>IF(F8="","",K7+H8)</f>
        <v>5.0254099999999999</v>
      </c>
      <c r="L8" s="44">
        <f>IF(F8="","",L7+I8)</f>
        <v>4.4499999999999993</v>
      </c>
      <c r="M8" s="53">
        <f>IF(F8="","",L8-K8)</f>
        <v>-0.57541000000000064</v>
      </c>
      <c r="N8" s="231"/>
      <c r="O8" s="229"/>
      <c r="P8" s="230"/>
      <c r="Q8" s="47">
        <v>44615.068749999999</v>
      </c>
      <c r="R8" s="44">
        <f t="shared" si="1"/>
        <v>-1.1265299998688554</v>
      </c>
      <c r="S8" s="44">
        <f t="shared" si="2"/>
        <v>-1.2330214287047194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740</v>
      </c>
      <c r="F9" s="40">
        <v>3.7</v>
      </c>
      <c r="G9" s="51">
        <v>-6.9</v>
      </c>
      <c r="H9" s="44">
        <f t="shared" si="0"/>
        <v>3.8790300000000002</v>
      </c>
      <c r="I9" s="52">
        <f>IF(F9="","",F9-F8-G9)</f>
        <v>2.95</v>
      </c>
      <c r="J9" s="44">
        <f>IF(F9="","",I9-H9)</f>
        <v>-0.92903000000000002</v>
      </c>
      <c r="K9" s="44">
        <f>IF(F9="","",K8+H9)</f>
        <v>8.904440000000001</v>
      </c>
      <c r="L9" s="44">
        <f>IF(F9="","",L8+I9)</f>
        <v>7.3999999999999995</v>
      </c>
      <c r="M9" s="53">
        <f>IF(F9="","",L9-K9)</f>
        <v>-1.5044400000000016</v>
      </c>
      <c r="N9" s="228"/>
      <c r="O9" s="229"/>
      <c r="P9" s="230"/>
      <c r="Q9" s="47">
        <v>44615.080555555556</v>
      </c>
      <c r="R9" s="44">
        <f t="shared" si="1"/>
        <v>-3.2789294111809024</v>
      </c>
      <c r="S9" s="44">
        <f t="shared" si="2"/>
        <v>-2.0059200000000019</v>
      </c>
    </row>
    <row r="10" spans="1:20" ht="12" customHeight="1" x14ac:dyDescent="0.2">
      <c r="A10" s="37"/>
      <c r="B10" s="48"/>
      <c r="C10" s="49">
        <v>13.33</v>
      </c>
      <c r="D10" s="54"/>
      <c r="E10" s="39">
        <v>885</v>
      </c>
      <c r="F10" s="40">
        <v>5.57</v>
      </c>
      <c r="G10" s="51"/>
      <c r="H10" s="44">
        <f t="shared" si="0"/>
        <v>1.93285</v>
      </c>
      <c r="I10" s="52">
        <f>IF(F10="","",F10-F9-G10)</f>
        <v>1.87</v>
      </c>
      <c r="J10" s="44">
        <f t="shared" ref="J10:J73" si="3">IF(F10="","",I10-H10)</f>
        <v>-6.284999999999985E-2</v>
      </c>
      <c r="K10" s="44">
        <f t="shared" ref="K10:K73" si="4">IF(F10="","",K9+H10)</f>
        <v>10.837290000000001</v>
      </c>
      <c r="L10" s="44">
        <f t="shared" ref="L10:L73" si="5">IF(F10="","",L9+I10)</f>
        <v>9.27</v>
      </c>
      <c r="M10" s="53">
        <f t="shared" ref="M10:M73" si="6">IF(F10="","",L10-K10)</f>
        <v>-1.5672900000000016</v>
      </c>
      <c r="N10" s="228"/>
      <c r="O10" s="229"/>
      <c r="P10" s="230"/>
      <c r="Q10" s="47">
        <v>44615.086111111108</v>
      </c>
      <c r="R10" s="44">
        <f t="shared" si="1"/>
        <v>-0.4713750003155317</v>
      </c>
      <c r="S10" s="44">
        <f t="shared" si="2"/>
        <v>-1.7742905662170114</v>
      </c>
      <c r="T10" s="55"/>
    </row>
    <row r="11" spans="1:20" ht="12" customHeight="1" x14ac:dyDescent="0.2">
      <c r="A11" s="37"/>
      <c r="B11" s="48"/>
      <c r="C11" s="49">
        <v>13.33</v>
      </c>
      <c r="D11" s="54">
        <v>34</v>
      </c>
      <c r="E11" s="39">
        <v>1059</v>
      </c>
      <c r="F11" s="40">
        <v>7.73</v>
      </c>
      <c r="G11" s="51"/>
      <c r="H11" s="44">
        <f t="shared" si="0"/>
        <v>2.31942</v>
      </c>
      <c r="I11" s="52">
        <f t="shared" ref="I11:I74" si="7">IF(F11="","",F11-F10-G11)</f>
        <v>2.16</v>
      </c>
      <c r="J11" s="44">
        <f t="shared" si="3"/>
        <v>-0.1594199999999999</v>
      </c>
      <c r="K11" s="44">
        <f t="shared" si="4"/>
        <v>13.15671</v>
      </c>
      <c r="L11" s="44">
        <f t="shared" si="5"/>
        <v>11.43</v>
      </c>
      <c r="M11" s="53">
        <f t="shared" si="6"/>
        <v>-1.7267100000000006</v>
      </c>
      <c r="N11" s="228"/>
      <c r="O11" s="229"/>
      <c r="P11" s="230"/>
      <c r="Q11" s="47">
        <v>44615.093055555553</v>
      </c>
      <c r="R11" s="44">
        <f t="shared" si="1"/>
        <v>-0.95651999988864578</v>
      </c>
      <c r="S11" s="44">
        <f t="shared" si="2"/>
        <v>-1.644485714395111</v>
      </c>
    </row>
    <row r="12" spans="1:20" ht="12" customHeight="1" x14ac:dyDescent="0.2">
      <c r="A12" s="37"/>
      <c r="B12" s="48"/>
      <c r="C12" s="49">
        <v>13.33</v>
      </c>
      <c r="D12" s="54"/>
      <c r="E12" s="39">
        <v>1262</v>
      </c>
      <c r="F12" s="56">
        <v>3.57</v>
      </c>
      <c r="G12" s="51">
        <v>-6.5</v>
      </c>
      <c r="H12" s="44">
        <f t="shared" si="0"/>
        <v>2.7059900000000003</v>
      </c>
      <c r="I12" s="52">
        <f t="shared" si="7"/>
        <v>2.34</v>
      </c>
      <c r="J12" s="44">
        <f t="shared" si="3"/>
        <v>-0.36599000000000048</v>
      </c>
      <c r="K12" s="44">
        <f t="shared" si="4"/>
        <v>15.8627</v>
      </c>
      <c r="L12" s="44">
        <f t="shared" si="5"/>
        <v>13.77</v>
      </c>
      <c r="M12" s="53">
        <f t="shared" si="6"/>
        <v>-2.0927000000000007</v>
      </c>
      <c r="N12" s="228"/>
      <c r="O12" s="229"/>
      <c r="P12" s="230"/>
      <c r="Q12" s="47">
        <v>44615.109027777777</v>
      </c>
      <c r="R12" s="44">
        <f t="shared" si="1"/>
        <v>-0.95475652167147618</v>
      </c>
      <c r="S12" s="44">
        <f t="shared" si="2"/>
        <v>-1.4600232558574344</v>
      </c>
    </row>
    <row r="13" spans="1:20" ht="12" customHeight="1" x14ac:dyDescent="0.2">
      <c r="A13" s="37"/>
      <c r="B13" s="48"/>
      <c r="C13" s="49">
        <v>13.33</v>
      </c>
      <c r="D13" s="54"/>
      <c r="E13" s="39">
        <v>1494</v>
      </c>
      <c r="F13" s="40">
        <v>6.81</v>
      </c>
      <c r="G13" s="51"/>
      <c r="H13" s="44">
        <f t="shared" si="0"/>
        <v>3.0925599999999998</v>
      </c>
      <c r="I13" s="52">
        <f t="shared" si="7"/>
        <v>3.2399999999999998</v>
      </c>
      <c r="J13" s="44">
        <f t="shared" si="3"/>
        <v>0.14744000000000002</v>
      </c>
      <c r="K13" s="44">
        <f t="shared" si="4"/>
        <v>18.955259999999999</v>
      </c>
      <c r="L13" s="44">
        <f t="shared" si="5"/>
        <v>17.009999999999998</v>
      </c>
      <c r="M13" s="53">
        <f t="shared" si="6"/>
        <v>-1.9452600000000011</v>
      </c>
      <c r="N13" s="231"/>
      <c r="O13" s="229"/>
      <c r="P13" s="230"/>
      <c r="Q13" s="47">
        <v>44615.118055555555</v>
      </c>
      <c r="R13" s="44">
        <f t="shared" si="1"/>
        <v>0.68049230766793245</v>
      </c>
      <c r="S13" s="44">
        <f t="shared" si="2"/>
        <v>-1.1789454545704092</v>
      </c>
    </row>
    <row r="14" spans="1:20" ht="12" customHeight="1" x14ac:dyDescent="0.2">
      <c r="A14" s="37"/>
      <c r="B14" s="48"/>
      <c r="C14" s="49">
        <v>13.33</v>
      </c>
      <c r="D14" s="54"/>
      <c r="E14" s="39">
        <v>1755</v>
      </c>
      <c r="F14" s="40">
        <v>2.65</v>
      </c>
      <c r="G14" s="51">
        <v>-6.78</v>
      </c>
      <c r="H14" s="44">
        <f t="shared" si="0"/>
        <v>3.4791300000000001</v>
      </c>
      <c r="I14" s="52">
        <f t="shared" si="7"/>
        <v>2.62</v>
      </c>
      <c r="J14" s="44">
        <f t="shared" si="3"/>
        <v>-0.85912999999999995</v>
      </c>
      <c r="K14" s="44">
        <f t="shared" si="4"/>
        <v>22.43439</v>
      </c>
      <c r="L14" s="44">
        <f t="shared" si="5"/>
        <v>19.63</v>
      </c>
      <c r="M14" s="53">
        <f t="shared" si="6"/>
        <v>-2.8043900000000015</v>
      </c>
      <c r="N14" s="231"/>
      <c r="O14" s="229"/>
      <c r="P14" s="230"/>
      <c r="Q14" s="47">
        <v>44615.126388888886</v>
      </c>
      <c r="R14" s="44">
        <f t="shared" si="1"/>
        <v>-4.2956500010001584</v>
      </c>
      <c r="S14" s="44">
        <f t="shared" si="2"/>
        <v>-1.5158864865532606</v>
      </c>
    </row>
    <row r="15" spans="1:20" ht="12" customHeight="1" x14ac:dyDescent="0.2">
      <c r="A15" s="37"/>
      <c r="B15" s="48"/>
      <c r="C15" s="49">
        <v>13.33</v>
      </c>
      <c r="D15" s="54"/>
      <c r="E15" s="39">
        <v>1842</v>
      </c>
      <c r="F15" s="40">
        <v>3.65</v>
      </c>
      <c r="G15" s="51"/>
      <c r="H15" s="44">
        <f t="shared" si="0"/>
        <v>1.15971</v>
      </c>
      <c r="I15" s="52">
        <f t="shared" si="7"/>
        <v>1</v>
      </c>
      <c r="J15" s="44">
        <f t="shared" si="3"/>
        <v>-0.15971000000000002</v>
      </c>
      <c r="K15" s="44">
        <f t="shared" si="4"/>
        <v>23.594100000000001</v>
      </c>
      <c r="L15" s="44">
        <f t="shared" si="5"/>
        <v>20.63</v>
      </c>
      <c r="M15" s="53">
        <f t="shared" si="6"/>
        <v>-2.964100000000002</v>
      </c>
      <c r="N15" s="231"/>
      <c r="O15" s="229"/>
      <c r="P15" s="230"/>
      <c r="Q15" s="47">
        <v>44615.133333333331</v>
      </c>
      <c r="R15" s="44">
        <f t="shared" si="1"/>
        <v>-0.95825999988844401</v>
      </c>
      <c r="S15" s="44">
        <f t="shared" si="2"/>
        <v>-1.4698016529378144</v>
      </c>
    </row>
    <row r="16" spans="1:20" ht="12" customHeight="1" x14ac:dyDescent="0.2">
      <c r="A16" s="37"/>
      <c r="B16" s="48"/>
      <c r="C16" s="49">
        <v>13.33</v>
      </c>
      <c r="D16" s="57"/>
      <c r="E16" s="39">
        <v>2161</v>
      </c>
      <c r="F16" s="40">
        <v>7.6</v>
      </c>
      <c r="G16" s="51"/>
      <c r="H16" s="44">
        <f t="shared" si="0"/>
        <v>4.2522700000000002</v>
      </c>
      <c r="I16" s="52">
        <f t="shared" si="7"/>
        <v>3.9499999999999997</v>
      </c>
      <c r="J16" s="44">
        <f t="shared" si="3"/>
        <v>-0.30227000000000048</v>
      </c>
      <c r="K16" s="44">
        <f t="shared" si="4"/>
        <v>27.84637</v>
      </c>
      <c r="L16" s="44">
        <f t="shared" si="5"/>
        <v>24.58</v>
      </c>
      <c r="M16" s="53">
        <f t="shared" si="6"/>
        <v>-3.266370000000002</v>
      </c>
      <c r="N16" s="228"/>
      <c r="O16" s="229"/>
      <c r="P16" s="230"/>
      <c r="Q16" s="47">
        <v>44615.146527777775</v>
      </c>
      <c r="R16" s="44">
        <f t="shared" si="1"/>
        <v>-0.95453684215205314</v>
      </c>
      <c r="S16" s="44">
        <f t="shared" si="2"/>
        <v>-1.3998728571894199</v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>
        <v>2364</v>
      </c>
      <c r="F17" s="40">
        <v>7.29</v>
      </c>
      <c r="G17" s="51"/>
      <c r="H17" s="44">
        <f t="shared" si="0"/>
        <v>2.7059900000000003</v>
      </c>
      <c r="I17" s="52">
        <f t="shared" si="7"/>
        <v>-0.30999999999999961</v>
      </c>
      <c r="J17" s="44">
        <f t="shared" si="3"/>
        <v>-3.0159899999999999</v>
      </c>
      <c r="K17" s="44">
        <f t="shared" si="4"/>
        <v>30.55236</v>
      </c>
      <c r="L17" s="44">
        <f t="shared" si="5"/>
        <v>24.27</v>
      </c>
      <c r="M17" s="53">
        <f t="shared" si="6"/>
        <v>-6.2823600000000006</v>
      </c>
      <c r="N17" s="231"/>
      <c r="O17" s="229"/>
      <c r="P17" s="230"/>
      <c r="Q17" s="47">
        <v>44615.203472222223</v>
      </c>
      <c r="R17" s="44">
        <f t="shared" si="1"/>
        <v>-2.2068219510753933</v>
      </c>
      <c r="S17" s="44">
        <f t="shared" si="2"/>
        <v>-1.6979351351297929</v>
      </c>
    </row>
    <row r="18" spans="1:19" ht="12" customHeight="1" x14ac:dyDescent="0.2">
      <c r="A18" s="37"/>
      <c r="B18" s="48"/>
      <c r="C18" s="49">
        <v>13.33</v>
      </c>
      <c r="D18" s="54"/>
      <c r="E18" s="39"/>
      <c r="F18" s="40"/>
      <c r="G18" s="40"/>
      <c r="H18" s="44" t="str">
        <f t="shared" si="0"/>
        <v/>
      </c>
      <c r="I18" s="52" t="str">
        <f t="shared" si="7"/>
        <v/>
      </c>
      <c r="J18" s="44" t="str">
        <f t="shared" si="3"/>
        <v/>
      </c>
      <c r="K18" s="44" t="str">
        <f t="shared" si="4"/>
        <v/>
      </c>
      <c r="L18" s="44" t="str">
        <f t="shared" si="5"/>
        <v/>
      </c>
      <c r="M18" s="53" t="str">
        <f t="shared" si="6"/>
        <v/>
      </c>
      <c r="N18" s="228"/>
      <c r="O18" s="229"/>
      <c r="P18" s="230"/>
      <c r="Q18" s="47"/>
      <c r="R18" s="44" t="str">
        <f t="shared" si="1"/>
        <v/>
      </c>
      <c r="S18" s="44" t="str">
        <f t="shared" si="2"/>
        <v/>
      </c>
    </row>
    <row r="19" spans="1:19" ht="12" customHeight="1" x14ac:dyDescent="0.2">
      <c r="A19" s="37"/>
      <c r="B19" s="48"/>
      <c r="C19" s="49">
        <v>13.33</v>
      </c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>
        <v>13.33</v>
      </c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13.33</v>
      </c>
      <c r="D21" s="54"/>
      <c r="E21" s="39">
        <v>2725</v>
      </c>
      <c r="F21" s="40">
        <v>152.76</v>
      </c>
      <c r="G21" s="51"/>
      <c r="H21" s="44">
        <f t="shared" si="0"/>
        <v>36.324249999999999</v>
      </c>
      <c r="I21" s="52">
        <f t="shared" si="7"/>
        <v>152.76</v>
      </c>
      <c r="J21" s="44">
        <f t="shared" si="3"/>
        <v>116.43574999999998</v>
      </c>
      <c r="K21" s="44" t="e">
        <f t="shared" si="4"/>
        <v>#VALUE!</v>
      </c>
      <c r="L21" s="44" t="e">
        <f t="shared" si="5"/>
        <v>#VALUE!</v>
      </c>
      <c r="M21" s="53" t="e">
        <f t="shared" si="6"/>
        <v>#VALUE!</v>
      </c>
      <c r="N21" s="228"/>
      <c r="O21" s="229"/>
      <c r="P21" s="230"/>
      <c r="Q21" s="47">
        <v>44615.765972222223</v>
      </c>
      <c r="R21" s="44">
        <f t="shared" si="1"/>
        <v>1.0873935429807191E-4</v>
      </c>
      <c r="S21" s="44" t="e">
        <f t="shared" si="2"/>
        <v>#VALUE!</v>
      </c>
    </row>
    <row r="22" spans="1:19" ht="12" customHeight="1" x14ac:dyDescent="0.2">
      <c r="A22" s="37"/>
      <c r="B22" s="48"/>
      <c r="C22" s="49">
        <v>13.33</v>
      </c>
      <c r="D22" s="54"/>
      <c r="E22" s="39">
        <v>2725</v>
      </c>
      <c r="F22" s="40">
        <v>151.84</v>
      </c>
      <c r="G22" s="51"/>
      <c r="H22" s="44">
        <f t="shared" si="0"/>
        <v>0</v>
      </c>
      <c r="I22" s="52">
        <f t="shared" si="7"/>
        <v>-0.91999999999998749</v>
      </c>
      <c r="J22" s="44">
        <f t="shared" si="3"/>
        <v>-0.91999999999998749</v>
      </c>
      <c r="K22" s="44" t="e">
        <f t="shared" si="4"/>
        <v>#VALUE!</v>
      </c>
      <c r="L22" s="44" t="e">
        <f t="shared" si="5"/>
        <v>#VALUE!</v>
      </c>
      <c r="M22" s="53" t="e">
        <f t="shared" si="6"/>
        <v>#VALUE!</v>
      </c>
      <c r="N22" s="228"/>
      <c r="O22" s="229"/>
      <c r="P22" s="230"/>
      <c r="Q22" s="47">
        <v>44615.786805555559</v>
      </c>
      <c r="R22" s="44">
        <f t="shared" si="1"/>
        <v>-1.8399999997857708</v>
      </c>
      <c r="S22" s="44" t="e">
        <f t="shared" si="2"/>
        <v>#VALUE!</v>
      </c>
    </row>
    <row r="23" spans="1:19" ht="12" customHeight="1" x14ac:dyDescent="0.2">
      <c r="A23" s="37"/>
      <c r="B23" s="48"/>
      <c r="C23" s="49">
        <v>13.33</v>
      </c>
      <c r="D23" s="54"/>
      <c r="E23" s="39">
        <v>2773</v>
      </c>
      <c r="F23" s="40">
        <v>177.67</v>
      </c>
      <c r="G23" s="51"/>
      <c r="H23" s="44">
        <f t="shared" si="0"/>
        <v>0.63984000000000008</v>
      </c>
      <c r="I23" s="52">
        <f t="shared" si="7"/>
        <v>25.829999999999984</v>
      </c>
      <c r="J23" s="44">
        <f t="shared" si="3"/>
        <v>25.190159999999985</v>
      </c>
      <c r="K23" s="44" t="e">
        <f t="shared" si="4"/>
        <v>#VALUE!</v>
      </c>
      <c r="L23" s="44" t="e">
        <f t="shared" si="5"/>
        <v>#VALUE!</v>
      </c>
      <c r="M23" s="53" t="e">
        <f t="shared" si="6"/>
        <v>#VALUE!</v>
      </c>
      <c r="N23" s="228"/>
      <c r="O23" s="229"/>
      <c r="P23" s="230"/>
      <c r="Q23" s="47">
        <v>44615.892361111109</v>
      </c>
      <c r="R23" s="44">
        <f t="shared" si="1"/>
        <v>9.9434842110137094</v>
      </c>
      <c r="S23" s="44" t="e">
        <f t="shared" si="2"/>
        <v>#VALUE!</v>
      </c>
    </row>
    <row r="24" spans="1:19" ht="12" customHeight="1" x14ac:dyDescent="0.2">
      <c r="A24" s="37"/>
      <c r="B24" s="48"/>
      <c r="C24" s="49">
        <v>13.33</v>
      </c>
      <c r="D24" s="54"/>
      <c r="E24" s="39">
        <v>2773</v>
      </c>
      <c r="F24" s="40">
        <v>169.06</v>
      </c>
      <c r="G24" s="51"/>
      <c r="H24" s="44">
        <f t="shared" si="0"/>
        <v>0</v>
      </c>
      <c r="I24" s="52">
        <f t="shared" si="7"/>
        <v>-8.6099999999999852</v>
      </c>
      <c r="J24" s="44">
        <f t="shared" si="3"/>
        <v>-8.6099999999999852</v>
      </c>
      <c r="K24" s="44" t="e">
        <f t="shared" si="4"/>
        <v>#VALUE!</v>
      </c>
      <c r="L24" s="44" t="e">
        <f t="shared" si="5"/>
        <v>#VALUE!</v>
      </c>
      <c r="M24" s="53" t="e">
        <f t="shared" si="6"/>
        <v>#VALUE!</v>
      </c>
      <c r="N24" s="231"/>
      <c r="O24" s="229"/>
      <c r="P24" s="230"/>
      <c r="Q24" s="47">
        <v>44615.904166666667</v>
      </c>
      <c r="R24" s="44">
        <f t="shared" si="1"/>
        <v>-30.388235288707062</v>
      </c>
      <c r="S24" s="44" t="e">
        <f t="shared" si="2"/>
        <v>#VALUE!</v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82"/>
      <c r="O34" s="183"/>
      <c r="P34" s="184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79"/>
      <c r="O76" s="180"/>
      <c r="P76" s="18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79"/>
      <c r="O77" s="180"/>
      <c r="P77" s="18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79"/>
      <c r="O78" s="180"/>
      <c r="P78" s="18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79"/>
      <c r="O79" s="180"/>
      <c r="P79" s="18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112"/>
  <sheetViews>
    <sheetView zoomScaleNormal="100" workbookViewId="0">
      <selection activeCell="E17" sqref="E1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8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8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86" t="s">
        <v>20</v>
      </c>
      <c r="I5" s="18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8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87" t="s">
        <v>28</v>
      </c>
      <c r="E6" s="39">
        <v>2421</v>
      </c>
      <c r="F6" s="40">
        <v>6.12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44614.409722222219</v>
      </c>
      <c r="R6" s="11"/>
      <c r="S6" s="11"/>
    </row>
    <row r="7" spans="1:20" ht="12" customHeight="1" x14ac:dyDescent="0.2">
      <c r="A7" s="37"/>
      <c r="B7" s="48" t="s">
        <v>35</v>
      </c>
      <c r="C7" s="49">
        <v>4.41</v>
      </c>
      <c r="D7" s="39">
        <v>81</v>
      </c>
      <c r="E7" s="39">
        <v>2421</v>
      </c>
      <c r="F7" s="40">
        <v>5.86</v>
      </c>
      <c r="G7" s="51"/>
      <c r="H7" s="44">
        <f t="shared" ref="H7:H70" si="0">IF(E7="","",((E7-E6)*C7)/1000)</f>
        <v>0</v>
      </c>
      <c r="I7" s="52">
        <f>IF(F7="","",F7-F6-G7)</f>
        <v>-0.25999999999999979</v>
      </c>
      <c r="J7" s="44">
        <f>IF(F7="","",I7-H7)</f>
        <v>-0.25999999999999979</v>
      </c>
      <c r="K7" s="44">
        <f>IF(F7="","",K6+H7)</f>
        <v>0</v>
      </c>
      <c r="L7" s="44">
        <f>IF(F7="","",L6+I7)</f>
        <v>-0.25999999999999979</v>
      </c>
      <c r="M7" s="53">
        <f>IF(F7="","",L7-K7)</f>
        <v>-0.25999999999999979</v>
      </c>
      <c r="N7" s="231"/>
      <c r="O7" s="229"/>
      <c r="P7" s="230"/>
      <c r="Q7" s="47">
        <v>44614.430555555555</v>
      </c>
      <c r="R7" s="44">
        <f t="shared" ref="R7:R70" si="1">IF(Q7="","",J7/((Q7-Q6)*24))</f>
        <v>-0.51999999993946355</v>
      </c>
      <c r="S7" s="44">
        <f t="shared" ref="S7:S70" si="2">IF(Q7="","",M7/((Q7-$Q$6)*24))</f>
        <v>-0.51999999993946355</v>
      </c>
    </row>
    <row r="8" spans="1:20" ht="12" customHeight="1" x14ac:dyDescent="0.2">
      <c r="A8" s="37"/>
      <c r="B8" s="48"/>
      <c r="C8" s="49">
        <v>4.41</v>
      </c>
      <c r="D8" s="54"/>
      <c r="E8" s="39">
        <v>2418</v>
      </c>
      <c r="F8" s="40">
        <v>5.44</v>
      </c>
      <c r="G8" s="51"/>
      <c r="H8" s="44">
        <f t="shared" si="0"/>
        <v>-1.323E-2</v>
      </c>
      <c r="I8" s="52">
        <f>IF(F8="","",F8-F7-G8)</f>
        <v>-0.41999999999999993</v>
      </c>
      <c r="J8" s="44">
        <f>IF(F8="","",I8-H8)</f>
        <v>-0.40676999999999991</v>
      </c>
      <c r="K8" s="44">
        <f>IF(F8="","",K7+H8)</f>
        <v>-1.323E-2</v>
      </c>
      <c r="L8" s="44">
        <f>IF(F8="","",L7+I8)</f>
        <v>-0.67999999999999972</v>
      </c>
      <c r="M8" s="53">
        <f>IF(F8="","",L8-K8)</f>
        <v>-0.66676999999999975</v>
      </c>
      <c r="N8" s="231"/>
      <c r="O8" s="229"/>
      <c r="P8" s="230"/>
      <c r="Q8" s="47">
        <v>44614.45208333333</v>
      </c>
      <c r="R8" s="44">
        <f t="shared" si="1"/>
        <v>-0.78729677428815814</v>
      </c>
      <c r="S8" s="44">
        <f t="shared" si="2"/>
        <v>-0.65583934426479806</v>
      </c>
      <c r="T8" s="55"/>
    </row>
    <row r="9" spans="1:20" ht="12" customHeight="1" x14ac:dyDescent="0.2">
      <c r="A9" s="37"/>
      <c r="B9" s="48"/>
      <c r="C9" s="49">
        <v>4.41</v>
      </c>
      <c r="D9" s="54">
        <v>78</v>
      </c>
      <c r="E9" s="39">
        <v>2335</v>
      </c>
      <c r="F9" s="40">
        <v>4.9000000000000004</v>
      </c>
      <c r="G9" s="51"/>
      <c r="H9" s="44">
        <f t="shared" si="0"/>
        <v>-0.36603000000000002</v>
      </c>
      <c r="I9" s="52">
        <f>IF(F9="","",F9-F8-G9)</f>
        <v>-0.54</v>
      </c>
      <c r="J9" s="44">
        <f>IF(F9="","",I9-H9)</f>
        <v>-0.17397000000000001</v>
      </c>
      <c r="K9" s="44">
        <f>IF(F9="","",K8+H9)</f>
        <v>-0.37926000000000004</v>
      </c>
      <c r="L9" s="44">
        <f>IF(F9="","",L8+I9)</f>
        <v>-1.2199999999999998</v>
      </c>
      <c r="M9" s="53">
        <f>IF(F9="","",L9-K9)</f>
        <v>-0.84073999999999971</v>
      </c>
      <c r="N9" s="228"/>
      <c r="O9" s="229"/>
      <c r="P9" s="230"/>
      <c r="Q9" s="47">
        <v>44614.559027777781</v>
      </c>
      <c r="R9" s="44">
        <f t="shared" si="1"/>
        <v>-6.7780519476317955E-2</v>
      </c>
      <c r="S9" s="44">
        <f t="shared" si="2"/>
        <v>-0.23462511626890636</v>
      </c>
    </row>
    <row r="10" spans="1:20" ht="12" customHeight="1" x14ac:dyDescent="0.2">
      <c r="A10" s="37"/>
      <c r="B10" s="48"/>
      <c r="C10" s="49">
        <v>4.41</v>
      </c>
      <c r="D10" s="54"/>
      <c r="E10" s="39">
        <v>2335</v>
      </c>
      <c r="F10" s="40">
        <v>4.7</v>
      </c>
      <c r="G10" s="51"/>
      <c r="H10" s="44">
        <f t="shared" si="0"/>
        <v>0</v>
      </c>
      <c r="I10" s="52">
        <f>IF(F10="","",F10-F9-G10)</f>
        <v>-0.20000000000000018</v>
      </c>
      <c r="J10" s="44">
        <f t="shared" ref="J10:J73" si="3">IF(F10="","",I10-H10)</f>
        <v>-0.20000000000000018</v>
      </c>
      <c r="K10" s="44">
        <f t="shared" ref="K10:K73" si="4">IF(F10="","",K9+H10)</f>
        <v>-0.37926000000000004</v>
      </c>
      <c r="L10" s="44">
        <f t="shared" ref="L10:L73" si="5">IF(F10="","",L9+I10)</f>
        <v>-1.42</v>
      </c>
      <c r="M10" s="53">
        <f t="shared" ref="M10:M73" si="6">IF(F10="","",L10-K10)</f>
        <v>-1.04074</v>
      </c>
      <c r="N10" s="228" t="s">
        <v>144</v>
      </c>
      <c r="O10" s="229"/>
      <c r="P10" s="230"/>
      <c r="Q10" s="47">
        <v>44614.569444444445</v>
      </c>
      <c r="R10" s="44">
        <f t="shared" si="1"/>
        <v>-0.80000000018626527</v>
      </c>
      <c r="S10" s="44">
        <f t="shared" si="2"/>
        <v>-0.27149739129747685</v>
      </c>
      <c r="T10" s="55"/>
    </row>
    <row r="11" spans="1:20" ht="12" customHeight="1" x14ac:dyDescent="0.2">
      <c r="A11" s="37"/>
      <c r="B11" s="48"/>
      <c r="C11" s="49">
        <v>4.41</v>
      </c>
      <c r="D11" s="54">
        <v>70</v>
      </c>
      <c r="E11" s="39">
        <v>2103</v>
      </c>
      <c r="F11" s="40">
        <v>8.06</v>
      </c>
      <c r="G11" s="51">
        <f>-4.68+8.86</f>
        <v>4.18</v>
      </c>
      <c r="H11" s="44">
        <f t="shared" si="0"/>
        <v>-1.02312</v>
      </c>
      <c r="I11" s="52">
        <f t="shared" ref="I11:I74" si="7">IF(F11="","",F11-F10-G11)</f>
        <v>-0.8199999999999994</v>
      </c>
      <c r="J11" s="44">
        <f t="shared" si="3"/>
        <v>0.20312000000000063</v>
      </c>
      <c r="K11" s="44">
        <f t="shared" si="4"/>
        <v>-1.40238</v>
      </c>
      <c r="L11" s="44">
        <f t="shared" si="5"/>
        <v>-2.2399999999999993</v>
      </c>
      <c r="M11" s="53">
        <f t="shared" si="6"/>
        <v>-0.83761999999999937</v>
      </c>
      <c r="N11" s="228"/>
      <c r="O11" s="229"/>
      <c r="P11" s="230"/>
      <c r="Q11" s="47">
        <v>44614.593055555553</v>
      </c>
      <c r="R11" s="44">
        <f t="shared" si="1"/>
        <v>0.35844705887016853</v>
      </c>
      <c r="S11" s="44">
        <f t="shared" si="2"/>
        <v>-0.19036818181717433</v>
      </c>
    </row>
    <row r="12" spans="1:20" ht="12" customHeight="1" x14ac:dyDescent="0.2">
      <c r="A12" s="37"/>
      <c r="B12" s="48"/>
      <c r="C12" s="49">
        <v>4.41</v>
      </c>
      <c r="D12" s="54">
        <v>43</v>
      </c>
      <c r="E12" s="39">
        <v>1320</v>
      </c>
      <c r="F12" s="56">
        <v>3.8</v>
      </c>
      <c r="G12" s="51"/>
      <c r="H12" s="44">
        <f t="shared" si="0"/>
        <v>-3.45303</v>
      </c>
      <c r="I12" s="52">
        <f t="shared" si="7"/>
        <v>-4.2600000000000007</v>
      </c>
      <c r="J12" s="44">
        <f t="shared" si="3"/>
        <v>-0.80697000000000063</v>
      </c>
      <c r="K12" s="44">
        <f t="shared" si="4"/>
        <v>-4.85541</v>
      </c>
      <c r="L12" s="44">
        <f t="shared" si="5"/>
        <v>-6.5</v>
      </c>
      <c r="M12" s="53">
        <f t="shared" si="6"/>
        <v>-1.64459</v>
      </c>
      <c r="N12" s="228"/>
      <c r="O12" s="229"/>
      <c r="P12" s="230"/>
      <c r="Q12" s="47">
        <v>44614.637499999997</v>
      </c>
      <c r="R12" s="44">
        <f t="shared" si="1"/>
        <v>-0.75653437501100962</v>
      </c>
      <c r="S12" s="44">
        <f t="shared" si="2"/>
        <v>-0.30083963414591436</v>
      </c>
    </row>
    <row r="13" spans="1:20" ht="12" customHeight="1" x14ac:dyDescent="0.2">
      <c r="A13" s="37"/>
      <c r="B13" s="48"/>
      <c r="C13" s="49">
        <v>4.41</v>
      </c>
      <c r="D13" s="54"/>
      <c r="E13" s="39">
        <v>1320</v>
      </c>
      <c r="F13" s="40">
        <v>3.66</v>
      </c>
      <c r="G13" s="51"/>
      <c r="H13" s="44">
        <f t="shared" si="0"/>
        <v>0</v>
      </c>
      <c r="I13" s="52">
        <f t="shared" si="7"/>
        <v>-0.13999999999999968</v>
      </c>
      <c r="J13" s="44">
        <f t="shared" si="3"/>
        <v>-0.13999999999999968</v>
      </c>
      <c r="K13" s="44">
        <f t="shared" si="4"/>
        <v>-4.85541</v>
      </c>
      <c r="L13" s="44">
        <f t="shared" si="5"/>
        <v>-6.64</v>
      </c>
      <c r="M13" s="53">
        <f t="shared" si="6"/>
        <v>-1.7845899999999997</v>
      </c>
      <c r="N13" s="231"/>
      <c r="O13" s="229"/>
      <c r="P13" s="230"/>
      <c r="Q13" s="47">
        <v>44614.645833333336</v>
      </c>
      <c r="R13" s="44">
        <f t="shared" si="1"/>
        <v>-0.69999999955179937</v>
      </c>
      <c r="S13" s="44">
        <f t="shared" si="2"/>
        <v>-0.31492764705127535</v>
      </c>
    </row>
    <row r="14" spans="1:20" ht="12" customHeight="1" x14ac:dyDescent="0.2">
      <c r="A14" s="37"/>
      <c r="B14" s="48"/>
      <c r="C14" s="49">
        <v>4.41</v>
      </c>
      <c r="D14" s="54">
        <v>14</v>
      </c>
      <c r="E14" s="39">
        <v>479</v>
      </c>
      <c r="F14" s="40">
        <v>7.51</v>
      </c>
      <c r="G14" s="51">
        <f>-2.89+8.18-4.6+7.51</f>
        <v>8.1999999999999993</v>
      </c>
      <c r="H14" s="44">
        <f t="shared" si="0"/>
        <v>-3.7088100000000002</v>
      </c>
      <c r="I14" s="52">
        <f t="shared" si="7"/>
        <v>-4.3499999999999996</v>
      </c>
      <c r="J14" s="44">
        <f t="shared" si="3"/>
        <v>-0.64118999999999948</v>
      </c>
      <c r="K14" s="44">
        <f t="shared" si="4"/>
        <v>-8.5642200000000006</v>
      </c>
      <c r="L14" s="44">
        <f t="shared" si="5"/>
        <v>-10.989999999999998</v>
      </c>
      <c r="M14" s="53">
        <f t="shared" si="6"/>
        <v>-2.4257799999999978</v>
      </c>
      <c r="N14" s="231" t="s">
        <v>96</v>
      </c>
      <c r="O14" s="229"/>
      <c r="P14" s="230"/>
      <c r="Q14" s="47">
        <v>44614.692361111112</v>
      </c>
      <c r="R14" s="44">
        <f t="shared" si="1"/>
        <v>-0.57420000001396732</v>
      </c>
      <c r="S14" s="44">
        <f t="shared" si="2"/>
        <v>-0.35760884520311675</v>
      </c>
    </row>
    <row r="15" spans="1:20" ht="12" customHeight="1" x14ac:dyDescent="0.2">
      <c r="A15" s="37"/>
      <c r="B15" s="48"/>
      <c r="C15" s="49">
        <v>4.41</v>
      </c>
      <c r="D15" s="54"/>
      <c r="E15" s="39">
        <v>479</v>
      </c>
      <c r="F15" s="40">
        <v>7.45</v>
      </c>
      <c r="G15" s="51"/>
      <c r="H15" s="44">
        <f t="shared" si="0"/>
        <v>0</v>
      </c>
      <c r="I15" s="52">
        <f t="shared" si="7"/>
        <v>-5.9999999999999609E-2</v>
      </c>
      <c r="J15" s="44">
        <f t="shared" si="3"/>
        <v>-5.9999999999999609E-2</v>
      </c>
      <c r="K15" s="44">
        <f t="shared" si="4"/>
        <v>-8.5642200000000006</v>
      </c>
      <c r="L15" s="44">
        <f t="shared" si="5"/>
        <v>-11.049999999999997</v>
      </c>
      <c r="M15" s="53">
        <f t="shared" si="6"/>
        <v>-2.4857799999999965</v>
      </c>
      <c r="N15" s="231"/>
      <c r="O15" s="229"/>
      <c r="P15" s="230"/>
      <c r="Q15" s="47">
        <v>44614.699305555558</v>
      </c>
      <c r="R15" s="44">
        <f t="shared" si="1"/>
        <v>-0.35999999995808812</v>
      </c>
      <c r="S15" s="44">
        <f t="shared" si="2"/>
        <v>-0.35766618704376907</v>
      </c>
    </row>
    <row r="16" spans="1:20" ht="12" customHeight="1" x14ac:dyDescent="0.2">
      <c r="A16" s="37"/>
      <c r="B16" s="48"/>
      <c r="C16" s="49">
        <v>4.41</v>
      </c>
      <c r="D16" s="57">
        <v>0</v>
      </c>
      <c r="E16" s="39">
        <v>72</v>
      </c>
      <c r="F16" s="40">
        <v>4.2300000000000004</v>
      </c>
      <c r="G16" s="51"/>
      <c r="H16" s="44">
        <f t="shared" si="0"/>
        <v>-1.7948700000000002</v>
      </c>
      <c r="I16" s="52">
        <f t="shared" si="7"/>
        <v>-3.2199999999999998</v>
      </c>
      <c r="J16" s="44">
        <f t="shared" si="3"/>
        <v>-1.4251299999999996</v>
      </c>
      <c r="K16" s="44">
        <f t="shared" si="4"/>
        <v>-10.35909</v>
      </c>
      <c r="L16" s="44">
        <f t="shared" si="5"/>
        <v>-14.269999999999996</v>
      </c>
      <c r="M16" s="53">
        <f t="shared" si="6"/>
        <v>-3.9109099999999959</v>
      </c>
      <c r="N16" s="228"/>
      <c r="O16" s="229"/>
      <c r="P16" s="230"/>
      <c r="Q16" s="47">
        <v>44614.722222222219</v>
      </c>
      <c r="R16" s="44">
        <f t="shared" si="1"/>
        <v>-2.5911454551487516</v>
      </c>
      <c r="S16" s="44">
        <f t="shared" si="2"/>
        <v>-0.52145466666666607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/>
      <c r="F17" s="40"/>
      <c r="G17" s="51"/>
      <c r="H17" s="44" t="str">
        <f t="shared" si="0"/>
        <v/>
      </c>
      <c r="I17" s="52" t="str">
        <f t="shared" si="7"/>
        <v/>
      </c>
      <c r="J17" s="44" t="str">
        <f t="shared" si="3"/>
        <v/>
      </c>
      <c r="K17" s="44" t="str">
        <f t="shared" si="4"/>
        <v/>
      </c>
      <c r="L17" s="44" t="str">
        <f t="shared" si="5"/>
        <v/>
      </c>
      <c r="M17" s="53" t="str">
        <f t="shared" si="6"/>
        <v/>
      </c>
      <c r="N17" s="231" t="s">
        <v>97</v>
      </c>
      <c r="O17" s="229"/>
      <c r="P17" s="230"/>
      <c r="Q17" s="47"/>
      <c r="R17" s="44" t="str">
        <f t="shared" si="1"/>
        <v/>
      </c>
      <c r="S17" s="44" t="str">
        <f t="shared" si="2"/>
        <v/>
      </c>
    </row>
    <row r="18" spans="1:19" ht="12" customHeight="1" x14ac:dyDescent="0.2">
      <c r="A18" s="37"/>
      <c r="B18" s="48"/>
      <c r="C18" s="49">
        <v>4.41</v>
      </c>
      <c r="D18" s="54"/>
      <c r="E18" s="39"/>
      <c r="F18" s="40"/>
      <c r="G18" s="40"/>
      <c r="H18" s="44" t="str">
        <f t="shared" si="0"/>
        <v/>
      </c>
      <c r="I18" s="52" t="str">
        <f t="shared" si="7"/>
        <v/>
      </c>
      <c r="J18" s="44" t="str">
        <f t="shared" si="3"/>
        <v/>
      </c>
      <c r="K18" s="44" t="str">
        <f t="shared" si="4"/>
        <v/>
      </c>
      <c r="L18" s="44" t="str">
        <f t="shared" si="5"/>
        <v/>
      </c>
      <c r="M18" s="53" t="str">
        <f t="shared" si="6"/>
        <v/>
      </c>
      <c r="N18" s="228"/>
      <c r="O18" s="229"/>
      <c r="P18" s="230"/>
      <c r="Q18" s="47"/>
      <c r="R18" s="44" t="str">
        <f t="shared" si="1"/>
        <v/>
      </c>
      <c r="S18" s="44" t="str">
        <f t="shared" si="2"/>
        <v/>
      </c>
    </row>
    <row r="19" spans="1:19" ht="12" customHeight="1" x14ac:dyDescent="0.2">
      <c r="A19" s="37"/>
      <c r="B19" s="48"/>
      <c r="C19" s="49">
        <v>4.41</v>
      </c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>
        <v>4.41</v>
      </c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 t="shared" si="0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0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0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0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82"/>
      <c r="O34" s="183"/>
      <c r="P34" s="184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79"/>
      <c r="O76" s="180"/>
      <c r="P76" s="18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79"/>
      <c r="O77" s="180"/>
      <c r="P77" s="18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79"/>
      <c r="O78" s="180"/>
      <c r="P78" s="18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79"/>
      <c r="O79" s="180"/>
      <c r="P79" s="18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112"/>
  <sheetViews>
    <sheetView zoomScaleNormal="100" workbookViewId="0">
      <selection activeCell="F25" sqref="F2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7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7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76" t="s">
        <v>20</v>
      </c>
      <c r="I5" s="17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7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77" t="s">
        <v>28</v>
      </c>
      <c r="E6" s="39">
        <v>0</v>
      </c>
      <c r="F6" s="40">
        <v>8.39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44613.633333333331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158</v>
      </c>
      <c r="F7" s="40">
        <v>7.8</v>
      </c>
      <c r="G7" s="51"/>
      <c r="H7" s="44">
        <f t="shared" ref="H7:H70" si="0">IF(E7="","",((E7-E6)*C7)/1000)</f>
        <v>2.1061399999999999</v>
      </c>
      <c r="I7" s="52">
        <f>IF(F7="","",F7-F6-G7)</f>
        <v>-0.59000000000000075</v>
      </c>
      <c r="J7" s="44">
        <f>IF(F7="","",I7-H7)</f>
        <v>-2.6961400000000006</v>
      </c>
      <c r="K7" s="44">
        <f>IF(F7="","",K6+H7)</f>
        <v>2.1061399999999999</v>
      </c>
      <c r="L7" s="44">
        <f>IF(F7="","",L6+I7)</f>
        <v>-0.59000000000000075</v>
      </c>
      <c r="M7" s="53">
        <f>IF(F7="","",L7-K7)</f>
        <v>-2.6961400000000006</v>
      </c>
      <c r="N7" s="231"/>
      <c r="O7" s="229"/>
      <c r="P7" s="230"/>
      <c r="Q7" s="47">
        <v>44613.833333333336</v>
      </c>
      <c r="R7" s="44">
        <f t="shared" ref="R7:R70" si="1">IF(Q7="","",J7/((Q7-Q6)*24))</f>
        <v>-0.56169583332107287</v>
      </c>
      <c r="S7" s="44">
        <f t="shared" ref="S7:S70" si="2">IF(Q7="","",M7/((Q7-$Q$6)*24))</f>
        <v>-0.56169583332107287</v>
      </c>
    </row>
    <row r="8" spans="1:20" ht="12" customHeight="1" x14ac:dyDescent="0.2">
      <c r="A8" s="37"/>
      <c r="B8" s="48"/>
      <c r="C8" s="49">
        <v>13.33</v>
      </c>
      <c r="D8" s="54"/>
      <c r="E8" s="39">
        <v>476</v>
      </c>
      <c r="F8" s="40">
        <v>8.9499999999999993</v>
      </c>
      <c r="G8" s="51"/>
      <c r="H8" s="44">
        <f t="shared" si="0"/>
        <v>4.2389399999999995</v>
      </c>
      <c r="I8" s="52">
        <f>IF(F8="","",F8-F7-G8)</f>
        <v>1.1499999999999995</v>
      </c>
      <c r="J8" s="44">
        <f>IF(F8="","",I8-H8)</f>
        <v>-3.08894</v>
      </c>
      <c r="K8" s="44">
        <f>IF(F8="","",K7+H8)</f>
        <v>6.3450799999999994</v>
      </c>
      <c r="L8" s="44">
        <f>IF(F8="","",L7+I8)</f>
        <v>0.55999999999999872</v>
      </c>
      <c r="M8" s="53">
        <f>IF(F8="","",L8-K8)</f>
        <v>-5.7850800000000007</v>
      </c>
      <c r="N8" s="231"/>
      <c r="O8" s="229"/>
      <c r="P8" s="230"/>
      <c r="Q8" s="47">
        <v>44613.84652777778</v>
      </c>
      <c r="R8" s="44">
        <f t="shared" si="1"/>
        <v>-9.7545473688991908</v>
      </c>
      <c r="S8" s="44">
        <f t="shared" si="2"/>
        <v>-1.1306345276675744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535</v>
      </c>
      <c r="F9" s="40">
        <v>8.99</v>
      </c>
      <c r="G9" s="51"/>
      <c r="H9" s="44">
        <f t="shared" si="0"/>
        <v>0.78647</v>
      </c>
      <c r="I9" s="52">
        <f>IF(F9="","",F9-F8-G9)</f>
        <v>4.0000000000000924E-2</v>
      </c>
      <c r="J9" s="44">
        <f>IF(F9="","",I9-H9)</f>
        <v>-0.74646999999999908</v>
      </c>
      <c r="K9" s="44">
        <f>IF(F9="","",K8+H9)</f>
        <v>7.1315499999999989</v>
      </c>
      <c r="L9" s="44">
        <f>IF(F9="","",L8+I9)</f>
        <v>0.59999999999999964</v>
      </c>
      <c r="M9" s="53">
        <f>IF(F9="","",L9-K9)</f>
        <v>-6.5315499999999993</v>
      </c>
      <c r="N9" s="228"/>
      <c r="O9" s="229"/>
      <c r="P9" s="230"/>
      <c r="Q9" s="47">
        <v>44613.849305555559</v>
      </c>
      <c r="R9" s="44">
        <f t="shared" si="1"/>
        <v>-11.19704999283069</v>
      </c>
      <c r="S9" s="44">
        <f t="shared" si="2"/>
        <v>-1.2601061092926837</v>
      </c>
    </row>
    <row r="10" spans="1:20" ht="12" customHeight="1" x14ac:dyDescent="0.2">
      <c r="A10" s="37"/>
      <c r="B10" s="48"/>
      <c r="C10" s="49">
        <v>13.33</v>
      </c>
      <c r="D10" s="54"/>
      <c r="E10" s="39">
        <v>681</v>
      </c>
      <c r="F10" s="40">
        <v>2.78</v>
      </c>
      <c r="G10" s="51">
        <v>-6.7</v>
      </c>
      <c r="H10" s="44">
        <f t="shared" si="0"/>
        <v>1.94618</v>
      </c>
      <c r="I10" s="52">
        <f>IF(F10="","",F10-F9-G10)</f>
        <v>0.48999999999999932</v>
      </c>
      <c r="J10" s="44">
        <f t="shared" ref="J10:J73" si="3">IF(F10="","",I10-H10)</f>
        <v>-1.4561800000000007</v>
      </c>
      <c r="K10" s="44">
        <f t="shared" ref="K10:K73" si="4">IF(F10="","",K9+H10)</f>
        <v>9.077729999999999</v>
      </c>
      <c r="L10" s="44">
        <f t="shared" ref="L10:L73" si="5">IF(F10="","",L9+I10)</f>
        <v>1.089999999999999</v>
      </c>
      <c r="M10" s="53">
        <f t="shared" ref="M10:M73" si="6">IF(F10="","",L10-K10)</f>
        <v>-7.98773</v>
      </c>
      <c r="N10" s="228"/>
      <c r="O10" s="229"/>
      <c r="P10" s="230"/>
      <c r="Q10" s="47">
        <v>44613.854861111111</v>
      </c>
      <c r="R10" s="44">
        <f t="shared" si="1"/>
        <v>-10.921350007310627</v>
      </c>
      <c r="S10" s="44">
        <f t="shared" si="2"/>
        <v>-1.5023943573547089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768</v>
      </c>
      <c r="F11" s="40">
        <v>4.0199999999999996</v>
      </c>
      <c r="G11" s="51"/>
      <c r="H11" s="44">
        <f t="shared" si="0"/>
        <v>1.15971</v>
      </c>
      <c r="I11" s="52">
        <f t="shared" ref="I11:I74" si="7">IF(F11="","",F11-F10-G11)</f>
        <v>1.2399999999999998</v>
      </c>
      <c r="J11" s="44">
        <f t="shared" si="3"/>
        <v>8.028999999999975E-2</v>
      </c>
      <c r="K11" s="44">
        <f t="shared" si="4"/>
        <v>10.237439999999999</v>
      </c>
      <c r="L11" s="44">
        <f t="shared" si="5"/>
        <v>2.3299999999999987</v>
      </c>
      <c r="M11" s="53">
        <f t="shared" si="6"/>
        <v>-7.9074400000000011</v>
      </c>
      <c r="N11" s="228"/>
      <c r="O11" s="229"/>
      <c r="P11" s="230"/>
      <c r="Q11" s="47">
        <v>44613.85833333333</v>
      </c>
      <c r="R11" s="44">
        <f t="shared" si="1"/>
        <v>0.96348000089730768</v>
      </c>
      <c r="S11" s="44">
        <f t="shared" si="2"/>
        <v>-1.4643407407502116</v>
      </c>
    </row>
    <row r="12" spans="1:20" ht="12" customHeight="1" x14ac:dyDescent="0.2">
      <c r="A12" s="37"/>
      <c r="B12" s="48"/>
      <c r="C12" s="49">
        <v>13.33</v>
      </c>
      <c r="D12" s="54">
        <v>28</v>
      </c>
      <c r="E12" s="39">
        <v>883</v>
      </c>
      <c r="F12" s="56">
        <v>5.59</v>
      </c>
      <c r="G12" s="51"/>
      <c r="H12" s="44">
        <f t="shared" si="0"/>
        <v>1.53295</v>
      </c>
      <c r="I12" s="52">
        <f t="shared" si="7"/>
        <v>1.5700000000000003</v>
      </c>
      <c r="J12" s="44">
        <f t="shared" si="3"/>
        <v>3.7050000000000249E-2</v>
      </c>
      <c r="K12" s="44">
        <f t="shared" si="4"/>
        <v>11.770389999999999</v>
      </c>
      <c r="L12" s="44">
        <f t="shared" si="5"/>
        <v>3.899999999999999</v>
      </c>
      <c r="M12" s="53">
        <f t="shared" si="6"/>
        <v>-7.8703900000000004</v>
      </c>
      <c r="N12" s="228"/>
      <c r="O12" s="229"/>
      <c r="P12" s="230"/>
      <c r="Q12" s="47">
        <v>44613.862500000003</v>
      </c>
      <c r="R12" s="44">
        <f t="shared" si="1"/>
        <v>0.37049999943928807</v>
      </c>
      <c r="S12" s="44">
        <f t="shared" si="2"/>
        <v>-1.4309799999697113</v>
      </c>
    </row>
    <row r="13" spans="1:20" ht="12" customHeight="1" x14ac:dyDescent="0.2">
      <c r="A13" s="37"/>
      <c r="B13" s="48"/>
      <c r="C13" s="49">
        <v>13.33</v>
      </c>
      <c r="D13" s="54">
        <v>35</v>
      </c>
      <c r="E13" s="39">
        <v>1087</v>
      </c>
      <c r="F13" s="40">
        <v>7.94</v>
      </c>
      <c r="G13" s="51"/>
      <c r="H13" s="44">
        <f t="shared" si="0"/>
        <v>2.7193200000000002</v>
      </c>
      <c r="I13" s="52">
        <f t="shared" si="7"/>
        <v>2.3500000000000005</v>
      </c>
      <c r="J13" s="44">
        <f t="shared" si="3"/>
        <v>-0.36931999999999965</v>
      </c>
      <c r="K13" s="44">
        <f t="shared" si="4"/>
        <v>14.489709999999999</v>
      </c>
      <c r="L13" s="44">
        <f t="shared" si="5"/>
        <v>6.25</v>
      </c>
      <c r="M13" s="53">
        <f t="shared" si="6"/>
        <v>-8.2397099999999988</v>
      </c>
      <c r="N13" s="231"/>
      <c r="O13" s="229"/>
      <c r="P13" s="230"/>
      <c r="Q13" s="47">
        <v>44613.869444444441</v>
      </c>
      <c r="R13" s="44">
        <f t="shared" si="1"/>
        <v>-2.2159200020637342</v>
      </c>
      <c r="S13" s="44">
        <f t="shared" si="2"/>
        <v>-1.4540664705981925</v>
      </c>
    </row>
    <row r="14" spans="1:20" ht="12" customHeight="1" x14ac:dyDescent="0.2">
      <c r="A14" s="37"/>
      <c r="B14" s="48"/>
      <c r="C14" s="49">
        <v>13.33</v>
      </c>
      <c r="D14" s="54">
        <v>56</v>
      </c>
      <c r="E14" s="39">
        <v>1696</v>
      </c>
      <c r="F14" s="40">
        <v>6.13</v>
      </c>
      <c r="G14" s="51">
        <v>-6.6</v>
      </c>
      <c r="H14" s="44">
        <f t="shared" si="0"/>
        <v>8.1179699999999997</v>
      </c>
      <c r="I14" s="52">
        <f t="shared" si="7"/>
        <v>4.7899999999999991</v>
      </c>
      <c r="J14" s="44">
        <f t="shared" si="3"/>
        <v>-3.3279700000000005</v>
      </c>
      <c r="K14" s="44">
        <f t="shared" si="4"/>
        <v>22.607679999999998</v>
      </c>
      <c r="L14" s="44">
        <f t="shared" si="5"/>
        <v>11.04</v>
      </c>
      <c r="M14" s="53">
        <f t="shared" si="6"/>
        <v>-11.567679999999999</v>
      </c>
      <c r="N14" s="231"/>
      <c r="O14" s="229"/>
      <c r="P14" s="230"/>
      <c r="Q14" s="47">
        <v>44613.90347222222</v>
      </c>
      <c r="R14" s="44">
        <f t="shared" si="1"/>
        <v>-4.0750653059094537</v>
      </c>
      <c r="S14" s="44">
        <f t="shared" si="2"/>
        <v>-1.7842179948575438</v>
      </c>
    </row>
    <row r="15" spans="1:20" ht="12" customHeight="1" x14ac:dyDescent="0.2">
      <c r="A15" s="37"/>
      <c r="B15" s="48"/>
      <c r="C15" s="49">
        <v>13.33</v>
      </c>
      <c r="D15" s="54">
        <v>68</v>
      </c>
      <c r="E15" s="39">
        <v>2044</v>
      </c>
      <c r="F15" s="40">
        <v>3.01</v>
      </c>
      <c r="G15" s="51">
        <v>-6.6</v>
      </c>
      <c r="H15" s="44">
        <f t="shared" si="0"/>
        <v>4.6388400000000001</v>
      </c>
      <c r="I15" s="52">
        <f t="shared" si="7"/>
        <v>3.4799999999999995</v>
      </c>
      <c r="J15" s="44">
        <f t="shared" si="3"/>
        <v>-1.1588400000000005</v>
      </c>
      <c r="K15" s="44">
        <f t="shared" si="4"/>
        <v>27.246519999999997</v>
      </c>
      <c r="L15" s="44">
        <f t="shared" si="5"/>
        <v>14.52</v>
      </c>
      <c r="M15" s="53">
        <f t="shared" si="6"/>
        <v>-12.726519999999997</v>
      </c>
      <c r="N15" s="231"/>
      <c r="O15" s="229"/>
      <c r="P15" s="230"/>
      <c r="Q15" s="47">
        <v>44613.918749999997</v>
      </c>
      <c r="R15" s="44">
        <f t="shared" si="1"/>
        <v>-3.1604727275068645</v>
      </c>
      <c r="S15" s="44">
        <f t="shared" si="2"/>
        <v>-1.8578861313931758</v>
      </c>
    </row>
    <row r="16" spans="1:20" ht="12" customHeight="1" x14ac:dyDescent="0.2">
      <c r="A16" s="37"/>
      <c r="B16" s="48"/>
      <c r="C16" s="49">
        <v>13.33</v>
      </c>
      <c r="D16" s="57"/>
      <c r="E16" s="39"/>
      <c r="F16" s="40"/>
      <c r="G16" s="51"/>
      <c r="H16" s="44" t="str">
        <f t="shared" si="0"/>
        <v/>
      </c>
      <c r="I16" s="52" t="str">
        <f t="shared" si="7"/>
        <v/>
      </c>
      <c r="J16" s="44" t="str">
        <f t="shared" si="3"/>
        <v/>
      </c>
      <c r="K16" s="44" t="str">
        <f t="shared" si="4"/>
        <v/>
      </c>
      <c r="L16" s="44" t="str">
        <f t="shared" si="5"/>
        <v/>
      </c>
      <c r="M16" s="53" t="str">
        <f t="shared" si="6"/>
        <v/>
      </c>
      <c r="N16" s="228"/>
      <c r="O16" s="229"/>
      <c r="P16" s="230"/>
      <c r="Q16" s="47"/>
      <c r="R16" s="44" t="str">
        <f t="shared" si="1"/>
        <v/>
      </c>
      <c r="S16" s="44" t="str">
        <f t="shared" si="2"/>
        <v/>
      </c>
      <c r="T16" s="55"/>
    </row>
    <row r="17" spans="1:19" ht="12" customHeight="1" x14ac:dyDescent="0.2">
      <c r="A17" s="37"/>
      <c r="B17" s="48"/>
      <c r="C17" s="49"/>
      <c r="D17" s="54"/>
      <c r="E17" s="39">
        <v>2340</v>
      </c>
      <c r="F17" s="40">
        <v>124.15</v>
      </c>
      <c r="G17" s="51"/>
      <c r="H17" s="44">
        <f t="shared" si="0"/>
        <v>0</v>
      </c>
      <c r="I17" s="52">
        <f t="shared" si="7"/>
        <v>124.15</v>
      </c>
      <c r="J17" s="44">
        <f t="shared" si="3"/>
        <v>124.15</v>
      </c>
      <c r="K17" s="44" t="e">
        <f t="shared" si="4"/>
        <v>#VALUE!</v>
      </c>
      <c r="L17" s="44" t="e">
        <f t="shared" si="5"/>
        <v>#VALUE!</v>
      </c>
      <c r="M17" s="53" t="e">
        <f t="shared" si="6"/>
        <v>#VALUE!</v>
      </c>
      <c r="N17" s="231"/>
      <c r="O17" s="229"/>
      <c r="P17" s="230"/>
      <c r="Q17" s="47">
        <v>44614.065972222219</v>
      </c>
      <c r="R17" s="44">
        <f t="shared" si="1"/>
        <v>1.1594811084664303E-4</v>
      </c>
      <c r="S17" s="44" t="e">
        <f t="shared" si="2"/>
        <v>#VALUE!</v>
      </c>
    </row>
    <row r="18" spans="1:19" ht="12" customHeight="1" x14ac:dyDescent="0.2">
      <c r="A18" s="37"/>
      <c r="B18" s="48"/>
      <c r="C18" s="49"/>
      <c r="D18" s="54"/>
      <c r="E18" s="39">
        <v>2340</v>
      </c>
      <c r="F18" s="40">
        <v>122.93</v>
      </c>
      <c r="G18" s="40"/>
      <c r="H18" s="44">
        <f t="shared" si="0"/>
        <v>0</v>
      </c>
      <c r="I18" s="52">
        <f t="shared" si="7"/>
        <v>-1.2199999999999989</v>
      </c>
      <c r="J18" s="44">
        <f t="shared" si="3"/>
        <v>-1.2199999999999989</v>
      </c>
      <c r="K18" s="44" t="e">
        <f t="shared" si="4"/>
        <v>#VALUE!</v>
      </c>
      <c r="L18" s="44" t="e">
        <f t="shared" si="5"/>
        <v>#VALUE!</v>
      </c>
      <c r="M18" s="53" t="e">
        <f t="shared" si="6"/>
        <v>#VALUE!</v>
      </c>
      <c r="N18" s="228"/>
      <c r="O18" s="229"/>
      <c r="P18" s="230"/>
      <c r="Q18" s="47">
        <v>44614.072916666664</v>
      </c>
      <c r="R18" s="44">
        <f t="shared" si="1"/>
        <v>-7.3199999991478331</v>
      </c>
      <c r="S18" s="44" t="e">
        <f t="shared" si="2"/>
        <v>#VALUE!</v>
      </c>
    </row>
    <row r="19" spans="1:19" ht="12" customHeight="1" x14ac:dyDescent="0.2">
      <c r="A19" s="37"/>
      <c r="B19" s="48"/>
      <c r="C19" s="49">
        <v>13.33</v>
      </c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>
        <v>13.33</v>
      </c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 t="shared" si="0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0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0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0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74"/>
      <c r="O34" s="172"/>
      <c r="P34" s="17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69"/>
      <c r="O76" s="170"/>
      <c r="P76" s="17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69"/>
      <c r="O77" s="170"/>
      <c r="P77" s="17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69"/>
      <c r="O78" s="170"/>
      <c r="P78" s="17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69"/>
      <c r="O79" s="170"/>
      <c r="P79" s="17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112"/>
  <sheetViews>
    <sheetView zoomScaleNormal="100" workbookViewId="0">
      <selection activeCell="E19" sqref="E19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7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7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76" t="s">
        <v>20</v>
      </c>
      <c r="I5" s="17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7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77" t="s">
        <v>28</v>
      </c>
      <c r="E6" s="39">
        <v>93.4</v>
      </c>
      <c r="F6" s="40">
        <v>6.5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44613.077777777777</v>
      </c>
      <c r="R6" s="11"/>
      <c r="S6" s="11"/>
    </row>
    <row r="7" spans="1:20" ht="12" customHeight="1" x14ac:dyDescent="0.2">
      <c r="A7" s="37"/>
      <c r="B7" s="48" t="s">
        <v>149</v>
      </c>
      <c r="C7" s="49">
        <v>10.58</v>
      </c>
      <c r="D7" s="39"/>
      <c r="E7" s="39">
        <v>224</v>
      </c>
      <c r="F7" s="40">
        <v>7.77</v>
      </c>
      <c r="G7" s="51"/>
      <c r="H7" s="44">
        <f t="shared" ref="H7:H70" si="0">IF(E7="","",((E7-E6)*C7)/1000)</f>
        <v>1.381748</v>
      </c>
      <c r="I7" s="52">
        <f>IF(F7="","",F7-F6-G7)</f>
        <v>1.2699999999999996</v>
      </c>
      <c r="J7" s="44">
        <f>IF(F7="","",I7-H7)</f>
        <v>-0.1117480000000004</v>
      </c>
      <c r="K7" s="44">
        <f>IF(F7="","",K6+H7)</f>
        <v>1.381748</v>
      </c>
      <c r="L7" s="44">
        <f>IF(F7="","",L6+I7)</f>
        <v>1.2699999999999996</v>
      </c>
      <c r="M7" s="53">
        <f>IF(F7="","",L7-K7)</f>
        <v>-0.1117480000000004</v>
      </c>
      <c r="N7" s="231"/>
      <c r="O7" s="229"/>
      <c r="P7" s="230"/>
      <c r="Q7" s="47">
        <v>44613.084722222222</v>
      </c>
      <c r="R7" s="44">
        <f t="shared" ref="R7:R70" si="1">IF(Q7="","",J7/((Q7-Q6)*24))</f>
        <v>-0.6704879999219473</v>
      </c>
      <c r="S7" s="44">
        <f t="shared" ref="S7:S70" si="2">IF(Q7="","",M7/((Q7-$Q$6)*24))</f>
        <v>-0.6704879999219473</v>
      </c>
    </row>
    <row r="8" spans="1:20" ht="12" customHeight="1" x14ac:dyDescent="0.2">
      <c r="A8" s="37"/>
      <c r="B8" s="48"/>
      <c r="C8" s="49">
        <v>10.58</v>
      </c>
      <c r="D8" s="54"/>
      <c r="E8" s="39">
        <v>385</v>
      </c>
      <c r="F8" s="40">
        <v>4.55</v>
      </c>
      <c r="G8" s="51">
        <v>-4.9000000000000004</v>
      </c>
      <c r="H8" s="44">
        <f t="shared" si="0"/>
        <v>1.7033800000000001</v>
      </c>
      <c r="I8" s="52">
        <f>IF(F8="","",F8-F7-G8)</f>
        <v>1.6800000000000006</v>
      </c>
      <c r="J8" s="44">
        <f>IF(F8="","",I8-H8)</f>
        <v>-2.3379999999999512E-2</v>
      </c>
      <c r="K8" s="44">
        <f>IF(F8="","",K7+H8)</f>
        <v>3.0851280000000001</v>
      </c>
      <c r="L8" s="44">
        <f>IF(F8="","",L7+I8)</f>
        <v>2.95</v>
      </c>
      <c r="M8" s="53">
        <f>IF(F8="","",L8-K8)</f>
        <v>-0.13512799999999991</v>
      </c>
      <c r="N8" s="231"/>
      <c r="O8" s="229"/>
      <c r="P8" s="230"/>
      <c r="Q8" s="47">
        <v>44613.102777777778</v>
      </c>
      <c r="R8" s="44">
        <f t="shared" si="1"/>
        <v>-5.3953846151912399E-2</v>
      </c>
      <c r="S8" s="44">
        <f t="shared" si="2"/>
        <v>-0.22521333332022406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387</v>
      </c>
      <c r="F9" s="40">
        <v>8.1</v>
      </c>
      <c r="G9" s="51"/>
      <c r="H9" s="44">
        <f t="shared" si="0"/>
        <v>2.1160000000000002E-2</v>
      </c>
      <c r="I9" s="52">
        <f>IF(F9="","",F9-F8-G9)</f>
        <v>3.55</v>
      </c>
      <c r="J9" s="44">
        <f>IF(F9="","",I9-H9)</f>
        <v>3.5288399999999998</v>
      </c>
      <c r="K9" s="44">
        <f>IF(F9="","",K8+H9)</f>
        <v>3.1062880000000002</v>
      </c>
      <c r="L9" s="44">
        <f>IF(F9="","",L8+I9)</f>
        <v>6.5</v>
      </c>
      <c r="M9" s="53">
        <f>IF(F9="","",L9-K9)</f>
        <v>3.3937119999999998</v>
      </c>
      <c r="N9" s="228"/>
      <c r="O9" s="229"/>
      <c r="P9" s="230"/>
      <c r="Q9" s="47">
        <v>44613.114583333336</v>
      </c>
      <c r="R9" s="44">
        <f t="shared" si="1"/>
        <v>12.454729409547179</v>
      </c>
      <c r="S9" s="44">
        <f t="shared" si="2"/>
        <v>3.8419381128362362</v>
      </c>
    </row>
    <row r="10" spans="1:20" ht="12" customHeight="1" x14ac:dyDescent="0.2">
      <c r="A10" s="37"/>
      <c r="B10" s="48"/>
      <c r="C10" s="49">
        <v>10.58</v>
      </c>
      <c r="D10" s="54"/>
      <c r="E10" s="39">
        <v>387</v>
      </c>
      <c r="F10" s="40">
        <v>8.06</v>
      </c>
      <c r="G10" s="51"/>
      <c r="H10" s="44">
        <f t="shared" si="0"/>
        <v>0</v>
      </c>
      <c r="I10" s="52">
        <f>IF(F10="","",F10-F9-G10)</f>
        <v>-3.9999999999999147E-2</v>
      </c>
      <c r="J10" s="44">
        <f t="shared" ref="J10:J73" si="3">IF(F10="","",I10-H10)</f>
        <v>-3.9999999999999147E-2</v>
      </c>
      <c r="K10" s="44">
        <f t="shared" ref="K10:K73" si="4">IF(F10="","",K9+H10)</f>
        <v>3.1062880000000002</v>
      </c>
      <c r="L10" s="44">
        <f t="shared" ref="L10:L73" si="5">IF(F10="","",L9+I10)</f>
        <v>6.4600000000000009</v>
      </c>
      <c r="M10" s="53">
        <f t="shared" ref="M10:M73" si="6">IF(F10="","",L10-K10)</f>
        <v>3.3537120000000007</v>
      </c>
      <c r="N10" s="228"/>
      <c r="O10" s="229"/>
      <c r="P10" s="230"/>
      <c r="Q10" s="47">
        <v>44613.145833333336</v>
      </c>
      <c r="R10" s="44">
        <f t="shared" si="1"/>
        <v>-5.3333333333332199E-2</v>
      </c>
      <c r="S10" s="44">
        <f t="shared" si="2"/>
        <v>2.0532930611171687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387</v>
      </c>
      <c r="F11" s="40">
        <v>7.76</v>
      </c>
      <c r="G11" s="51"/>
      <c r="H11" s="44">
        <f t="shared" si="0"/>
        <v>0</v>
      </c>
      <c r="I11" s="52">
        <f t="shared" ref="I11:I74" si="7">IF(F11="","",F11-F10-G11)</f>
        <v>-0.30000000000000071</v>
      </c>
      <c r="J11" s="44">
        <f t="shared" si="3"/>
        <v>-0.30000000000000071</v>
      </c>
      <c r="K11" s="44">
        <f t="shared" si="4"/>
        <v>3.1062880000000002</v>
      </c>
      <c r="L11" s="44">
        <f t="shared" si="5"/>
        <v>6.16</v>
      </c>
      <c r="M11" s="53">
        <f t="shared" si="6"/>
        <v>3.053712</v>
      </c>
      <c r="N11" s="228"/>
      <c r="O11" s="229"/>
      <c r="P11" s="230"/>
      <c r="Q11" s="47">
        <v>44613.175000000003</v>
      </c>
      <c r="R11" s="44">
        <f t="shared" si="1"/>
        <v>-0.42857142856430214</v>
      </c>
      <c r="S11" s="44">
        <f t="shared" si="2"/>
        <v>1.3087337142313011</v>
      </c>
    </row>
    <row r="12" spans="1:20" ht="12" customHeight="1" x14ac:dyDescent="0.2">
      <c r="A12" s="37"/>
      <c r="B12" s="48"/>
      <c r="C12" s="49">
        <v>10.58</v>
      </c>
      <c r="D12" s="54"/>
      <c r="E12" s="39">
        <v>387</v>
      </c>
      <c r="F12" s="56">
        <v>6.97</v>
      </c>
      <c r="G12" s="51"/>
      <c r="H12" s="44">
        <f t="shared" si="0"/>
        <v>0</v>
      </c>
      <c r="I12" s="52">
        <f t="shared" si="7"/>
        <v>-0.79</v>
      </c>
      <c r="J12" s="44">
        <f t="shared" si="3"/>
        <v>-0.79</v>
      </c>
      <c r="K12" s="44">
        <f t="shared" si="4"/>
        <v>3.1062880000000002</v>
      </c>
      <c r="L12" s="44">
        <f t="shared" si="5"/>
        <v>5.37</v>
      </c>
      <c r="M12" s="53">
        <f t="shared" si="6"/>
        <v>2.2637119999999999</v>
      </c>
      <c r="N12" s="228"/>
      <c r="O12" s="229"/>
      <c r="P12" s="230"/>
      <c r="Q12" s="47">
        <v>44613.21597222222</v>
      </c>
      <c r="R12" s="44">
        <f t="shared" si="1"/>
        <v>-0.80338983060041624</v>
      </c>
      <c r="S12" s="44">
        <f t="shared" si="2"/>
        <v>0.68252623115897315</v>
      </c>
    </row>
    <row r="13" spans="1:20" ht="12" customHeight="1" x14ac:dyDescent="0.2">
      <c r="A13" s="37"/>
      <c r="B13" s="48"/>
      <c r="C13" s="49">
        <v>10.58</v>
      </c>
      <c r="D13" s="54"/>
      <c r="E13" s="39">
        <v>387</v>
      </c>
      <c r="F13" s="40">
        <v>6.19</v>
      </c>
      <c r="G13" s="51"/>
      <c r="H13" s="44">
        <f t="shared" si="0"/>
        <v>0</v>
      </c>
      <c r="I13" s="52">
        <f t="shared" si="7"/>
        <v>-0.77999999999999936</v>
      </c>
      <c r="J13" s="44">
        <f t="shared" si="3"/>
        <v>-0.77999999999999936</v>
      </c>
      <c r="K13" s="44">
        <f t="shared" si="4"/>
        <v>3.1062880000000002</v>
      </c>
      <c r="L13" s="44">
        <f t="shared" si="5"/>
        <v>4.5900000000000007</v>
      </c>
      <c r="M13" s="53">
        <f t="shared" si="6"/>
        <v>1.4837120000000006</v>
      </c>
      <c r="N13" s="231"/>
      <c r="O13" s="229"/>
      <c r="P13" s="230"/>
      <c r="Q13" s="47">
        <v>44613.238194444442</v>
      </c>
      <c r="R13" s="44">
        <f t="shared" si="1"/>
        <v>-1.4625000000212809</v>
      </c>
      <c r="S13" s="44">
        <f t="shared" si="2"/>
        <v>0.385379740262071</v>
      </c>
    </row>
    <row r="14" spans="1:20" ht="12" customHeight="1" x14ac:dyDescent="0.2">
      <c r="A14" s="37"/>
      <c r="B14" s="48"/>
      <c r="C14" s="49">
        <v>10.58</v>
      </c>
      <c r="D14" s="54"/>
      <c r="E14" s="39">
        <v>354</v>
      </c>
      <c r="F14" s="40">
        <v>5.6</v>
      </c>
      <c r="G14" s="51"/>
      <c r="H14" s="44">
        <f t="shared" si="0"/>
        <v>-0.34914000000000001</v>
      </c>
      <c r="I14" s="52">
        <f t="shared" si="7"/>
        <v>-0.59000000000000075</v>
      </c>
      <c r="J14" s="44">
        <f t="shared" si="3"/>
        <v>-0.24086000000000074</v>
      </c>
      <c r="K14" s="44">
        <f t="shared" si="4"/>
        <v>2.7571479999999999</v>
      </c>
      <c r="L14" s="44">
        <f t="shared" si="5"/>
        <v>4</v>
      </c>
      <c r="M14" s="53">
        <f t="shared" si="6"/>
        <v>1.2428520000000001</v>
      </c>
      <c r="N14" s="231"/>
      <c r="O14" s="229"/>
      <c r="P14" s="230"/>
      <c r="Q14" s="47">
        <v>44613.273611111108</v>
      </c>
      <c r="R14" s="44">
        <f t="shared" si="1"/>
        <v>-0.2833647058901157</v>
      </c>
      <c r="S14" s="44">
        <f t="shared" si="2"/>
        <v>0.26443659574730083</v>
      </c>
    </row>
    <row r="15" spans="1:20" ht="12" customHeight="1" x14ac:dyDescent="0.2">
      <c r="A15" s="37"/>
      <c r="B15" s="48"/>
      <c r="C15" s="49">
        <v>10.58</v>
      </c>
      <c r="D15" s="54"/>
      <c r="E15" s="39">
        <v>378</v>
      </c>
      <c r="F15" s="40">
        <v>4.4400000000000004</v>
      </c>
      <c r="G15" s="51"/>
      <c r="H15" s="44">
        <f t="shared" si="0"/>
        <v>0.25392000000000003</v>
      </c>
      <c r="I15" s="52">
        <f t="shared" si="7"/>
        <v>-1.1599999999999993</v>
      </c>
      <c r="J15" s="44">
        <f t="shared" si="3"/>
        <v>-1.4139199999999992</v>
      </c>
      <c r="K15" s="44">
        <f t="shared" si="4"/>
        <v>3.0110679999999999</v>
      </c>
      <c r="L15" s="44">
        <f t="shared" si="5"/>
        <v>2.8400000000000007</v>
      </c>
      <c r="M15" s="53">
        <f t="shared" si="6"/>
        <v>-0.17106799999999911</v>
      </c>
      <c r="N15" s="231" t="s">
        <v>65</v>
      </c>
      <c r="O15" s="229"/>
      <c r="P15" s="230"/>
      <c r="Q15" s="47">
        <v>44613.555555555555</v>
      </c>
      <c r="R15" s="44">
        <f t="shared" si="1"/>
        <v>-0.20895369457960306</v>
      </c>
      <c r="S15" s="44">
        <f t="shared" si="2"/>
        <v>-1.4918720930222383E-2</v>
      </c>
    </row>
    <row r="16" spans="1:20" ht="12" customHeight="1" x14ac:dyDescent="0.2">
      <c r="A16" s="37"/>
      <c r="B16" s="48"/>
      <c r="C16" s="49">
        <v>10.58</v>
      </c>
      <c r="D16" s="57"/>
      <c r="E16" s="39">
        <v>378</v>
      </c>
      <c r="F16" s="40">
        <v>4.12</v>
      </c>
      <c r="G16" s="51"/>
      <c r="H16" s="44">
        <f t="shared" si="0"/>
        <v>0</v>
      </c>
      <c r="I16" s="52">
        <f t="shared" si="7"/>
        <v>-0.32000000000000028</v>
      </c>
      <c r="J16" s="44">
        <f t="shared" si="3"/>
        <v>-0.32000000000000028</v>
      </c>
      <c r="K16" s="44">
        <f t="shared" si="4"/>
        <v>3.0110679999999999</v>
      </c>
      <c r="L16" s="44">
        <f t="shared" si="5"/>
        <v>2.5200000000000005</v>
      </c>
      <c r="M16" s="53">
        <f t="shared" si="6"/>
        <v>-0.49106799999999939</v>
      </c>
      <c r="N16" s="228" t="s">
        <v>95</v>
      </c>
      <c r="O16" s="229"/>
      <c r="P16" s="230"/>
      <c r="Q16" s="47">
        <v>44613.5625</v>
      </c>
      <c r="R16" s="44">
        <f t="shared" si="1"/>
        <v>-1.9199999997764843</v>
      </c>
      <c r="S16" s="44">
        <f t="shared" si="2"/>
        <v>-4.2212148997036056E-2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93</v>
      </c>
      <c r="F17" s="40">
        <v>3.93</v>
      </c>
      <c r="G17" s="51">
        <f>-3.81+7.94</f>
        <v>4.1300000000000008</v>
      </c>
      <c r="H17" s="44">
        <f t="shared" si="0"/>
        <v>-3.0153000000000003</v>
      </c>
      <c r="I17" s="52">
        <f t="shared" si="7"/>
        <v>-4.32</v>
      </c>
      <c r="J17" s="44">
        <f t="shared" si="3"/>
        <v>-1.3047</v>
      </c>
      <c r="K17" s="44">
        <f t="shared" si="4"/>
        <v>-4.2320000000004576E-3</v>
      </c>
      <c r="L17" s="44">
        <f t="shared" si="5"/>
        <v>-1.7999999999999998</v>
      </c>
      <c r="M17" s="53">
        <f t="shared" si="6"/>
        <v>-1.7957679999999994</v>
      </c>
      <c r="N17" s="231"/>
      <c r="O17" s="229"/>
      <c r="P17" s="230"/>
      <c r="Q17" s="47">
        <v>44613.604166666664</v>
      </c>
      <c r="R17" s="44">
        <f t="shared" si="1"/>
        <v>-1.3047000000759434</v>
      </c>
      <c r="S17" s="44">
        <f t="shared" si="2"/>
        <v>-0.14214522427475557</v>
      </c>
    </row>
    <row r="18" spans="1:19" ht="12" customHeight="1" x14ac:dyDescent="0.2">
      <c r="A18" s="37"/>
      <c r="B18" s="48"/>
      <c r="C18" s="49">
        <v>10.58</v>
      </c>
      <c r="D18" s="54"/>
      <c r="E18" s="39">
        <v>0</v>
      </c>
      <c r="F18" s="40">
        <v>8.39</v>
      </c>
      <c r="G18" s="40">
        <f>-2.97+8.4</f>
        <v>5.43</v>
      </c>
      <c r="H18" s="44">
        <f t="shared" si="0"/>
        <v>-0.98394000000000004</v>
      </c>
      <c r="I18" s="52">
        <f t="shared" si="7"/>
        <v>-0.96999999999999886</v>
      </c>
      <c r="J18" s="44">
        <f t="shared" si="3"/>
        <v>1.3940000000001174E-2</v>
      </c>
      <c r="K18" s="44">
        <f t="shared" si="4"/>
        <v>-0.98817200000000049</v>
      </c>
      <c r="L18" s="44">
        <f t="shared" si="5"/>
        <v>-2.7699999999999987</v>
      </c>
      <c r="M18" s="53">
        <f t="shared" si="6"/>
        <v>-1.7818279999999982</v>
      </c>
      <c r="N18" s="228"/>
      <c r="O18" s="229"/>
      <c r="P18" s="230"/>
      <c r="Q18" s="47">
        <v>44613.633333333331</v>
      </c>
      <c r="R18" s="44">
        <f t="shared" si="1"/>
        <v>1.99142857139562E-2</v>
      </c>
      <c r="S18" s="44">
        <f t="shared" si="2"/>
        <v>-0.13363710000019433</v>
      </c>
    </row>
    <row r="19" spans="1:19" ht="12" customHeight="1" x14ac:dyDescent="0.2">
      <c r="A19" s="37"/>
      <c r="B19" s="48"/>
      <c r="C19" s="49">
        <v>10.58</v>
      </c>
      <c r="D19" s="54"/>
      <c r="E19" s="39"/>
      <c r="F19" s="40"/>
      <c r="G19" s="40"/>
      <c r="H19" s="44" t="str">
        <f t="shared" si="0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>
        <v>10.58</v>
      </c>
      <c r="D20" s="54"/>
      <c r="E20" s="39"/>
      <c r="F20" s="40"/>
      <c r="G20" s="40"/>
      <c r="H20" s="44" t="str">
        <f t="shared" si="0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10.58</v>
      </c>
      <c r="D21" s="54"/>
      <c r="E21" s="39"/>
      <c r="F21" s="40"/>
      <c r="G21" s="51"/>
      <c r="H21" s="44" t="str">
        <f t="shared" si="0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10.58</v>
      </c>
      <c r="D22" s="54"/>
      <c r="E22" s="39"/>
      <c r="F22" s="40"/>
      <c r="G22" s="51"/>
      <c r="H22" s="44" t="str">
        <f t="shared" si="0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>
        <v>10.58</v>
      </c>
      <c r="D23" s="54"/>
      <c r="E23" s="39"/>
      <c r="F23" s="40"/>
      <c r="G23" s="51"/>
      <c r="H23" s="44" t="str">
        <f t="shared" si="0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 t="s">
        <v>38</v>
      </c>
      <c r="C24" s="49">
        <v>4.37</v>
      </c>
      <c r="D24" s="54"/>
      <c r="E24" s="39"/>
      <c r="F24" s="40"/>
      <c r="G24" s="51"/>
      <c r="H24" s="44" t="str">
        <f t="shared" si="0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0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0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0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0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0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0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0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0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0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74"/>
      <c r="O34" s="172"/>
      <c r="P34" s="17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0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0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0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 t="s">
        <v>149</v>
      </c>
      <c r="C38" s="49">
        <v>10.58</v>
      </c>
      <c r="D38" s="58"/>
      <c r="E38" s="50"/>
      <c r="F38" s="56"/>
      <c r="G38" s="51"/>
      <c r="H38" s="44" t="str">
        <f t="shared" si="0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10.58</v>
      </c>
      <c r="D39" s="58"/>
      <c r="E39" s="50"/>
      <c r="F39" s="56"/>
      <c r="G39" s="51"/>
      <c r="H39" s="44" t="str">
        <f t="shared" si="0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10.58</v>
      </c>
      <c r="D40" s="58"/>
      <c r="E40" s="50"/>
      <c r="F40" s="56"/>
      <c r="G40" s="51"/>
      <c r="H40" s="44" t="str">
        <f t="shared" si="0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 t="s">
        <v>38</v>
      </c>
      <c r="C41" s="49">
        <v>4.37</v>
      </c>
      <c r="D41" s="58"/>
      <c r="E41" s="50"/>
      <c r="F41" s="40"/>
      <c r="G41" s="51"/>
      <c r="H41" s="44" t="str">
        <f t="shared" si="0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0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0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0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0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0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0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0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>
        <v>4.37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>
        <v>4.37</v>
      </c>
      <c r="D52" s="58"/>
      <c r="E52" s="50"/>
      <c r="F52" s="40"/>
      <c r="G52" s="40"/>
      <c r="H52" s="44" t="str">
        <f t="shared" si="0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>
        <v>4.37</v>
      </c>
      <c r="D53" s="58"/>
      <c r="E53" s="50"/>
      <c r="F53" s="40"/>
      <c r="G53" s="40"/>
      <c r="H53" s="44" t="str">
        <f t="shared" si="0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0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0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0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0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0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0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0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0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0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0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0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0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0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0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0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0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0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ref="H71:H74" si="8">IF(E71="","",((E71-E70)*C71)/1000)</f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9">IF(Q71="","",J71/((Q71-Q70)*24))</f>
        <v/>
      </c>
      <c r="S71" s="44" t="str">
        <f t="shared" ref="S71:S112" si="10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9"/>
        <v/>
      </c>
      <c r="S72" s="44" t="str">
        <f t="shared" si="10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9"/>
        <v/>
      </c>
      <c r="S73" s="44" t="str">
        <f t="shared" si="10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1">IF(F74="","",I74-H74)</f>
        <v/>
      </c>
      <c r="K74" s="44" t="str">
        <f t="shared" ref="K74:K112" si="12">IF(F74="","",K73+H74)</f>
        <v/>
      </c>
      <c r="L74" s="44" t="str">
        <f t="shared" ref="L74:L112" si="13">IF(F74="","",L73+I74)</f>
        <v/>
      </c>
      <c r="M74" s="53" t="str">
        <f t="shared" ref="M74:M112" si="14">IF(F74="","",L74-K74)</f>
        <v/>
      </c>
      <c r="N74" s="243"/>
      <c r="O74" s="244"/>
      <c r="P74" s="245"/>
      <c r="Q74" s="65"/>
      <c r="R74" s="44" t="str">
        <f t="shared" si="9"/>
        <v/>
      </c>
      <c r="S74" s="44" t="str">
        <f t="shared" si="10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1"/>
        <v/>
      </c>
      <c r="K75" s="44" t="str">
        <f>IF(F75="","",K74+H75)</f>
        <v/>
      </c>
      <c r="L75" s="44" t="str">
        <f>IF(F75="","",L74+I75)</f>
        <v/>
      </c>
      <c r="M75" s="53" t="str">
        <f t="shared" si="14"/>
        <v/>
      </c>
      <c r="N75" s="243"/>
      <c r="O75" s="244"/>
      <c r="P75" s="245"/>
      <c r="Q75" s="65"/>
      <c r="R75" s="44" t="str">
        <f t="shared" si="9"/>
        <v/>
      </c>
      <c r="S75" s="44" t="str">
        <f t="shared" si="10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5">IF(E76="","",((E76-E75)*C76)/1000)</f>
        <v/>
      </c>
      <c r="I76" s="52" t="str">
        <f t="shared" ref="I76:I112" si="16">IF(F76="","",F76-F75-G76)</f>
        <v/>
      </c>
      <c r="J76" s="44" t="str">
        <f t="shared" si="11"/>
        <v/>
      </c>
      <c r="K76" s="44" t="str">
        <f t="shared" ref="K76:K89" si="17">IF(F76="","",K75+H76)</f>
        <v/>
      </c>
      <c r="L76" s="44" t="str">
        <f t="shared" ref="L76:L89" si="18">IF(F76="","",L75+I76)</f>
        <v/>
      </c>
      <c r="M76" s="53" t="str">
        <f t="shared" si="14"/>
        <v/>
      </c>
      <c r="N76" s="169"/>
      <c r="O76" s="170"/>
      <c r="P76" s="171"/>
      <c r="Q76" s="65"/>
      <c r="R76" s="44" t="str">
        <f t="shared" si="9"/>
        <v/>
      </c>
      <c r="S76" s="44" t="str">
        <f t="shared" si="10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5"/>
        <v/>
      </c>
      <c r="I77" s="52" t="str">
        <f t="shared" si="16"/>
        <v/>
      </c>
      <c r="J77" s="44" t="str">
        <f t="shared" si="11"/>
        <v/>
      </c>
      <c r="K77" s="44" t="str">
        <f t="shared" si="17"/>
        <v/>
      </c>
      <c r="L77" s="44" t="str">
        <f t="shared" si="18"/>
        <v/>
      </c>
      <c r="M77" s="53" t="str">
        <f t="shared" si="14"/>
        <v/>
      </c>
      <c r="N77" s="169"/>
      <c r="O77" s="170"/>
      <c r="P77" s="171"/>
      <c r="Q77" s="65"/>
      <c r="R77" s="44" t="str">
        <f t="shared" si="9"/>
        <v/>
      </c>
      <c r="S77" s="44" t="str">
        <f t="shared" si="10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5"/>
        <v/>
      </c>
      <c r="I78" s="52" t="str">
        <f t="shared" si="16"/>
        <v/>
      </c>
      <c r="J78" s="44" t="str">
        <f t="shared" si="11"/>
        <v/>
      </c>
      <c r="K78" s="44" t="str">
        <f t="shared" si="17"/>
        <v/>
      </c>
      <c r="L78" s="44" t="str">
        <f t="shared" si="18"/>
        <v/>
      </c>
      <c r="M78" s="53" t="str">
        <f t="shared" si="14"/>
        <v/>
      </c>
      <c r="N78" s="169"/>
      <c r="O78" s="170"/>
      <c r="P78" s="171"/>
      <c r="Q78" s="65"/>
      <c r="R78" s="44" t="str">
        <f t="shared" si="9"/>
        <v/>
      </c>
      <c r="S78" s="44" t="str">
        <f t="shared" si="10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5"/>
        <v/>
      </c>
      <c r="I79" s="52" t="str">
        <f t="shared" si="16"/>
        <v/>
      </c>
      <c r="J79" s="44" t="str">
        <f t="shared" si="11"/>
        <v/>
      </c>
      <c r="K79" s="44" t="str">
        <f t="shared" si="17"/>
        <v/>
      </c>
      <c r="L79" s="44" t="str">
        <f t="shared" si="18"/>
        <v/>
      </c>
      <c r="M79" s="53" t="str">
        <f t="shared" si="14"/>
        <v/>
      </c>
      <c r="N79" s="169"/>
      <c r="O79" s="170"/>
      <c r="P79" s="171"/>
      <c r="Q79" s="65"/>
      <c r="R79" s="44" t="str">
        <f t="shared" si="9"/>
        <v/>
      </c>
      <c r="S79" s="44" t="str">
        <f t="shared" si="10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5"/>
        <v/>
      </c>
      <c r="I80" s="52" t="str">
        <f t="shared" si="16"/>
        <v/>
      </c>
      <c r="J80" s="44" t="str">
        <f t="shared" si="11"/>
        <v/>
      </c>
      <c r="K80" s="44" t="str">
        <f t="shared" si="17"/>
        <v/>
      </c>
      <c r="L80" s="44" t="str">
        <f t="shared" si="18"/>
        <v/>
      </c>
      <c r="M80" s="53" t="str">
        <f t="shared" si="14"/>
        <v/>
      </c>
      <c r="N80" s="243"/>
      <c r="O80" s="244"/>
      <c r="P80" s="245"/>
      <c r="Q80" s="65"/>
      <c r="R80" s="44" t="str">
        <f t="shared" si="9"/>
        <v/>
      </c>
      <c r="S80" s="44" t="str">
        <f t="shared" si="10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5"/>
        <v/>
      </c>
      <c r="I81" s="52" t="str">
        <f t="shared" si="16"/>
        <v/>
      </c>
      <c r="J81" s="44" t="str">
        <f t="shared" si="11"/>
        <v/>
      </c>
      <c r="K81" s="44" t="str">
        <f t="shared" si="17"/>
        <v/>
      </c>
      <c r="L81" s="44" t="str">
        <f t="shared" si="18"/>
        <v/>
      </c>
      <c r="M81" s="53" t="str">
        <f t="shared" si="14"/>
        <v/>
      </c>
      <c r="N81" s="243"/>
      <c r="O81" s="244"/>
      <c r="P81" s="245"/>
      <c r="Q81" s="65"/>
      <c r="R81" s="44" t="str">
        <f t="shared" si="9"/>
        <v/>
      </c>
      <c r="S81" s="44" t="str">
        <f t="shared" si="10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5"/>
        <v/>
      </c>
      <c r="I82" s="52" t="str">
        <f t="shared" si="16"/>
        <v/>
      </c>
      <c r="J82" s="44" t="str">
        <f t="shared" si="11"/>
        <v/>
      </c>
      <c r="K82" s="44" t="str">
        <f t="shared" si="17"/>
        <v/>
      </c>
      <c r="L82" s="44" t="str">
        <f t="shared" si="18"/>
        <v/>
      </c>
      <c r="M82" s="53" t="str">
        <f t="shared" si="14"/>
        <v/>
      </c>
      <c r="N82" s="243"/>
      <c r="O82" s="244"/>
      <c r="P82" s="245"/>
      <c r="Q82" s="65"/>
      <c r="R82" s="44" t="str">
        <f t="shared" si="9"/>
        <v/>
      </c>
      <c r="S82" s="44" t="str">
        <f t="shared" si="10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5"/>
        <v/>
      </c>
      <c r="I83" s="52" t="str">
        <f t="shared" si="16"/>
        <v/>
      </c>
      <c r="J83" s="44" t="str">
        <f t="shared" si="11"/>
        <v/>
      </c>
      <c r="K83" s="44" t="str">
        <f t="shared" si="17"/>
        <v/>
      </c>
      <c r="L83" s="44" t="str">
        <f t="shared" si="18"/>
        <v/>
      </c>
      <c r="M83" s="53" t="str">
        <f t="shared" si="14"/>
        <v/>
      </c>
      <c r="N83" s="243"/>
      <c r="O83" s="244"/>
      <c r="P83" s="245"/>
      <c r="Q83" s="65"/>
      <c r="R83" s="44" t="str">
        <f t="shared" si="9"/>
        <v/>
      </c>
      <c r="S83" s="44" t="str">
        <f t="shared" si="10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5"/>
        <v/>
      </c>
      <c r="I84" s="52" t="str">
        <f t="shared" si="16"/>
        <v/>
      </c>
      <c r="J84" s="44" t="str">
        <f t="shared" si="11"/>
        <v/>
      </c>
      <c r="K84" s="44" t="str">
        <f t="shared" si="17"/>
        <v/>
      </c>
      <c r="L84" s="44" t="str">
        <f t="shared" si="18"/>
        <v/>
      </c>
      <c r="M84" s="53" t="str">
        <f t="shared" si="14"/>
        <v/>
      </c>
      <c r="N84" s="243"/>
      <c r="O84" s="244"/>
      <c r="P84" s="245"/>
      <c r="Q84" s="65"/>
      <c r="R84" s="44" t="str">
        <f t="shared" si="9"/>
        <v/>
      </c>
      <c r="S84" s="44" t="str">
        <f t="shared" si="10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5"/>
        <v/>
      </c>
      <c r="I85" s="52" t="str">
        <f t="shared" si="16"/>
        <v/>
      </c>
      <c r="J85" s="44" t="str">
        <f t="shared" si="11"/>
        <v/>
      </c>
      <c r="K85" s="44" t="str">
        <f t="shared" si="17"/>
        <v/>
      </c>
      <c r="L85" s="44" t="str">
        <f t="shared" si="18"/>
        <v/>
      </c>
      <c r="M85" s="53" t="str">
        <f t="shared" si="14"/>
        <v/>
      </c>
      <c r="N85" s="243"/>
      <c r="O85" s="244"/>
      <c r="P85" s="245"/>
      <c r="Q85" s="65"/>
      <c r="R85" s="44" t="str">
        <f t="shared" si="9"/>
        <v/>
      </c>
      <c r="S85" s="44" t="str">
        <f t="shared" si="10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5"/>
        <v/>
      </c>
      <c r="I86" s="52" t="str">
        <f t="shared" si="16"/>
        <v/>
      </c>
      <c r="J86" s="44" t="str">
        <f t="shared" si="11"/>
        <v/>
      </c>
      <c r="K86" s="44" t="str">
        <f t="shared" si="17"/>
        <v/>
      </c>
      <c r="L86" s="44" t="str">
        <f t="shared" si="18"/>
        <v/>
      </c>
      <c r="M86" s="53" t="str">
        <f t="shared" si="14"/>
        <v/>
      </c>
      <c r="N86" s="243"/>
      <c r="O86" s="244"/>
      <c r="P86" s="245"/>
      <c r="Q86" s="65"/>
      <c r="R86" s="44" t="str">
        <f t="shared" si="9"/>
        <v/>
      </c>
      <c r="S86" s="44" t="str">
        <f t="shared" si="10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5"/>
        <v/>
      </c>
      <c r="I87" s="52" t="str">
        <f t="shared" si="16"/>
        <v/>
      </c>
      <c r="J87" s="44" t="str">
        <f t="shared" si="11"/>
        <v/>
      </c>
      <c r="K87" s="44" t="str">
        <f t="shared" si="17"/>
        <v/>
      </c>
      <c r="L87" s="44" t="str">
        <f t="shared" si="18"/>
        <v/>
      </c>
      <c r="M87" s="53" t="str">
        <f t="shared" si="14"/>
        <v/>
      </c>
      <c r="N87" s="243"/>
      <c r="O87" s="244"/>
      <c r="P87" s="245"/>
      <c r="Q87" s="65"/>
      <c r="R87" s="44" t="str">
        <f t="shared" si="9"/>
        <v/>
      </c>
      <c r="S87" s="44" t="str">
        <f t="shared" si="10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5"/>
        <v/>
      </c>
      <c r="I88" s="52" t="str">
        <f t="shared" si="16"/>
        <v/>
      </c>
      <c r="J88" s="44" t="str">
        <f t="shared" si="11"/>
        <v/>
      </c>
      <c r="K88" s="44" t="str">
        <f t="shared" si="17"/>
        <v/>
      </c>
      <c r="L88" s="44" t="str">
        <f t="shared" si="18"/>
        <v/>
      </c>
      <c r="M88" s="53" t="str">
        <f t="shared" si="14"/>
        <v/>
      </c>
      <c r="N88" s="246"/>
      <c r="O88" s="244"/>
      <c r="P88" s="245"/>
      <c r="Q88" s="65"/>
      <c r="R88" s="44" t="str">
        <f t="shared" si="9"/>
        <v/>
      </c>
      <c r="S88" s="44" t="str">
        <f t="shared" si="10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5"/>
        <v/>
      </c>
      <c r="I89" s="52" t="str">
        <f t="shared" si="16"/>
        <v/>
      </c>
      <c r="J89" s="44" t="str">
        <f t="shared" si="11"/>
        <v/>
      </c>
      <c r="K89" s="44" t="str">
        <f t="shared" si="17"/>
        <v/>
      </c>
      <c r="L89" s="44" t="str">
        <f t="shared" si="18"/>
        <v/>
      </c>
      <c r="M89" s="53" t="str">
        <f t="shared" si="14"/>
        <v/>
      </c>
      <c r="N89" s="243"/>
      <c r="O89" s="244"/>
      <c r="P89" s="245"/>
      <c r="Q89" s="65"/>
      <c r="R89" s="44" t="str">
        <f t="shared" si="9"/>
        <v/>
      </c>
      <c r="S89" s="44" t="str">
        <f t="shared" si="10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5"/>
        <v/>
      </c>
      <c r="I90" s="52" t="str">
        <f t="shared" si="16"/>
        <v/>
      </c>
      <c r="J90" s="44" t="str">
        <f t="shared" si="11"/>
        <v/>
      </c>
      <c r="K90" s="44" t="str">
        <f t="shared" si="12"/>
        <v/>
      </c>
      <c r="L90" s="44" t="str">
        <f t="shared" si="13"/>
        <v/>
      </c>
      <c r="M90" s="53" t="str">
        <f t="shared" si="14"/>
        <v/>
      </c>
      <c r="N90" s="243"/>
      <c r="O90" s="244"/>
      <c r="P90" s="245"/>
      <c r="Q90" s="65"/>
      <c r="R90" s="44" t="str">
        <f t="shared" si="9"/>
        <v/>
      </c>
      <c r="S90" s="44" t="str">
        <f t="shared" si="10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5"/>
        <v/>
      </c>
      <c r="I91" s="52" t="str">
        <f t="shared" si="16"/>
        <v/>
      </c>
      <c r="J91" s="44" t="str">
        <f t="shared" si="11"/>
        <v/>
      </c>
      <c r="K91" s="44" t="str">
        <f t="shared" si="12"/>
        <v/>
      </c>
      <c r="L91" s="44" t="str">
        <f t="shared" si="13"/>
        <v/>
      </c>
      <c r="M91" s="53" t="str">
        <f t="shared" si="14"/>
        <v/>
      </c>
      <c r="N91" s="243"/>
      <c r="O91" s="244"/>
      <c r="P91" s="245"/>
      <c r="Q91" s="65"/>
      <c r="R91" s="44" t="str">
        <f t="shared" si="9"/>
        <v/>
      </c>
      <c r="S91" s="44" t="str">
        <f t="shared" si="10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5"/>
        <v/>
      </c>
      <c r="I92" s="52" t="str">
        <f t="shared" si="16"/>
        <v/>
      </c>
      <c r="J92" s="44" t="str">
        <f t="shared" si="11"/>
        <v/>
      </c>
      <c r="K92" s="44" t="str">
        <f t="shared" si="12"/>
        <v/>
      </c>
      <c r="L92" s="44" t="str">
        <f t="shared" si="13"/>
        <v/>
      </c>
      <c r="M92" s="53" t="str">
        <f t="shared" si="14"/>
        <v/>
      </c>
      <c r="N92" s="243"/>
      <c r="O92" s="244"/>
      <c r="P92" s="245"/>
      <c r="Q92" s="72"/>
      <c r="R92" s="44" t="str">
        <f t="shared" si="9"/>
        <v/>
      </c>
      <c r="S92" s="44" t="str">
        <f t="shared" si="10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5"/>
        <v/>
      </c>
      <c r="I93" s="52" t="str">
        <f t="shared" si="16"/>
        <v/>
      </c>
      <c r="J93" s="44" t="str">
        <f t="shared" si="11"/>
        <v/>
      </c>
      <c r="K93" s="44" t="str">
        <f t="shared" si="12"/>
        <v/>
      </c>
      <c r="L93" s="44" t="str">
        <f t="shared" si="13"/>
        <v/>
      </c>
      <c r="M93" s="53" t="str">
        <f t="shared" si="14"/>
        <v/>
      </c>
      <c r="N93" s="243"/>
      <c r="O93" s="244"/>
      <c r="P93" s="245"/>
      <c r="Q93" s="72"/>
      <c r="R93" s="44" t="str">
        <f t="shared" si="9"/>
        <v/>
      </c>
      <c r="S93" s="44" t="str">
        <f t="shared" si="10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5"/>
        <v/>
      </c>
      <c r="I94" s="52" t="str">
        <f t="shared" si="16"/>
        <v/>
      </c>
      <c r="J94" s="44" t="str">
        <f t="shared" si="11"/>
        <v/>
      </c>
      <c r="K94" s="44" t="str">
        <f t="shared" si="12"/>
        <v/>
      </c>
      <c r="L94" s="44" t="str">
        <f t="shared" si="13"/>
        <v/>
      </c>
      <c r="M94" s="53" t="str">
        <f t="shared" si="14"/>
        <v/>
      </c>
      <c r="N94" s="243"/>
      <c r="O94" s="244"/>
      <c r="P94" s="245"/>
      <c r="Q94" s="72"/>
      <c r="R94" s="44" t="str">
        <f t="shared" si="9"/>
        <v/>
      </c>
      <c r="S94" s="44" t="str">
        <f t="shared" si="10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5"/>
        <v/>
      </c>
      <c r="I95" s="52" t="str">
        <f t="shared" si="16"/>
        <v/>
      </c>
      <c r="J95" s="44" t="str">
        <f t="shared" si="11"/>
        <v/>
      </c>
      <c r="K95" s="44" t="str">
        <f t="shared" si="12"/>
        <v/>
      </c>
      <c r="L95" s="44" t="str">
        <f t="shared" si="13"/>
        <v/>
      </c>
      <c r="M95" s="53" t="str">
        <f t="shared" si="14"/>
        <v/>
      </c>
      <c r="N95" s="243"/>
      <c r="O95" s="244"/>
      <c r="P95" s="245"/>
      <c r="Q95" s="72"/>
      <c r="R95" s="44" t="str">
        <f t="shared" si="9"/>
        <v/>
      </c>
      <c r="S95" s="44" t="str">
        <f t="shared" si="10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5"/>
        <v/>
      </c>
      <c r="I96" s="52" t="str">
        <f t="shared" si="16"/>
        <v/>
      </c>
      <c r="J96" s="44" t="str">
        <f t="shared" si="11"/>
        <v/>
      </c>
      <c r="K96" s="44" t="str">
        <f t="shared" si="12"/>
        <v/>
      </c>
      <c r="L96" s="44" t="str">
        <f t="shared" si="13"/>
        <v/>
      </c>
      <c r="M96" s="53" t="str">
        <f t="shared" si="14"/>
        <v/>
      </c>
      <c r="N96" s="243"/>
      <c r="O96" s="244"/>
      <c r="P96" s="245"/>
      <c r="Q96" s="72"/>
      <c r="R96" s="44" t="str">
        <f t="shared" si="9"/>
        <v/>
      </c>
      <c r="S96" s="44" t="str">
        <f t="shared" si="10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5"/>
        <v/>
      </c>
      <c r="I97" s="52" t="str">
        <f t="shared" si="16"/>
        <v/>
      </c>
      <c r="J97" s="44" t="str">
        <f t="shared" si="11"/>
        <v/>
      </c>
      <c r="K97" s="44" t="str">
        <f t="shared" si="12"/>
        <v/>
      </c>
      <c r="L97" s="44" t="str">
        <f t="shared" si="13"/>
        <v/>
      </c>
      <c r="M97" s="53" t="str">
        <f t="shared" si="14"/>
        <v/>
      </c>
      <c r="N97" s="243"/>
      <c r="O97" s="244"/>
      <c r="P97" s="245"/>
      <c r="Q97" s="72"/>
      <c r="R97" s="44" t="str">
        <f t="shared" si="9"/>
        <v/>
      </c>
      <c r="S97" s="44" t="str">
        <f t="shared" si="10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5"/>
        <v/>
      </c>
      <c r="I98" s="52" t="str">
        <f t="shared" si="16"/>
        <v/>
      </c>
      <c r="J98" s="44" t="str">
        <f t="shared" si="11"/>
        <v/>
      </c>
      <c r="K98" s="44" t="str">
        <f t="shared" si="12"/>
        <v/>
      </c>
      <c r="L98" s="44" t="str">
        <f t="shared" si="13"/>
        <v/>
      </c>
      <c r="M98" s="53" t="str">
        <f t="shared" si="14"/>
        <v/>
      </c>
      <c r="N98" s="243"/>
      <c r="O98" s="244"/>
      <c r="P98" s="245"/>
      <c r="Q98" s="72"/>
      <c r="R98" s="44" t="str">
        <f t="shared" si="9"/>
        <v/>
      </c>
      <c r="S98" s="44" t="str">
        <f t="shared" si="10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5"/>
        <v/>
      </c>
      <c r="I99" s="52" t="str">
        <f t="shared" si="16"/>
        <v/>
      </c>
      <c r="J99" s="44" t="str">
        <f t="shared" si="11"/>
        <v/>
      </c>
      <c r="K99" s="44" t="str">
        <f t="shared" si="12"/>
        <v/>
      </c>
      <c r="L99" s="44" t="str">
        <f t="shared" si="13"/>
        <v/>
      </c>
      <c r="M99" s="53" t="str">
        <f t="shared" si="14"/>
        <v/>
      </c>
      <c r="N99" s="243"/>
      <c r="O99" s="244"/>
      <c r="P99" s="245"/>
      <c r="Q99" s="72"/>
      <c r="R99" s="44" t="str">
        <f t="shared" si="9"/>
        <v/>
      </c>
      <c r="S99" s="44" t="str">
        <f t="shared" si="10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5"/>
        <v/>
      </c>
      <c r="I100" s="52" t="str">
        <f t="shared" si="16"/>
        <v/>
      </c>
      <c r="J100" s="44" t="str">
        <f t="shared" si="11"/>
        <v/>
      </c>
      <c r="K100" s="44" t="str">
        <f t="shared" si="12"/>
        <v/>
      </c>
      <c r="L100" s="44" t="str">
        <f t="shared" si="13"/>
        <v/>
      </c>
      <c r="M100" s="53" t="str">
        <f t="shared" si="14"/>
        <v/>
      </c>
      <c r="N100" s="243"/>
      <c r="O100" s="244"/>
      <c r="P100" s="245"/>
      <c r="Q100" s="73"/>
      <c r="R100" s="44" t="str">
        <f t="shared" si="9"/>
        <v/>
      </c>
      <c r="S100" s="44" t="str">
        <f t="shared" si="10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5"/>
        <v/>
      </c>
      <c r="I101" s="52" t="str">
        <f t="shared" si="16"/>
        <v/>
      </c>
      <c r="J101" s="44" t="str">
        <f t="shared" si="11"/>
        <v/>
      </c>
      <c r="K101" s="44" t="str">
        <f t="shared" si="12"/>
        <v/>
      </c>
      <c r="L101" s="44" t="str">
        <f t="shared" si="13"/>
        <v/>
      </c>
      <c r="M101" s="53" t="str">
        <f t="shared" si="14"/>
        <v/>
      </c>
      <c r="N101" s="243"/>
      <c r="O101" s="244"/>
      <c r="P101" s="245"/>
      <c r="Q101" s="73"/>
      <c r="R101" s="44" t="str">
        <f t="shared" si="9"/>
        <v/>
      </c>
      <c r="S101" s="44" t="str">
        <f t="shared" si="10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5"/>
        <v/>
      </c>
      <c r="I102" s="52" t="str">
        <f t="shared" si="16"/>
        <v/>
      </c>
      <c r="J102" s="44" t="str">
        <f t="shared" si="11"/>
        <v/>
      </c>
      <c r="K102" s="44" t="str">
        <f t="shared" si="12"/>
        <v/>
      </c>
      <c r="L102" s="44" t="str">
        <f t="shared" si="13"/>
        <v/>
      </c>
      <c r="M102" s="53" t="str">
        <f t="shared" si="14"/>
        <v/>
      </c>
      <c r="N102" s="243"/>
      <c r="O102" s="244"/>
      <c r="P102" s="245"/>
      <c r="Q102" s="73"/>
      <c r="R102" s="44" t="str">
        <f t="shared" si="9"/>
        <v/>
      </c>
      <c r="S102" s="44" t="str">
        <f t="shared" si="10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5"/>
        <v/>
      </c>
      <c r="I103" s="52" t="str">
        <f t="shared" si="16"/>
        <v/>
      </c>
      <c r="J103" s="44" t="str">
        <f t="shared" si="11"/>
        <v/>
      </c>
      <c r="K103" s="44" t="str">
        <f t="shared" si="12"/>
        <v/>
      </c>
      <c r="L103" s="44" t="str">
        <f t="shared" si="13"/>
        <v/>
      </c>
      <c r="M103" s="53" t="str">
        <f t="shared" si="14"/>
        <v/>
      </c>
      <c r="N103" s="243"/>
      <c r="O103" s="244"/>
      <c r="P103" s="245"/>
      <c r="Q103" s="73"/>
      <c r="R103" s="44" t="str">
        <f t="shared" si="9"/>
        <v/>
      </c>
      <c r="S103" s="44" t="str">
        <f t="shared" si="10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5"/>
        <v/>
      </c>
      <c r="I104" s="52" t="str">
        <f t="shared" si="16"/>
        <v/>
      </c>
      <c r="J104" s="44" t="str">
        <f t="shared" si="11"/>
        <v/>
      </c>
      <c r="K104" s="44" t="str">
        <f t="shared" si="12"/>
        <v/>
      </c>
      <c r="L104" s="44" t="str">
        <f t="shared" si="13"/>
        <v/>
      </c>
      <c r="M104" s="53" t="str">
        <f t="shared" si="14"/>
        <v/>
      </c>
      <c r="N104" s="243"/>
      <c r="O104" s="244"/>
      <c r="P104" s="245"/>
      <c r="Q104" s="73"/>
      <c r="R104" s="44" t="str">
        <f t="shared" si="9"/>
        <v/>
      </c>
      <c r="S104" s="44" t="str">
        <f t="shared" si="10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5"/>
        <v/>
      </c>
      <c r="I105" s="52" t="str">
        <f t="shared" si="16"/>
        <v/>
      </c>
      <c r="J105" s="44" t="str">
        <f t="shared" si="11"/>
        <v/>
      </c>
      <c r="K105" s="44" t="str">
        <f t="shared" si="12"/>
        <v/>
      </c>
      <c r="L105" s="44" t="str">
        <f t="shared" si="13"/>
        <v/>
      </c>
      <c r="M105" s="53" t="str">
        <f t="shared" si="14"/>
        <v/>
      </c>
      <c r="N105" s="243"/>
      <c r="O105" s="244"/>
      <c r="P105" s="245"/>
      <c r="Q105" s="73"/>
      <c r="R105" s="44" t="str">
        <f t="shared" si="9"/>
        <v/>
      </c>
      <c r="S105" s="44" t="str">
        <f t="shared" si="10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5"/>
        <v/>
      </c>
      <c r="I106" s="52" t="str">
        <f t="shared" si="16"/>
        <v/>
      </c>
      <c r="J106" s="44" t="str">
        <f t="shared" si="11"/>
        <v/>
      </c>
      <c r="K106" s="44" t="str">
        <f t="shared" si="12"/>
        <v/>
      </c>
      <c r="L106" s="44" t="str">
        <f t="shared" si="13"/>
        <v/>
      </c>
      <c r="M106" s="53" t="str">
        <f t="shared" si="14"/>
        <v/>
      </c>
      <c r="N106" s="243"/>
      <c r="O106" s="244"/>
      <c r="P106" s="245"/>
      <c r="Q106" s="73"/>
      <c r="R106" s="44" t="str">
        <f t="shared" si="9"/>
        <v/>
      </c>
      <c r="S106" s="44" t="str">
        <f t="shared" si="10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5"/>
        <v/>
      </c>
      <c r="I107" s="52" t="str">
        <f t="shared" si="16"/>
        <v/>
      </c>
      <c r="J107" s="44" t="str">
        <f t="shared" si="11"/>
        <v/>
      </c>
      <c r="K107" s="44" t="str">
        <f t="shared" si="12"/>
        <v/>
      </c>
      <c r="L107" s="44" t="str">
        <f t="shared" si="13"/>
        <v/>
      </c>
      <c r="M107" s="53" t="str">
        <f t="shared" si="14"/>
        <v/>
      </c>
      <c r="N107" s="243"/>
      <c r="O107" s="244"/>
      <c r="P107" s="245"/>
      <c r="Q107" s="73"/>
      <c r="R107" s="44" t="str">
        <f t="shared" si="9"/>
        <v/>
      </c>
      <c r="S107" s="44" t="str">
        <f t="shared" si="10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5"/>
        <v/>
      </c>
      <c r="I108" s="52" t="str">
        <f t="shared" si="16"/>
        <v/>
      </c>
      <c r="J108" s="44" t="str">
        <f t="shared" si="11"/>
        <v/>
      </c>
      <c r="K108" s="44" t="str">
        <f t="shared" si="12"/>
        <v/>
      </c>
      <c r="L108" s="44" t="str">
        <f t="shared" si="13"/>
        <v/>
      </c>
      <c r="M108" s="53" t="str">
        <f t="shared" si="14"/>
        <v/>
      </c>
      <c r="N108" s="243"/>
      <c r="O108" s="244"/>
      <c r="P108" s="245"/>
      <c r="Q108" s="73"/>
      <c r="R108" s="44" t="str">
        <f t="shared" si="9"/>
        <v/>
      </c>
      <c r="S108" s="44" t="str">
        <f t="shared" si="10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5"/>
        <v/>
      </c>
      <c r="I109" s="52" t="str">
        <f t="shared" si="16"/>
        <v/>
      </c>
      <c r="J109" s="44" t="str">
        <f t="shared" si="11"/>
        <v/>
      </c>
      <c r="K109" s="44" t="str">
        <f t="shared" si="12"/>
        <v/>
      </c>
      <c r="L109" s="44" t="str">
        <f t="shared" si="13"/>
        <v/>
      </c>
      <c r="M109" s="53" t="str">
        <f t="shared" si="14"/>
        <v/>
      </c>
      <c r="N109" s="243"/>
      <c r="O109" s="244"/>
      <c r="P109" s="245"/>
      <c r="Q109" s="73"/>
      <c r="R109" s="44" t="str">
        <f t="shared" si="9"/>
        <v/>
      </c>
      <c r="S109" s="44" t="str">
        <f t="shared" si="10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5"/>
        <v/>
      </c>
      <c r="I110" s="52" t="str">
        <f t="shared" si="16"/>
        <v/>
      </c>
      <c r="J110" s="44" t="str">
        <f t="shared" si="11"/>
        <v/>
      </c>
      <c r="K110" s="44" t="str">
        <f t="shared" si="12"/>
        <v/>
      </c>
      <c r="L110" s="44" t="str">
        <f t="shared" si="13"/>
        <v/>
      </c>
      <c r="M110" s="53" t="str">
        <f t="shared" si="14"/>
        <v/>
      </c>
      <c r="N110" s="243"/>
      <c r="O110" s="244"/>
      <c r="P110" s="245"/>
      <c r="Q110" s="73"/>
      <c r="R110" s="44" t="str">
        <f t="shared" si="9"/>
        <v/>
      </c>
      <c r="S110" s="44" t="str">
        <f t="shared" si="10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5"/>
        <v/>
      </c>
      <c r="I111" s="52" t="str">
        <f t="shared" si="16"/>
        <v/>
      </c>
      <c r="J111" s="44" t="str">
        <f t="shared" si="11"/>
        <v/>
      </c>
      <c r="K111" s="44" t="str">
        <f t="shared" si="12"/>
        <v/>
      </c>
      <c r="L111" s="44" t="str">
        <f t="shared" si="13"/>
        <v/>
      </c>
      <c r="M111" s="53" t="str">
        <f t="shared" si="14"/>
        <v/>
      </c>
      <c r="N111" s="243"/>
      <c r="O111" s="244"/>
      <c r="P111" s="245"/>
      <c r="Q111" s="73"/>
      <c r="R111" s="44" t="str">
        <f t="shared" si="9"/>
        <v/>
      </c>
      <c r="S111" s="44" t="str">
        <f t="shared" si="10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5"/>
        <v/>
      </c>
      <c r="I112" s="52" t="str">
        <f t="shared" si="16"/>
        <v/>
      </c>
      <c r="J112" s="44" t="str">
        <f t="shared" si="11"/>
        <v/>
      </c>
      <c r="K112" s="44" t="str">
        <f t="shared" si="12"/>
        <v/>
      </c>
      <c r="L112" s="44" t="str">
        <f t="shared" si="13"/>
        <v/>
      </c>
      <c r="M112" s="53" t="str">
        <f t="shared" si="14"/>
        <v/>
      </c>
      <c r="N112" s="243"/>
      <c r="O112" s="244"/>
      <c r="P112" s="245"/>
      <c r="Q112" s="73"/>
      <c r="R112" s="44" t="str">
        <f t="shared" si="9"/>
        <v/>
      </c>
      <c r="S112" s="44" t="str">
        <f t="shared" si="10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U112"/>
  <sheetViews>
    <sheetView zoomScaleNormal="100" workbookViewId="0">
      <selection activeCell="N15" sqref="N15:P1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0</v>
      </c>
      <c r="F6" s="40">
        <v>8.31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44612.720833333333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6</v>
      </c>
      <c r="E7" s="39">
        <v>192</v>
      </c>
      <c r="F7" s="40">
        <v>8.75</v>
      </c>
      <c r="G7" s="51"/>
      <c r="H7" s="44">
        <f t="shared" ref="H7:H13" si="0">IF(E7="","",((E7-E6)*C7)/1000)</f>
        <v>0.83904000000000001</v>
      </c>
      <c r="I7" s="52">
        <f>IF(F7="","",F7-F6-G7)</f>
        <v>0.4399999999999995</v>
      </c>
      <c r="J7" s="44">
        <f>IF(F7="","",I7-H7)</f>
        <v>-0.39904000000000051</v>
      </c>
      <c r="K7" s="44">
        <f>IF(F7="","",K6+H7)</f>
        <v>0.83904000000000001</v>
      </c>
      <c r="L7" s="44">
        <f>IF(F7="","",L6+I7)</f>
        <v>0.4399999999999995</v>
      </c>
      <c r="M7" s="53">
        <f>IF(F7="","",L7-K7)</f>
        <v>-0.39904000000000051</v>
      </c>
      <c r="N7" s="231"/>
      <c r="O7" s="229"/>
      <c r="P7" s="230"/>
      <c r="Q7" s="47">
        <v>44612.757638888892</v>
      </c>
      <c r="R7" s="44">
        <f t="shared" ref="R7:R70" si="1">IF(Q7="","",J7/((Q7-Q6)*24))</f>
        <v>-0.45174339618275616</v>
      </c>
      <c r="S7" s="44">
        <f t="shared" ref="S7:S70" si="2">IF(Q7="","",M7/((Q7-$Q$6)*24))</f>
        <v>-0.45174339618275616</v>
      </c>
    </row>
    <row r="8" spans="1:20" ht="12" customHeight="1" x14ac:dyDescent="0.2">
      <c r="A8" s="37"/>
      <c r="B8" s="48"/>
      <c r="C8" s="49">
        <v>4.37</v>
      </c>
      <c r="D8" s="54"/>
      <c r="E8" s="39">
        <v>272</v>
      </c>
      <c r="F8" s="40">
        <v>127.16</v>
      </c>
      <c r="G8" s="51"/>
      <c r="H8" s="44">
        <f t="shared" si="0"/>
        <v>0.34960000000000002</v>
      </c>
      <c r="I8" s="52">
        <f>IF(F8="","",F8-F7-G8)</f>
        <v>118.41</v>
      </c>
      <c r="J8" s="44">
        <f>IF(F8="","",I8-H8)</f>
        <v>118.0604</v>
      </c>
      <c r="K8" s="44">
        <f>IF(F8="","",K7+H8)</f>
        <v>1.1886399999999999</v>
      </c>
      <c r="L8" s="44">
        <f>IF(F8="","",L7+I8)</f>
        <v>118.85</v>
      </c>
      <c r="M8" s="53">
        <f>IF(F8="","",L8-K8)</f>
        <v>117.66135999999999</v>
      </c>
      <c r="N8" s="231"/>
      <c r="O8" s="229"/>
      <c r="P8" s="230"/>
      <c r="Q8" s="47">
        <v>44613.011805555558</v>
      </c>
      <c r="R8" s="44">
        <f t="shared" si="1"/>
        <v>19.354163934500104</v>
      </c>
      <c r="S8" s="44">
        <f t="shared" si="2"/>
        <v>16.848882100088861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112</v>
      </c>
      <c r="F9" s="40">
        <v>126.37</v>
      </c>
      <c r="G9" s="51"/>
      <c r="H9" s="44">
        <f t="shared" si="0"/>
        <v>-0.69920000000000004</v>
      </c>
      <c r="I9" s="52">
        <f>IF(F9="","",F9-F8-G9)</f>
        <v>-0.78999999999999204</v>
      </c>
      <c r="J9" s="44">
        <f>IF(F9="","",I9-H9)</f>
        <v>-9.0799999999991998E-2</v>
      </c>
      <c r="K9" s="44">
        <f>IF(F9="","",K8+H9)</f>
        <v>0.48943999999999988</v>
      </c>
      <c r="L9" s="44">
        <f>IF(F9="","",L8+I9)</f>
        <v>118.06</v>
      </c>
      <c r="M9" s="53">
        <f>IF(F9="","",L9-K9)</f>
        <v>117.57056</v>
      </c>
      <c r="N9" s="228"/>
      <c r="O9" s="229"/>
      <c r="P9" s="230"/>
      <c r="Q9" s="47">
        <v>44613.019444444442</v>
      </c>
      <c r="R9" s="44">
        <f t="shared" si="1"/>
        <v>-0.49527272754524559</v>
      </c>
      <c r="S9" s="44">
        <f t="shared" si="2"/>
        <v>16.40519441869348</v>
      </c>
    </row>
    <row r="10" spans="1:20" ht="12" customHeight="1" x14ac:dyDescent="0.2">
      <c r="A10" s="37"/>
      <c r="B10" s="48"/>
      <c r="C10" s="49">
        <v>4.37</v>
      </c>
      <c r="D10" s="54"/>
      <c r="E10" s="39"/>
      <c r="F10" s="40"/>
      <c r="G10" s="51"/>
      <c r="H10" s="44" t="str">
        <f t="shared" si="0"/>
        <v/>
      </c>
      <c r="I10" s="52" t="str">
        <f>IF(F10="","",F10-F9-G10)</f>
        <v/>
      </c>
      <c r="J10" s="44" t="str">
        <f t="shared" ref="J10:J73" si="3">IF(F10="","",I10-H10)</f>
        <v/>
      </c>
      <c r="K10" s="44" t="str">
        <f t="shared" ref="K10:K73" si="4">IF(F10="","",K9+H10)</f>
        <v/>
      </c>
      <c r="L10" s="44" t="str">
        <f t="shared" ref="L10:L73" si="5">IF(F10="","",L9+I10)</f>
        <v/>
      </c>
      <c r="M10" s="53" t="str">
        <f t="shared" ref="M10:M73" si="6">IF(F10="","",L10-K10)</f>
        <v/>
      </c>
      <c r="N10" s="228"/>
      <c r="O10" s="229"/>
      <c r="P10" s="230"/>
      <c r="Q10" s="47"/>
      <c r="R10" s="44" t="str">
        <f t="shared" si="1"/>
        <v/>
      </c>
      <c r="S10" s="44" t="str">
        <f t="shared" si="2"/>
        <v/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/>
      <c r="F11" s="40"/>
      <c r="G11" s="51"/>
      <c r="H11" s="44" t="str">
        <f t="shared" si="0"/>
        <v/>
      </c>
      <c r="I11" s="52" t="str">
        <f t="shared" ref="I11:I74" si="7">IF(F11="","",F11-F10-G11)</f>
        <v/>
      </c>
      <c r="J11" s="44" t="str">
        <f t="shared" si="3"/>
        <v/>
      </c>
      <c r="K11" s="44" t="str">
        <f t="shared" si="4"/>
        <v/>
      </c>
      <c r="L11" s="44" t="str">
        <f t="shared" si="5"/>
        <v/>
      </c>
      <c r="M11" s="53" t="str">
        <f t="shared" si="6"/>
        <v/>
      </c>
      <c r="N11" s="228"/>
      <c r="O11" s="229"/>
      <c r="P11" s="230"/>
      <c r="Q11" s="47"/>
      <c r="R11" s="44" t="str">
        <f t="shared" si="1"/>
        <v/>
      </c>
      <c r="S11" s="44" t="str">
        <f t="shared" si="2"/>
        <v/>
      </c>
    </row>
    <row r="12" spans="1:20" ht="12" customHeight="1" x14ac:dyDescent="0.2">
      <c r="A12" s="37"/>
      <c r="B12" s="48"/>
      <c r="C12" s="49">
        <v>4.37</v>
      </c>
      <c r="D12" s="54"/>
      <c r="E12" s="39"/>
      <c r="F12" s="56"/>
      <c r="G12" s="51"/>
      <c r="H12" s="44" t="str">
        <f t="shared" si="0"/>
        <v/>
      </c>
      <c r="I12" s="52" t="str">
        <f t="shared" si="7"/>
        <v/>
      </c>
      <c r="J12" s="44" t="str">
        <f t="shared" si="3"/>
        <v/>
      </c>
      <c r="K12" s="44" t="str">
        <f t="shared" si="4"/>
        <v/>
      </c>
      <c r="L12" s="44" t="str">
        <f t="shared" si="5"/>
        <v/>
      </c>
      <c r="M12" s="53" t="str">
        <f t="shared" si="6"/>
        <v/>
      </c>
      <c r="N12" s="228"/>
      <c r="O12" s="229"/>
      <c r="P12" s="230"/>
      <c r="Q12" s="47"/>
      <c r="R12" s="44" t="str">
        <f t="shared" si="1"/>
        <v/>
      </c>
      <c r="S12" s="44" t="str">
        <f t="shared" si="2"/>
        <v/>
      </c>
    </row>
    <row r="13" spans="1:20" ht="12" customHeight="1" x14ac:dyDescent="0.2">
      <c r="A13" s="37"/>
      <c r="B13" s="48"/>
      <c r="C13" s="49">
        <v>4.37</v>
      </c>
      <c r="D13" s="54"/>
      <c r="E13" s="39"/>
      <c r="F13" s="40"/>
      <c r="G13" s="51"/>
      <c r="H13" s="44" t="str">
        <f t="shared" si="0"/>
        <v/>
      </c>
      <c r="I13" s="52" t="str">
        <f t="shared" si="7"/>
        <v/>
      </c>
      <c r="J13" s="44" t="str">
        <f t="shared" si="3"/>
        <v/>
      </c>
      <c r="K13" s="44" t="str">
        <f t="shared" si="4"/>
        <v/>
      </c>
      <c r="L13" s="44" t="str">
        <f t="shared" si="5"/>
        <v/>
      </c>
      <c r="M13" s="53" t="str">
        <f t="shared" si="6"/>
        <v/>
      </c>
      <c r="N13" s="231"/>
      <c r="O13" s="229"/>
      <c r="P13" s="230"/>
      <c r="Q13" s="47"/>
      <c r="R13" s="44" t="str">
        <f t="shared" si="1"/>
        <v/>
      </c>
      <c r="S13" s="44" t="str">
        <f t="shared" si="2"/>
        <v/>
      </c>
    </row>
    <row r="14" spans="1:20" ht="12" customHeight="1" x14ac:dyDescent="0.2">
      <c r="A14" s="37"/>
      <c r="B14" s="48"/>
      <c r="C14" s="49">
        <v>4.37</v>
      </c>
      <c r="D14" s="54"/>
      <c r="E14" s="39"/>
      <c r="F14" s="40"/>
      <c r="G14" s="51"/>
      <c r="H14" s="44" t="str">
        <f t="shared" ref="H14:H74" si="8">IF(E14="","",((E14-E13)*C14)/1000)</f>
        <v/>
      </c>
      <c r="I14" s="52" t="str">
        <f t="shared" si="7"/>
        <v/>
      </c>
      <c r="J14" s="44" t="str">
        <f t="shared" si="3"/>
        <v/>
      </c>
      <c r="K14" s="44" t="str">
        <f t="shared" si="4"/>
        <v/>
      </c>
      <c r="L14" s="44" t="str">
        <f t="shared" si="5"/>
        <v/>
      </c>
      <c r="M14" s="53" t="str">
        <f t="shared" si="6"/>
        <v/>
      </c>
      <c r="N14" s="231"/>
      <c r="O14" s="229"/>
      <c r="P14" s="230"/>
      <c r="Q14" s="47"/>
      <c r="R14" s="44" t="str">
        <f t="shared" si="1"/>
        <v/>
      </c>
      <c r="S14" s="44" t="str">
        <f t="shared" si="2"/>
        <v/>
      </c>
    </row>
    <row r="15" spans="1:20" ht="12" customHeight="1" x14ac:dyDescent="0.2">
      <c r="A15" s="37"/>
      <c r="B15" s="48"/>
      <c r="C15" s="49">
        <v>4.37</v>
      </c>
      <c r="D15" s="54"/>
      <c r="E15" s="39"/>
      <c r="F15" s="40"/>
      <c r="G15" s="51"/>
      <c r="H15" s="44" t="str">
        <f t="shared" si="8"/>
        <v/>
      </c>
      <c r="I15" s="52" t="str">
        <f t="shared" si="7"/>
        <v/>
      </c>
      <c r="J15" s="44" t="str">
        <f t="shared" si="3"/>
        <v/>
      </c>
      <c r="K15" s="44" t="str">
        <f t="shared" si="4"/>
        <v/>
      </c>
      <c r="L15" s="44" t="str">
        <f t="shared" si="5"/>
        <v/>
      </c>
      <c r="M15" s="53" t="str">
        <f t="shared" si="6"/>
        <v/>
      </c>
      <c r="N15" s="231"/>
      <c r="O15" s="229"/>
      <c r="P15" s="230"/>
      <c r="Q15" s="47"/>
      <c r="R15" s="44" t="str">
        <f t="shared" si="1"/>
        <v/>
      </c>
      <c r="S15" s="44" t="str">
        <f t="shared" si="2"/>
        <v/>
      </c>
    </row>
    <row r="16" spans="1:20" ht="12" customHeight="1" x14ac:dyDescent="0.2">
      <c r="A16" s="37"/>
      <c r="B16" s="48"/>
      <c r="C16" s="49">
        <v>4.37</v>
      </c>
      <c r="D16" s="57"/>
      <c r="E16" s="39"/>
      <c r="F16" s="40"/>
      <c r="G16" s="51"/>
      <c r="H16" s="44" t="str">
        <f t="shared" si="8"/>
        <v/>
      </c>
      <c r="I16" s="52" t="str">
        <f t="shared" si="7"/>
        <v/>
      </c>
      <c r="J16" s="44" t="str">
        <f t="shared" si="3"/>
        <v/>
      </c>
      <c r="K16" s="44" t="str">
        <f t="shared" si="4"/>
        <v/>
      </c>
      <c r="L16" s="44" t="str">
        <f t="shared" si="5"/>
        <v/>
      </c>
      <c r="M16" s="53" t="str">
        <f t="shared" si="6"/>
        <v/>
      </c>
      <c r="N16" s="228"/>
      <c r="O16" s="229"/>
      <c r="P16" s="230"/>
      <c r="Q16" s="47"/>
      <c r="R16" s="44" t="str">
        <f t="shared" si="1"/>
        <v/>
      </c>
      <c r="S16" s="44" t="str">
        <f t="shared" si="2"/>
        <v/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/>
      <c r="F17" s="40"/>
      <c r="G17" s="51"/>
      <c r="H17" s="44" t="str">
        <f t="shared" ref="H17:H22" si="9">IF(E17="","",((E17-E16)*C17)/1000)</f>
        <v/>
      </c>
      <c r="I17" s="52" t="str">
        <f t="shared" si="7"/>
        <v/>
      </c>
      <c r="J17" s="44" t="str">
        <f t="shared" si="3"/>
        <v/>
      </c>
      <c r="K17" s="44" t="str">
        <f t="shared" si="4"/>
        <v/>
      </c>
      <c r="L17" s="44" t="str">
        <f t="shared" si="5"/>
        <v/>
      </c>
      <c r="M17" s="53" t="str">
        <f t="shared" si="6"/>
        <v/>
      </c>
      <c r="N17" s="231"/>
      <c r="O17" s="229"/>
      <c r="P17" s="230"/>
      <c r="Q17" s="47"/>
      <c r="R17" s="44" t="str">
        <f t="shared" si="1"/>
        <v/>
      </c>
      <c r="S17" s="44" t="str">
        <f t="shared" si="2"/>
        <v/>
      </c>
    </row>
    <row r="18" spans="1:19" ht="12" customHeight="1" x14ac:dyDescent="0.2">
      <c r="A18" s="37"/>
      <c r="B18" s="48"/>
      <c r="C18" s="49">
        <v>4.37</v>
      </c>
      <c r="D18" s="54"/>
      <c r="E18" s="39"/>
      <c r="F18" s="40"/>
      <c r="G18" s="40"/>
      <c r="H18" s="44" t="str">
        <f t="shared" si="9"/>
        <v/>
      </c>
      <c r="I18" s="52" t="str">
        <f t="shared" si="7"/>
        <v/>
      </c>
      <c r="J18" s="44" t="str">
        <f t="shared" si="3"/>
        <v/>
      </c>
      <c r="K18" s="44" t="str">
        <f t="shared" si="4"/>
        <v/>
      </c>
      <c r="L18" s="44" t="str">
        <f t="shared" si="5"/>
        <v/>
      </c>
      <c r="M18" s="53" t="str">
        <f t="shared" si="6"/>
        <v/>
      </c>
      <c r="N18" s="228"/>
      <c r="O18" s="229"/>
      <c r="P18" s="230"/>
      <c r="Q18" s="47"/>
      <c r="R18" s="44" t="str">
        <f t="shared" si="1"/>
        <v/>
      </c>
      <c r="S18" s="44" t="str">
        <f t="shared" si="2"/>
        <v/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9"/>
        <v/>
      </c>
      <c r="I19" s="52" t="str">
        <f t="shared" si="7"/>
        <v/>
      </c>
      <c r="J19" s="44" t="str">
        <f t="shared" si="3"/>
        <v/>
      </c>
      <c r="K19" s="44" t="str">
        <f t="shared" si="4"/>
        <v/>
      </c>
      <c r="L19" s="44" t="str">
        <f t="shared" si="5"/>
        <v/>
      </c>
      <c r="M19" s="53" t="str">
        <f t="shared" si="6"/>
        <v/>
      </c>
      <c r="N19" s="228"/>
      <c r="O19" s="229"/>
      <c r="P19" s="230"/>
      <c r="Q19" s="47"/>
      <c r="R19" s="44" t="str">
        <f t="shared" si="1"/>
        <v/>
      </c>
      <c r="S19" s="44" t="str">
        <f t="shared" si="2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9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9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9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8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8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8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8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8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8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8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8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8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8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8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64"/>
      <c r="O34" s="162"/>
      <c r="P34" s="16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8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8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8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 t="s">
        <v>149</v>
      </c>
      <c r="C38" s="49">
        <v>10.58</v>
      </c>
      <c r="D38" s="58"/>
      <c r="E38" s="50"/>
      <c r="F38" s="56"/>
      <c r="G38" s="51"/>
      <c r="H38" s="44" t="str">
        <f t="shared" si="8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10.58</v>
      </c>
      <c r="D39" s="58"/>
      <c r="E39" s="50"/>
      <c r="F39" s="56"/>
      <c r="G39" s="51"/>
      <c r="H39" s="44" t="str">
        <f t="shared" si="8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10.58</v>
      </c>
      <c r="D40" s="58"/>
      <c r="E40" s="50"/>
      <c r="F40" s="56"/>
      <c r="G40" s="51"/>
      <c r="H40" s="44" t="str">
        <f t="shared" si="8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 t="s">
        <v>38</v>
      </c>
      <c r="C41" s="49">
        <v>4.37</v>
      </c>
      <c r="D41" s="58"/>
      <c r="E41" s="50"/>
      <c r="F41" s="40"/>
      <c r="G41" s="51"/>
      <c r="H41" s="44" t="str">
        <f t="shared" si="8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8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8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8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8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8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8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>
        <v>4.37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>
        <v>4.37</v>
      </c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>
        <v>4.37</v>
      </c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112"/>
  <sheetViews>
    <sheetView zoomScaleNormal="100" workbookViewId="0">
      <selection activeCell="E34" sqref="E3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2348</v>
      </c>
      <c r="F6" s="40">
        <v>109.3</v>
      </c>
      <c r="G6" s="41"/>
      <c r="H6" s="42"/>
      <c r="I6" s="43"/>
      <c r="J6" s="42"/>
      <c r="K6" s="44"/>
      <c r="L6" s="45"/>
      <c r="M6" s="46">
        <v>0</v>
      </c>
      <c r="N6" s="239" t="s">
        <v>150</v>
      </c>
      <c r="O6" s="240"/>
      <c r="P6" s="241"/>
      <c r="Q6" s="47">
        <v>44612.395833333336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2349</v>
      </c>
      <c r="F7" s="40">
        <v>107.92</v>
      </c>
      <c r="G7" s="51"/>
      <c r="H7" s="44">
        <f t="shared" ref="H7:H13" si="0">IF(E7="","",((E7-E6)*C7)/1000)</f>
        <v>4.3699999999999998E-3</v>
      </c>
      <c r="I7" s="52">
        <f>IF(F7="","",F7-F6-G7)</f>
        <v>-1.3799999999999955</v>
      </c>
      <c r="J7" s="44">
        <f>IF(F7="","",I7-H7)</f>
        <v>-1.3843699999999954</v>
      </c>
      <c r="K7" s="44">
        <f>IF(F7="","",K6+H7)</f>
        <v>4.3699999999999998E-3</v>
      </c>
      <c r="L7" s="44">
        <f>IF(F7="","",L6+I7)</f>
        <v>-1.3799999999999955</v>
      </c>
      <c r="M7" s="53">
        <f>IF(F7="","",L7-K7)</f>
        <v>-1.3843699999999954</v>
      </c>
      <c r="N7" s="231"/>
      <c r="O7" s="229"/>
      <c r="P7" s="230"/>
      <c r="Q7" s="47">
        <v>44612.416666666664</v>
      </c>
      <c r="R7" s="44">
        <f t="shared" ref="R7:R70" si="1">IF(Q7="","",J7/((Q7-Q6)*24))</f>
        <v>-2.7687400006446383</v>
      </c>
      <c r="S7" s="44">
        <f t="shared" ref="S7:S70" si="2">IF(Q7="","",M7/((Q7-$Q$6)*24))</f>
        <v>-2.7687400006446383</v>
      </c>
    </row>
    <row r="8" spans="1:20" ht="12" customHeight="1" x14ac:dyDescent="0.2">
      <c r="A8" s="37"/>
      <c r="B8" s="48"/>
      <c r="C8" s="49">
        <v>4.37</v>
      </c>
      <c r="D8" s="54"/>
      <c r="E8" s="39">
        <v>2349</v>
      </c>
      <c r="F8" s="40">
        <v>104.55</v>
      </c>
      <c r="G8" s="51"/>
      <c r="H8" s="44">
        <f t="shared" si="0"/>
        <v>0</v>
      </c>
      <c r="I8" s="52">
        <f>IF(F8="","",F8-F7-G8)</f>
        <v>-3.3700000000000045</v>
      </c>
      <c r="J8" s="44">
        <f>IF(F8="","",I8-H8)</f>
        <v>-3.3700000000000045</v>
      </c>
      <c r="K8" s="44">
        <f>IF(F8="","",K7+H8)</f>
        <v>4.3699999999999998E-3</v>
      </c>
      <c r="L8" s="44">
        <f>IF(F8="","",L7+I8)</f>
        <v>-4.75</v>
      </c>
      <c r="M8" s="53">
        <f>IF(F8="","",L8-K8)</f>
        <v>-4.7543699999999998</v>
      </c>
      <c r="N8" s="231"/>
      <c r="O8" s="229"/>
      <c r="P8" s="230"/>
      <c r="Q8" s="47">
        <v>44612.4375</v>
      </c>
      <c r="R8" s="44">
        <f t="shared" si="1"/>
        <v>-6.7399999992153701</v>
      </c>
      <c r="S8" s="44">
        <f t="shared" si="2"/>
        <v>-4.7543700002767402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2345</v>
      </c>
      <c r="F9" s="40">
        <v>99.7</v>
      </c>
      <c r="G9" s="51"/>
      <c r="H9" s="44">
        <f t="shared" si="0"/>
        <v>-1.7479999999999999E-2</v>
      </c>
      <c r="I9" s="52">
        <f>IF(F9="","",F9-F8-G9)</f>
        <v>-4.8499999999999943</v>
      </c>
      <c r="J9" s="44">
        <f>IF(F9="","",I9-H9)</f>
        <v>-4.8325199999999944</v>
      </c>
      <c r="K9" s="44">
        <f>IF(F9="","",K8+H9)</f>
        <v>-1.311E-2</v>
      </c>
      <c r="L9" s="44">
        <f>IF(F9="","",L8+I9)</f>
        <v>-9.5999999999999943</v>
      </c>
      <c r="M9" s="53">
        <f>IF(F9="","",L9-K9)</f>
        <v>-9.586889999999995</v>
      </c>
      <c r="N9" s="228"/>
      <c r="O9" s="229"/>
      <c r="P9" s="230"/>
      <c r="Q9" s="47">
        <v>44612.458333333336</v>
      </c>
      <c r="R9" s="44">
        <f t="shared" si="1"/>
        <v>-9.6650399988748301</v>
      </c>
      <c r="S9" s="44">
        <f t="shared" si="2"/>
        <v>-6.3912599999999964</v>
      </c>
    </row>
    <row r="10" spans="1:20" ht="12" customHeight="1" x14ac:dyDescent="0.2">
      <c r="A10" s="37"/>
      <c r="B10" s="48"/>
      <c r="C10" s="49">
        <v>4.37</v>
      </c>
      <c r="D10" s="54"/>
      <c r="E10" s="39">
        <v>2333</v>
      </c>
      <c r="F10" s="40">
        <v>5.33</v>
      </c>
      <c r="G10" s="51"/>
      <c r="H10" s="44">
        <f t="shared" si="0"/>
        <v>-5.2440000000000001E-2</v>
      </c>
      <c r="I10" s="52">
        <f>IF(F10="","",F10-F9-G10)</f>
        <v>-94.37</v>
      </c>
      <c r="J10" s="44">
        <f t="shared" ref="J10:J73" si="3">IF(F10="","",I10-H10)</f>
        <v>-94.31756</v>
      </c>
      <c r="K10" s="44">
        <f t="shared" ref="K10:K73" si="4">IF(F10="","",K9+H10)</f>
        <v>-6.5549999999999997E-2</v>
      </c>
      <c r="L10" s="44">
        <f t="shared" ref="L10:L73" si="5">IF(F10="","",L9+I10)</f>
        <v>-103.97</v>
      </c>
      <c r="M10" s="53">
        <f t="shared" ref="M10:M73" si="6">IF(F10="","",L10-K10)</f>
        <v>-103.90445</v>
      </c>
      <c r="N10" s="228"/>
      <c r="O10" s="229"/>
      <c r="P10" s="230"/>
      <c r="Q10" s="47">
        <v>44612.490972222222</v>
      </c>
      <c r="R10" s="44">
        <f t="shared" si="1"/>
        <v>-120.40539575482083</v>
      </c>
      <c r="S10" s="44">
        <f t="shared" si="2"/>
        <v>-45.505598541460706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2333</v>
      </c>
      <c r="F11" s="40">
        <v>5.28</v>
      </c>
      <c r="G11" s="51"/>
      <c r="H11" s="44">
        <f t="shared" si="0"/>
        <v>0</v>
      </c>
      <c r="I11" s="52">
        <f t="shared" ref="I11:I74" si="7">IF(F11="","",F11-F10-G11)</f>
        <v>-4.9999999999999822E-2</v>
      </c>
      <c r="J11" s="44">
        <f t="shared" si="3"/>
        <v>-4.9999999999999822E-2</v>
      </c>
      <c r="K11" s="44">
        <f t="shared" si="4"/>
        <v>-6.5549999999999997E-2</v>
      </c>
      <c r="L11" s="44">
        <f t="shared" si="5"/>
        <v>-104.02</v>
      </c>
      <c r="M11" s="53">
        <f t="shared" si="6"/>
        <v>-103.95444999999999</v>
      </c>
      <c r="N11" s="228" t="s">
        <v>95</v>
      </c>
      <c r="O11" s="229"/>
      <c r="P11" s="230"/>
      <c r="Q11" s="47">
        <v>44612.497916666667</v>
      </c>
      <c r="R11" s="44">
        <f t="shared" si="1"/>
        <v>-0.29999999996507432</v>
      </c>
      <c r="S11" s="44">
        <f t="shared" si="2"/>
        <v>-42.430387755908498</v>
      </c>
    </row>
    <row r="12" spans="1:20" ht="12" customHeight="1" x14ac:dyDescent="0.2">
      <c r="A12" s="37"/>
      <c r="B12" s="48"/>
      <c r="C12" s="49">
        <v>4.37</v>
      </c>
      <c r="D12" s="54">
        <v>92</v>
      </c>
      <c r="E12" s="39">
        <v>2333</v>
      </c>
      <c r="F12" s="56">
        <v>9.24</v>
      </c>
      <c r="G12" s="51">
        <f>-5.26+9.24</f>
        <v>3.9800000000000004</v>
      </c>
      <c r="H12" s="44">
        <f t="shared" si="0"/>
        <v>0</v>
      </c>
      <c r="I12" s="52">
        <f t="shared" si="7"/>
        <v>-2.0000000000000462E-2</v>
      </c>
      <c r="J12" s="44">
        <f t="shared" si="3"/>
        <v>-2.0000000000000462E-2</v>
      </c>
      <c r="K12" s="44">
        <f t="shared" si="4"/>
        <v>-6.5549999999999997E-2</v>
      </c>
      <c r="L12" s="44">
        <f t="shared" si="5"/>
        <v>-104.03999999999999</v>
      </c>
      <c r="M12" s="53">
        <f t="shared" si="6"/>
        <v>-103.97444999999999</v>
      </c>
      <c r="N12" s="228"/>
      <c r="O12" s="229"/>
      <c r="P12" s="230"/>
      <c r="Q12" s="47">
        <v>44612.515972222223</v>
      </c>
      <c r="R12" s="44">
        <f t="shared" si="1"/>
        <v>-4.6153846152193985E-2</v>
      </c>
      <c r="S12" s="44">
        <f t="shared" si="2"/>
        <v>-36.060502890561658</v>
      </c>
    </row>
    <row r="13" spans="1:20" ht="12" customHeight="1" x14ac:dyDescent="0.2">
      <c r="A13" s="37"/>
      <c r="B13" s="48"/>
      <c r="C13" s="49">
        <v>4.37</v>
      </c>
      <c r="D13" s="54">
        <v>78</v>
      </c>
      <c r="E13" s="39">
        <v>1966</v>
      </c>
      <c r="F13" s="40">
        <v>7.8</v>
      </c>
      <c r="G13" s="51"/>
      <c r="H13" s="44">
        <f t="shared" si="0"/>
        <v>-1.60379</v>
      </c>
      <c r="I13" s="52">
        <f t="shared" si="7"/>
        <v>-1.4400000000000004</v>
      </c>
      <c r="J13" s="44">
        <f t="shared" si="3"/>
        <v>0.16378999999999966</v>
      </c>
      <c r="K13" s="44">
        <f t="shared" si="4"/>
        <v>-1.66934</v>
      </c>
      <c r="L13" s="44">
        <f t="shared" si="5"/>
        <v>-105.47999999999999</v>
      </c>
      <c r="M13" s="53">
        <f t="shared" si="6"/>
        <v>-103.81065999999998</v>
      </c>
      <c r="N13" s="231"/>
      <c r="O13" s="229"/>
      <c r="P13" s="230"/>
      <c r="Q13" s="47">
        <v>44612.551388888889</v>
      </c>
      <c r="R13" s="44">
        <f t="shared" si="1"/>
        <v>0.19269411765233666</v>
      </c>
      <c r="S13" s="44">
        <f t="shared" si="2"/>
        <v>-27.806426786118919</v>
      </c>
    </row>
    <row r="14" spans="1:20" ht="12" customHeight="1" x14ac:dyDescent="0.2">
      <c r="A14" s="37"/>
      <c r="B14" s="48" t="s">
        <v>149</v>
      </c>
      <c r="C14" s="49">
        <v>10.58</v>
      </c>
      <c r="D14" s="54">
        <v>64</v>
      </c>
      <c r="E14" s="39">
        <v>1600</v>
      </c>
      <c r="F14" s="40">
        <v>2.9</v>
      </c>
      <c r="G14" s="51"/>
      <c r="H14" s="44">
        <f t="shared" ref="H14:H74" si="8">IF(E14="","",((E14-E13)*C14)/1000)</f>
        <v>-3.8722800000000004</v>
      </c>
      <c r="I14" s="52">
        <f t="shared" si="7"/>
        <v>-4.9000000000000004</v>
      </c>
      <c r="J14" s="44">
        <f t="shared" si="3"/>
        <v>-1.02772</v>
      </c>
      <c r="K14" s="44">
        <f t="shared" si="4"/>
        <v>-5.54162</v>
      </c>
      <c r="L14" s="44">
        <f t="shared" si="5"/>
        <v>-110.38</v>
      </c>
      <c r="M14" s="53">
        <f t="shared" si="6"/>
        <v>-104.83838</v>
      </c>
      <c r="N14" s="231"/>
      <c r="O14" s="229"/>
      <c r="P14" s="230"/>
      <c r="Q14" s="47">
        <v>44612.581944444442</v>
      </c>
      <c r="R14" s="44">
        <f t="shared" si="1"/>
        <v>-1.4014363637401854</v>
      </c>
      <c r="S14" s="44">
        <f t="shared" si="2"/>
        <v>-23.471279105048566</v>
      </c>
    </row>
    <row r="15" spans="1:20" ht="12" customHeight="1" x14ac:dyDescent="0.2">
      <c r="A15" s="37"/>
      <c r="B15" s="48"/>
      <c r="C15" s="49">
        <v>10.58</v>
      </c>
      <c r="D15" s="54">
        <v>40</v>
      </c>
      <c r="E15" s="39">
        <v>892</v>
      </c>
      <c r="F15" s="40">
        <v>5.2</v>
      </c>
      <c r="G15" s="51">
        <f>-2.09+7.18-2.5+7.82</f>
        <v>10.41</v>
      </c>
      <c r="H15" s="44">
        <f t="shared" si="8"/>
        <v>-7.49064</v>
      </c>
      <c r="I15" s="52">
        <f t="shared" si="7"/>
        <v>-8.11</v>
      </c>
      <c r="J15" s="44">
        <f t="shared" si="3"/>
        <v>-0.61935999999999947</v>
      </c>
      <c r="K15" s="44">
        <f t="shared" si="4"/>
        <v>-13.032260000000001</v>
      </c>
      <c r="L15" s="44">
        <f t="shared" si="5"/>
        <v>-118.49</v>
      </c>
      <c r="M15" s="53">
        <f t="shared" si="6"/>
        <v>-105.45774</v>
      </c>
      <c r="N15" s="231"/>
      <c r="O15" s="229"/>
      <c r="P15" s="230"/>
      <c r="Q15" s="47">
        <v>44612.62222222222</v>
      </c>
      <c r="R15" s="44">
        <f t="shared" si="1"/>
        <v>-0.64071724137416575</v>
      </c>
      <c r="S15" s="44">
        <f t="shared" si="2"/>
        <v>-19.409400000360421</v>
      </c>
    </row>
    <row r="16" spans="1:20" ht="12" customHeight="1" x14ac:dyDescent="0.2">
      <c r="A16" s="37"/>
      <c r="B16" s="48" t="s">
        <v>38</v>
      </c>
      <c r="C16" s="49">
        <v>4.37</v>
      </c>
      <c r="D16" s="57">
        <v>21</v>
      </c>
      <c r="E16" s="39">
        <v>375</v>
      </c>
      <c r="F16" s="40">
        <v>6.86</v>
      </c>
      <c r="G16" s="51">
        <f>-3.53+7.73</f>
        <v>4.2000000000000011</v>
      </c>
      <c r="H16" s="44">
        <f t="shared" si="8"/>
        <v>-2.25929</v>
      </c>
      <c r="I16" s="52">
        <f t="shared" si="7"/>
        <v>-2.5400000000000009</v>
      </c>
      <c r="J16" s="44">
        <f t="shared" si="3"/>
        <v>-0.2807100000000009</v>
      </c>
      <c r="K16" s="44">
        <f t="shared" si="4"/>
        <v>-15.291550000000001</v>
      </c>
      <c r="L16" s="44">
        <f t="shared" si="5"/>
        <v>-121.03</v>
      </c>
      <c r="M16" s="53">
        <f t="shared" si="6"/>
        <v>-105.73845</v>
      </c>
      <c r="N16" s="228"/>
      <c r="O16" s="229"/>
      <c r="P16" s="230"/>
      <c r="Q16" s="47">
        <v>44612.648611111108</v>
      </c>
      <c r="R16" s="44">
        <f t="shared" si="1"/>
        <v>-0.4432263158112007</v>
      </c>
      <c r="S16" s="44">
        <f t="shared" si="2"/>
        <v>-17.429414835543888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375</v>
      </c>
      <c r="F17" s="40">
        <v>6.78</v>
      </c>
      <c r="G17" s="51"/>
      <c r="H17" s="44">
        <f t="shared" ref="H17:H22" si="9">IF(E17="","",((E17-E16)*C17)/1000)</f>
        <v>0</v>
      </c>
      <c r="I17" s="52">
        <f t="shared" si="7"/>
        <v>-8.0000000000000071E-2</v>
      </c>
      <c r="J17" s="44">
        <f t="shared" si="3"/>
        <v>-8.0000000000000071E-2</v>
      </c>
      <c r="K17" s="44">
        <f t="shared" si="4"/>
        <v>-15.291550000000001</v>
      </c>
      <c r="L17" s="44">
        <f t="shared" si="5"/>
        <v>-121.11</v>
      </c>
      <c r="M17" s="53">
        <f t="shared" si="6"/>
        <v>-105.81845</v>
      </c>
      <c r="N17" s="231" t="s">
        <v>96</v>
      </c>
      <c r="O17" s="229"/>
      <c r="P17" s="230"/>
      <c r="Q17" s="47">
        <v>44612.655555555553</v>
      </c>
      <c r="R17" s="44">
        <f t="shared" si="1"/>
        <v>-0.47999999994412107</v>
      </c>
      <c r="S17" s="44">
        <f t="shared" si="2"/>
        <v>-16.976221925440175</v>
      </c>
    </row>
    <row r="18" spans="1:19" ht="12" customHeight="1" x14ac:dyDescent="0.2">
      <c r="A18" s="37"/>
      <c r="B18" s="48"/>
      <c r="C18" s="49">
        <v>4.37</v>
      </c>
      <c r="D18" s="54">
        <v>2</v>
      </c>
      <c r="E18" s="39">
        <v>26</v>
      </c>
      <c r="F18" s="40">
        <v>2.56</v>
      </c>
      <c r="G18" s="40"/>
      <c r="H18" s="44">
        <f t="shared" si="9"/>
        <v>-1.5251300000000001</v>
      </c>
      <c r="I18" s="52">
        <f t="shared" si="7"/>
        <v>-4.2200000000000006</v>
      </c>
      <c r="J18" s="44">
        <f t="shared" si="3"/>
        <v>-2.6948700000000008</v>
      </c>
      <c r="K18" s="44">
        <f t="shared" si="4"/>
        <v>-16.816680000000002</v>
      </c>
      <c r="L18" s="44">
        <f t="shared" si="5"/>
        <v>-125.33</v>
      </c>
      <c r="M18" s="53">
        <f t="shared" si="6"/>
        <v>-108.51331999999999</v>
      </c>
      <c r="N18" s="228"/>
      <c r="O18" s="229"/>
      <c r="P18" s="230"/>
      <c r="Q18" s="47">
        <v>44612.700694444444</v>
      </c>
      <c r="R18" s="44">
        <f t="shared" si="1"/>
        <v>-2.4875723076032035</v>
      </c>
      <c r="S18" s="44">
        <f t="shared" si="2"/>
        <v>-14.830977676687036</v>
      </c>
    </row>
    <row r="19" spans="1:19" ht="12" customHeight="1" x14ac:dyDescent="0.2">
      <c r="A19" s="37"/>
      <c r="B19" s="48"/>
      <c r="C19" s="49">
        <v>4.37</v>
      </c>
      <c r="D19" s="54">
        <v>0</v>
      </c>
      <c r="E19" s="39">
        <v>0</v>
      </c>
      <c r="F19" s="40">
        <v>2.62</v>
      </c>
      <c r="G19" s="40"/>
      <c r="H19" s="44">
        <f t="shared" si="9"/>
        <v>-0.11362</v>
      </c>
      <c r="I19" s="52">
        <f t="shared" si="7"/>
        <v>6.0000000000000053E-2</v>
      </c>
      <c r="J19" s="44">
        <f t="shared" si="3"/>
        <v>0.17362000000000005</v>
      </c>
      <c r="K19" s="44">
        <f t="shared" si="4"/>
        <v>-16.930300000000003</v>
      </c>
      <c r="L19" s="44">
        <f t="shared" si="5"/>
        <v>-125.27</v>
      </c>
      <c r="M19" s="53">
        <f t="shared" si="6"/>
        <v>-108.33969999999999</v>
      </c>
      <c r="N19" s="228"/>
      <c r="O19" s="229"/>
      <c r="P19" s="230"/>
      <c r="Q19" s="47">
        <v>44612.707638888889</v>
      </c>
      <c r="R19" s="44">
        <f t="shared" si="1"/>
        <v>1.0417199998787281</v>
      </c>
      <c r="S19" s="44">
        <f t="shared" si="2"/>
        <v>-14.477465478946973</v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>
        <f>-2.52+8.32</f>
        <v>5.8000000000000007</v>
      </c>
      <c r="H20" s="44" t="str">
        <f t="shared" si="9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9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9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8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8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8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8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8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8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8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8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8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8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8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64"/>
      <c r="O34" s="162"/>
      <c r="P34" s="16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8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8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8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 t="s">
        <v>149</v>
      </c>
      <c r="C38" s="49">
        <v>10.58</v>
      </c>
      <c r="D38" s="58"/>
      <c r="E38" s="50"/>
      <c r="F38" s="56"/>
      <c r="G38" s="51"/>
      <c r="H38" s="44" t="str">
        <f t="shared" si="8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10.58</v>
      </c>
      <c r="D39" s="58"/>
      <c r="E39" s="50"/>
      <c r="F39" s="56"/>
      <c r="G39" s="51"/>
      <c r="H39" s="44" t="str">
        <f t="shared" si="8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10.58</v>
      </c>
      <c r="D40" s="58"/>
      <c r="E40" s="50"/>
      <c r="F40" s="56"/>
      <c r="G40" s="51"/>
      <c r="H40" s="44" t="str">
        <f t="shared" si="8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 t="s">
        <v>38</v>
      </c>
      <c r="C41" s="49">
        <v>4.37</v>
      </c>
      <c r="D41" s="58"/>
      <c r="E41" s="50"/>
      <c r="F41" s="40"/>
      <c r="G41" s="51"/>
      <c r="H41" s="44" t="str">
        <f t="shared" si="8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8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8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8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8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8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8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>
        <v>4.37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>
        <v>4.37</v>
      </c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>
        <v>4.37</v>
      </c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112"/>
  <sheetViews>
    <sheetView topLeftCell="A10" zoomScaleNormal="100" workbookViewId="0">
      <selection activeCell="F28" sqref="F2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60</v>
      </c>
      <c r="F6" s="40">
        <v>4.16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44611.877083333333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117</v>
      </c>
      <c r="F7" s="40">
        <v>5.41</v>
      </c>
      <c r="G7" s="51">
        <v>1.2</v>
      </c>
      <c r="H7" s="44">
        <f t="shared" ref="H7:H13" si="0">IF(E7="","",((E7-E6)*C7)/1000)</f>
        <v>0.24909000000000001</v>
      </c>
      <c r="I7" s="52">
        <f>IF(F7="","",F7-F6-G7)</f>
        <v>5.0000000000000044E-2</v>
      </c>
      <c r="J7" s="44">
        <f>IF(F7="","",I7-H7)</f>
        <v>-0.19908999999999996</v>
      </c>
      <c r="K7" s="44">
        <f>IF(F7="","",K6+H7)</f>
        <v>0.24909000000000001</v>
      </c>
      <c r="L7" s="44">
        <f>IF(F7="","",L6+I7)</f>
        <v>5.0000000000000044E-2</v>
      </c>
      <c r="M7" s="53">
        <f>IF(F7="","",L7-K7)</f>
        <v>-0.19908999999999996</v>
      </c>
      <c r="N7" s="231"/>
      <c r="O7" s="229"/>
      <c r="P7" s="230"/>
      <c r="Q7" s="47">
        <v>44611.927083333336</v>
      </c>
      <c r="R7" s="44">
        <f t="shared" ref="R7:R70" si="1">IF(Q7="","",J7/((Q7-Q6)*24))</f>
        <v>-0.16590833332367616</v>
      </c>
      <c r="S7" s="44">
        <f t="shared" ref="S7:S70" si="2">IF(Q7="","",M7/((Q7-$Q$6)*24))</f>
        <v>-0.16590833332367616</v>
      </c>
    </row>
    <row r="8" spans="1:20" ht="12" customHeight="1" x14ac:dyDescent="0.2">
      <c r="A8" s="37"/>
      <c r="B8" s="48"/>
      <c r="C8" s="49">
        <v>4.37</v>
      </c>
      <c r="D8" s="54"/>
      <c r="E8" s="39">
        <v>145</v>
      </c>
      <c r="F8" s="40">
        <v>5.53</v>
      </c>
      <c r="G8" s="51"/>
      <c r="H8" s="44">
        <f t="shared" si="0"/>
        <v>0.12236</v>
      </c>
      <c r="I8" s="52">
        <f>IF(F8="","",F8-F7-G8)</f>
        <v>0.12000000000000011</v>
      </c>
      <c r="J8" s="44">
        <f>IF(F8="","",I8-H8)</f>
        <v>-2.35999999999989E-3</v>
      </c>
      <c r="K8" s="44">
        <f>IF(F8="","",K7+H8)</f>
        <v>0.37145</v>
      </c>
      <c r="L8" s="44">
        <f>IF(F8="","",L7+I8)</f>
        <v>0.17000000000000015</v>
      </c>
      <c r="M8" s="53">
        <f>IF(F8="","",L8-K8)</f>
        <v>-0.20144999999999985</v>
      </c>
      <c r="N8" s="231"/>
      <c r="O8" s="229"/>
      <c r="P8" s="230"/>
      <c r="Q8" s="47">
        <v>44611.928472222222</v>
      </c>
      <c r="R8" s="44">
        <f t="shared" si="1"/>
        <v>-7.0800000140114186E-2</v>
      </c>
      <c r="S8" s="44">
        <f t="shared" si="2"/>
        <v>-0.16333783783732381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199</v>
      </c>
      <c r="F9" s="40">
        <v>3.94</v>
      </c>
      <c r="G9" s="51"/>
      <c r="H9" s="44">
        <f t="shared" si="0"/>
        <v>0.23598000000000002</v>
      </c>
      <c r="I9" s="52">
        <f>IF(F9="","",F9-F8-G9)</f>
        <v>-1.5900000000000003</v>
      </c>
      <c r="J9" s="44">
        <f>IF(F9="","",I9-H9)</f>
        <v>-1.8259800000000004</v>
      </c>
      <c r="K9" s="44">
        <f>IF(F9="","",K8+H9)</f>
        <v>0.60743000000000003</v>
      </c>
      <c r="L9" s="44">
        <f>IF(F9="","",L8+I9)</f>
        <v>-1.4200000000000002</v>
      </c>
      <c r="M9" s="53">
        <f>IF(F9="","",L9-K9)</f>
        <v>-2.0274300000000003</v>
      </c>
      <c r="N9" s="228"/>
      <c r="O9" s="229"/>
      <c r="P9" s="230"/>
      <c r="Q9" s="47">
        <v>44611.946527777778</v>
      </c>
      <c r="R9" s="44">
        <f t="shared" si="1"/>
        <v>-4.2137999998490621</v>
      </c>
      <c r="S9" s="44">
        <f t="shared" si="2"/>
        <v>-1.2164579999858387</v>
      </c>
    </row>
    <row r="10" spans="1:20" ht="12" customHeight="1" x14ac:dyDescent="0.2">
      <c r="A10" s="37"/>
      <c r="B10" s="48"/>
      <c r="C10" s="49">
        <v>4.37</v>
      </c>
      <c r="D10" s="54"/>
      <c r="E10" s="39">
        <v>303</v>
      </c>
      <c r="F10" s="40">
        <v>4.8499999999999996</v>
      </c>
      <c r="G10" s="51"/>
      <c r="H10" s="44">
        <f t="shared" si="0"/>
        <v>0.45448</v>
      </c>
      <c r="I10" s="52">
        <f>IF(F10="","",F10-F9-G10)</f>
        <v>0.9099999999999997</v>
      </c>
      <c r="J10" s="44">
        <f t="shared" ref="J10:J73" si="3">IF(F10="","",I10-H10)</f>
        <v>0.4555199999999997</v>
      </c>
      <c r="K10" s="44">
        <f t="shared" ref="K10:K73" si="4">IF(F10="","",K9+H10)</f>
        <v>1.0619100000000001</v>
      </c>
      <c r="L10" s="44">
        <f t="shared" ref="L10:L73" si="5">IF(F10="","",L9+I10)</f>
        <v>-0.51000000000000045</v>
      </c>
      <c r="M10" s="53">
        <f t="shared" ref="M10:M73" si="6">IF(F10="","",L10-K10)</f>
        <v>-1.5719100000000006</v>
      </c>
      <c r="N10" s="228"/>
      <c r="O10" s="229"/>
      <c r="P10" s="230"/>
      <c r="Q10" s="47">
        <v>44611.96597222222</v>
      </c>
      <c r="R10" s="44">
        <f t="shared" si="1"/>
        <v>0.97611428581980297</v>
      </c>
      <c r="S10" s="44">
        <f t="shared" si="2"/>
        <v>-0.73683281251072263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466</v>
      </c>
      <c r="F11" s="40">
        <v>5.42</v>
      </c>
      <c r="G11" s="51"/>
      <c r="H11" s="44">
        <f t="shared" si="0"/>
        <v>0.71231000000000011</v>
      </c>
      <c r="I11" s="52">
        <f t="shared" ref="I11:I74" si="7">IF(F11="","",F11-F10-G11)</f>
        <v>0.57000000000000028</v>
      </c>
      <c r="J11" s="44">
        <f t="shared" si="3"/>
        <v>-0.14230999999999983</v>
      </c>
      <c r="K11" s="44">
        <f t="shared" si="4"/>
        <v>1.7742200000000001</v>
      </c>
      <c r="L11" s="44">
        <f t="shared" si="5"/>
        <v>5.9999999999999831E-2</v>
      </c>
      <c r="M11" s="53">
        <f t="shared" si="6"/>
        <v>-1.7142200000000003</v>
      </c>
      <c r="N11" s="228"/>
      <c r="O11" s="229"/>
      <c r="P11" s="230"/>
      <c r="Q11" s="47">
        <v>44611.973611111112</v>
      </c>
      <c r="R11" s="44">
        <f t="shared" si="1"/>
        <v>-0.77623636332418988</v>
      </c>
      <c r="S11" s="44">
        <f t="shared" si="2"/>
        <v>-0.7399510791230568</v>
      </c>
    </row>
    <row r="12" spans="1:20" ht="12" customHeight="1" x14ac:dyDescent="0.2">
      <c r="A12" s="37"/>
      <c r="B12" s="48"/>
      <c r="C12" s="49">
        <v>4.37</v>
      </c>
      <c r="D12" s="54"/>
      <c r="E12" s="39">
        <v>602</v>
      </c>
      <c r="F12" s="56">
        <v>5.87</v>
      </c>
      <c r="G12" s="51"/>
      <c r="H12" s="44">
        <f t="shared" si="0"/>
        <v>0.59432000000000007</v>
      </c>
      <c r="I12" s="52">
        <f t="shared" si="7"/>
        <v>0.45000000000000018</v>
      </c>
      <c r="J12" s="44">
        <f t="shared" si="3"/>
        <v>-0.14431999999999989</v>
      </c>
      <c r="K12" s="44">
        <f t="shared" si="4"/>
        <v>2.3685400000000003</v>
      </c>
      <c r="L12" s="44">
        <f t="shared" si="5"/>
        <v>0.51</v>
      </c>
      <c r="M12" s="53">
        <f t="shared" si="6"/>
        <v>-1.8585400000000003</v>
      </c>
      <c r="N12" s="228"/>
      <c r="O12" s="229"/>
      <c r="P12" s="230"/>
      <c r="Q12" s="47">
        <v>44611.978472222225</v>
      </c>
      <c r="R12" s="44">
        <f t="shared" si="1"/>
        <v>-1.2370285710994069</v>
      </c>
      <c r="S12" s="44">
        <f t="shared" si="2"/>
        <v>-0.76378356162069316</v>
      </c>
    </row>
    <row r="13" spans="1:20" ht="12" customHeight="1" x14ac:dyDescent="0.2">
      <c r="A13" s="37"/>
      <c r="B13" s="48"/>
      <c r="C13" s="49">
        <v>4.37</v>
      </c>
      <c r="D13" s="54"/>
      <c r="E13" s="39">
        <v>874</v>
      </c>
      <c r="F13" s="40">
        <v>6.38</v>
      </c>
      <c r="G13" s="51">
        <v>-0.4</v>
      </c>
      <c r="H13" s="44">
        <f t="shared" si="0"/>
        <v>1.1886400000000001</v>
      </c>
      <c r="I13" s="52">
        <f t="shared" si="7"/>
        <v>0.90999999999999981</v>
      </c>
      <c r="J13" s="44">
        <f t="shared" si="3"/>
        <v>-0.27864000000000033</v>
      </c>
      <c r="K13" s="44">
        <f t="shared" si="4"/>
        <v>3.5571800000000007</v>
      </c>
      <c r="L13" s="44">
        <f t="shared" si="5"/>
        <v>1.42</v>
      </c>
      <c r="M13" s="53">
        <f t="shared" si="6"/>
        <v>-2.1371800000000007</v>
      </c>
      <c r="N13" s="231"/>
      <c r="O13" s="229"/>
      <c r="P13" s="230"/>
      <c r="Q13" s="47">
        <v>44612.00277777778</v>
      </c>
      <c r="R13" s="44">
        <f t="shared" si="1"/>
        <v>-0.47766857144445996</v>
      </c>
      <c r="S13" s="44">
        <f t="shared" si="2"/>
        <v>-0.70845745855077757</v>
      </c>
    </row>
    <row r="14" spans="1:20" ht="12" customHeight="1" x14ac:dyDescent="0.2">
      <c r="A14" s="37"/>
      <c r="B14" s="48" t="s">
        <v>149</v>
      </c>
      <c r="C14" s="49">
        <v>10.58</v>
      </c>
      <c r="D14" s="54"/>
      <c r="E14" s="39">
        <v>955</v>
      </c>
      <c r="F14" s="40">
        <v>6.88</v>
      </c>
      <c r="G14" s="51"/>
      <c r="H14" s="44">
        <f t="shared" ref="H14:H74" si="8">IF(E14="","",((E14-E13)*C14)/1000)</f>
        <v>0.85697999999999996</v>
      </c>
      <c r="I14" s="52">
        <f t="shared" si="7"/>
        <v>0.5</v>
      </c>
      <c r="J14" s="44">
        <f t="shared" si="3"/>
        <v>-0.35697999999999996</v>
      </c>
      <c r="K14" s="44">
        <f t="shared" si="4"/>
        <v>4.4141600000000007</v>
      </c>
      <c r="L14" s="44">
        <f t="shared" si="5"/>
        <v>1.92</v>
      </c>
      <c r="M14" s="53">
        <f t="shared" si="6"/>
        <v>-2.4941600000000008</v>
      </c>
      <c r="N14" s="231"/>
      <c r="O14" s="229"/>
      <c r="P14" s="230"/>
      <c r="Q14" s="47">
        <v>44612.007638888892</v>
      </c>
      <c r="R14" s="44">
        <f t="shared" si="1"/>
        <v>-3.0598285706143749</v>
      </c>
      <c r="S14" s="44">
        <f t="shared" si="2"/>
        <v>-0.79600851061660993</v>
      </c>
    </row>
    <row r="15" spans="1:20" ht="12" customHeight="1" x14ac:dyDescent="0.2">
      <c r="A15" s="37"/>
      <c r="B15" s="48"/>
      <c r="C15" s="49">
        <v>10.58</v>
      </c>
      <c r="D15" s="54"/>
      <c r="E15" s="39">
        <v>1269</v>
      </c>
      <c r="F15" s="40">
        <v>8.9700000000000006</v>
      </c>
      <c r="G15" s="51"/>
      <c r="H15" s="44">
        <f t="shared" si="8"/>
        <v>3.32212</v>
      </c>
      <c r="I15" s="52">
        <f t="shared" si="7"/>
        <v>2.0900000000000007</v>
      </c>
      <c r="J15" s="44">
        <f t="shared" si="3"/>
        <v>-1.2321199999999992</v>
      </c>
      <c r="K15" s="44">
        <f t="shared" si="4"/>
        <v>7.7362800000000007</v>
      </c>
      <c r="L15" s="44">
        <f t="shared" si="5"/>
        <v>4.0100000000000007</v>
      </c>
      <c r="M15" s="53">
        <f t="shared" si="6"/>
        <v>-3.72628</v>
      </c>
      <c r="N15" s="231"/>
      <c r="O15" s="229"/>
      <c r="P15" s="230"/>
      <c r="Q15" s="47">
        <v>44612.020138888889</v>
      </c>
      <c r="R15" s="44">
        <f t="shared" si="1"/>
        <v>-4.1070666676229148</v>
      </c>
      <c r="S15" s="44">
        <f t="shared" si="2"/>
        <v>-1.0853242718397536</v>
      </c>
    </row>
    <row r="16" spans="1:20" ht="12" customHeight="1" x14ac:dyDescent="0.2">
      <c r="A16" s="37"/>
      <c r="B16" s="48"/>
      <c r="C16" s="49">
        <v>10.58</v>
      </c>
      <c r="D16" s="57"/>
      <c r="E16" s="39">
        <v>1348</v>
      </c>
      <c r="F16" s="40">
        <v>2.65</v>
      </c>
      <c r="G16" s="51">
        <v>-6.8</v>
      </c>
      <c r="H16" s="44">
        <f t="shared" si="8"/>
        <v>0.83582000000000001</v>
      </c>
      <c r="I16" s="52">
        <f t="shared" si="7"/>
        <v>0.47999999999999954</v>
      </c>
      <c r="J16" s="44">
        <f t="shared" si="3"/>
        <v>-0.35582000000000047</v>
      </c>
      <c r="K16" s="44">
        <f t="shared" si="4"/>
        <v>8.5721000000000007</v>
      </c>
      <c r="L16" s="44">
        <f t="shared" si="5"/>
        <v>4.49</v>
      </c>
      <c r="M16" s="53">
        <f t="shared" si="6"/>
        <v>-4.0821000000000005</v>
      </c>
      <c r="N16" s="228"/>
      <c r="O16" s="229"/>
      <c r="P16" s="230"/>
      <c r="Q16" s="47">
        <v>44612.023611111108</v>
      </c>
      <c r="R16" s="44">
        <f t="shared" si="1"/>
        <v>-4.2698400039766042</v>
      </c>
      <c r="S16" s="44">
        <f t="shared" si="2"/>
        <v>-1.1607867298783141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1505</v>
      </c>
      <c r="F17" s="40">
        <v>4.1900000000000004</v>
      </c>
      <c r="G17" s="51"/>
      <c r="H17" s="44">
        <f t="shared" ref="H17:H22" si="9">IF(E17="","",((E17-E16)*C17)/1000)</f>
        <v>1.66106</v>
      </c>
      <c r="I17" s="52">
        <f t="shared" si="7"/>
        <v>1.5400000000000005</v>
      </c>
      <c r="J17" s="44">
        <f t="shared" si="3"/>
        <v>-0.1210599999999995</v>
      </c>
      <c r="K17" s="44">
        <f t="shared" si="4"/>
        <v>10.233160000000002</v>
      </c>
      <c r="L17" s="44">
        <f t="shared" si="5"/>
        <v>6.0300000000000011</v>
      </c>
      <c r="M17" s="53">
        <f t="shared" si="6"/>
        <v>-4.2031600000000005</v>
      </c>
      <c r="N17" s="231"/>
      <c r="O17" s="229"/>
      <c r="P17" s="230"/>
      <c r="Q17" s="47">
        <v>44612.031944444447</v>
      </c>
      <c r="R17" s="44">
        <f t="shared" si="1"/>
        <v>-0.60529999961243341</v>
      </c>
      <c r="S17" s="44">
        <f t="shared" si="2"/>
        <v>-1.1308950672445013</v>
      </c>
    </row>
    <row r="18" spans="1:19" ht="12" customHeight="1" x14ac:dyDescent="0.2">
      <c r="A18" s="37"/>
      <c r="B18" s="48"/>
      <c r="C18" s="49">
        <v>10.58</v>
      </c>
      <c r="D18" s="54"/>
      <c r="E18" s="39">
        <v>1976</v>
      </c>
      <c r="F18" s="40">
        <v>8.2799999999999994</v>
      </c>
      <c r="G18" s="40"/>
      <c r="H18" s="44">
        <f t="shared" si="9"/>
        <v>4.9831799999999999</v>
      </c>
      <c r="I18" s="52">
        <f t="shared" si="7"/>
        <v>4.089999999999999</v>
      </c>
      <c r="J18" s="44">
        <f t="shared" si="3"/>
        <v>-0.89318000000000097</v>
      </c>
      <c r="K18" s="44">
        <f t="shared" si="4"/>
        <v>15.216340000000002</v>
      </c>
      <c r="L18" s="44">
        <f t="shared" si="5"/>
        <v>10.120000000000001</v>
      </c>
      <c r="M18" s="53">
        <f t="shared" si="6"/>
        <v>-5.0963400000000014</v>
      </c>
      <c r="N18" s="228"/>
      <c r="O18" s="229"/>
      <c r="P18" s="230"/>
      <c r="Q18" s="47">
        <v>44612.057638888888</v>
      </c>
      <c r="R18" s="44">
        <f t="shared" si="1"/>
        <v>-1.448400000200518</v>
      </c>
      <c r="S18" s="44">
        <f t="shared" si="2"/>
        <v>-1.1760784615437279</v>
      </c>
    </row>
    <row r="19" spans="1:19" ht="12" customHeight="1" x14ac:dyDescent="0.2">
      <c r="A19" s="37"/>
      <c r="B19" s="48" t="s">
        <v>38</v>
      </c>
      <c r="C19" s="49">
        <v>4.37</v>
      </c>
      <c r="D19" s="54"/>
      <c r="E19" s="39">
        <v>2234</v>
      </c>
      <c r="F19" s="40">
        <v>3.18</v>
      </c>
      <c r="G19" s="40">
        <v>-6</v>
      </c>
      <c r="H19" s="44">
        <f t="shared" si="9"/>
        <v>1.1274600000000001</v>
      </c>
      <c r="I19" s="52">
        <f t="shared" si="7"/>
        <v>0.90000000000000036</v>
      </c>
      <c r="J19" s="44">
        <f t="shared" si="3"/>
        <v>-0.22745999999999977</v>
      </c>
      <c r="K19" s="44">
        <f t="shared" si="4"/>
        <v>16.343800000000002</v>
      </c>
      <c r="L19" s="44">
        <f t="shared" si="5"/>
        <v>11.020000000000001</v>
      </c>
      <c r="M19" s="53">
        <f t="shared" si="6"/>
        <v>-5.3238000000000003</v>
      </c>
      <c r="N19" s="228"/>
      <c r="O19" s="229"/>
      <c r="P19" s="230"/>
      <c r="Q19" s="47">
        <v>44612.073611111111</v>
      </c>
      <c r="R19" s="44">
        <f t="shared" si="1"/>
        <v>-0.59337391300143028</v>
      </c>
      <c r="S19" s="44">
        <f t="shared" si="2"/>
        <v>-1.12872084805468</v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9"/>
        <v/>
      </c>
      <c r="I20" s="52" t="str">
        <f t="shared" si="7"/>
        <v/>
      </c>
      <c r="J20" s="44" t="str">
        <f t="shared" si="3"/>
        <v/>
      </c>
      <c r="K20" s="44" t="str">
        <f t="shared" si="4"/>
        <v/>
      </c>
      <c r="L20" s="44" t="str">
        <f t="shared" si="5"/>
        <v/>
      </c>
      <c r="M20" s="53" t="str">
        <f t="shared" si="6"/>
        <v/>
      </c>
      <c r="N20" s="242"/>
      <c r="O20" s="229"/>
      <c r="P20" s="230"/>
      <c r="Q20" s="47"/>
      <c r="R20" s="44" t="str">
        <f t="shared" si="1"/>
        <v/>
      </c>
      <c r="S20" s="44" t="str">
        <f t="shared" si="2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9"/>
        <v/>
      </c>
      <c r="I21" s="52" t="str">
        <f t="shared" si="7"/>
        <v/>
      </c>
      <c r="J21" s="44" t="str">
        <f t="shared" si="3"/>
        <v/>
      </c>
      <c r="K21" s="44" t="str">
        <f t="shared" si="4"/>
        <v/>
      </c>
      <c r="L21" s="44" t="str">
        <f t="shared" si="5"/>
        <v/>
      </c>
      <c r="M21" s="53" t="str">
        <f t="shared" si="6"/>
        <v/>
      </c>
      <c r="N21" s="228"/>
      <c r="O21" s="229"/>
      <c r="P21" s="230"/>
      <c r="Q21" s="47"/>
      <c r="R21" s="44" t="str">
        <f t="shared" si="1"/>
        <v/>
      </c>
      <c r="S21" s="44" t="str">
        <f t="shared" si="2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9"/>
        <v/>
      </c>
      <c r="I22" s="52" t="str">
        <f t="shared" si="7"/>
        <v/>
      </c>
      <c r="J22" s="44" t="str">
        <f t="shared" si="3"/>
        <v/>
      </c>
      <c r="K22" s="44" t="str">
        <f t="shared" si="4"/>
        <v/>
      </c>
      <c r="L22" s="44" t="str">
        <f t="shared" si="5"/>
        <v/>
      </c>
      <c r="M22" s="53" t="str">
        <f t="shared" si="6"/>
        <v/>
      </c>
      <c r="N22" s="228"/>
      <c r="O22" s="229"/>
      <c r="P22" s="230"/>
      <c r="Q22" s="47"/>
      <c r="R22" s="44" t="str">
        <f t="shared" si="1"/>
        <v/>
      </c>
      <c r="S22" s="44" t="str">
        <f t="shared" si="2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8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8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8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8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8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8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8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8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8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8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8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64"/>
      <c r="O34" s="162"/>
      <c r="P34" s="16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8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8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8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 t="s">
        <v>149</v>
      </c>
      <c r="C38" s="49">
        <v>10.58</v>
      </c>
      <c r="D38" s="58"/>
      <c r="E38" s="50"/>
      <c r="F38" s="56"/>
      <c r="G38" s="51"/>
      <c r="H38" s="44" t="str">
        <f t="shared" si="8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10.58</v>
      </c>
      <c r="D39" s="58"/>
      <c r="E39" s="50"/>
      <c r="F39" s="56"/>
      <c r="G39" s="51"/>
      <c r="H39" s="44" t="str">
        <f t="shared" si="8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10.58</v>
      </c>
      <c r="D40" s="58"/>
      <c r="E40" s="50"/>
      <c r="F40" s="56"/>
      <c r="G40" s="51"/>
      <c r="H40" s="44" t="str">
        <f t="shared" si="8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 t="s">
        <v>38</v>
      </c>
      <c r="C41" s="49">
        <v>4.37</v>
      </c>
      <c r="D41" s="58"/>
      <c r="E41" s="50"/>
      <c r="F41" s="40"/>
      <c r="G41" s="51"/>
      <c r="H41" s="44" t="str">
        <f t="shared" si="8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8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8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8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8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8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8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>
        <v>4.37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>
        <v>4.37</v>
      </c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>
        <v>4.37</v>
      </c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112"/>
  <sheetViews>
    <sheetView zoomScaleNormal="100" workbookViewId="0">
      <selection activeCell="N49" sqref="N49:P49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0</v>
      </c>
      <c r="F6" s="40">
        <v>6.47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44610.770833333336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170</v>
      </c>
      <c r="F7" s="40">
        <v>2.99</v>
      </c>
      <c r="G7" s="51"/>
      <c r="H7" s="44">
        <f t="shared" ref="H7:H13" si="0">IF(E7="","",((E7-E6)*C7)/1000)</f>
        <v>0.7429</v>
      </c>
      <c r="I7" s="52">
        <f>IF(F7="","",F7-F6-G7)</f>
        <v>-3.4799999999999995</v>
      </c>
      <c r="J7" s="44">
        <f>IF(F7="","",I7-H7)</f>
        <v>-4.2228999999999992</v>
      </c>
      <c r="K7" s="44">
        <f>IF(F7="","",K6+H7)</f>
        <v>0.7429</v>
      </c>
      <c r="L7" s="44">
        <f>IF(F7="","",L6+I7)</f>
        <v>-3.4799999999999995</v>
      </c>
      <c r="M7" s="53">
        <f>IF(F7="","",L7-K7)</f>
        <v>-4.2228999999999992</v>
      </c>
      <c r="N7" s="231"/>
      <c r="O7" s="229"/>
      <c r="P7" s="230"/>
      <c r="Q7" s="47">
        <v>44610.93472222222</v>
      </c>
      <c r="R7" s="44">
        <f t="shared" ref="R7:R70" si="1">IF(Q7="","",J7/((Q7-Q6)*24))</f>
        <v>-1.0736186440953357</v>
      </c>
      <c r="S7" s="44">
        <f t="shared" ref="S7:S70" si="2">IF(Q7="","",M7/((Q7-$Q$6)*24))</f>
        <v>-1.0736186440953357</v>
      </c>
    </row>
    <row r="8" spans="1:20" ht="12" customHeight="1" x14ac:dyDescent="0.2">
      <c r="A8" s="37"/>
      <c r="B8" s="48"/>
      <c r="C8" s="49">
        <v>4.37</v>
      </c>
      <c r="D8" s="54"/>
      <c r="E8" s="39">
        <v>305</v>
      </c>
      <c r="F8" s="40">
        <v>3.56</v>
      </c>
      <c r="G8" s="51"/>
      <c r="H8" s="44">
        <f t="shared" si="0"/>
        <v>0.58995000000000009</v>
      </c>
      <c r="I8" s="52">
        <f>IF(F8="","",F8-F7-G8)</f>
        <v>0.56999999999999984</v>
      </c>
      <c r="J8" s="44">
        <f>IF(F8="","",I8-H8)</f>
        <v>-1.9950000000000245E-2</v>
      </c>
      <c r="K8" s="44">
        <f>IF(F8="","",K7+H8)</f>
        <v>1.3328500000000001</v>
      </c>
      <c r="L8" s="44">
        <f>IF(F8="","",L7+I8)</f>
        <v>-2.9099999999999997</v>
      </c>
      <c r="M8" s="53">
        <f>IF(F8="","",L8-K8)</f>
        <v>-4.2428499999999998</v>
      </c>
      <c r="N8" s="231"/>
      <c r="O8" s="229"/>
      <c r="P8" s="230"/>
      <c r="Q8" s="47">
        <v>44610.943055555559</v>
      </c>
      <c r="R8" s="44">
        <f t="shared" si="1"/>
        <v>-9.9749999936132872E-2</v>
      </c>
      <c r="S8" s="44">
        <f t="shared" si="2"/>
        <v>-1.0264959677351895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632</v>
      </c>
      <c r="F9" s="40">
        <v>4.9400000000000004</v>
      </c>
      <c r="G9" s="51"/>
      <c r="H9" s="44">
        <f t="shared" si="0"/>
        <v>1.42899</v>
      </c>
      <c r="I9" s="52">
        <f>IF(F9="","",F9-F8-G9)</f>
        <v>1.3800000000000003</v>
      </c>
      <c r="J9" s="44">
        <f>IF(F9="","",I9-H9)</f>
        <v>-4.8989999999999645E-2</v>
      </c>
      <c r="K9" s="44">
        <f>IF(F9="","",K8+H9)</f>
        <v>2.7618400000000003</v>
      </c>
      <c r="L9" s="44">
        <f>IF(F9="","",L8+I9)</f>
        <v>-1.5299999999999994</v>
      </c>
      <c r="M9" s="53">
        <f>IF(F9="","",L9-K9)</f>
        <v>-4.2918399999999997</v>
      </c>
      <c r="N9" s="228"/>
      <c r="O9" s="229"/>
      <c r="P9" s="230"/>
      <c r="Q9" s="47">
        <v>44610.964583333334</v>
      </c>
      <c r="R9" s="44">
        <f t="shared" si="1"/>
        <v>-9.4819354850103496E-2</v>
      </c>
      <c r="S9" s="44">
        <f t="shared" si="2"/>
        <v>-0.92297634409295359</v>
      </c>
    </row>
    <row r="10" spans="1:20" ht="12" customHeight="1" x14ac:dyDescent="0.2">
      <c r="A10" s="37"/>
      <c r="B10" s="48"/>
      <c r="C10" s="49">
        <v>4.37</v>
      </c>
      <c r="D10" s="54"/>
      <c r="E10" s="39">
        <v>795</v>
      </c>
      <c r="F10" s="40">
        <v>5.64</v>
      </c>
      <c r="G10" s="51"/>
      <c r="H10" s="44">
        <f t="shared" si="0"/>
        <v>0.71231000000000011</v>
      </c>
      <c r="I10" s="52">
        <f>IF(F10="","",F10-F9-G10)</f>
        <v>0.69999999999999929</v>
      </c>
      <c r="J10" s="44">
        <f t="shared" ref="J10:J73" si="3">IF(F10="","",I10-H10)</f>
        <v>-1.231000000000082E-2</v>
      </c>
      <c r="K10" s="44">
        <f t="shared" ref="K10:K73" si="4">IF(F10="","",K9+H10)</f>
        <v>3.4741500000000003</v>
      </c>
      <c r="L10" s="44">
        <f t="shared" ref="L10:L73" si="5">IF(F10="","",L9+I10)</f>
        <v>-0.83000000000000007</v>
      </c>
      <c r="M10" s="53">
        <f t="shared" ref="M10:M73" si="6">IF(F10="","",L10-K10)</f>
        <v>-4.3041499999999999</v>
      </c>
      <c r="N10" s="228"/>
      <c r="O10" s="229"/>
      <c r="P10" s="230"/>
      <c r="Q10" s="47">
        <v>44610.970138888886</v>
      </c>
      <c r="R10" s="44">
        <f t="shared" si="1"/>
        <v>-9.2325000061807411E-2</v>
      </c>
      <c r="S10" s="44">
        <f t="shared" si="2"/>
        <v>-0.89982229967492755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795</v>
      </c>
      <c r="F11" s="56">
        <v>4.9400000000000004</v>
      </c>
      <c r="G11" s="51"/>
      <c r="H11" s="44">
        <f t="shared" si="0"/>
        <v>0</v>
      </c>
      <c r="I11" s="52">
        <f t="shared" ref="I11:I74" si="7">IF(F11="","",F11-F10-G11)</f>
        <v>-0.69999999999999929</v>
      </c>
      <c r="J11" s="44">
        <f t="shared" si="3"/>
        <v>-0.69999999999999929</v>
      </c>
      <c r="K11" s="44">
        <f t="shared" si="4"/>
        <v>3.4741500000000003</v>
      </c>
      <c r="L11" s="44">
        <f t="shared" si="5"/>
        <v>-1.5299999999999994</v>
      </c>
      <c r="M11" s="53">
        <f t="shared" si="6"/>
        <v>-5.0041499999999992</v>
      </c>
      <c r="N11" s="228"/>
      <c r="O11" s="229"/>
      <c r="P11" s="230"/>
      <c r="Q11" s="47">
        <v>44610.975694444445</v>
      </c>
      <c r="R11" s="44">
        <f t="shared" si="1"/>
        <v>-5.2499999966385023</v>
      </c>
      <c r="S11" s="44">
        <f t="shared" si="2"/>
        <v>-1.0177932203470159</v>
      </c>
    </row>
    <row r="12" spans="1:20" ht="12" customHeight="1" x14ac:dyDescent="0.2">
      <c r="A12" s="37"/>
      <c r="B12" s="48"/>
      <c r="C12" s="49">
        <v>4.37</v>
      </c>
      <c r="D12" s="54"/>
      <c r="E12" s="39">
        <v>904</v>
      </c>
      <c r="F12" s="56">
        <v>5.58</v>
      </c>
      <c r="G12" s="51"/>
      <c r="H12" s="44">
        <f t="shared" si="0"/>
        <v>0.47632999999999998</v>
      </c>
      <c r="I12" s="52">
        <f t="shared" si="7"/>
        <v>0.63999999999999968</v>
      </c>
      <c r="J12" s="44">
        <f t="shared" si="3"/>
        <v>0.1636699999999997</v>
      </c>
      <c r="K12" s="44">
        <f t="shared" si="4"/>
        <v>3.9504800000000002</v>
      </c>
      <c r="L12" s="44">
        <f t="shared" si="5"/>
        <v>-0.88999999999999968</v>
      </c>
      <c r="M12" s="53">
        <f t="shared" si="6"/>
        <v>-4.8404799999999994</v>
      </c>
      <c r="N12" s="228"/>
      <c r="O12" s="229"/>
      <c r="P12" s="230"/>
      <c r="Q12" s="47">
        <v>44610.979166666664</v>
      </c>
      <c r="R12" s="44">
        <f t="shared" si="1"/>
        <v>1.9640400018291513</v>
      </c>
      <c r="S12" s="44">
        <f t="shared" si="2"/>
        <v>-0.96809600002254015</v>
      </c>
    </row>
    <row r="13" spans="1:20" ht="12" customHeight="1" x14ac:dyDescent="0.2">
      <c r="A13" s="37"/>
      <c r="B13" s="48" t="s">
        <v>149</v>
      </c>
      <c r="C13" s="49">
        <v>10.58</v>
      </c>
      <c r="D13" s="54"/>
      <c r="E13" s="39">
        <v>930</v>
      </c>
      <c r="F13" s="40">
        <v>5.97</v>
      </c>
      <c r="G13" s="51"/>
      <c r="H13" s="44">
        <f t="shared" si="0"/>
        <v>0.27507999999999999</v>
      </c>
      <c r="I13" s="52">
        <f t="shared" si="7"/>
        <v>0.38999999999999968</v>
      </c>
      <c r="J13" s="44">
        <f t="shared" si="3"/>
        <v>0.11491999999999969</v>
      </c>
      <c r="K13" s="44">
        <f t="shared" si="4"/>
        <v>4.2255599999999998</v>
      </c>
      <c r="L13" s="44">
        <f t="shared" si="5"/>
        <v>-0.5</v>
      </c>
      <c r="M13" s="53">
        <f t="shared" si="6"/>
        <v>-4.7255599999999998</v>
      </c>
      <c r="N13" s="231"/>
      <c r="O13" s="229"/>
      <c r="P13" s="230"/>
      <c r="Q13" s="47">
        <v>44610.981249999997</v>
      </c>
      <c r="R13" s="44">
        <f t="shared" si="1"/>
        <v>2.2984000005351319</v>
      </c>
      <c r="S13" s="44">
        <f t="shared" si="2"/>
        <v>-0.93575445546927316</v>
      </c>
    </row>
    <row r="14" spans="1:20" ht="12" customHeight="1" x14ac:dyDescent="0.2">
      <c r="A14" s="37"/>
      <c r="B14" s="48"/>
      <c r="C14" s="49">
        <v>10.58</v>
      </c>
      <c r="D14" s="54"/>
      <c r="E14" s="39">
        <v>1035</v>
      </c>
      <c r="F14" s="40">
        <v>6.9</v>
      </c>
      <c r="G14" s="51"/>
      <c r="H14" s="44">
        <f t="shared" ref="H14:H74" si="8">IF(E14="","",((E14-E13)*C14)/1000)</f>
        <v>1.1109</v>
      </c>
      <c r="I14" s="52">
        <f t="shared" si="7"/>
        <v>0.9300000000000006</v>
      </c>
      <c r="J14" s="44">
        <f t="shared" si="3"/>
        <v>-0.18089999999999939</v>
      </c>
      <c r="K14" s="44">
        <f t="shared" si="4"/>
        <v>5.3364599999999998</v>
      </c>
      <c r="L14" s="44">
        <f t="shared" si="5"/>
        <v>0.4300000000000006</v>
      </c>
      <c r="M14" s="53">
        <f t="shared" si="6"/>
        <v>-4.9064599999999992</v>
      </c>
      <c r="N14" s="231"/>
      <c r="O14" s="229"/>
      <c r="P14" s="230"/>
      <c r="Q14" s="47">
        <v>44610.98541666667</v>
      </c>
      <c r="R14" s="44">
        <f t="shared" si="1"/>
        <v>-1.8089999972622548</v>
      </c>
      <c r="S14" s="44">
        <f t="shared" si="2"/>
        <v>-0.95271067960734312</v>
      </c>
    </row>
    <row r="15" spans="1:20" ht="12" customHeight="1" x14ac:dyDescent="0.2">
      <c r="A15" s="37"/>
      <c r="B15" s="48"/>
      <c r="C15" s="49">
        <v>10.58</v>
      </c>
      <c r="D15" s="54"/>
      <c r="E15" s="39">
        <v>1376</v>
      </c>
      <c r="F15" s="40">
        <v>9.48</v>
      </c>
      <c r="G15" s="51"/>
      <c r="H15" s="44">
        <f t="shared" si="8"/>
        <v>3.60778</v>
      </c>
      <c r="I15" s="52">
        <f t="shared" si="7"/>
        <v>2.58</v>
      </c>
      <c r="J15" s="44">
        <f t="shared" si="3"/>
        <v>-1.0277799999999999</v>
      </c>
      <c r="K15" s="44">
        <f t="shared" si="4"/>
        <v>8.9442400000000006</v>
      </c>
      <c r="L15" s="44">
        <f t="shared" si="5"/>
        <v>3.0100000000000007</v>
      </c>
      <c r="M15" s="53">
        <f t="shared" si="6"/>
        <v>-5.93424</v>
      </c>
      <c r="N15" s="231"/>
      <c r="O15" s="229"/>
      <c r="P15" s="230"/>
      <c r="Q15" s="47">
        <v>44610.998611111114</v>
      </c>
      <c r="R15" s="44">
        <f t="shared" si="1"/>
        <v>-3.245621052790669</v>
      </c>
      <c r="S15" s="44">
        <f t="shared" si="2"/>
        <v>-1.0855317073155319</v>
      </c>
    </row>
    <row r="16" spans="1:20" ht="12" customHeight="1" x14ac:dyDescent="0.2">
      <c r="A16" s="37"/>
      <c r="B16" s="48"/>
      <c r="C16" s="49">
        <v>10.58</v>
      </c>
      <c r="D16" s="57"/>
      <c r="E16" s="39">
        <v>1481</v>
      </c>
      <c r="F16" s="40">
        <v>3.8</v>
      </c>
      <c r="G16" s="51">
        <v>-6.5</v>
      </c>
      <c r="H16" s="44">
        <f t="shared" si="8"/>
        <v>1.1109</v>
      </c>
      <c r="I16" s="52">
        <f t="shared" si="7"/>
        <v>0.8199999999999994</v>
      </c>
      <c r="J16" s="44">
        <f t="shared" si="3"/>
        <v>-0.2909000000000006</v>
      </c>
      <c r="K16" s="44">
        <f t="shared" si="4"/>
        <v>10.055140000000002</v>
      </c>
      <c r="L16" s="44">
        <f t="shared" si="5"/>
        <v>3.83</v>
      </c>
      <c r="M16" s="53">
        <f t="shared" si="6"/>
        <v>-6.2251400000000015</v>
      </c>
      <c r="N16" s="228"/>
      <c r="O16" s="229"/>
      <c r="P16" s="230"/>
      <c r="Q16" s="47">
        <v>44611.00277777778</v>
      </c>
      <c r="R16" s="44">
        <f t="shared" si="1"/>
        <v>-2.9090000006773105</v>
      </c>
      <c r="S16" s="44">
        <f t="shared" si="2"/>
        <v>-1.1182886227576094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1691</v>
      </c>
      <c r="F17" s="40">
        <v>5.88</v>
      </c>
      <c r="G17" s="51"/>
      <c r="H17" s="44">
        <f t="shared" ref="H17:H22" si="9">IF(E17="","",((E17-E16)*C17)/1000)</f>
        <v>2.2218</v>
      </c>
      <c r="I17" s="52">
        <f t="shared" si="7"/>
        <v>2.08</v>
      </c>
      <c r="J17" s="44">
        <f t="shared" si="3"/>
        <v>-0.14179999999999993</v>
      </c>
      <c r="K17" s="44">
        <f t="shared" si="4"/>
        <v>12.276940000000002</v>
      </c>
      <c r="L17" s="44">
        <f t="shared" si="5"/>
        <v>5.91</v>
      </c>
      <c r="M17" s="53">
        <f t="shared" si="6"/>
        <v>-6.3669400000000014</v>
      </c>
      <c r="N17" s="231"/>
      <c r="O17" s="229"/>
      <c r="P17" s="230"/>
      <c r="Q17" s="47">
        <v>44611.011111111111</v>
      </c>
      <c r="R17" s="44">
        <f t="shared" si="1"/>
        <v>-0.70900000016507658</v>
      </c>
      <c r="S17" s="44">
        <f t="shared" si="2"/>
        <v>-1.1040936416303848</v>
      </c>
    </row>
    <row r="18" spans="1:19" ht="12" customHeight="1" x14ac:dyDescent="0.2">
      <c r="A18" s="37"/>
      <c r="B18" s="48"/>
      <c r="C18" s="49">
        <v>10.58</v>
      </c>
      <c r="D18" s="54"/>
      <c r="E18" s="39">
        <v>1821</v>
      </c>
      <c r="F18" s="40">
        <v>7.25</v>
      </c>
      <c r="G18" s="40"/>
      <c r="H18" s="44">
        <f t="shared" si="9"/>
        <v>1.3754000000000002</v>
      </c>
      <c r="I18" s="52">
        <f t="shared" si="7"/>
        <v>1.37</v>
      </c>
      <c r="J18" s="44">
        <f t="shared" si="3"/>
        <v>-5.4000000000000714E-3</v>
      </c>
      <c r="K18" s="44">
        <f t="shared" si="4"/>
        <v>13.652340000000002</v>
      </c>
      <c r="L18" s="44">
        <f t="shared" si="5"/>
        <v>7.28</v>
      </c>
      <c r="M18" s="53">
        <f t="shared" si="6"/>
        <v>-6.3723400000000021</v>
      </c>
      <c r="N18" s="228"/>
      <c r="O18" s="229"/>
      <c r="P18" s="230"/>
      <c r="Q18" s="47">
        <v>44611.018055555556</v>
      </c>
      <c r="R18" s="44">
        <f t="shared" si="1"/>
        <v>-3.2399999996228571E-2</v>
      </c>
      <c r="S18" s="44">
        <f t="shared" si="2"/>
        <v>-1.0739898876481764</v>
      </c>
    </row>
    <row r="19" spans="1:19" ht="12" customHeight="1" x14ac:dyDescent="0.2">
      <c r="A19" s="37"/>
      <c r="B19" s="48"/>
      <c r="C19" s="49">
        <v>10.58</v>
      </c>
      <c r="D19" s="54"/>
      <c r="E19" s="39">
        <v>1938</v>
      </c>
      <c r="F19" s="40">
        <v>8.1199999999999992</v>
      </c>
      <c r="G19" s="40"/>
      <c r="H19" s="44">
        <f t="shared" si="9"/>
        <v>1.23786</v>
      </c>
      <c r="I19" s="52">
        <f t="shared" si="7"/>
        <v>0.86999999999999922</v>
      </c>
      <c r="J19" s="44">
        <f t="shared" si="3"/>
        <v>-0.36786000000000074</v>
      </c>
      <c r="K19" s="44">
        <f t="shared" si="4"/>
        <v>14.890200000000002</v>
      </c>
      <c r="L19" s="44">
        <f t="shared" si="5"/>
        <v>8.1499999999999986</v>
      </c>
      <c r="M19" s="53">
        <f t="shared" si="6"/>
        <v>-6.7402000000000033</v>
      </c>
      <c r="N19" s="228"/>
      <c r="O19" s="229"/>
      <c r="P19" s="230"/>
      <c r="Q19" s="47">
        <v>44611.027777777781</v>
      </c>
      <c r="R19" s="44">
        <f t="shared" si="1"/>
        <v>-1.5765428567233546</v>
      </c>
      <c r="S19" s="44">
        <f t="shared" si="2"/>
        <v>-1.0930054054019669</v>
      </c>
    </row>
    <row r="20" spans="1:19" ht="12" customHeight="1" x14ac:dyDescent="0.2">
      <c r="A20" s="37"/>
      <c r="B20" s="48" t="s">
        <v>38</v>
      </c>
      <c r="C20" s="49">
        <v>4.37</v>
      </c>
      <c r="D20" s="54"/>
      <c r="E20" s="39">
        <v>2163</v>
      </c>
      <c r="F20" s="40">
        <v>2.87</v>
      </c>
      <c r="G20" s="40">
        <v>-6.2</v>
      </c>
      <c r="H20" s="44">
        <f t="shared" si="9"/>
        <v>0.98324999999999996</v>
      </c>
      <c r="I20" s="52">
        <f t="shared" si="7"/>
        <v>0.95000000000000107</v>
      </c>
      <c r="J20" s="44">
        <f t="shared" si="3"/>
        <v>-3.3249999999998892E-2</v>
      </c>
      <c r="K20" s="44">
        <f t="shared" si="4"/>
        <v>15.873450000000002</v>
      </c>
      <c r="L20" s="44">
        <f t="shared" si="5"/>
        <v>9.1</v>
      </c>
      <c r="M20" s="53">
        <f t="shared" si="6"/>
        <v>-6.7734500000000022</v>
      </c>
      <c r="N20" s="242"/>
      <c r="O20" s="229"/>
      <c r="P20" s="230"/>
      <c r="Q20" s="47">
        <v>44611.042361111111</v>
      </c>
      <c r="R20" s="44">
        <f t="shared" si="1"/>
        <v>-9.5000000022115741E-2</v>
      </c>
      <c r="S20" s="44">
        <f t="shared" si="2"/>
        <v>-1.0394040920815146</v>
      </c>
    </row>
    <row r="21" spans="1:19" ht="12" customHeight="1" x14ac:dyDescent="0.2">
      <c r="A21" s="37"/>
      <c r="B21" s="48"/>
      <c r="C21" s="49">
        <v>4.37</v>
      </c>
      <c r="D21" s="54"/>
      <c r="E21" s="39">
        <v>2217</v>
      </c>
      <c r="F21" s="40">
        <v>3.21</v>
      </c>
      <c r="G21" s="51"/>
      <c r="H21" s="44">
        <f t="shared" si="9"/>
        <v>0.23598000000000002</v>
      </c>
      <c r="I21" s="52">
        <f t="shared" si="7"/>
        <v>0.33999999999999986</v>
      </c>
      <c r="J21" s="44">
        <f t="shared" si="3"/>
        <v>0.10401999999999983</v>
      </c>
      <c r="K21" s="44">
        <f t="shared" si="4"/>
        <v>16.109430000000003</v>
      </c>
      <c r="L21" s="44">
        <f t="shared" si="5"/>
        <v>9.44</v>
      </c>
      <c r="M21" s="53">
        <f t="shared" si="6"/>
        <v>-6.6694300000000037</v>
      </c>
      <c r="N21" s="228"/>
      <c r="O21" s="229"/>
      <c r="P21" s="230"/>
      <c r="Q21" s="47">
        <v>44611.04583333333</v>
      </c>
      <c r="R21" s="44">
        <f t="shared" si="1"/>
        <v>1.2482400011625121</v>
      </c>
      <c r="S21" s="44">
        <f t="shared" si="2"/>
        <v>-1.0105196969910866</v>
      </c>
    </row>
    <row r="22" spans="1:19" ht="12" customHeight="1" x14ac:dyDescent="0.2">
      <c r="A22" s="37"/>
      <c r="B22" s="48"/>
      <c r="C22" s="49">
        <v>4.37</v>
      </c>
      <c r="D22" s="54"/>
      <c r="E22" s="39">
        <v>2353</v>
      </c>
      <c r="F22" s="40">
        <v>3.82</v>
      </c>
      <c r="G22" s="51"/>
      <c r="H22" s="44">
        <f t="shared" si="9"/>
        <v>0.59432000000000007</v>
      </c>
      <c r="I22" s="52">
        <f t="shared" si="7"/>
        <v>0.60999999999999988</v>
      </c>
      <c r="J22" s="44">
        <f t="shared" si="3"/>
        <v>1.5679999999999805E-2</v>
      </c>
      <c r="K22" s="44">
        <f t="shared" si="4"/>
        <v>16.703750000000003</v>
      </c>
      <c r="L22" s="44">
        <f t="shared" si="5"/>
        <v>10.049999999999999</v>
      </c>
      <c r="M22" s="53">
        <f t="shared" si="6"/>
        <v>-6.6537500000000041</v>
      </c>
      <c r="N22" s="228"/>
      <c r="O22" s="229"/>
      <c r="P22" s="230"/>
      <c r="Q22" s="47">
        <v>44611.052083333336</v>
      </c>
      <c r="R22" s="44">
        <f t="shared" si="1"/>
        <v>0.10453333323597779</v>
      </c>
      <c r="S22" s="44">
        <f t="shared" si="2"/>
        <v>-0.98574074074074136</v>
      </c>
    </row>
    <row r="23" spans="1:19" ht="12" customHeight="1" x14ac:dyDescent="0.2">
      <c r="A23" s="37"/>
      <c r="B23" s="48"/>
      <c r="C23" s="49">
        <v>4.37</v>
      </c>
      <c r="D23" s="54"/>
      <c r="E23" s="39">
        <v>2457</v>
      </c>
      <c r="F23" s="40">
        <v>3.06</v>
      </c>
      <c r="G23" s="51"/>
      <c r="H23" s="44">
        <f t="shared" si="8"/>
        <v>0.45448</v>
      </c>
      <c r="I23" s="52">
        <f t="shared" si="7"/>
        <v>-0.75999999999999979</v>
      </c>
      <c r="J23" s="44">
        <f t="shared" si="3"/>
        <v>-1.2144799999999998</v>
      </c>
      <c r="K23" s="44">
        <f t="shared" si="4"/>
        <v>17.158230000000003</v>
      </c>
      <c r="L23" s="44">
        <f t="shared" si="5"/>
        <v>9.2899999999999991</v>
      </c>
      <c r="M23" s="53">
        <f t="shared" si="6"/>
        <v>-7.8682300000000041</v>
      </c>
      <c r="N23" s="228"/>
      <c r="O23" s="229"/>
      <c r="P23" s="230"/>
      <c r="Q23" s="47">
        <v>44611.088194444441</v>
      </c>
      <c r="R23" s="44">
        <f t="shared" si="1"/>
        <v>-1.401323077155231</v>
      </c>
      <c r="S23" s="44">
        <f t="shared" si="2"/>
        <v>-1.033028008772209</v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8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8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>
        <v>4.37</v>
      </c>
      <c r="D27" s="58"/>
      <c r="E27" s="39">
        <v>2469</v>
      </c>
      <c r="F27" s="40">
        <v>47.92</v>
      </c>
      <c r="G27" s="51"/>
      <c r="H27" s="44">
        <f t="shared" si="8"/>
        <v>10.789530000000001</v>
      </c>
      <c r="I27" s="52">
        <f>IF(F27="","",F27-F26-G27)</f>
        <v>47.92</v>
      </c>
      <c r="J27" s="44">
        <f>IF(F27="","",I27-H27)</f>
        <v>37.130470000000003</v>
      </c>
      <c r="K27" s="44" t="e">
        <f>IF(F27="","",K26+H27)</f>
        <v>#VALUE!</v>
      </c>
      <c r="L27" s="44" t="e">
        <f>IF(F27="","",L26+I27)</f>
        <v>#VALUE!</v>
      </c>
      <c r="M27" s="53" t="e">
        <f>IF(F27="","",L27-K27)</f>
        <v>#VALUE!</v>
      </c>
      <c r="N27" s="231"/>
      <c r="O27" s="229"/>
      <c r="P27" s="230"/>
      <c r="Q27" s="47">
        <v>44611.114583333336</v>
      </c>
      <c r="R27" s="44">
        <f t="shared" si="1"/>
        <v>3.4679763801388251E-5</v>
      </c>
      <c r="S27" s="44" t="e">
        <f t="shared" si="2"/>
        <v>#VALUE!</v>
      </c>
    </row>
    <row r="28" spans="1:19" ht="12" customHeight="1" x14ac:dyDescent="0.2">
      <c r="A28" s="37"/>
      <c r="B28" s="48"/>
      <c r="C28" s="49">
        <v>4.37</v>
      </c>
      <c r="D28" s="58"/>
      <c r="E28" s="39">
        <v>2469</v>
      </c>
      <c r="F28" s="40">
        <v>46.64</v>
      </c>
      <c r="G28" s="51"/>
      <c r="H28" s="44">
        <f t="shared" si="8"/>
        <v>0</v>
      </c>
      <c r="I28" s="52">
        <f>IF(F28="","",F28-F27-G28)</f>
        <v>-1.2800000000000011</v>
      </c>
      <c r="J28" s="44">
        <f t="shared" si="3"/>
        <v>-1.2800000000000011</v>
      </c>
      <c r="K28" s="44" t="e">
        <f t="shared" si="4"/>
        <v>#VALUE!</v>
      </c>
      <c r="L28" s="44" t="e">
        <f t="shared" si="5"/>
        <v>#VALUE!</v>
      </c>
      <c r="M28" s="53" t="e">
        <f t="shared" si="6"/>
        <v>#VALUE!</v>
      </c>
      <c r="N28" s="231"/>
      <c r="O28" s="229"/>
      <c r="P28" s="230"/>
      <c r="Q28" s="47">
        <v>44611.135416666664</v>
      </c>
      <c r="R28" s="44">
        <f t="shared" si="1"/>
        <v>-2.5600000005960486</v>
      </c>
      <c r="S28" s="44" t="e">
        <f t="shared" si="2"/>
        <v>#VALUE!</v>
      </c>
    </row>
    <row r="29" spans="1:19" ht="12" customHeight="1" x14ac:dyDescent="0.2">
      <c r="A29" s="37"/>
      <c r="B29" s="48"/>
      <c r="C29" s="49">
        <v>4.37</v>
      </c>
      <c r="D29" s="58"/>
      <c r="E29" s="39">
        <v>2469</v>
      </c>
      <c r="F29" s="40">
        <v>42.94</v>
      </c>
      <c r="G29" s="51"/>
      <c r="H29" s="44">
        <f t="shared" si="8"/>
        <v>0</v>
      </c>
      <c r="I29" s="52">
        <f t="shared" si="7"/>
        <v>-3.7000000000000028</v>
      </c>
      <c r="J29" s="44">
        <f t="shared" si="3"/>
        <v>-3.7000000000000028</v>
      </c>
      <c r="K29" s="44" t="e">
        <f t="shared" si="4"/>
        <v>#VALUE!</v>
      </c>
      <c r="L29" s="44" t="e">
        <f t="shared" si="5"/>
        <v>#VALUE!</v>
      </c>
      <c r="M29" s="53" t="e">
        <f t="shared" si="6"/>
        <v>#VALUE!</v>
      </c>
      <c r="N29" s="228"/>
      <c r="O29" s="229"/>
      <c r="P29" s="230"/>
      <c r="Q29" s="47">
        <v>44611.15625</v>
      </c>
      <c r="R29" s="44">
        <f t="shared" si="1"/>
        <v>-7.3999999991385321</v>
      </c>
      <c r="S29" s="44" t="e">
        <f t="shared" si="2"/>
        <v>#VALUE!</v>
      </c>
    </row>
    <row r="30" spans="1:19" ht="12" customHeight="1" x14ac:dyDescent="0.2">
      <c r="A30" s="37"/>
      <c r="B30" s="48"/>
      <c r="C30" s="49">
        <v>4.37</v>
      </c>
      <c r="D30" s="58"/>
      <c r="E30" s="39">
        <v>2469</v>
      </c>
      <c r="F30" s="40">
        <v>38.71</v>
      </c>
      <c r="G30" s="59"/>
      <c r="H30" s="44">
        <f t="shared" si="8"/>
        <v>0</v>
      </c>
      <c r="I30" s="52">
        <f t="shared" si="7"/>
        <v>-4.2299999999999969</v>
      </c>
      <c r="J30" s="44">
        <f t="shared" si="3"/>
        <v>-4.2299999999999969</v>
      </c>
      <c r="K30" s="44" t="e">
        <f t="shared" si="4"/>
        <v>#VALUE!</v>
      </c>
      <c r="L30" s="44" t="e">
        <f t="shared" si="5"/>
        <v>#VALUE!</v>
      </c>
      <c r="M30" s="53" t="e">
        <f t="shared" si="6"/>
        <v>#VALUE!</v>
      </c>
      <c r="N30" s="228"/>
      <c r="O30" s="229"/>
      <c r="P30" s="230"/>
      <c r="Q30" s="47">
        <v>44611.166666666664</v>
      </c>
      <c r="R30" s="44">
        <f t="shared" si="1"/>
        <v>-16.920000003939482</v>
      </c>
      <c r="S30" s="44" t="e">
        <f t="shared" si="2"/>
        <v>#VALUE!</v>
      </c>
    </row>
    <row r="31" spans="1:19" ht="12" customHeight="1" x14ac:dyDescent="0.2">
      <c r="A31" s="37"/>
      <c r="B31" s="48"/>
      <c r="C31" s="49">
        <v>4.37</v>
      </c>
      <c r="D31" s="58"/>
      <c r="E31" s="39">
        <v>2469</v>
      </c>
      <c r="F31" s="40">
        <v>60.71</v>
      </c>
      <c r="G31" s="51">
        <v>22.17</v>
      </c>
      <c r="H31" s="44">
        <f t="shared" si="8"/>
        <v>0</v>
      </c>
      <c r="I31" s="52">
        <f t="shared" si="7"/>
        <v>-0.17000000000000171</v>
      </c>
      <c r="J31" s="44">
        <f t="shared" si="3"/>
        <v>-0.17000000000000171</v>
      </c>
      <c r="K31" s="44" t="e">
        <f t="shared" si="4"/>
        <v>#VALUE!</v>
      </c>
      <c r="L31" s="44" t="e">
        <f t="shared" si="5"/>
        <v>#VALUE!</v>
      </c>
      <c r="M31" s="53" t="e">
        <f t="shared" si="6"/>
        <v>#VALUE!</v>
      </c>
      <c r="N31" s="231"/>
      <c r="O31" s="229"/>
      <c r="P31" s="230"/>
      <c r="Q31" s="47">
        <v>44611.176388888889</v>
      </c>
      <c r="R31" s="44">
        <f t="shared" si="1"/>
        <v>-0.72857142837756872</v>
      </c>
      <c r="S31" s="44" t="e">
        <f t="shared" si="2"/>
        <v>#VALUE!</v>
      </c>
    </row>
    <row r="32" spans="1:19" ht="12" customHeight="1" x14ac:dyDescent="0.2">
      <c r="A32" s="37"/>
      <c r="B32" s="48"/>
      <c r="C32" s="49">
        <v>4.37</v>
      </c>
      <c r="D32" s="58"/>
      <c r="E32" s="39">
        <v>2469</v>
      </c>
      <c r="F32" s="40">
        <v>87.5</v>
      </c>
      <c r="G32" s="51">
        <v>50</v>
      </c>
      <c r="H32" s="44">
        <f t="shared" si="8"/>
        <v>0</v>
      </c>
      <c r="I32" s="52">
        <f t="shared" si="7"/>
        <v>-23.21</v>
      </c>
      <c r="J32" s="44">
        <f t="shared" si="3"/>
        <v>-23.21</v>
      </c>
      <c r="K32" s="44" t="e">
        <f t="shared" si="4"/>
        <v>#VALUE!</v>
      </c>
      <c r="L32" s="44" t="e">
        <f t="shared" si="5"/>
        <v>#VALUE!</v>
      </c>
      <c r="M32" s="53" t="e">
        <f t="shared" si="6"/>
        <v>#VALUE!</v>
      </c>
      <c r="N32" s="228"/>
      <c r="O32" s="229"/>
      <c r="P32" s="230"/>
      <c r="Q32" s="47">
        <v>44611.375</v>
      </c>
      <c r="R32" s="44">
        <f t="shared" si="1"/>
        <v>-4.8692307692347336</v>
      </c>
      <c r="S32" s="44" t="e">
        <f t="shared" si="2"/>
        <v>#VALUE!</v>
      </c>
    </row>
    <row r="33" spans="1:19" ht="12" customHeight="1" x14ac:dyDescent="0.2">
      <c r="A33" s="37"/>
      <c r="B33" s="48"/>
      <c r="C33" s="49">
        <v>4.37</v>
      </c>
      <c r="D33" s="58"/>
      <c r="E33" s="39">
        <v>2469</v>
      </c>
      <c r="F33" s="40">
        <v>52.45</v>
      </c>
      <c r="G33" s="51">
        <f>-81.1+57.8</f>
        <v>-23.299999999999997</v>
      </c>
      <c r="H33" s="44">
        <f t="shared" si="8"/>
        <v>0</v>
      </c>
      <c r="I33" s="52">
        <f t="shared" si="7"/>
        <v>-11.75</v>
      </c>
      <c r="J33" s="44">
        <f t="shared" si="3"/>
        <v>-11.75</v>
      </c>
      <c r="K33" s="44" t="e">
        <f t="shared" si="4"/>
        <v>#VALUE!</v>
      </c>
      <c r="L33" s="44" t="e">
        <f t="shared" si="5"/>
        <v>#VALUE!</v>
      </c>
      <c r="M33" s="53" t="e">
        <f t="shared" si="6"/>
        <v>#VALUE!</v>
      </c>
      <c r="N33" s="231"/>
      <c r="O33" s="229"/>
      <c r="P33" s="230"/>
      <c r="Q33" s="47">
        <v>44611.416666666664</v>
      </c>
      <c r="R33" s="44">
        <f t="shared" si="1"/>
        <v>-11.75000000068394</v>
      </c>
      <c r="S33" s="44" t="e">
        <f t="shared" si="2"/>
        <v>#VALUE!</v>
      </c>
    </row>
    <row r="34" spans="1:19" ht="12" customHeight="1" x14ac:dyDescent="0.2">
      <c r="A34" s="37"/>
      <c r="B34" s="48"/>
      <c r="C34" s="49">
        <v>4.37</v>
      </c>
      <c r="D34" s="58"/>
      <c r="E34" s="39">
        <v>2344</v>
      </c>
      <c r="F34" s="40">
        <v>4.42</v>
      </c>
      <c r="G34" s="51">
        <f>30.9-74.1+4.4</f>
        <v>-38.799999999999997</v>
      </c>
      <c r="H34" s="44">
        <f t="shared" si="8"/>
        <v>-0.54625000000000001</v>
      </c>
      <c r="I34" s="52">
        <f t="shared" si="7"/>
        <v>-9.230000000000004</v>
      </c>
      <c r="J34" s="44">
        <f t="shared" si="3"/>
        <v>-8.6837500000000034</v>
      </c>
      <c r="K34" s="44" t="e">
        <f t="shared" si="4"/>
        <v>#VALUE!</v>
      </c>
      <c r="L34" s="44" t="e">
        <f t="shared" si="5"/>
        <v>#VALUE!</v>
      </c>
      <c r="M34" s="53" t="e">
        <f t="shared" si="6"/>
        <v>#VALUE!</v>
      </c>
      <c r="N34" s="164"/>
      <c r="O34" s="162"/>
      <c r="P34" s="163"/>
      <c r="Q34" s="47">
        <v>44611.45416666667</v>
      </c>
      <c r="R34" s="44">
        <f t="shared" si="1"/>
        <v>-9.6486111096134533</v>
      </c>
      <c r="S34" s="44" t="e">
        <f t="shared" si="2"/>
        <v>#VALUE!</v>
      </c>
    </row>
    <row r="35" spans="1:19" ht="12" customHeight="1" x14ac:dyDescent="0.2">
      <c r="A35" s="37"/>
      <c r="B35" s="48"/>
      <c r="C35" s="49">
        <v>4.37</v>
      </c>
      <c r="D35" s="58"/>
      <c r="E35" s="39">
        <v>2344</v>
      </c>
      <c r="F35" s="40">
        <v>4.4000000000000004</v>
      </c>
      <c r="G35" s="51"/>
      <c r="H35" s="44">
        <f t="shared" si="8"/>
        <v>0</v>
      </c>
      <c r="I35" s="52">
        <f t="shared" si="7"/>
        <v>-1.9999999999999574E-2</v>
      </c>
      <c r="J35" s="44">
        <f t="shared" si="3"/>
        <v>-1.9999999999999574E-2</v>
      </c>
      <c r="K35" s="44" t="e">
        <f t="shared" si="4"/>
        <v>#VALUE!</v>
      </c>
      <c r="L35" s="44" t="e">
        <f t="shared" si="5"/>
        <v>#VALUE!</v>
      </c>
      <c r="M35" s="53" t="e">
        <f t="shared" si="6"/>
        <v>#VALUE!</v>
      </c>
      <c r="N35" s="228" t="s">
        <v>95</v>
      </c>
      <c r="O35" s="229"/>
      <c r="P35" s="230"/>
      <c r="Q35" s="47">
        <v>44611.461111111108</v>
      </c>
      <c r="R35" s="44">
        <f t="shared" si="1"/>
        <v>-0.12000000011175616</v>
      </c>
      <c r="S35" s="44" t="e">
        <f t="shared" si="2"/>
        <v>#VALUE!</v>
      </c>
    </row>
    <row r="36" spans="1:19" ht="12" customHeight="1" x14ac:dyDescent="0.2">
      <c r="A36" s="37"/>
      <c r="B36" s="48"/>
      <c r="C36" s="49">
        <v>4.37</v>
      </c>
      <c r="D36" s="58"/>
      <c r="E36" s="39">
        <v>2004</v>
      </c>
      <c r="F36" s="56">
        <v>5.68</v>
      </c>
      <c r="G36" s="51">
        <f>-4.31+8.96</f>
        <v>4.6500000000000012</v>
      </c>
      <c r="H36" s="44">
        <f t="shared" si="8"/>
        <v>-1.4858</v>
      </c>
      <c r="I36" s="52">
        <f t="shared" si="7"/>
        <v>-3.3700000000000019</v>
      </c>
      <c r="J36" s="44">
        <f t="shared" si="3"/>
        <v>-1.8842000000000019</v>
      </c>
      <c r="K36" s="44" t="e">
        <f t="shared" si="4"/>
        <v>#VALUE!</v>
      </c>
      <c r="L36" s="44" t="e">
        <f t="shared" si="5"/>
        <v>#VALUE!</v>
      </c>
      <c r="M36" s="53" t="e">
        <f t="shared" si="6"/>
        <v>#VALUE!</v>
      </c>
      <c r="N36" s="231"/>
      <c r="O36" s="229"/>
      <c r="P36" s="230"/>
      <c r="Q36" s="47">
        <v>44611.559027777781</v>
      </c>
      <c r="R36" s="44">
        <f t="shared" si="1"/>
        <v>-0.80178723399091889</v>
      </c>
      <c r="S36" s="44" t="e">
        <f t="shared" si="2"/>
        <v>#VALUE!</v>
      </c>
    </row>
    <row r="37" spans="1:19" ht="12" customHeight="1" x14ac:dyDescent="0.2">
      <c r="A37" s="37"/>
      <c r="B37" s="48"/>
      <c r="C37" s="49">
        <v>4.37</v>
      </c>
      <c r="D37" s="58">
        <v>78</v>
      </c>
      <c r="E37" s="50">
        <v>1990</v>
      </c>
      <c r="F37" s="56">
        <v>5.29</v>
      </c>
      <c r="G37" s="51"/>
      <c r="H37" s="44">
        <f t="shared" si="8"/>
        <v>-6.1179999999999998E-2</v>
      </c>
      <c r="I37" s="52">
        <f t="shared" si="7"/>
        <v>-0.38999999999999968</v>
      </c>
      <c r="J37" s="44">
        <f t="shared" si="3"/>
        <v>-0.32881999999999967</v>
      </c>
      <c r="K37" s="44" t="e">
        <f t="shared" si="4"/>
        <v>#VALUE!</v>
      </c>
      <c r="L37" s="44" t="e">
        <f t="shared" si="5"/>
        <v>#VALUE!</v>
      </c>
      <c r="M37" s="53" t="e">
        <f t="shared" si="6"/>
        <v>#VALUE!</v>
      </c>
      <c r="N37" s="228"/>
      <c r="O37" s="229"/>
      <c r="P37" s="230"/>
      <c r="Q37" s="47">
        <v>44611.565972222219</v>
      </c>
      <c r="R37" s="44">
        <f t="shared" si="1"/>
        <v>-1.9729200018374229</v>
      </c>
      <c r="S37" s="44" t="e">
        <f t="shared" si="2"/>
        <v>#VALUE!</v>
      </c>
    </row>
    <row r="38" spans="1:19" ht="12" customHeight="1" x14ac:dyDescent="0.2">
      <c r="A38" s="37"/>
      <c r="B38" s="48" t="s">
        <v>149</v>
      </c>
      <c r="C38" s="49">
        <v>10.58</v>
      </c>
      <c r="D38" s="58">
        <v>52</v>
      </c>
      <c r="E38" s="50">
        <v>1337</v>
      </c>
      <c r="F38" s="56">
        <v>6.3</v>
      </c>
      <c r="G38" s="51">
        <f>-2.69+7.23-1.82+7.75</f>
        <v>10.47</v>
      </c>
      <c r="H38" s="44">
        <f t="shared" si="8"/>
        <v>-6.9087399999999999</v>
      </c>
      <c r="I38" s="52">
        <f t="shared" si="7"/>
        <v>-9.4600000000000009</v>
      </c>
      <c r="J38" s="44">
        <f t="shared" si="3"/>
        <v>-2.551260000000001</v>
      </c>
      <c r="K38" s="44" t="e">
        <f t="shared" si="4"/>
        <v>#VALUE!</v>
      </c>
      <c r="L38" s="44" t="e">
        <f t="shared" si="5"/>
        <v>#VALUE!</v>
      </c>
      <c r="M38" s="53" t="e">
        <f t="shared" si="6"/>
        <v>#VALUE!</v>
      </c>
      <c r="N38" s="228"/>
      <c r="O38" s="229"/>
      <c r="P38" s="230"/>
      <c r="Q38" s="47">
        <v>44611.612500000003</v>
      </c>
      <c r="R38" s="44">
        <f t="shared" si="1"/>
        <v>-2.2847104474594917</v>
      </c>
      <c r="S38" s="44" t="e">
        <f t="shared" si="2"/>
        <v>#VALUE!</v>
      </c>
    </row>
    <row r="39" spans="1:19" ht="12" customHeight="1" x14ac:dyDescent="0.2">
      <c r="A39" s="37"/>
      <c r="B39" s="48"/>
      <c r="C39" s="49">
        <v>10.58</v>
      </c>
      <c r="D39" s="58">
        <v>43</v>
      </c>
      <c r="E39" s="50">
        <v>1100</v>
      </c>
      <c r="F39" s="56">
        <v>2.7</v>
      </c>
      <c r="G39" s="51"/>
      <c r="H39" s="44">
        <f t="shared" si="8"/>
        <v>-2.50746</v>
      </c>
      <c r="I39" s="52">
        <f t="shared" si="7"/>
        <v>-3.5999999999999996</v>
      </c>
      <c r="J39" s="44">
        <f t="shared" si="3"/>
        <v>-1.0925399999999996</v>
      </c>
      <c r="K39" s="44" t="e">
        <f t="shared" si="4"/>
        <v>#VALUE!</v>
      </c>
      <c r="L39" s="44" t="e">
        <f t="shared" si="5"/>
        <v>#VALUE!</v>
      </c>
      <c r="M39" s="53" t="e">
        <f t="shared" si="6"/>
        <v>#VALUE!</v>
      </c>
      <c r="N39" s="228"/>
      <c r="O39" s="229"/>
      <c r="P39" s="230"/>
      <c r="Q39" s="47">
        <v>44611.627083333333</v>
      </c>
      <c r="R39" s="44">
        <f t="shared" si="1"/>
        <v>-3.1215428578696467</v>
      </c>
      <c r="S39" s="44" t="e">
        <f t="shared" si="2"/>
        <v>#VALUE!</v>
      </c>
    </row>
    <row r="40" spans="1:19" ht="12" customHeight="1" x14ac:dyDescent="0.2">
      <c r="A40" s="37"/>
      <c r="B40" s="48"/>
      <c r="C40" s="49">
        <v>10.58</v>
      </c>
      <c r="D40" s="58">
        <v>31</v>
      </c>
      <c r="E40" s="50">
        <v>786</v>
      </c>
      <c r="F40" s="56">
        <v>4.95</v>
      </c>
      <c r="G40" s="51">
        <f>-2.22+8.28</f>
        <v>6.0599999999999987</v>
      </c>
      <c r="H40" s="44">
        <f t="shared" si="8"/>
        <v>-3.32212</v>
      </c>
      <c r="I40" s="52">
        <f t="shared" si="7"/>
        <v>-3.8099999999999987</v>
      </c>
      <c r="J40" s="44">
        <f t="shared" si="3"/>
        <v>-0.48787999999999876</v>
      </c>
      <c r="K40" s="44" t="e">
        <f t="shared" si="4"/>
        <v>#VALUE!</v>
      </c>
      <c r="L40" s="44" t="e">
        <f t="shared" si="5"/>
        <v>#VALUE!</v>
      </c>
      <c r="M40" s="53" t="e">
        <f t="shared" si="6"/>
        <v>#VALUE!</v>
      </c>
      <c r="N40" s="231"/>
      <c r="O40" s="229"/>
      <c r="P40" s="230"/>
      <c r="Q40" s="47">
        <v>44611.656944444447</v>
      </c>
      <c r="R40" s="44">
        <f t="shared" si="1"/>
        <v>-0.68076279063500889</v>
      </c>
      <c r="S40" s="44" t="e">
        <f t="shared" si="2"/>
        <v>#VALUE!</v>
      </c>
    </row>
    <row r="41" spans="1:19" ht="12" customHeight="1" x14ac:dyDescent="0.2">
      <c r="A41" s="37"/>
      <c r="B41" s="48" t="s">
        <v>38</v>
      </c>
      <c r="C41" s="49">
        <v>4.37</v>
      </c>
      <c r="D41" s="58">
        <v>18</v>
      </c>
      <c r="E41" s="50">
        <v>432</v>
      </c>
      <c r="F41" s="40">
        <v>4.05</v>
      </c>
      <c r="G41" s="51">
        <f>-2.53+4.05</f>
        <v>1.52</v>
      </c>
      <c r="H41" s="44">
        <f t="shared" si="8"/>
        <v>-1.54698</v>
      </c>
      <c r="I41" s="52">
        <f t="shared" si="7"/>
        <v>-2.4200000000000004</v>
      </c>
      <c r="J41" s="44">
        <f t="shared" si="3"/>
        <v>-0.87302000000000035</v>
      </c>
      <c r="K41" s="44" t="e">
        <f t="shared" si="4"/>
        <v>#VALUE!</v>
      </c>
      <c r="L41" s="44" t="e">
        <f t="shared" si="5"/>
        <v>#VALUE!</v>
      </c>
      <c r="M41" s="53" t="e">
        <f t="shared" si="6"/>
        <v>#VALUE!</v>
      </c>
      <c r="N41" s="228"/>
      <c r="O41" s="229"/>
      <c r="P41" s="230"/>
      <c r="Q41" s="47">
        <v>44611.677083333336</v>
      </c>
      <c r="R41" s="44">
        <f t="shared" si="1"/>
        <v>-1.806248275847568</v>
      </c>
      <c r="S41" s="44" t="e">
        <f t="shared" si="2"/>
        <v>#VALUE!</v>
      </c>
    </row>
    <row r="42" spans="1:19" ht="12" customHeight="1" x14ac:dyDescent="0.2">
      <c r="A42" s="37"/>
      <c r="B42" s="48"/>
      <c r="C42" s="49">
        <v>4.37</v>
      </c>
      <c r="D42" s="58"/>
      <c r="E42" s="50">
        <v>432</v>
      </c>
      <c r="F42" s="40">
        <v>3.85</v>
      </c>
      <c r="G42" s="51"/>
      <c r="H42" s="44">
        <f t="shared" si="8"/>
        <v>0</v>
      </c>
      <c r="I42" s="52">
        <f t="shared" si="7"/>
        <v>-0.19999999999999973</v>
      </c>
      <c r="J42" s="44">
        <f t="shared" si="3"/>
        <v>-0.19999999999999973</v>
      </c>
      <c r="K42" s="44" t="e">
        <f t="shared" si="4"/>
        <v>#VALUE!</v>
      </c>
      <c r="L42" s="44" t="e">
        <f t="shared" si="5"/>
        <v>#VALUE!</v>
      </c>
      <c r="M42" s="53" t="e">
        <f t="shared" si="6"/>
        <v>#VALUE!</v>
      </c>
      <c r="N42" s="228" t="s">
        <v>96</v>
      </c>
      <c r="O42" s="229"/>
      <c r="P42" s="230"/>
      <c r="Q42" s="47">
        <v>44611.684027777781</v>
      </c>
      <c r="R42" s="44">
        <f t="shared" si="1"/>
        <v>-1.1999999998602999</v>
      </c>
      <c r="S42" s="44" t="e">
        <f t="shared" si="2"/>
        <v>#VALUE!</v>
      </c>
    </row>
    <row r="43" spans="1:19" ht="12" customHeight="1" x14ac:dyDescent="0.2">
      <c r="A43" s="37"/>
      <c r="B43" s="48"/>
      <c r="C43" s="49">
        <v>4.37</v>
      </c>
      <c r="D43" s="58">
        <v>2</v>
      </c>
      <c r="E43" s="50">
        <v>24</v>
      </c>
      <c r="F43" s="40">
        <v>4.38</v>
      </c>
      <c r="G43" s="51">
        <f>-2.25+6.61</f>
        <v>4.3600000000000003</v>
      </c>
      <c r="H43" s="44">
        <f t="shared" si="8"/>
        <v>-1.7829600000000001</v>
      </c>
      <c r="I43" s="52">
        <f t="shared" si="7"/>
        <v>-3.8300000000000005</v>
      </c>
      <c r="J43" s="44">
        <f t="shared" si="3"/>
        <v>-2.0470400000000004</v>
      </c>
      <c r="K43" s="44" t="e">
        <f t="shared" si="4"/>
        <v>#VALUE!</v>
      </c>
      <c r="L43" s="44" t="e">
        <f t="shared" si="5"/>
        <v>#VALUE!</v>
      </c>
      <c r="M43" s="53" t="e">
        <f t="shared" si="6"/>
        <v>#VALUE!</v>
      </c>
      <c r="N43" s="228"/>
      <c r="O43" s="229"/>
      <c r="P43" s="230"/>
      <c r="Q43" s="47">
        <v>44611.715277777781</v>
      </c>
      <c r="R43" s="44">
        <f t="shared" si="1"/>
        <v>-2.7293866666666671</v>
      </c>
      <c r="S43" s="44" t="e">
        <f t="shared" si="2"/>
        <v>#VALUE!</v>
      </c>
    </row>
    <row r="44" spans="1:19" ht="12" customHeight="1" x14ac:dyDescent="0.2">
      <c r="A44" s="37"/>
      <c r="B44" s="48"/>
      <c r="C44" s="49">
        <v>4.37</v>
      </c>
      <c r="D44" s="58">
        <v>0</v>
      </c>
      <c r="E44" s="50">
        <v>0</v>
      </c>
      <c r="F44" s="56">
        <v>8.4499999999999993</v>
      </c>
      <c r="G44" s="51">
        <f>-3.78+8.45</f>
        <v>4.67</v>
      </c>
      <c r="H44" s="44">
        <f t="shared" si="8"/>
        <v>-0.10488</v>
      </c>
      <c r="I44" s="52">
        <f t="shared" si="7"/>
        <v>-0.60000000000000053</v>
      </c>
      <c r="J44" s="44">
        <f t="shared" si="3"/>
        <v>-0.49512000000000056</v>
      </c>
      <c r="K44" s="44" t="e">
        <f t="shared" si="4"/>
        <v>#VALUE!</v>
      </c>
      <c r="L44" s="44" t="e">
        <f t="shared" si="5"/>
        <v>#VALUE!</v>
      </c>
      <c r="M44" s="53" t="e">
        <f t="shared" si="6"/>
        <v>#VALUE!</v>
      </c>
      <c r="N44" s="243"/>
      <c r="O44" s="244"/>
      <c r="P44" s="245"/>
      <c r="Q44" s="47">
        <v>44611.727777777778</v>
      </c>
      <c r="R44" s="44">
        <f t="shared" si="1"/>
        <v>-1.6504000003842656</v>
      </c>
      <c r="S44" s="44" t="e">
        <f t="shared" si="2"/>
        <v>#VALUE!</v>
      </c>
    </row>
    <row r="45" spans="1:19" ht="12" customHeight="1" x14ac:dyDescent="0.2">
      <c r="A45" s="37"/>
      <c r="B45" s="48"/>
      <c r="C45" s="49">
        <v>4.37</v>
      </c>
      <c r="D45" s="58"/>
      <c r="E45" s="50">
        <v>0</v>
      </c>
      <c r="F45" s="40">
        <v>8.01</v>
      </c>
      <c r="G45" s="51"/>
      <c r="H45" s="44">
        <f t="shared" si="8"/>
        <v>0</v>
      </c>
      <c r="I45" s="52">
        <f t="shared" si="7"/>
        <v>-0.4399999999999995</v>
      </c>
      <c r="J45" s="44">
        <f t="shared" si="3"/>
        <v>-0.4399999999999995</v>
      </c>
      <c r="K45" s="44" t="e">
        <f t="shared" si="4"/>
        <v>#VALUE!</v>
      </c>
      <c r="L45" s="44" t="e">
        <f t="shared" si="5"/>
        <v>#VALUE!</v>
      </c>
      <c r="M45" s="53" t="e">
        <f t="shared" si="6"/>
        <v>#VALUE!</v>
      </c>
      <c r="N45" s="243"/>
      <c r="O45" s="244"/>
      <c r="P45" s="245"/>
      <c r="Q45" s="47">
        <v>44611.748611111114</v>
      </c>
      <c r="R45" s="44">
        <f t="shared" si="1"/>
        <v>-0.87999999989755351</v>
      </c>
      <c r="S45" s="44" t="e">
        <f t="shared" si="2"/>
        <v>#VALUE!</v>
      </c>
    </row>
    <row r="46" spans="1:19" ht="12" customHeight="1" x14ac:dyDescent="0.2">
      <c r="A46" s="37"/>
      <c r="B46" s="48"/>
      <c r="C46" s="49">
        <v>4.37</v>
      </c>
      <c r="D46" s="58"/>
      <c r="E46" s="50">
        <v>0</v>
      </c>
      <c r="F46" s="40">
        <v>7.77</v>
      </c>
      <c r="G46" s="51"/>
      <c r="H46" s="44">
        <f t="shared" si="8"/>
        <v>0</v>
      </c>
      <c r="I46" s="52">
        <f t="shared" si="7"/>
        <v>-0.24000000000000021</v>
      </c>
      <c r="J46" s="44">
        <f t="shared" si="3"/>
        <v>-0.24000000000000021</v>
      </c>
      <c r="K46" s="44" t="e">
        <f t="shared" si="4"/>
        <v>#VALUE!</v>
      </c>
      <c r="L46" s="44" t="e">
        <f t="shared" si="5"/>
        <v>#VALUE!</v>
      </c>
      <c r="M46" s="53" t="e">
        <f t="shared" si="6"/>
        <v>#VALUE!</v>
      </c>
      <c r="N46" s="243"/>
      <c r="O46" s="244"/>
      <c r="P46" s="245"/>
      <c r="Q46" s="47">
        <v>44611.760416666664</v>
      </c>
      <c r="R46" s="44">
        <f t="shared" si="1"/>
        <v>-0.84705882390065257</v>
      </c>
      <c r="S46" s="44" t="e">
        <f t="shared" si="2"/>
        <v>#VALUE!</v>
      </c>
    </row>
    <row r="47" spans="1:19" ht="12" customHeight="1" x14ac:dyDescent="0.2">
      <c r="A47" s="37"/>
      <c r="B47" s="48"/>
      <c r="C47" s="49">
        <v>4.37</v>
      </c>
      <c r="D47" s="58"/>
      <c r="E47" s="50">
        <v>0</v>
      </c>
      <c r="F47" s="40">
        <v>6.23</v>
      </c>
      <c r="G47" s="51"/>
      <c r="H47" s="44">
        <f t="shared" si="8"/>
        <v>0</v>
      </c>
      <c r="I47" s="52">
        <f t="shared" si="7"/>
        <v>-1.5399999999999991</v>
      </c>
      <c r="J47" s="44">
        <f t="shared" si="3"/>
        <v>-1.5399999999999991</v>
      </c>
      <c r="K47" s="44" t="e">
        <f t="shared" si="4"/>
        <v>#VALUE!</v>
      </c>
      <c r="L47" s="44" t="e">
        <f t="shared" si="5"/>
        <v>#VALUE!</v>
      </c>
      <c r="M47" s="53" t="e">
        <f t="shared" si="6"/>
        <v>#VALUE!</v>
      </c>
      <c r="N47" s="243"/>
      <c r="O47" s="244"/>
      <c r="P47" s="245"/>
      <c r="Q47" s="47">
        <v>44611.8</v>
      </c>
      <c r="R47" s="44">
        <f t="shared" si="1"/>
        <v>-1.6210526313604339</v>
      </c>
      <c r="S47" s="44" t="e">
        <f t="shared" si="2"/>
        <v>#VALUE!</v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>
        <v>4.37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>
        <v>4.37</v>
      </c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>
        <v>4.37</v>
      </c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12"/>
  <sheetViews>
    <sheetView zoomScaleNormal="100" workbookViewId="0">
      <selection activeCell="E22" sqref="E22:F22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21</v>
      </c>
      <c r="F6" s="40">
        <v>6.11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44610.283333333333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10</v>
      </c>
      <c r="E7" s="39">
        <v>225</v>
      </c>
      <c r="F7" s="40">
        <v>6.34</v>
      </c>
      <c r="G7" s="51"/>
      <c r="H7" s="44">
        <f t="shared" ref="H7:H13" si="0">IF(E7="","",((E7-E6)*C7)/1000)</f>
        <v>0.89148000000000005</v>
      </c>
      <c r="I7" s="52">
        <f>IF(F7="","",F7-F6-G7)</f>
        <v>0.22999999999999954</v>
      </c>
      <c r="J7" s="44">
        <f>IF(F7="","",I7-H7)</f>
        <v>-0.66148000000000051</v>
      </c>
      <c r="K7" s="44">
        <f>IF(F7="","",K6+H7)</f>
        <v>0.89148000000000005</v>
      </c>
      <c r="L7" s="44">
        <f>IF(F7="","",L6+I7)</f>
        <v>0.22999999999999954</v>
      </c>
      <c r="M7" s="53">
        <f>IF(F7="","",L7-K7)</f>
        <v>-0.66148000000000051</v>
      </c>
      <c r="N7" s="231"/>
      <c r="O7" s="229"/>
      <c r="P7" s="230"/>
      <c r="Q7" s="47">
        <v>44610.310416666667</v>
      </c>
      <c r="R7" s="44">
        <f t="shared" ref="R7:R70" si="1">IF(Q7="","",J7/((Q7-Q6)*24))</f>
        <v>-1.0176615384250864</v>
      </c>
      <c r="S7" s="44">
        <f t="shared" ref="S7:S70" si="2">IF(Q7="","",M7/((Q7-$Q$6)*24))</f>
        <v>-1.0176615384250864</v>
      </c>
    </row>
    <row r="8" spans="1:20" ht="12" customHeight="1" x14ac:dyDescent="0.2">
      <c r="A8" s="37"/>
      <c r="B8" s="48"/>
      <c r="C8" s="49">
        <v>4.37</v>
      </c>
      <c r="D8" s="54">
        <v>33</v>
      </c>
      <c r="E8" s="39">
        <v>851</v>
      </c>
      <c r="F8" s="40">
        <v>8.4</v>
      </c>
      <c r="G8" s="51"/>
      <c r="H8" s="44">
        <f t="shared" si="0"/>
        <v>2.7356199999999999</v>
      </c>
      <c r="I8" s="52">
        <f>IF(F8="","",F8-F7-G8)</f>
        <v>2.0600000000000005</v>
      </c>
      <c r="J8" s="44">
        <f>IF(F8="","",I8-H8)</f>
        <v>-0.67561999999999944</v>
      </c>
      <c r="K8" s="44">
        <f>IF(F8="","",K7+H8)</f>
        <v>3.6271</v>
      </c>
      <c r="L8" s="44">
        <f>IF(F8="","",L7+I8)</f>
        <v>2.29</v>
      </c>
      <c r="M8" s="53">
        <f>IF(F8="","",L8-K8)</f>
        <v>-1.3371</v>
      </c>
      <c r="N8" s="231"/>
      <c r="O8" s="229"/>
      <c r="P8" s="230"/>
      <c r="Q8" s="47">
        <v>44610.338194444441</v>
      </c>
      <c r="R8" s="44">
        <f t="shared" si="1"/>
        <v>-1.0134300001474725</v>
      </c>
      <c r="S8" s="44">
        <f t="shared" si="2"/>
        <v>-1.0155189873986383</v>
      </c>
      <c r="T8" s="55"/>
    </row>
    <row r="9" spans="1:20" ht="12" customHeight="1" x14ac:dyDescent="0.2">
      <c r="A9" s="37"/>
      <c r="B9" s="48" t="s">
        <v>149</v>
      </c>
      <c r="C9" s="49">
        <v>10.58</v>
      </c>
      <c r="D9" s="54">
        <v>40</v>
      </c>
      <c r="E9" s="39">
        <v>1034</v>
      </c>
      <c r="F9" s="40">
        <v>4.4800000000000004</v>
      </c>
      <c r="G9" s="51">
        <f>-8.5+3.08</f>
        <v>-5.42</v>
      </c>
      <c r="H9" s="44">
        <f t="shared" si="0"/>
        <v>1.9361400000000002</v>
      </c>
      <c r="I9" s="52">
        <f>IF(F9="","",F9-F8-G9)</f>
        <v>1.5</v>
      </c>
      <c r="J9" s="44">
        <f>IF(F9="","",I9-H9)</f>
        <v>-0.43614000000000019</v>
      </c>
      <c r="K9" s="44">
        <f>IF(F9="","",K8+H9)</f>
        <v>5.5632400000000004</v>
      </c>
      <c r="L9" s="44">
        <f>IF(F9="","",L8+I9)</f>
        <v>3.79</v>
      </c>
      <c r="M9" s="53">
        <f>IF(F9="","",L9-K9)</f>
        <v>-1.7732400000000004</v>
      </c>
      <c r="N9" s="228"/>
      <c r="O9" s="229"/>
      <c r="P9" s="230"/>
      <c r="Q9" s="47">
        <v>44610.354166666664</v>
      </c>
      <c r="R9" s="44">
        <f t="shared" si="1"/>
        <v>-1.1377565216585077</v>
      </c>
      <c r="S9" s="44">
        <f t="shared" si="2"/>
        <v>-1.0430823529697486</v>
      </c>
    </row>
    <row r="10" spans="1:20" ht="12" customHeight="1" x14ac:dyDescent="0.2">
      <c r="A10" s="37"/>
      <c r="B10" s="48"/>
      <c r="C10" s="49">
        <v>10.58</v>
      </c>
      <c r="D10" s="54">
        <v>62</v>
      </c>
      <c r="E10" s="39">
        <v>1611</v>
      </c>
      <c r="F10" s="40">
        <v>3.62</v>
      </c>
      <c r="G10" s="51">
        <f>-8.88+3.22</f>
        <v>-5.66</v>
      </c>
      <c r="H10" s="44">
        <f t="shared" si="0"/>
        <v>6.10466</v>
      </c>
      <c r="I10" s="52">
        <f>IF(F10="","",F10-F9-G10)</f>
        <v>4.8</v>
      </c>
      <c r="J10" s="44">
        <f t="shared" ref="J10:J73" si="3">IF(F10="","",I10-H10)</f>
        <v>-1.3046600000000002</v>
      </c>
      <c r="K10" s="44">
        <f t="shared" ref="K10:K73" si="4">IF(F10="","",K9+H10)</f>
        <v>11.667899999999999</v>
      </c>
      <c r="L10" s="44">
        <f t="shared" ref="L10:L73" si="5">IF(F10="","",L9+I10)</f>
        <v>8.59</v>
      </c>
      <c r="M10" s="53">
        <f t="shared" ref="M10:M73" si="6">IF(F10="","",L10-K10)</f>
        <v>-3.0778999999999996</v>
      </c>
      <c r="N10" s="228"/>
      <c r="O10" s="229"/>
      <c r="P10" s="230"/>
      <c r="Q10" s="47">
        <v>44610.382638888892</v>
      </c>
      <c r="R10" s="44">
        <f t="shared" si="1"/>
        <v>-1.9092585362167283</v>
      </c>
      <c r="S10" s="44">
        <f t="shared" si="2"/>
        <v>-1.2914265733803143</v>
      </c>
      <c r="T10" s="55"/>
    </row>
    <row r="11" spans="1:20" ht="12" customHeight="1" x14ac:dyDescent="0.2">
      <c r="A11" s="37"/>
      <c r="B11" s="48"/>
      <c r="C11" s="49">
        <v>10.58</v>
      </c>
      <c r="D11" s="54">
        <v>79</v>
      </c>
      <c r="E11" s="39">
        <v>2055</v>
      </c>
      <c r="F11" s="56">
        <v>7.9</v>
      </c>
      <c r="G11" s="51"/>
      <c r="H11" s="44">
        <f t="shared" si="0"/>
        <v>4.6975200000000008</v>
      </c>
      <c r="I11" s="52">
        <f t="shared" ref="I11:I74" si="7">IF(F11="","",F11-F10-G11)</f>
        <v>4.28</v>
      </c>
      <c r="J11" s="44">
        <f t="shared" si="3"/>
        <v>-0.41752000000000056</v>
      </c>
      <c r="K11" s="44">
        <f t="shared" si="4"/>
        <v>16.36542</v>
      </c>
      <c r="L11" s="44">
        <f t="shared" si="5"/>
        <v>12.870000000000001</v>
      </c>
      <c r="M11" s="53">
        <f t="shared" si="6"/>
        <v>-3.4954199999999993</v>
      </c>
      <c r="N11" s="228"/>
      <c r="O11" s="229"/>
      <c r="P11" s="230"/>
      <c r="Q11" s="47">
        <v>44610.413194444445</v>
      </c>
      <c r="R11" s="44">
        <f t="shared" si="1"/>
        <v>-0.56934545458763386</v>
      </c>
      <c r="S11" s="44">
        <f t="shared" si="2"/>
        <v>-1.1215251336786682</v>
      </c>
    </row>
    <row r="12" spans="1:20" ht="12" customHeight="1" x14ac:dyDescent="0.2">
      <c r="A12" s="37"/>
      <c r="B12" s="48" t="s">
        <v>38</v>
      </c>
      <c r="C12" s="49">
        <v>4.37</v>
      </c>
      <c r="D12" s="54">
        <v>93</v>
      </c>
      <c r="E12" s="39">
        <v>2402</v>
      </c>
      <c r="F12" s="56">
        <v>8.64</v>
      </c>
      <c r="G12" s="51"/>
      <c r="H12" s="44">
        <f t="shared" si="0"/>
        <v>1.5163900000000001</v>
      </c>
      <c r="I12" s="52">
        <f t="shared" si="7"/>
        <v>0.74000000000000021</v>
      </c>
      <c r="J12" s="44">
        <f t="shared" si="3"/>
        <v>-0.77638999999999991</v>
      </c>
      <c r="K12" s="44">
        <f t="shared" si="4"/>
        <v>17.881810000000002</v>
      </c>
      <c r="L12" s="44">
        <f t="shared" si="5"/>
        <v>13.610000000000001</v>
      </c>
      <c r="M12" s="53">
        <f t="shared" si="6"/>
        <v>-4.2718100000000003</v>
      </c>
      <c r="N12" s="228"/>
      <c r="O12" s="229"/>
      <c r="P12" s="230"/>
      <c r="Q12" s="47">
        <v>44610.438888888886</v>
      </c>
      <c r="R12" s="44">
        <f t="shared" si="1"/>
        <v>-1.2590108109851079</v>
      </c>
      <c r="S12" s="44">
        <f t="shared" si="2"/>
        <v>-1.1442348214452223</v>
      </c>
    </row>
    <row r="13" spans="1:20" ht="12" customHeight="1" x14ac:dyDescent="0.2">
      <c r="A13" s="37"/>
      <c r="B13" s="48"/>
      <c r="C13" s="49">
        <v>4.37</v>
      </c>
      <c r="D13" s="54"/>
      <c r="E13" s="39">
        <v>2400</v>
      </c>
      <c r="F13" s="56">
        <v>3.83</v>
      </c>
      <c r="G13" s="51"/>
      <c r="H13" s="44">
        <f t="shared" si="0"/>
        <v>-8.7399999999999995E-3</v>
      </c>
      <c r="I13" s="52">
        <f t="shared" si="7"/>
        <v>-4.8100000000000005</v>
      </c>
      <c r="J13" s="44">
        <f t="shared" si="3"/>
        <v>-4.8012600000000001</v>
      </c>
      <c r="K13" s="44">
        <f t="shared" si="4"/>
        <v>17.873070000000002</v>
      </c>
      <c r="L13" s="44">
        <f t="shared" si="5"/>
        <v>8.8000000000000007</v>
      </c>
      <c r="M13" s="53">
        <f t="shared" si="6"/>
        <v>-9.0730700000000013</v>
      </c>
      <c r="N13" s="231"/>
      <c r="O13" s="229"/>
      <c r="P13" s="230"/>
      <c r="Q13" s="47">
        <v>44610.520833333336</v>
      </c>
      <c r="R13" s="44">
        <f t="shared" si="1"/>
        <v>-2.4413186439136507</v>
      </c>
      <c r="S13" s="44">
        <f t="shared" si="2"/>
        <v>-1.591766666647161</v>
      </c>
    </row>
    <row r="14" spans="1:20" ht="12" customHeight="1" x14ac:dyDescent="0.2">
      <c r="A14" s="37"/>
      <c r="B14" s="48"/>
      <c r="C14" s="49">
        <v>4.37</v>
      </c>
      <c r="D14" s="54"/>
      <c r="E14" s="39">
        <v>2400</v>
      </c>
      <c r="F14" s="56">
        <v>3.6</v>
      </c>
      <c r="G14" s="51"/>
      <c r="H14" s="44">
        <f t="shared" ref="H14:H74" si="8">IF(E14="","",((E14-E13)*C14)/1000)</f>
        <v>0</v>
      </c>
      <c r="I14" s="52">
        <f t="shared" si="7"/>
        <v>-0.22999999999999998</v>
      </c>
      <c r="J14" s="44">
        <f t="shared" si="3"/>
        <v>-0.22999999999999998</v>
      </c>
      <c r="K14" s="44">
        <f t="shared" si="4"/>
        <v>17.873070000000002</v>
      </c>
      <c r="L14" s="44">
        <f t="shared" si="5"/>
        <v>8.57</v>
      </c>
      <c r="M14" s="53">
        <f t="shared" si="6"/>
        <v>-9.3030700000000017</v>
      </c>
      <c r="N14" s="231" t="s">
        <v>95</v>
      </c>
      <c r="O14" s="229"/>
      <c r="P14" s="230"/>
      <c r="Q14" s="47">
        <v>44610.527777777781</v>
      </c>
      <c r="R14" s="44">
        <f t="shared" si="1"/>
        <v>-1.3799999998393468</v>
      </c>
      <c r="S14" s="44">
        <f t="shared" si="2"/>
        <v>-1.5857505681576938</v>
      </c>
    </row>
    <row r="15" spans="1:20" ht="12" customHeight="1" x14ac:dyDescent="0.2">
      <c r="A15" s="37"/>
      <c r="B15" s="48"/>
      <c r="C15" s="49">
        <v>4.37</v>
      </c>
      <c r="D15" s="54">
        <v>79</v>
      </c>
      <c r="E15" s="39">
        <v>2055</v>
      </c>
      <c r="F15" s="40">
        <v>6.89</v>
      </c>
      <c r="G15" s="51">
        <f>-3.56+8.49</f>
        <v>4.93</v>
      </c>
      <c r="H15" s="44">
        <f t="shared" si="8"/>
        <v>-1.5076500000000002</v>
      </c>
      <c r="I15" s="52">
        <f t="shared" si="7"/>
        <v>-1.6400000000000001</v>
      </c>
      <c r="J15" s="44">
        <f t="shared" si="3"/>
        <v>-0.13234999999999997</v>
      </c>
      <c r="K15" s="44">
        <f t="shared" si="4"/>
        <v>16.36542</v>
      </c>
      <c r="L15" s="44">
        <f t="shared" si="5"/>
        <v>6.93</v>
      </c>
      <c r="M15" s="53">
        <f t="shared" si="6"/>
        <v>-9.4354200000000006</v>
      </c>
      <c r="N15" s="231" t="s">
        <v>65</v>
      </c>
      <c r="O15" s="229"/>
      <c r="P15" s="230"/>
      <c r="Q15" s="47">
        <v>44610.56527777778</v>
      </c>
      <c r="R15" s="44">
        <f t="shared" si="1"/>
        <v>-0.14705555556126201</v>
      </c>
      <c r="S15" s="44">
        <f t="shared" si="2"/>
        <v>-1.3943970443237803</v>
      </c>
    </row>
    <row r="16" spans="1:20" ht="12" customHeight="1" x14ac:dyDescent="0.2">
      <c r="A16" s="37"/>
      <c r="B16" s="48" t="s">
        <v>149</v>
      </c>
      <c r="C16" s="49">
        <v>10.58</v>
      </c>
      <c r="D16" s="57">
        <v>66</v>
      </c>
      <c r="E16" s="39">
        <v>1715</v>
      </c>
      <c r="F16" s="40">
        <v>1.54</v>
      </c>
      <c r="G16" s="51"/>
      <c r="H16" s="44">
        <f t="shared" si="8"/>
        <v>-3.5972</v>
      </c>
      <c r="I16" s="52">
        <f t="shared" si="7"/>
        <v>-5.35</v>
      </c>
      <c r="J16" s="44">
        <f t="shared" si="3"/>
        <v>-1.7527999999999997</v>
      </c>
      <c r="K16" s="44">
        <f t="shared" si="4"/>
        <v>12.768219999999999</v>
      </c>
      <c r="L16" s="44">
        <f t="shared" si="5"/>
        <v>1.58</v>
      </c>
      <c r="M16" s="53">
        <f t="shared" si="6"/>
        <v>-11.188219999999999</v>
      </c>
      <c r="N16" s="228"/>
      <c r="O16" s="229"/>
      <c r="P16" s="230"/>
      <c r="Q16" s="47">
        <v>44610.600694444445</v>
      </c>
      <c r="R16" s="44">
        <f t="shared" si="1"/>
        <v>-2.0621176471153082</v>
      </c>
      <c r="S16" s="44">
        <f t="shared" si="2"/>
        <v>-1.4689129102784768</v>
      </c>
      <c r="T16" s="55"/>
    </row>
    <row r="17" spans="1:19" ht="12" customHeight="1" x14ac:dyDescent="0.2">
      <c r="A17" s="37"/>
      <c r="B17" s="48"/>
      <c r="C17" s="49">
        <v>10.58</v>
      </c>
      <c r="D17" s="54">
        <v>33</v>
      </c>
      <c r="E17" s="39">
        <v>851</v>
      </c>
      <c r="F17" s="40">
        <v>4.12</v>
      </c>
      <c r="G17" s="51">
        <f>-1.22+8.02-1.19+7.5</f>
        <v>13.11</v>
      </c>
      <c r="H17" s="44">
        <f t="shared" ref="H17:H22" si="9">IF(E17="","",((E17-E16)*C17)/1000)</f>
        <v>-9.1411200000000008</v>
      </c>
      <c r="I17" s="52">
        <f t="shared" si="7"/>
        <v>-10.53</v>
      </c>
      <c r="J17" s="44">
        <f t="shared" si="3"/>
        <v>-1.3888799999999986</v>
      </c>
      <c r="K17" s="44">
        <f t="shared" si="4"/>
        <v>3.6270999999999987</v>
      </c>
      <c r="L17" s="44">
        <f t="shared" si="5"/>
        <v>-8.9499999999999993</v>
      </c>
      <c r="M17" s="53">
        <f t="shared" si="6"/>
        <v>-12.577099999999998</v>
      </c>
      <c r="N17" s="231"/>
      <c r="O17" s="229"/>
      <c r="P17" s="230"/>
      <c r="Q17" s="47">
        <v>44610.650694444441</v>
      </c>
      <c r="R17" s="44">
        <f t="shared" si="1"/>
        <v>-1.1574000001010532</v>
      </c>
      <c r="S17" s="44">
        <f t="shared" si="2"/>
        <v>-1.4265141777056909</v>
      </c>
    </row>
    <row r="18" spans="1:19" ht="12" customHeight="1" x14ac:dyDescent="0.2">
      <c r="A18" s="37"/>
      <c r="B18" s="48" t="s">
        <v>38</v>
      </c>
      <c r="C18" s="49">
        <v>4.37</v>
      </c>
      <c r="D18" s="54">
        <v>23</v>
      </c>
      <c r="E18" s="39">
        <v>579</v>
      </c>
      <c r="F18" s="40">
        <v>6.93</v>
      </c>
      <c r="G18" s="40">
        <f>-2.68+8.48-8.42+6.93</f>
        <v>4.3100000000000005</v>
      </c>
      <c r="H18" s="44">
        <f t="shared" si="9"/>
        <v>-1.1886400000000001</v>
      </c>
      <c r="I18" s="52">
        <f t="shared" si="7"/>
        <v>-1.5000000000000009</v>
      </c>
      <c r="J18" s="44">
        <f t="shared" si="3"/>
        <v>-0.31136000000000075</v>
      </c>
      <c r="K18" s="44">
        <f t="shared" si="4"/>
        <v>2.4384599999999983</v>
      </c>
      <c r="L18" s="44">
        <f t="shared" si="5"/>
        <v>-10.45</v>
      </c>
      <c r="M18" s="53">
        <f t="shared" si="6"/>
        <v>-12.888459999999998</v>
      </c>
      <c r="N18" s="228"/>
      <c r="O18" s="229"/>
      <c r="P18" s="230"/>
      <c r="Q18" s="47">
        <v>44610.675000000003</v>
      </c>
      <c r="R18" s="44">
        <f t="shared" si="1"/>
        <v>-0.53375999985797196</v>
      </c>
      <c r="S18" s="44">
        <f t="shared" si="2"/>
        <v>-1.3711127659455602</v>
      </c>
    </row>
    <row r="19" spans="1:19" ht="12" customHeight="1" x14ac:dyDescent="0.2">
      <c r="A19" s="37"/>
      <c r="B19" s="48"/>
      <c r="C19" s="49">
        <v>4.37</v>
      </c>
      <c r="D19" s="54"/>
      <c r="E19" s="39">
        <v>579</v>
      </c>
      <c r="F19" s="40">
        <v>6.7</v>
      </c>
      <c r="G19" s="40"/>
      <c r="H19" s="44">
        <f t="shared" si="9"/>
        <v>0</v>
      </c>
      <c r="I19" s="52">
        <f t="shared" si="7"/>
        <v>-0.22999999999999954</v>
      </c>
      <c r="J19" s="44">
        <f t="shared" si="3"/>
        <v>-0.22999999999999954</v>
      </c>
      <c r="K19" s="44">
        <f t="shared" si="4"/>
        <v>2.4384599999999983</v>
      </c>
      <c r="L19" s="44">
        <f t="shared" si="5"/>
        <v>-10.68</v>
      </c>
      <c r="M19" s="53">
        <f t="shared" si="6"/>
        <v>-13.118459999999999</v>
      </c>
      <c r="N19" s="228" t="s">
        <v>96</v>
      </c>
      <c r="O19" s="229"/>
      <c r="P19" s="230"/>
      <c r="Q19" s="47">
        <v>44610.681944444441</v>
      </c>
      <c r="R19" s="44">
        <f t="shared" si="1"/>
        <v>-1.3800000012852225</v>
      </c>
      <c r="S19" s="44">
        <f t="shared" si="2"/>
        <v>-1.3712675958293834</v>
      </c>
    </row>
    <row r="20" spans="1:19" ht="12" customHeight="1" x14ac:dyDescent="0.2">
      <c r="A20" s="37"/>
      <c r="B20" s="48"/>
      <c r="C20" s="49">
        <v>4.37</v>
      </c>
      <c r="D20" s="54">
        <v>2</v>
      </c>
      <c r="E20" s="39">
        <v>21</v>
      </c>
      <c r="F20" s="40">
        <v>7.7</v>
      </c>
      <c r="G20" s="40">
        <f>-2.91+7.95</f>
        <v>5.04</v>
      </c>
      <c r="H20" s="44">
        <f t="shared" si="9"/>
        <v>-2.4384600000000001</v>
      </c>
      <c r="I20" s="52">
        <f t="shared" si="7"/>
        <v>-4.04</v>
      </c>
      <c r="J20" s="44">
        <f t="shared" si="3"/>
        <v>-1.60154</v>
      </c>
      <c r="K20" s="44">
        <f t="shared" si="4"/>
        <v>-1.7763568394002505E-15</v>
      </c>
      <c r="L20" s="44">
        <f t="shared" si="5"/>
        <v>-14.719999999999999</v>
      </c>
      <c r="M20" s="53">
        <f t="shared" si="6"/>
        <v>-14.719999999999997</v>
      </c>
      <c r="N20" s="242"/>
      <c r="O20" s="229"/>
      <c r="P20" s="230"/>
      <c r="Q20" s="47">
        <v>44610.726388888892</v>
      </c>
      <c r="R20" s="44">
        <f t="shared" si="1"/>
        <v>-1.5014437497760489</v>
      </c>
      <c r="S20" s="44">
        <f t="shared" si="2"/>
        <v>-1.3843260187976629</v>
      </c>
    </row>
    <row r="21" spans="1:19" ht="12" customHeight="1" x14ac:dyDescent="0.2">
      <c r="A21" s="37"/>
      <c r="B21" s="48"/>
      <c r="C21" s="49">
        <v>4.37</v>
      </c>
      <c r="D21" s="54"/>
      <c r="E21" s="39">
        <v>0</v>
      </c>
      <c r="F21" s="40">
        <v>7.5</v>
      </c>
      <c r="G21" s="51"/>
      <c r="H21" s="44">
        <f t="shared" si="9"/>
        <v>-9.176999999999999E-2</v>
      </c>
      <c r="I21" s="52">
        <f t="shared" si="7"/>
        <v>-0.20000000000000018</v>
      </c>
      <c r="J21" s="44">
        <f t="shared" si="3"/>
        <v>-0.10823000000000019</v>
      </c>
      <c r="K21" s="44">
        <f t="shared" si="4"/>
        <v>-9.1770000000001767E-2</v>
      </c>
      <c r="L21" s="44">
        <f t="shared" si="5"/>
        <v>-14.919999999999998</v>
      </c>
      <c r="M21" s="53">
        <f t="shared" si="6"/>
        <v>-14.828229999999996</v>
      </c>
      <c r="N21" s="228"/>
      <c r="O21" s="229"/>
      <c r="P21" s="230"/>
      <c r="Q21" s="47">
        <v>44610.736111111109</v>
      </c>
      <c r="R21" s="44">
        <f t="shared" si="1"/>
        <v>-0.46384285736656566</v>
      </c>
      <c r="S21" s="44">
        <f t="shared" si="2"/>
        <v>-1.364561042948196</v>
      </c>
    </row>
    <row r="22" spans="1:19" ht="12" customHeight="1" x14ac:dyDescent="0.2">
      <c r="A22" s="37"/>
      <c r="B22" s="48"/>
      <c r="C22" s="49">
        <v>4.37</v>
      </c>
      <c r="D22" s="54"/>
      <c r="E22" s="39">
        <v>0</v>
      </c>
      <c r="F22" s="40">
        <v>6.47</v>
      </c>
      <c r="G22" s="51"/>
      <c r="H22" s="44">
        <f t="shared" si="9"/>
        <v>0</v>
      </c>
      <c r="I22" s="52">
        <f t="shared" si="7"/>
        <v>-1.0300000000000002</v>
      </c>
      <c r="J22" s="44">
        <f t="shared" si="3"/>
        <v>-1.0300000000000002</v>
      </c>
      <c r="K22" s="44">
        <f t="shared" si="4"/>
        <v>-9.1770000000001767E-2</v>
      </c>
      <c r="L22" s="44">
        <f t="shared" si="5"/>
        <v>-15.95</v>
      </c>
      <c r="M22" s="53">
        <f t="shared" si="6"/>
        <v>-15.858229999999997</v>
      </c>
      <c r="N22" s="228"/>
      <c r="O22" s="229"/>
      <c r="P22" s="230"/>
      <c r="Q22" s="47">
        <v>44610.770833333336</v>
      </c>
      <c r="R22" s="44">
        <f t="shared" si="1"/>
        <v>-1.2359999998561109</v>
      </c>
      <c r="S22" s="44">
        <f t="shared" si="2"/>
        <v>-1.3554042734961815</v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8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8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8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8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8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8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8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8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8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8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8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64"/>
      <c r="O34" s="162"/>
      <c r="P34" s="16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8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8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8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8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8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8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8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8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8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8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8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8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8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112"/>
  <sheetViews>
    <sheetView zoomScaleNormal="100" workbookViewId="0">
      <selection activeCell="J41" sqref="J41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2350</v>
      </c>
      <c r="F6" s="40">
        <v>7.88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44610.056944444441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2078</v>
      </c>
      <c r="F7" s="40">
        <v>6.39</v>
      </c>
      <c r="G7" s="51"/>
      <c r="H7" s="44">
        <f t="shared" ref="H7:H13" si="0">IF(E7="","",((E7-E6)*C7)/1000)</f>
        <v>-1.1886400000000001</v>
      </c>
      <c r="I7" s="52">
        <f>IF(F7="","",F7-F6-G7)</f>
        <v>-1.4900000000000002</v>
      </c>
      <c r="J7" s="44">
        <f>IF(F7="","",I7-H7)</f>
        <v>-0.30136000000000007</v>
      </c>
      <c r="K7" s="44">
        <f>IF(F7="","",K6+H7)</f>
        <v>-1.1886400000000001</v>
      </c>
      <c r="L7" s="44">
        <f>IF(F7="","",L6+I7)</f>
        <v>-1.4900000000000002</v>
      </c>
      <c r="M7" s="53">
        <f>IF(F7="","",L7-K7)</f>
        <v>-0.30136000000000007</v>
      </c>
      <c r="N7" s="231"/>
      <c r="O7" s="229"/>
      <c r="P7" s="230"/>
      <c r="Q7" s="47">
        <v>44610.070833333331</v>
      </c>
      <c r="R7" s="44">
        <f t="shared" ref="R7:R70" si="1">IF(Q7="","",J7/((Q7-Q6)*24))</f>
        <v>-0.90407999989475141</v>
      </c>
      <c r="S7" s="44">
        <f t="shared" ref="S7:S70" si="2">IF(Q7="","",M7/((Q7-$Q$6)*24))</f>
        <v>-0.90407999989475141</v>
      </c>
    </row>
    <row r="8" spans="1:20" ht="12" customHeight="1" x14ac:dyDescent="0.2">
      <c r="A8" s="37"/>
      <c r="B8" s="48" t="s">
        <v>149</v>
      </c>
      <c r="C8" s="49">
        <v>10.58</v>
      </c>
      <c r="D8" s="54"/>
      <c r="E8" s="39">
        <v>2052</v>
      </c>
      <c r="F8" s="40">
        <v>5.95</v>
      </c>
      <c r="G8" s="51"/>
      <c r="H8" s="44">
        <f t="shared" si="0"/>
        <v>-0.27507999999999999</v>
      </c>
      <c r="I8" s="52">
        <f>IF(F8="","",F8-F7-G8)</f>
        <v>-0.4399999999999995</v>
      </c>
      <c r="J8" s="44">
        <f>IF(F8="","",I8-H8)</f>
        <v>-0.16491999999999951</v>
      </c>
      <c r="K8" s="44">
        <f>IF(F8="","",K7+H8)</f>
        <v>-1.4637200000000001</v>
      </c>
      <c r="L8" s="44">
        <f>IF(F8="","",L7+I8)</f>
        <v>-1.9299999999999997</v>
      </c>
      <c r="M8" s="53">
        <f>IF(F8="","",L8-K8)</f>
        <v>-0.46627999999999958</v>
      </c>
      <c r="N8" s="231"/>
      <c r="O8" s="229"/>
      <c r="P8" s="230"/>
      <c r="Q8" s="47">
        <v>44610.072916666664</v>
      </c>
      <c r="R8" s="44">
        <f t="shared" si="1"/>
        <v>-3.298400000767959</v>
      </c>
      <c r="S8" s="44">
        <f t="shared" si="2"/>
        <v>-1.2163826086094565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1869</v>
      </c>
      <c r="F9" s="40">
        <v>3.52</v>
      </c>
      <c r="G9" s="51"/>
      <c r="H9" s="44">
        <f t="shared" si="0"/>
        <v>-1.9361400000000002</v>
      </c>
      <c r="I9" s="52">
        <f>IF(F9="","",F9-F8-G9)</f>
        <v>-2.4300000000000002</v>
      </c>
      <c r="J9" s="44">
        <f>IF(F9="","",I9-H9)</f>
        <v>-0.49385999999999997</v>
      </c>
      <c r="K9" s="44">
        <f>IF(F9="","",K8+H9)</f>
        <v>-3.3998600000000003</v>
      </c>
      <c r="L9" s="44">
        <f>IF(F9="","",L8+I9)</f>
        <v>-4.3599999999999994</v>
      </c>
      <c r="M9" s="53">
        <f>IF(F9="","",L9-K9)</f>
        <v>-0.96013999999999911</v>
      </c>
      <c r="N9" s="228"/>
      <c r="O9" s="229"/>
      <c r="P9" s="230"/>
      <c r="Q9" s="47">
        <v>44610.081944444442</v>
      </c>
      <c r="R9" s="44">
        <f t="shared" si="1"/>
        <v>-2.2793538460721994</v>
      </c>
      <c r="S9" s="44">
        <f t="shared" si="2"/>
        <v>-1.6002333332401859</v>
      </c>
    </row>
    <row r="10" spans="1:20" ht="12" customHeight="1" x14ac:dyDescent="0.2">
      <c r="A10" s="37"/>
      <c r="B10" s="48"/>
      <c r="C10" s="49">
        <v>10.58</v>
      </c>
      <c r="D10" s="54"/>
      <c r="E10" s="39">
        <v>1764</v>
      </c>
      <c r="F10" s="40">
        <v>8.1</v>
      </c>
      <c r="G10" s="51">
        <v>6.63</v>
      </c>
      <c r="H10" s="44">
        <f t="shared" si="0"/>
        <v>-1.1109</v>
      </c>
      <c r="I10" s="52">
        <f>IF(F10="","",F10-F9-G10)</f>
        <v>-2.0499999999999998</v>
      </c>
      <c r="J10" s="44">
        <f t="shared" ref="J10:J73" si="3">IF(F10="","",I10-H10)</f>
        <v>-0.93909999999999982</v>
      </c>
      <c r="K10" s="44">
        <f t="shared" ref="K10:K73" si="4">IF(F10="","",K9+H10)</f>
        <v>-4.5107600000000003</v>
      </c>
      <c r="L10" s="44">
        <f t="shared" ref="L10:L73" si="5">IF(F10="","",L9+I10)</f>
        <v>-6.4099999999999993</v>
      </c>
      <c r="M10" s="53">
        <f t="shared" ref="M10:M73" si="6">IF(F10="","",L10-K10)</f>
        <v>-1.8992399999999989</v>
      </c>
      <c r="N10" s="228"/>
      <c r="O10" s="229"/>
      <c r="P10" s="230"/>
      <c r="Q10" s="47">
        <v>44610.088194444441</v>
      </c>
      <c r="R10" s="44">
        <f t="shared" si="1"/>
        <v>-6.2606666681243404</v>
      </c>
      <c r="S10" s="44">
        <f t="shared" si="2"/>
        <v>-2.5323199999999986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1554</v>
      </c>
      <c r="F11" s="56">
        <v>5.83</v>
      </c>
      <c r="G11" s="51"/>
      <c r="H11" s="44">
        <f t="shared" si="0"/>
        <v>-2.2218</v>
      </c>
      <c r="I11" s="52">
        <f t="shared" ref="I11:I74" si="7">IF(F11="","",F11-F10-G11)</f>
        <v>-2.2699999999999996</v>
      </c>
      <c r="J11" s="44">
        <f t="shared" si="3"/>
        <v>-4.8199999999999577E-2</v>
      </c>
      <c r="K11" s="44">
        <f t="shared" si="4"/>
        <v>-6.7325600000000003</v>
      </c>
      <c r="L11" s="44">
        <f t="shared" si="5"/>
        <v>-8.68</v>
      </c>
      <c r="M11" s="53">
        <f t="shared" si="6"/>
        <v>-1.9474399999999994</v>
      </c>
      <c r="N11" s="228"/>
      <c r="O11" s="229"/>
      <c r="P11" s="230"/>
      <c r="Q11" s="47">
        <v>44610.097222222219</v>
      </c>
      <c r="R11" s="44">
        <f t="shared" si="1"/>
        <v>-0.22246153845356792</v>
      </c>
      <c r="S11" s="44">
        <f t="shared" si="2"/>
        <v>-2.0145931034321007</v>
      </c>
    </row>
    <row r="12" spans="1:20" ht="12" customHeight="1" x14ac:dyDescent="0.2">
      <c r="A12" s="37"/>
      <c r="B12" s="48"/>
      <c r="C12" s="49">
        <v>10.58</v>
      </c>
      <c r="D12" s="54"/>
      <c r="E12" s="39">
        <v>1371</v>
      </c>
      <c r="F12" s="56">
        <v>3.52</v>
      </c>
      <c r="G12" s="51"/>
      <c r="H12" s="44">
        <f t="shared" si="0"/>
        <v>-1.9361400000000002</v>
      </c>
      <c r="I12" s="52">
        <f t="shared" si="7"/>
        <v>-2.31</v>
      </c>
      <c r="J12" s="44">
        <f t="shared" si="3"/>
        <v>-0.37385999999999986</v>
      </c>
      <c r="K12" s="44">
        <f t="shared" si="4"/>
        <v>-8.6687000000000012</v>
      </c>
      <c r="L12" s="44">
        <f t="shared" si="5"/>
        <v>-10.99</v>
      </c>
      <c r="M12" s="53">
        <f t="shared" si="6"/>
        <v>-2.321299999999999</v>
      </c>
      <c r="N12" s="228"/>
      <c r="O12" s="229"/>
      <c r="P12" s="230"/>
      <c r="Q12" s="47">
        <v>44610.104861111111</v>
      </c>
      <c r="R12" s="44">
        <f t="shared" si="1"/>
        <v>-2.0392363628162595</v>
      </c>
      <c r="S12" s="44">
        <f t="shared" si="2"/>
        <v>-2.0185217389873986</v>
      </c>
    </row>
    <row r="13" spans="1:20" ht="12" customHeight="1" x14ac:dyDescent="0.2">
      <c r="A13" s="37"/>
      <c r="B13" s="48"/>
      <c r="C13" s="49">
        <v>10.58</v>
      </c>
      <c r="D13" s="54"/>
      <c r="E13" s="39">
        <v>1292</v>
      </c>
      <c r="F13" s="56">
        <v>7.86</v>
      </c>
      <c r="G13" s="51">
        <v>5.3</v>
      </c>
      <c r="H13" s="44">
        <f t="shared" si="0"/>
        <v>-0.83582000000000001</v>
      </c>
      <c r="I13" s="52">
        <f t="shared" si="7"/>
        <v>-0.96</v>
      </c>
      <c r="J13" s="44">
        <f t="shared" si="3"/>
        <v>-0.12417999999999996</v>
      </c>
      <c r="K13" s="44">
        <f t="shared" si="4"/>
        <v>-9.5045200000000012</v>
      </c>
      <c r="L13" s="44">
        <f t="shared" si="5"/>
        <v>-11.95</v>
      </c>
      <c r="M13" s="53">
        <f t="shared" si="6"/>
        <v>-2.4454799999999981</v>
      </c>
      <c r="N13" s="231"/>
      <c r="O13" s="229"/>
      <c r="P13" s="230"/>
      <c r="Q13" s="47">
        <v>44610.10833333333</v>
      </c>
      <c r="R13" s="44">
        <f t="shared" si="1"/>
        <v>-1.4901600013878191</v>
      </c>
      <c r="S13" s="44">
        <f t="shared" si="2"/>
        <v>-1.9828216216153813</v>
      </c>
    </row>
    <row r="14" spans="1:20" ht="12" customHeight="1" x14ac:dyDescent="0.2">
      <c r="A14" s="37"/>
      <c r="B14" s="48"/>
      <c r="C14" s="49">
        <v>10.58</v>
      </c>
      <c r="D14" s="54"/>
      <c r="E14" s="39">
        <v>873</v>
      </c>
      <c r="F14" s="56">
        <v>2.35</v>
      </c>
      <c r="G14" s="51"/>
      <c r="H14" s="44">
        <f t="shared" ref="H14:H74" si="8">IF(E14="","",((E14-E13)*C14)/1000)</f>
        <v>-4.4330200000000008</v>
      </c>
      <c r="I14" s="52">
        <f t="shared" si="7"/>
        <v>-5.51</v>
      </c>
      <c r="J14" s="44">
        <f t="shared" si="3"/>
        <v>-1.0769799999999989</v>
      </c>
      <c r="K14" s="44">
        <f t="shared" si="4"/>
        <v>-13.937540000000002</v>
      </c>
      <c r="L14" s="44">
        <f t="shared" si="5"/>
        <v>-17.46</v>
      </c>
      <c r="M14" s="53">
        <f t="shared" si="6"/>
        <v>-3.5224599999999988</v>
      </c>
      <c r="N14" s="231"/>
      <c r="O14" s="229"/>
      <c r="P14" s="230"/>
      <c r="Q14" s="47">
        <v>44610.126388888886</v>
      </c>
      <c r="R14" s="44">
        <f t="shared" si="1"/>
        <v>-2.4853384614494338</v>
      </c>
      <c r="S14" s="44">
        <f t="shared" si="2"/>
        <v>-2.1134759999753951</v>
      </c>
    </row>
    <row r="15" spans="1:20" ht="12" customHeight="1" x14ac:dyDescent="0.2">
      <c r="A15" s="37"/>
      <c r="B15" s="48" t="s">
        <v>38</v>
      </c>
      <c r="C15" s="49">
        <v>4.37</v>
      </c>
      <c r="D15" s="54"/>
      <c r="E15" s="39">
        <v>848</v>
      </c>
      <c r="F15" s="40">
        <v>7.85</v>
      </c>
      <c r="G15" s="51">
        <v>5.8</v>
      </c>
      <c r="H15" s="44">
        <f t="shared" si="8"/>
        <v>-0.10925</v>
      </c>
      <c r="I15" s="52">
        <f t="shared" si="7"/>
        <v>-0.29999999999999982</v>
      </c>
      <c r="J15" s="44">
        <f t="shared" si="3"/>
        <v>-0.19074999999999981</v>
      </c>
      <c r="K15" s="44">
        <f t="shared" si="4"/>
        <v>-14.046790000000001</v>
      </c>
      <c r="L15" s="44">
        <f t="shared" si="5"/>
        <v>-17.760000000000002</v>
      </c>
      <c r="M15" s="53">
        <f t="shared" si="6"/>
        <v>-3.7132100000000001</v>
      </c>
      <c r="N15" s="231"/>
      <c r="O15" s="229"/>
      <c r="P15" s="230"/>
      <c r="Q15" s="47">
        <v>44610.128472222219</v>
      </c>
      <c r="R15" s="44">
        <f t="shared" si="1"/>
        <v>-3.815000000888245</v>
      </c>
      <c r="S15" s="44">
        <f t="shared" si="2"/>
        <v>-2.1630349514465319</v>
      </c>
    </row>
    <row r="16" spans="1:20" ht="12" customHeight="1" x14ac:dyDescent="0.2">
      <c r="A16" s="37"/>
      <c r="B16" s="48"/>
      <c r="C16" s="49">
        <v>4.37</v>
      </c>
      <c r="D16" s="57"/>
      <c r="E16" s="39">
        <v>688</v>
      </c>
      <c r="F16" s="40">
        <v>7.66</v>
      </c>
      <c r="G16" s="51"/>
      <c r="H16" s="44">
        <f t="shared" si="8"/>
        <v>-0.69920000000000004</v>
      </c>
      <c r="I16" s="52">
        <f t="shared" si="7"/>
        <v>-0.1899999999999995</v>
      </c>
      <c r="J16" s="44">
        <f t="shared" si="3"/>
        <v>0.50920000000000054</v>
      </c>
      <c r="K16" s="44">
        <f t="shared" si="4"/>
        <v>-14.745990000000001</v>
      </c>
      <c r="L16" s="44">
        <f t="shared" si="5"/>
        <v>-17.950000000000003</v>
      </c>
      <c r="M16" s="53">
        <f t="shared" si="6"/>
        <v>-3.204010000000002</v>
      </c>
      <c r="N16" s="228"/>
      <c r="O16" s="229"/>
      <c r="P16" s="230"/>
      <c r="Q16" s="47">
        <v>44610.142361111109</v>
      </c>
      <c r="R16" s="44">
        <f t="shared" si="1"/>
        <v>1.5275999998221657</v>
      </c>
      <c r="S16" s="44">
        <f t="shared" si="2"/>
        <v>-1.5629317072815718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688</v>
      </c>
      <c r="F17" s="40">
        <v>7.55</v>
      </c>
      <c r="G17" s="51"/>
      <c r="H17" s="44">
        <f t="shared" ref="H17:H22" si="9">IF(E17="","",((E17-E16)*C17)/1000)</f>
        <v>0</v>
      </c>
      <c r="I17" s="52">
        <f t="shared" si="7"/>
        <v>-0.11000000000000032</v>
      </c>
      <c r="J17" s="44">
        <f t="shared" si="3"/>
        <v>-0.11000000000000032</v>
      </c>
      <c r="K17" s="44">
        <f t="shared" si="4"/>
        <v>-14.745990000000001</v>
      </c>
      <c r="L17" s="44">
        <f t="shared" si="5"/>
        <v>-18.060000000000002</v>
      </c>
      <c r="M17" s="53">
        <f t="shared" si="6"/>
        <v>-3.3140100000000015</v>
      </c>
      <c r="N17" s="231"/>
      <c r="O17" s="229"/>
      <c r="P17" s="230"/>
      <c r="Q17" s="47">
        <v>44610.149305555555</v>
      </c>
      <c r="R17" s="44">
        <f t="shared" si="1"/>
        <v>-0.65999999992316782</v>
      </c>
      <c r="S17" s="44">
        <f t="shared" si="2"/>
        <v>-1.4950421052186655</v>
      </c>
    </row>
    <row r="18" spans="1:19" ht="12" customHeight="1" x14ac:dyDescent="0.2">
      <c r="A18" s="37"/>
      <c r="B18" s="48"/>
      <c r="C18" s="49">
        <v>4.37</v>
      </c>
      <c r="D18" s="54"/>
      <c r="E18" s="39">
        <v>688</v>
      </c>
      <c r="F18" s="40">
        <v>6.91</v>
      </c>
      <c r="G18" s="40"/>
      <c r="H18" s="44">
        <f t="shared" si="9"/>
        <v>0</v>
      </c>
      <c r="I18" s="52">
        <f t="shared" si="7"/>
        <v>-0.63999999999999968</v>
      </c>
      <c r="J18" s="44">
        <f t="shared" si="3"/>
        <v>-0.63999999999999968</v>
      </c>
      <c r="K18" s="44">
        <f t="shared" si="4"/>
        <v>-14.745990000000001</v>
      </c>
      <c r="L18" s="44">
        <f t="shared" si="5"/>
        <v>-18.700000000000003</v>
      </c>
      <c r="M18" s="53">
        <f t="shared" si="6"/>
        <v>-3.954010000000002</v>
      </c>
      <c r="N18" s="228"/>
      <c r="O18" s="229"/>
      <c r="P18" s="230"/>
      <c r="Q18" s="47">
        <v>44610.172222222223</v>
      </c>
      <c r="R18" s="44">
        <f t="shared" si="1"/>
        <v>-1.1636363635378431</v>
      </c>
      <c r="S18" s="44">
        <f t="shared" si="2"/>
        <v>-1.4291602409057247</v>
      </c>
    </row>
    <row r="19" spans="1:19" ht="12" customHeight="1" x14ac:dyDescent="0.2">
      <c r="A19" s="37"/>
      <c r="B19" s="48"/>
      <c r="C19" s="49">
        <v>4.37</v>
      </c>
      <c r="D19" s="54"/>
      <c r="E19" s="39">
        <v>302</v>
      </c>
      <c r="F19" s="40">
        <v>3.96</v>
      </c>
      <c r="G19" s="40"/>
      <c r="H19" s="44">
        <f t="shared" si="9"/>
        <v>-1.68682</v>
      </c>
      <c r="I19" s="52">
        <f t="shared" si="7"/>
        <v>-2.95</v>
      </c>
      <c r="J19" s="44">
        <f t="shared" si="3"/>
        <v>-1.2631800000000002</v>
      </c>
      <c r="K19" s="44">
        <f t="shared" si="4"/>
        <v>-16.43281</v>
      </c>
      <c r="L19" s="44">
        <f t="shared" si="5"/>
        <v>-21.650000000000002</v>
      </c>
      <c r="M19" s="53">
        <f t="shared" si="6"/>
        <v>-5.2171900000000022</v>
      </c>
      <c r="N19" s="228"/>
      <c r="O19" s="229"/>
      <c r="P19" s="230"/>
      <c r="Q19" s="47">
        <v>44610.196527777778</v>
      </c>
      <c r="R19" s="44">
        <f t="shared" si="1"/>
        <v>-2.165451428643455</v>
      </c>
      <c r="S19" s="44">
        <f t="shared" si="2"/>
        <v>-1.5573701492104361</v>
      </c>
    </row>
    <row r="20" spans="1:19" ht="12" customHeight="1" x14ac:dyDescent="0.2">
      <c r="A20" s="37"/>
      <c r="B20" s="48"/>
      <c r="C20" s="49">
        <v>4.37</v>
      </c>
      <c r="D20" s="54"/>
      <c r="E20" s="39">
        <v>44</v>
      </c>
      <c r="F20" s="40">
        <v>7.76</v>
      </c>
      <c r="G20" s="40">
        <v>6.27</v>
      </c>
      <c r="H20" s="44">
        <f t="shared" si="9"/>
        <v>-1.1274600000000001</v>
      </c>
      <c r="I20" s="52">
        <f t="shared" si="7"/>
        <v>-2.4699999999999998</v>
      </c>
      <c r="J20" s="44">
        <f t="shared" si="3"/>
        <v>-1.3425399999999996</v>
      </c>
      <c r="K20" s="44">
        <f t="shared" si="4"/>
        <v>-17.560269999999999</v>
      </c>
      <c r="L20" s="44">
        <f t="shared" si="5"/>
        <v>-24.12</v>
      </c>
      <c r="M20" s="53">
        <f t="shared" si="6"/>
        <v>-6.5597300000000018</v>
      </c>
      <c r="N20" s="242"/>
      <c r="O20" s="229"/>
      <c r="P20" s="230"/>
      <c r="Q20" s="47">
        <v>44610.212500000001</v>
      </c>
      <c r="R20" s="44">
        <f t="shared" si="1"/>
        <v>-3.5022782606213876</v>
      </c>
      <c r="S20" s="44">
        <f t="shared" si="2"/>
        <v>-1.7570705356576697</v>
      </c>
    </row>
    <row r="21" spans="1:19" ht="12" customHeight="1" x14ac:dyDescent="0.2">
      <c r="A21" s="37"/>
      <c r="B21" s="48"/>
      <c r="C21" s="49">
        <v>4.37</v>
      </c>
      <c r="D21" s="54"/>
      <c r="E21" s="39">
        <v>22</v>
      </c>
      <c r="F21" s="40">
        <v>7.52</v>
      </c>
      <c r="G21" s="51"/>
      <c r="H21" s="44">
        <f t="shared" si="9"/>
        <v>-9.6140000000000003E-2</v>
      </c>
      <c r="I21" s="52">
        <f t="shared" si="7"/>
        <v>-0.24000000000000021</v>
      </c>
      <c r="J21" s="44">
        <f t="shared" si="3"/>
        <v>-0.14386000000000021</v>
      </c>
      <c r="K21" s="44">
        <f t="shared" si="4"/>
        <v>-17.656409999999997</v>
      </c>
      <c r="L21" s="44">
        <f t="shared" si="5"/>
        <v>-24.36</v>
      </c>
      <c r="M21" s="53">
        <f t="shared" si="6"/>
        <v>-6.7035900000000019</v>
      </c>
      <c r="N21" s="228"/>
      <c r="O21" s="229"/>
      <c r="P21" s="230"/>
      <c r="Q21" s="47">
        <v>44610.225694444445</v>
      </c>
      <c r="R21" s="44">
        <f t="shared" si="1"/>
        <v>-0.4542947368643741</v>
      </c>
      <c r="S21" s="44">
        <f t="shared" si="2"/>
        <v>-1.6552074073645875</v>
      </c>
    </row>
    <row r="22" spans="1:19" ht="12" customHeight="1" x14ac:dyDescent="0.2">
      <c r="A22" s="37"/>
      <c r="B22" s="48"/>
      <c r="C22" s="49">
        <v>4.37</v>
      </c>
      <c r="D22" s="54"/>
      <c r="E22" s="39">
        <v>22</v>
      </c>
      <c r="F22" s="40">
        <v>7.15</v>
      </c>
      <c r="G22" s="51"/>
      <c r="H22" s="44">
        <f t="shared" si="9"/>
        <v>0</v>
      </c>
      <c r="I22" s="52">
        <f t="shared" si="7"/>
        <v>-0.36999999999999922</v>
      </c>
      <c r="J22" s="44">
        <f t="shared" si="3"/>
        <v>-0.36999999999999922</v>
      </c>
      <c r="K22" s="44">
        <f t="shared" si="4"/>
        <v>-17.656409999999997</v>
      </c>
      <c r="L22" s="44">
        <f t="shared" si="5"/>
        <v>-24.729999999999997</v>
      </c>
      <c r="M22" s="53">
        <f t="shared" si="6"/>
        <v>-7.0735899999999994</v>
      </c>
      <c r="N22" s="228"/>
      <c r="O22" s="229"/>
      <c r="P22" s="230"/>
      <c r="Q22" s="47">
        <v>44610.239583333336</v>
      </c>
      <c r="R22" s="44">
        <f t="shared" si="1"/>
        <v>-1.1099999998707766</v>
      </c>
      <c r="S22" s="44">
        <f t="shared" si="2"/>
        <v>-1.6137467680079771</v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8"/>
        <v/>
      </c>
      <c r="I23" s="52" t="str">
        <f t="shared" si="7"/>
        <v/>
      </c>
      <c r="J23" s="44" t="str">
        <f t="shared" si="3"/>
        <v/>
      </c>
      <c r="K23" s="44" t="str">
        <f t="shared" si="4"/>
        <v/>
      </c>
      <c r="L23" s="44" t="str">
        <f t="shared" si="5"/>
        <v/>
      </c>
      <c r="M23" s="53" t="str">
        <f t="shared" si="6"/>
        <v/>
      </c>
      <c r="N23" s="228"/>
      <c r="O23" s="229"/>
      <c r="P23" s="230"/>
      <c r="Q23" s="47"/>
      <c r="R23" s="44" t="str">
        <f t="shared" si="1"/>
        <v/>
      </c>
      <c r="S23" s="44" t="str">
        <f t="shared" si="2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8"/>
        <v/>
      </c>
      <c r="I24" s="52" t="str">
        <f t="shared" si="7"/>
        <v/>
      </c>
      <c r="J24" s="44" t="str">
        <f t="shared" si="3"/>
        <v/>
      </c>
      <c r="K24" s="44" t="str">
        <f t="shared" si="4"/>
        <v/>
      </c>
      <c r="L24" s="44" t="str">
        <f t="shared" si="5"/>
        <v/>
      </c>
      <c r="M24" s="53" t="str">
        <f t="shared" si="6"/>
        <v/>
      </c>
      <c r="N24" s="231"/>
      <c r="O24" s="229"/>
      <c r="P24" s="230"/>
      <c r="Q24" s="47"/>
      <c r="R24" s="44" t="str">
        <f t="shared" si="1"/>
        <v/>
      </c>
      <c r="S24" s="44" t="str">
        <f t="shared" si="2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8"/>
        <v/>
      </c>
      <c r="I25" s="52" t="str">
        <f t="shared" si="7"/>
        <v/>
      </c>
      <c r="J25" s="44" t="str">
        <f t="shared" si="3"/>
        <v/>
      </c>
      <c r="K25" s="44" t="str">
        <f t="shared" si="4"/>
        <v/>
      </c>
      <c r="L25" s="44" t="str">
        <f t="shared" si="5"/>
        <v/>
      </c>
      <c r="M25" s="53" t="str">
        <f t="shared" si="6"/>
        <v/>
      </c>
      <c r="N25" s="228"/>
      <c r="O25" s="229"/>
      <c r="P25" s="230"/>
      <c r="Q25" s="47"/>
      <c r="R25" s="44" t="str">
        <f t="shared" si="1"/>
        <v/>
      </c>
      <c r="S25" s="44" t="str">
        <f t="shared" si="2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3"/>
        <v/>
      </c>
      <c r="K26" s="44" t="str">
        <f t="shared" si="4"/>
        <v/>
      </c>
      <c r="L26" s="44" t="str">
        <f t="shared" si="5"/>
        <v/>
      </c>
      <c r="M26" s="53" t="str">
        <f t="shared" si="6"/>
        <v/>
      </c>
      <c r="N26" s="228"/>
      <c r="O26" s="229"/>
      <c r="P26" s="230"/>
      <c r="Q26" s="47"/>
      <c r="R26" s="44" t="str">
        <f t="shared" si="1"/>
        <v/>
      </c>
      <c r="S26" s="44" t="str">
        <f t="shared" si="2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8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8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8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8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8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8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8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8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64"/>
      <c r="O34" s="162"/>
      <c r="P34" s="16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8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8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8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8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56"/>
      <c r="G39" s="51"/>
      <c r="H39" s="44" t="str">
        <f t="shared" si="8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8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8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8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8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8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8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8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8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U112"/>
  <sheetViews>
    <sheetView topLeftCell="A4" zoomScaleNormal="100" workbookViewId="0">
      <selection activeCell="C7" sqref="C7:C12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71</v>
      </c>
      <c r="F6" s="40">
        <v>6.19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44609.833333333336</v>
      </c>
      <c r="R6" s="11"/>
      <c r="S6" s="11"/>
    </row>
    <row r="7" spans="1:20" ht="12" customHeight="1" x14ac:dyDescent="0.2">
      <c r="A7" s="37"/>
      <c r="B7" s="48" t="s">
        <v>37</v>
      </c>
      <c r="C7" s="49">
        <v>15.74</v>
      </c>
      <c r="D7" s="39"/>
      <c r="E7" s="39">
        <v>180</v>
      </c>
      <c r="F7" s="40">
        <v>7.81</v>
      </c>
      <c r="G7" s="51"/>
      <c r="H7" s="44">
        <f t="shared" ref="H7:H13" si="0">IF(E7="","",((E7-E6)*C7)/1000)</f>
        <v>1.7156600000000002</v>
      </c>
      <c r="I7" s="52">
        <f>IF(F7="","",F7-F6-G7)</f>
        <v>1.6199999999999992</v>
      </c>
      <c r="J7" s="44">
        <f>IF(F7="","",I7-H7)</f>
        <v>-9.5660000000000966E-2</v>
      </c>
      <c r="K7" s="44">
        <f>IF(F7="","",K6+H7)</f>
        <v>1.7156600000000002</v>
      </c>
      <c r="L7" s="44">
        <f>IF(F7="","",L6+I7)</f>
        <v>1.6199999999999992</v>
      </c>
      <c r="M7" s="53">
        <f>IF(F7="","",L7-K7)</f>
        <v>-9.5660000000000966E-2</v>
      </c>
      <c r="N7" s="231"/>
      <c r="O7" s="229"/>
      <c r="P7" s="230"/>
      <c r="Q7" s="47">
        <v>44609.838888888888</v>
      </c>
      <c r="R7" s="44">
        <f t="shared" ref="R7:R70" si="1">IF(Q7="","",J7/((Q7-Q6)*24))</f>
        <v>-0.71745000048025975</v>
      </c>
      <c r="S7" s="44">
        <f t="shared" ref="S7:S70" si="2">IF(Q7="","",M7/((Q7-$Q$6)*24))</f>
        <v>-0.71745000048025975</v>
      </c>
    </row>
    <row r="8" spans="1:20" ht="12" customHeight="1" x14ac:dyDescent="0.2">
      <c r="A8" s="37"/>
      <c r="B8" s="48"/>
      <c r="C8" s="49">
        <v>15.74</v>
      </c>
      <c r="D8" s="54"/>
      <c r="E8" s="39">
        <v>288</v>
      </c>
      <c r="F8" s="40">
        <v>8.86</v>
      </c>
      <c r="G8" s="51"/>
      <c r="H8" s="44">
        <f t="shared" si="0"/>
        <v>1.6999200000000001</v>
      </c>
      <c r="I8" s="52">
        <f>IF(F8="","",F8-F7-G8)</f>
        <v>1.0499999999999998</v>
      </c>
      <c r="J8" s="44">
        <f>IF(F8="","",I8-H8)</f>
        <v>-0.64992000000000028</v>
      </c>
      <c r="K8" s="44">
        <f>IF(F8="","",K7+H8)</f>
        <v>3.4155800000000003</v>
      </c>
      <c r="L8" s="44">
        <f>IF(F8="","",L7+I8)</f>
        <v>2.669999999999999</v>
      </c>
      <c r="M8" s="53">
        <f>IF(F8="","",L8-K8)</f>
        <v>-0.74558000000000124</v>
      </c>
      <c r="N8" s="231"/>
      <c r="O8" s="229"/>
      <c r="P8" s="230"/>
      <c r="Q8" s="47">
        <v>44609.84375</v>
      </c>
      <c r="R8" s="44">
        <f t="shared" si="1"/>
        <v>-5.5707428556605283</v>
      </c>
      <c r="S8" s="44">
        <f t="shared" si="2"/>
        <v>-2.9823200006943806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302</v>
      </c>
      <c r="F9" s="40">
        <v>2.21</v>
      </c>
      <c r="G9" s="51">
        <v>-7</v>
      </c>
      <c r="H9" s="44">
        <f t="shared" si="0"/>
        <v>0.22036</v>
      </c>
      <c r="I9" s="52">
        <f>IF(F9="","",F9-F8-G9)</f>
        <v>0.35000000000000053</v>
      </c>
      <c r="J9" s="44">
        <f>IF(F9="","",I9-H9)</f>
        <v>0.12964000000000053</v>
      </c>
      <c r="K9" s="44">
        <f>IF(F9="","",K8+H9)</f>
        <v>3.6359400000000002</v>
      </c>
      <c r="L9" s="44">
        <f>IF(F9="","",L8+I9)</f>
        <v>3.0199999999999996</v>
      </c>
      <c r="M9" s="53">
        <f>IF(F9="","",L9-K9)</f>
        <v>-0.6159400000000006</v>
      </c>
      <c r="N9" s="228"/>
      <c r="O9" s="229"/>
      <c r="P9" s="230"/>
      <c r="Q9" s="47">
        <v>44609.84652777778</v>
      </c>
      <c r="R9" s="44">
        <f t="shared" si="1"/>
        <v>1.9445999987549112</v>
      </c>
      <c r="S9" s="44">
        <f t="shared" si="2"/>
        <v>-1.9450736843058698</v>
      </c>
    </row>
    <row r="10" spans="1:20" ht="12" customHeight="1" x14ac:dyDescent="0.2">
      <c r="A10" s="37"/>
      <c r="B10" s="48"/>
      <c r="C10" s="49">
        <v>15.74</v>
      </c>
      <c r="D10" s="54"/>
      <c r="E10" s="39">
        <v>383</v>
      </c>
      <c r="F10" s="40">
        <v>3.54</v>
      </c>
      <c r="G10" s="51"/>
      <c r="H10" s="44">
        <f t="shared" si="0"/>
        <v>1.27494</v>
      </c>
      <c r="I10" s="52">
        <f>IF(F10="","",F10-F9-G10)</f>
        <v>1.33</v>
      </c>
      <c r="J10" s="44">
        <f t="shared" ref="J10:J73" si="3">IF(F10="","",I10-H10)</f>
        <v>5.5060000000000109E-2</v>
      </c>
      <c r="K10" s="44">
        <f t="shared" ref="K10:K73" si="4">IF(F10="","",K9+H10)</f>
        <v>4.9108800000000006</v>
      </c>
      <c r="L10" s="44">
        <f t="shared" ref="L10:L73" si="5">IF(F10="","",L9+I10)</f>
        <v>4.3499999999999996</v>
      </c>
      <c r="M10" s="53">
        <f t="shared" ref="M10:M73" si="6">IF(F10="","",L10-K10)</f>
        <v>-0.56088000000000093</v>
      </c>
      <c r="N10" s="228"/>
      <c r="O10" s="229"/>
      <c r="P10" s="230"/>
      <c r="Q10" s="47">
        <v>44609.854861111111</v>
      </c>
      <c r="R10" s="44">
        <f t="shared" si="1"/>
        <v>0.27530000006409883</v>
      </c>
      <c r="S10" s="44">
        <f t="shared" si="2"/>
        <v>-1.085574193678843</v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>
        <v>465</v>
      </c>
      <c r="F11" s="56">
        <v>4.68</v>
      </c>
      <c r="G11" s="51"/>
      <c r="H11" s="44">
        <f t="shared" si="0"/>
        <v>1.29068</v>
      </c>
      <c r="I11" s="52">
        <f t="shared" ref="I11:I74" si="7">IF(F11="","",F11-F10-G11)</f>
        <v>1.1399999999999997</v>
      </c>
      <c r="J11" s="44">
        <f t="shared" si="3"/>
        <v>-0.15068000000000037</v>
      </c>
      <c r="K11" s="44">
        <f t="shared" si="4"/>
        <v>6.2015600000000006</v>
      </c>
      <c r="L11" s="44">
        <f t="shared" si="5"/>
        <v>5.4899999999999993</v>
      </c>
      <c r="M11" s="53">
        <f t="shared" si="6"/>
        <v>-0.7115600000000013</v>
      </c>
      <c r="N11" s="228"/>
      <c r="O11" s="229"/>
      <c r="P11" s="230"/>
      <c r="Q11" s="47">
        <v>44609.859722222223</v>
      </c>
      <c r="R11" s="44">
        <f t="shared" si="1"/>
        <v>-1.2915428567991909</v>
      </c>
      <c r="S11" s="44">
        <f t="shared" si="2"/>
        <v>-1.1235157895287575</v>
      </c>
    </row>
    <row r="12" spans="1:20" ht="12" customHeight="1" x14ac:dyDescent="0.2">
      <c r="A12" s="37"/>
      <c r="B12" s="48"/>
      <c r="C12" s="49">
        <v>15.74</v>
      </c>
      <c r="D12" s="54"/>
      <c r="E12" s="39">
        <v>574</v>
      </c>
      <c r="F12" s="56">
        <v>6.36</v>
      </c>
      <c r="G12" s="51"/>
      <c r="H12" s="44">
        <f t="shared" si="0"/>
        <v>1.7156600000000002</v>
      </c>
      <c r="I12" s="52">
        <f t="shared" si="7"/>
        <v>1.6800000000000006</v>
      </c>
      <c r="J12" s="44">
        <f t="shared" si="3"/>
        <v>-3.5659999999999581E-2</v>
      </c>
      <c r="K12" s="44">
        <f t="shared" si="4"/>
        <v>7.9172200000000004</v>
      </c>
      <c r="L12" s="44">
        <f t="shared" si="5"/>
        <v>7.17</v>
      </c>
      <c r="M12" s="53">
        <f t="shared" si="6"/>
        <v>-0.74722000000000044</v>
      </c>
      <c r="N12" s="228"/>
      <c r="O12" s="229"/>
      <c r="P12" s="230"/>
      <c r="Q12" s="47">
        <v>44609.865972222222</v>
      </c>
      <c r="R12" s="44">
        <f t="shared" si="1"/>
        <v>-0.23773333338868213</v>
      </c>
      <c r="S12" s="44">
        <f t="shared" si="2"/>
        <v>-0.95389787242075896</v>
      </c>
    </row>
    <row r="13" spans="1:20" ht="12" customHeight="1" x14ac:dyDescent="0.2">
      <c r="A13" s="37"/>
      <c r="B13" s="48"/>
      <c r="C13" s="49">
        <v>15.74</v>
      </c>
      <c r="D13" s="54"/>
      <c r="E13" s="39">
        <v>655</v>
      </c>
      <c r="F13" s="56">
        <v>7.58</v>
      </c>
      <c r="G13" s="51"/>
      <c r="H13" s="44">
        <f t="shared" si="0"/>
        <v>1.27494</v>
      </c>
      <c r="I13" s="52">
        <f t="shared" si="7"/>
        <v>1.2199999999999998</v>
      </c>
      <c r="J13" s="44">
        <f t="shared" si="3"/>
        <v>-5.4940000000000211E-2</v>
      </c>
      <c r="K13" s="44">
        <f t="shared" si="4"/>
        <v>9.1921600000000012</v>
      </c>
      <c r="L13" s="44">
        <f t="shared" si="5"/>
        <v>8.39</v>
      </c>
      <c r="M13" s="53">
        <f t="shared" si="6"/>
        <v>-0.80216000000000065</v>
      </c>
      <c r="N13" s="231"/>
      <c r="O13" s="229"/>
      <c r="P13" s="230"/>
      <c r="Q13" s="47">
        <v>44609.868750000001</v>
      </c>
      <c r="R13" s="44">
        <f t="shared" si="1"/>
        <v>-0.82409999947234491</v>
      </c>
      <c r="S13" s="44">
        <f t="shared" si="2"/>
        <v>-0.94371764708467443</v>
      </c>
    </row>
    <row r="14" spans="1:20" ht="12" customHeight="1" x14ac:dyDescent="0.2">
      <c r="A14" s="37"/>
      <c r="B14" s="48"/>
      <c r="C14" s="49">
        <v>15.74</v>
      </c>
      <c r="D14" s="54"/>
      <c r="E14" s="39">
        <v>764</v>
      </c>
      <c r="F14" s="56">
        <v>3.11</v>
      </c>
      <c r="G14" s="51">
        <v>-6</v>
      </c>
      <c r="H14" s="44">
        <f t="shared" ref="H14:H74" si="8">IF(E14="","",((E14-E13)*C14)/1000)</f>
        <v>1.7156600000000002</v>
      </c>
      <c r="I14" s="52">
        <f t="shared" si="7"/>
        <v>1.5299999999999994</v>
      </c>
      <c r="J14" s="44">
        <f t="shared" si="3"/>
        <v>-0.18566000000000082</v>
      </c>
      <c r="K14" s="44">
        <f t="shared" si="4"/>
        <v>10.907820000000001</v>
      </c>
      <c r="L14" s="44">
        <f t="shared" si="5"/>
        <v>9.92</v>
      </c>
      <c r="M14" s="53">
        <f t="shared" si="6"/>
        <v>-0.98782000000000103</v>
      </c>
      <c r="N14" s="231"/>
      <c r="O14" s="229"/>
      <c r="P14" s="230"/>
      <c r="Q14" s="47">
        <v>44609.872916666667</v>
      </c>
      <c r="R14" s="44">
        <f t="shared" si="1"/>
        <v>-1.8566000004322816</v>
      </c>
      <c r="S14" s="44">
        <f t="shared" si="2"/>
        <v>-1.039810526366759</v>
      </c>
    </row>
    <row r="15" spans="1:20" ht="12" customHeight="1" x14ac:dyDescent="0.2">
      <c r="A15" s="37"/>
      <c r="B15" s="48"/>
      <c r="C15" s="49">
        <v>15.74</v>
      </c>
      <c r="D15" s="54"/>
      <c r="E15" s="39">
        <v>873</v>
      </c>
      <c r="F15" s="40">
        <v>4.68</v>
      </c>
      <c r="G15" s="51"/>
      <c r="H15" s="44">
        <f t="shared" si="8"/>
        <v>1.7156600000000002</v>
      </c>
      <c r="I15" s="52">
        <f t="shared" si="7"/>
        <v>1.5699999999999998</v>
      </c>
      <c r="J15" s="44">
        <f t="shared" si="3"/>
        <v>-0.14566000000000034</v>
      </c>
      <c r="K15" s="44">
        <f t="shared" si="4"/>
        <v>12.623480000000001</v>
      </c>
      <c r="L15" s="44">
        <f t="shared" si="5"/>
        <v>11.49</v>
      </c>
      <c r="M15" s="53">
        <f t="shared" si="6"/>
        <v>-1.1334800000000005</v>
      </c>
      <c r="N15" s="231"/>
      <c r="O15" s="229"/>
      <c r="P15" s="230"/>
      <c r="Q15" s="47">
        <v>44609.875</v>
      </c>
      <c r="R15" s="44">
        <f t="shared" si="1"/>
        <v>-2.9132000006782892</v>
      </c>
      <c r="S15" s="44">
        <f t="shared" si="2"/>
        <v>-1.1334800000659777</v>
      </c>
    </row>
    <row r="16" spans="1:20" ht="12" customHeight="1" x14ac:dyDescent="0.2">
      <c r="A16" s="37"/>
      <c r="B16" s="48" t="s">
        <v>39</v>
      </c>
      <c r="C16" s="49">
        <v>15.93</v>
      </c>
      <c r="D16" s="57"/>
      <c r="E16" s="39">
        <v>899</v>
      </c>
      <c r="F16" s="40">
        <v>4.97</v>
      </c>
      <c r="G16" s="51"/>
      <c r="H16" s="44">
        <f t="shared" si="8"/>
        <v>0.41417999999999999</v>
      </c>
      <c r="I16" s="52">
        <f t="shared" si="7"/>
        <v>0.29000000000000004</v>
      </c>
      <c r="J16" s="44">
        <f t="shared" si="3"/>
        <v>-0.12417999999999996</v>
      </c>
      <c r="K16" s="44">
        <f t="shared" si="4"/>
        <v>13.037660000000001</v>
      </c>
      <c r="L16" s="44">
        <f t="shared" si="5"/>
        <v>11.780000000000001</v>
      </c>
      <c r="M16" s="53">
        <f t="shared" si="6"/>
        <v>-1.2576599999999996</v>
      </c>
      <c r="N16" s="228"/>
      <c r="O16" s="229"/>
      <c r="P16" s="230"/>
      <c r="Q16" s="47">
        <v>44609.882638888892</v>
      </c>
      <c r="R16" s="44">
        <f t="shared" si="1"/>
        <v>-0.67734545427305171</v>
      </c>
      <c r="S16" s="44">
        <f t="shared" si="2"/>
        <v>-1.0628112675916923</v>
      </c>
      <c r="T16" s="55"/>
    </row>
    <row r="17" spans="1:19" ht="12" customHeight="1" x14ac:dyDescent="0.2">
      <c r="A17" s="37"/>
      <c r="B17" s="48"/>
      <c r="C17" s="49">
        <v>15.93</v>
      </c>
      <c r="D17" s="54"/>
      <c r="E17" s="39">
        <v>1214</v>
      </c>
      <c r="F17" s="40">
        <v>8.65</v>
      </c>
      <c r="G17" s="51"/>
      <c r="H17" s="44">
        <f t="shared" ref="H17:H22" si="9">IF(E17="","",((E17-E16)*C17)/1000)</f>
        <v>5.0179499999999999</v>
      </c>
      <c r="I17" s="52">
        <f t="shared" si="7"/>
        <v>3.6800000000000006</v>
      </c>
      <c r="J17" s="44">
        <f t="shared" si="3"/>
        <v>-1.3379499999999993</v>
      </c>
      <c r="K17" s="44">
        <f t="shared" si="4"/>
        <v>18.055610000000001</v>
      </c>
      <c r="L17" s="44">
        <f t="shared" si="5"/>
        <v>15.46</v>
      </c>
      <c r="M17" s="53">
        <f t="shared" si="6"/>
        <v>-2.5956100000000006</v>
      </c>
      <c r="N17" s="231"/>
      <c r="O17" s="229"/>
      <c r="P17" s="230"/>
      <c r="Q17" s="47">
        <v>44609.904166666667</v>
      </c>
      <c r="R17" s="44">
        <f t="shared" si="1"/>
        <v>-2.5895806454724806</v>
      </c>
      <c r="S17" s="44">
        <f t="shared" si="2"/>
        <v>-1.5268294118065289</v>
      </c>
    </row>
    <row r="18" spans="1:19" ht="12" customHeight="1" x14ac:dyDescent="0.2">
      <c r="A18" s="37"/>
      <c r="B18" s="48"/>
      <c r="C18" s="49">
        <v>15.93</v>
      </c>
      <c r="D18" s="54"/>
      <c r="E18" s="39">
        <v>1266</v>
      </c>
      <c r="F18" s="40">
        <v>2.94</v>
      </c>
      <c r="G18" s="40">
        <v>-6.5</v>
      </c>
      <c r="H18" s="44">
        <f t="shared" si="9"/>
        <v>0.82835999999999999</v>
      </c>
      <c r="I18" s="52">
        <f t="shared" si="7"/>
        <v>0.78999999999999915</v>
      </c>
      <c r="J18" s="44">
        <f t="shared" si="3"/>
        <v>-3.8360000000000838E-2</v>
      </c>
      <c r="K18" s="44">
        <f t="shared" si="4"/>
        <v>18.883970000000001</v>
      </c>
      <c r="L18" s="44">
        <f t="shared" si="5"/>
        <v>16.25</v>
      </c>
      <c r="M18" s="53">
        <f t="shared" si="6"/>
        <v>-2.6339700000000015</v>
      </c>
      <c r="N18" s="228"/>
      <c r="O18" s="229"/>
      <c r="P18" s="230"/>
      <c r="Q18" s="47">
        <v>44609.906944444447</v>
      </c>
      <c r="R18" s="44">
        <f t="shared" si="1"/>
        <v>-0.57539999963159305</v>
      </c>
      <c r="S18" s="44">
        <f t="shared" si="2"/>
        <v>-1.4909264150976154</v>
      </c>
    </row>
    <row r="19" spans="1:19" ht="12" customHeight="1" x14ac:dyDescent="0.2">
      <c r="A19" s="37"/>
      <c r="B19" s="48"/>
      <c r="C19" s="49">
        <v>15.93</v>
      </c>
      <c r="D19" s="54"/>
      <c r="E19" s="39">
        <v>1361</v>
      </c>
      <c r="F19" s="40">
        <v>4.66</v>
      </c>
      <c r="G19" s="40"/>
      <c r="H19" s="44">
        <f t="shared" si="9"/>
        <v>1.51335</v>
      </c>
      <c r="I19" s="52">
        <f t="shared" si="7"/>
        <v>1.7200000000000002</v>
      </c>
      <c r="J19" s="44">
        <f t="shared" si="3"/>
        <v>0.20665000000000022</v>
      </c>
      <c r="K19" s="44">
        <f t="shared" si="4"/>
        <v>20.397320000000001</v>
      </c>
      <c r="L19" s="44">
        <f t="shared" si="5"/>
        <v>17.97</v>
      </c>
      <c r="M19" s="53">
        <f t="shared" si="6"/>
        <v>-2.4273200000000017</v>
      </c>
      <c r="N19" s="228"/>
      <c r="O19" s="229"/>
      <c r="P19" s="230"/>
      <c r="Q19" s="47">
        <v>44609.913194444445</v>
      </c>
      <c r="R19" s="44">
        <f t="shared" si="1"/>
        <v>1.3776666669874311</v>
      </c>
      <c r="S19" s="44">
        <f t="shared" si="2"/>
        <v>-1.2664278261125976</v>
      </c>
    </row>
    <row r="20" spans="1:19" ht="12" customHeight="1" x14ac:dyDescent="0.2">
      <c r="A20" s="37"/>
      <c r="B20" s="48"/>
      <c r="C20" s="49">
        <v>15.93</v>
      </c>
      <c r="D20" s="54"/>
      <c r="E20" s="39">
        <v>1361</v>
      </c>
      <c r="F20" s="40">
        <v>4.28</v>
      </c>
      <c r="G20" s="40"/>
      <c r="H20" s="44">
        <f t="shared" si="9"/>
        <v>0</v>
      </c>
      <c r="I20" s="52">
        <f t="shared" si="7"/>
        <v>-0.37999999999999989</v>
      </c>
      <c r="J20" s="44">
        <f t="shared" si="3"/>
        <v>-0.37999999999999989</v>
      </c>
      <c r="K20" s="44">
        <f t="shared" si="4"/>
        <v>20.397320000000001</v>
      </c>
      <c r="L20" s="44">
        <f t="shared" si="5"/>
        <v>17.59</v>
      </c>
      <c r="M20" s="53">
        <f t="shared" si="6"/>
        <v>-2.8073200000000007</v>
      </c>
      <c r="N20" s="242"/>
      <c r="O20" s="229"/>
      <c r="P20" s="230"/>
      <c r="Q20" s="47">
        <v>44609.925694444442</v>
      </c>
      <c r="R20" s="44">
        <f t="shared" si="1"/>
        <v>-1.2666666669615851</v>
      </c>
      <c r="S20" s="44">
        <f t="shared" si="2"/>
        <v>-1.2664601504380182</v>
      </c>
    </row>
    <row r="21" spans="1:19" ht="12" customHeight="1" x14ac:dyDescent="0.2">
      <c r="A21" s="37"/>
      <c r="B21" s="48"/>
      <c r="C21" s="49">
        <v>15.93</v>
      </c>
      <c r="D21" s="54"/>
      <c r="E21" s="39">
        <v>1816</v>
      </c>
      <c r="F21" s="40">
        <v>3.83</v>
      </c>
      <c r="G21" s="51">
        <v>-7.56</v>
      </c>
      <c r="H21" s="44">
        <f t="shared" si="9"/>
        <v>7.2481499999999999</v>
      </c>
      <c r="I21" s="52">
        <f t="shared" si="7"/>
        <v>7.1099999999999994</v>
      </c>
      <c r="J21" s="44">
        <f t="shared" si="3"/>
        <v>-0.13815000000000044</v>
      </c>
      <c r="K21" s="44">
        <f t="shared" si="4"/>
        <v>27.64547</v>
      </c>
      <c r="L21" s="44">
        <f t="shared" si="5"/>
        <v>24.7</v>
      </c>
      <c r="M21" s="53">
        <f t="shared" si="6"/>
        <v>-2.9454700000000003</v>
      </c>
      <c r="N21" s="228"/>
      <c r="O21" s="229"/>
      <c r="P21" s="230"/>
      <c r="Q21" s="47">
        <v>44609.949305555558</v>
      </c>
      <c r="R21" s="44">
        <f t="shared" si="1"/>
        <v>-0.2437941176036528</v>
      </c>
      <c r="S21" s="44">
        <f t="shared" si="2"/>
        <v>-1.0582526946137294</v>
      </c>
    </row>
    <row r="22" spans="1:19" ht="12" customHeight="1" x14ac:dyDescent="0.2">
      <c r="A22" s="37"/>
      <c r="B22" s="48"/>
      <c r="C22" s="49">
        <v>15.93</v>
      </c>
      <c r="D22" s="54"/>
      <c r="E22" s="39">
        <v>1921</v>
      </c>
      <c r="F22" s="40">
        <v>5.35</v>
      </c>
      <c r="G22" s="51"/>
      <c r="H22" s="44">
        <f t="shared" si="9"/>
        <v>1.67265</v>
      </c>
      <c r="I22" s="52">
        <f t="shared" si="7"/>
        <v>1.5199999999999996</v>
      </c>
      <c r="J22" s="44">
        <f t="shared" si="3"/>
        <v>-0.1526500000000004</v>
      </c>
      <c r="K22" s="44">
        <f t="shared" si="4"/>
        <v>29.31812</v>
      </c>
      <c r="L22" s="44">
        <f t="shared" si="5"/>
        <v>26.22</v>
      </c>
      <c r="M22" s="53">
        <f t="shared" si="6"/>
        <v>-3.0981200000000015</v>
      </c>
      <c r="N22" s="228"/>
      <c r="O22" s="229"/>
      <c r="P22" s="230"/>
      <c r="Q22" s="47">
        <v>44609.95416666667</v>
      </c>
      <c r="R22" s="44">
        <f t="shared" si="1"/>
        <v>-1.3084285710804122</v>
      </c>
      <c r="S22" s="44">
        <f t="shared" si="2"/>
        <v>-1.0683172413707338</v>
      </c>
    </row>
    <row r="23" spans="1:19" ht="12" customHeight="1" x14ac:dyDescent="0.2">
      <c r="A23" s="37"/>
      <c r="B23" s="48" t="s">
        <v>37</v>
      </c>
      <c r="C23" s="49">
        <v>15.74</v>
      </c>
      <c r="D23" s="54"/>
      <c r="E23" s="39">
        <v>2159</v>
      </c>
      <c r="F23" s="40">
        <v>8.3000000000000007</v>
      </c>
      <c r="G23" s="51"/>
      <c r="H23" s="44">
        <f t="shared" si="8"/>
        <v>3.7461199999999999</v>
      </c>
      <c r="I23" s="52">
        <f t="shared" si="7"/>
        <v>2.9500000000000011</v>
      </c>
      <c r="J23" s="44">
        <f t="shared" si="3"/>
        <v>-0.79611999999999883</v>
      </c>
      <c r="K23" s="44">
        <f t="shared" si="4"/>
        <v>33.064239999999998</v>
      </c>
      <c r="L23" s="44">
        <f t="shared" si="5"/>
        <v>29.17</v>
      </c>
      <c r="M23" s="53">
        <f t="shared" si="6"/>
        <v>-3.8942399999999964</v>
      </c>
      <c r="N23" s="228"/>
      <c r="O23" s="229"/>
      <c r="P23" s="230"/>
      <c r="Q23" s="47">
        <v>44609.968055555553</v>
      </c>
      <c r="R23" s="44">
        <f t="shared" si="1"/>
        <v>-2.3883600009731425</v>
      </c>
      <c r="S23" s="44">
        <f t="shared" si="2"/>
        <v>-1.2044041237532579</v>
      </c>
    </row>
    <row r="24" spans="1:19" ht="12" customHeight="1" x14ac:dyDescent="0.2">
      <c r="A24" s="37"/>
      <c r="B24" s="48"/>
      <c r="C24" s="49">
        <v>15.74</v>
      </c>
      <c r="D24" s="54"/>
      <c r="E24" s="39">
        <v>2395</v>
      </c>
      <c r="F24" s="40">
        <v>5.67</v>
      </c>
      <c r="G24" s="51">
        <v>-6.2</v>
      </c>
      <c r="H24" s="44">
        <f t="shared" si="8"/>
        <v>3.7146399999999997</v>
      </c>
      <c r="I24" s="52">
        <f t="shared" si="7"/>
        <v>3.5699999999999994</v>
      </c>
      <c r="J24" s="44">
        <f t="shared" si="3"/>
        <v>-0.14464000000000032</v>
      </c>
      <c r="K24" s="44">
        <f t="shared" si="4"/>
        <v>36.778880000000001</v>
      </c>
      <c r="L24" s="44">
        <f t="shared" si="5"/>
        <v>32.74</v>
      </c>
      <c r="M24" s="53">
        <f t="shared" si="6"/>
        <v>-4.0388799999999989</v>
      </c>
      <c r="N24" s="231"/>
      <c r="O24" s="229"/>
      <c r="P24" s="230"/>
      <c r="Q24" s="47">
        <v>44609.982638888891</v>
      </c>
      <c r="R24" s="44">
        <f t="shared" si="1"/>
        <v>-0.41325714274717928</v>
      </c>
      <c r="S24" s="44">
        <f t="shared" si="2"/>
        <v>-1.1271293023316842</v>
      </c>
    </row>
    <row r="25" spans="1:19" ht="12" customHeight="1" x14ac:dyDescent="0.2">
      <c r="A25" s="37"/>
      <c r="B25" s="48"/>
      <c r="C25" s="49">
        <v>15.74</v>
      </c>
      <c r="D25" s="54"/>
      <c r="E25" s="39">
        <v>2408</v>
      </c>
      <c r="F25" s="40">
        <v>5.21</v>
      </c>
      <c r="G25" s="51"/>
      <c r="H25" s="44">
        <f t="shared" si="8"/>
        <v>0.20462</v>
      </c>
      <c r="I25" s="52">
        <f t="shared" si="7"/>
        <v>-0.45999999999999996</v>
      </c>
      <c r="J25" s="44">
        <f t="shared" si="3"/>
        <v>-0.66461999999999999</v>
      </c>
      <c r="K25" s="44">
        <f t="shared" si="4"/>
        <v>36.983499999999999</v>
      </c>
      <c r="L25" s="44">
        <f t="shared" si="5"/>
        <v>32.28</v>
      </c>
      <c r="M25" s="53">
        <f t="shared" si="6"/>
        <v>-4.7034999999999982</v>
      </c>
      <c r="N25" s="228"/>
      <c r="O25" s="229"/>
      <c r="P25" s="230"/>
      <c r="Q25" s="47">
        <v>44610.035416666666</v>
      </c>
      <c r="R25" s="44">
        <f t="shared" si="1"/>
        <v>-0.52470000002571915</v>
      </c>
      <c r="S25" s="44">
        <f t="shared" si="2"/>
        <v>-0.96979381444928403</v>
      </c>
    </row>
    <row r="26" spans="1:19" ht="12" customHeight="1" x14ac:dyDescent="0.2">
      <c r="A26" s="37">
        <v>176.43</v>
      </c>
      <c r="B26" s="48"/>
      <c r="C26" s="49">
        <v>15.74</v>
      </c>
      <c r="D26" s="54"/>
      <c r="E26" s="39">
        <v>2408</v>
      </c>
      <c r="F26" s="40">
        <v>5.26</v>
      </c>
      <c r="G26" s="51"/>
      <c r="H26" s="44">
        <f>IF(E26="","",((E26-E25)*C26)/1000)</f>
        <v>0</v>
      </c>
      <c r="I26" s="52">
        <f>IF(F26="","",F26-F25-G26)</f>
        <v>4.9999999999999822E-2</v>
      </c>
      <c r="J26" s="44">
        <f t="shared" si="3"/>
        <v>4.9999999999999822E-2</v>
      </c>
      <c r="K26" s="44">
        <f t="shared" si="4"/>
        <v>36.983499999999999</v>
      </c>
      <c r="L26" s="44">
        <f t="shared" si="5"/>
        <v>32.33</v>
      </c>
      <c r="M26" s="53">
        <f t="shared" si="6"/>
        <v>-4.6535000000000011</v>
      </c>
      <c r="N26" s="228"/>
      <c r="O26" s="229"/>
      <c r="P26" s="230"/>
      <c r="Q26" s="47">
        <v>44610.039583333331</v>
      </c>
      <c r="R26" s="44">
        <f t="shared" si="1"/>
        <v>0.50000000011641355</v>
      </c>
      <c r="S26" s="44">
        <f t="shared" si="2"/>
        <v>-0.94010101012090885</v>
      </c>
    </row>
    <row r="27" spans="1:19" ht="12" customHeight="1" x14ac:dyDescent="0.2">
      <c r="A27" s="37"/>
      <c r="B27" s="48"/>
      <c r="C27" s="49">
        <v>15.74</v>
      </c>
      <c r="D27" s="58"/>
      <c r="E27" s="39">
        <v>2408</v>
      </c>
      <c r="F27" s="40"/>
      <c r="G27" s="51"/>
      <c r="H27" s="44">
        <f t="shared" si="8"/>
        <v>0</v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1"/>
        <v/>
      </c>
      <c r="S27" s="44" t="str">
        <f t="shared" si="2"/>
        <v/>
      </c>
    </row>
    <row r="28" spans="1:19" ht="12" customHeight="1" x14ac:dyDescent="0.2">
      <c r="A28" s="37"/>
      <c r="B28" s="48"/>
      <c r="C28" s="49">
        <v>15.74</v>
      </c>
      <c r="D28" s="58"/>
      <c r="E28" s="39"/>
      <c r="F28" s="40"/>
      <c r="G28" s="51"/>
      <c r="H28" s="44" t="str">
        <f t="shared" si="8"/>
        <v/>
      </c>
      <c r="I28" s="52" t="str">
        <f>IF(F28="","",F28-F27-G28)</f>
        <v/>
      </c>
      <c r="J28" s="44" t="str">
        <f t="shared" si="3"/>
        <v/>
      </c>
      <c r="K28" s="44" t="str">
        <f t="shared" si="4"/>
        <v/>
      </c>
      <c r="L28" s="44" t="str">
        <f t="shared" si="5"/>
        <v/>
      </c>
      <c r="M28" s="53" t="str">
        <f t="shared" si="6"/>
        <v/>
      </c>
      <c r="N28" s="231"/>
      <c r="O28" s="229"/>
      <c r="P28" s="230"/>
      <c r="Q28" s="47"/>
      <c r="R28" s="44" t="str">
        <f t="shared" si="1"/>
        <v/>
      </c>
      <c r="S28" s="44" t="str">
        <f t="shared" si="2"/>
        <v/>
      </c>
    </row>
    <row r="29" spans="1:19" ht="12" customHeight="1" x14ac:dyDescent="0.2">
      <c r="A29" s="37"/>
      <c r="B29" s="48"/>
      <c r="C29" s="49">
        <v>15.74</v>
      </c>
      <c r="D29" s="58"/>
      <c r="E29" s="39"/>
      <c r="F29" s="40"/>
      <c r="G29" s="51"/>
      <c r="H29" s="44" t="str">
        <f t="shared" si="8"/>
        <v/>
      </c>
      <c r="I29" s="52" t="str">
        <f t="shared" si="7"/>
        <v/>
      </c>
      <c r="J29" s="44" t="str">
        <f t="shared" si="3"/>
        <v/>
      </c>
      <c r="K29" s="44" t="str">
        <f t="shared" si="4"/>
        <v/>
      </c>
      <c r="L29" s="44" t="str">
        <f t="shared" si="5"/>
        <v/>
      </c>
      <c r="M29" s="53" t="str">
        <f t="shared" si="6"/>
        <v/>
      </c>
      <c r="N29" s="228"/>
      <c r="O29" s="229"/>
      <c r="P29" s="230"/>
      <c r="Q29" s="47"/>
      <c r="R29" s="44" t="str">
        <f t="shared" si="1"/>
        <v/>
      </c>
      <c r="S29" s="44" t="str">
        <f t="shared" si="2"/>
        <v/>
      </c>
    </row>
    <row r="30" spans="1:19" ht="12" customHeight="1" x14ac:dyDescent="0.2">
      <c r="A30" s="37"/>
      <c r="B30" s="48"/>
      <c r="C30" s="49">
        <v>15.74</v>
      </c>
      <c r="D30" s="58"/>
      <c r="E30" s="39"/>
      <c r="F30" s="40"/>
      <c r="G30" s="59"/>
      <c r="H30" s="44" t="str">
        <f t="shared" si="8"/>
        <v/>
      </c>
      <c r="I30" s="52" t="str">
        <f t="shared" si="7"/>
        <v/>
      </c>
      <c r="J30" s="44" t="str">
        <f t="shared" si="3"/>
        <v/>
      </c>
      <c r="K30" s="44" t="str">
        <f t="shared" si="4"/>
        <v/>
      </c>
      <c r="L30" s="44" t="str">
        <f t="shared" si="5"/>
        <v/>
      </c>
      <c r="M30" s="53" t="str">
        <f t="shared" si="6"/>
        <v/>
      </c>
      <c r="N30" s="228"/>
      <c r="O30" s="229"/>
      <c r="P30" s="230"/>
      <c r="Q30" s="47"/>
      <c r="R30" s="44" t="str">
        <f t="shared" si="1"/>
        <v/>
      </c>
      <c r="S30" s="44" t="str">
        <f t="shared" si="2"/>
        <v/>
      </c>
    </row>
    <row r="31" spans="1:19" ht="12" customHeight="1" x14ac:dyDescent="0.2">
      <c r="A31" s="37"/>
      <c r="B31" s="48"/>
      <c r="C31" s="49">
        <v>15.74</v>
      </c>
      <c r="D31" s="58"/>
      <c r="E31" s="39"/>
      <c r="F31" s="40"/>
      <c r="G31" s="51"/>
      <c r="H31" s="44" t="str">
        <f t="shared" si="8"/>
        <v/>
      </c>
      <c r="I31" s="52" t="str">
        <f t="shared" si="7"/>
        <v/>
      </c>
      <c r="J31" s="44" t="str">
        <f t="shared" si="3"/>
        <v/>
      </c>
      <c r="K31" s="44" t="str">
        <f t="shared" si="4"/>
        <v/>
      </c>
      <c r="L31" s="44" t="str">
        <f t="shared" si="5"/>
        <v/>
      </c>
      <c r="M31" s="53" t="str">
        <f t="shared" si="6"/>
        <v/>
      </c>
      <c r="N31" s="231"/>
      <c r="O31" s="229"/>
      <c r="P31" s="230"/>
      <c r="Q31" s="47"/>
      <c r="R31" s="44" t="str">
        <f t="shared" si="1"/>
        <v/>
      </c>
      <c r="S31" s="44" t="str">
        <f t="shared" si="2"/>
        <v/>
      </c>
    </row>
    <row r="32" spans="1:19" ht="12" customHeight="1" x14ac:dyDescent="0.2">
      <c r="A32" s="37"/>
      <c r="B32" s="48"/>
      <c r="C32" s="49">
        <v>15.74</v>
      </c>
      <c r="D32" s="58"/>
      <c r="E32" s="39"/>
      <c r="F32" s="40"/>
      <c r="G32" s="51"/>
      <c r="H32" s="44" t="str">
        <f t="shared" si="8"/>
        <v/>
      </c>
      <c r="I32" s="52" t="str">
        <f t="shared" si="7"/>
        <v/>
      </c>
      <c r="J32" s="44" t="str">
        <f t="shared" si="3"/>
        <v/>
      </c>
      <c r="K32" s="44" t="str">
        <f t="shared" si="4"/>
        <v/>
      </c>
      <c r="L32" s="44" t="str">
        <f t="shared" si="5"/>
        <v/>
      </c>
      <c r="M32" s="53" t="str">
        <f t="shared" si="6"/>
        <v/>
      </c>
      <c r="N32" s="228"/>
      <c r="O32" s="229"/>
      <c r="P32" s="230"/>
      <c r="Q32" s="47"/>
      <c r="R32" s="44" t="str">
        <f t="shared" si="1"/>
        <v/>
      </c>
      <c r="S32" s="44" t="str">
        <f t="shared" si="2"/>
        <v/>
      </c>
    </row>
    <row r="33" spans="1:19" ht="12" customHeight="1" x14ac:dyDescent="0.2">
      <c r="A33" s="37"/>
      <c r="B33" s="48"/>
      <c r="C33" s="49">
        <v>15.74</v>
      </c>
      <c r="D33" s="58"/>
      <c r="E33" s="39"/>
      <c r="F33" s="40"/>
      <c r="G33" s="51"/>
      <c r="H33" s="44" t="str">
        <f t="shared" si="8"/>
        <v/>
      </c>
      <c r="I33" s="52" t="str">
        <f t="shared" si="7"/>
        <v/>
      </c>
      <c r="J33" s="44" t="str">
        <f t="shared" si="3"/>
        <v/>
      </c>
      <c r="K33" s="44" t="str">
        <f t="shared" si="4"/>
        <v/>
      </c>
      <c r="L33" s="44" t="str">
        <f t="shared" si="5"/>
        <v/>
      </c>
      <c r="M33" s="53" t="str">
        <f t="shared" si="6"/>
        <v/>
      </c>
      <c r="N33" s="231"/>
      <c r="O33" s="229"/>
      <c r="P33" s="230"/>
      <c r="Q33" s="47"/>
      <c r="R33" s="44" t="str">
        <f t="shared" si="1"/>
        <v/>
      </c>
      <c r="S33" s="44" t="str">
        <f t="shared" si="2"/>
        <v/>
      </c>
    </row>
    <row r="34" spans="1:19" ht="12" customHeight="1" x14ac:dyDescent="0.2">
      <c r="A34" s="37"/>
      <c r="B34" s="48"/>
      <c r="C34" s="49">
        <v>15.74</v>
      </c>
      <c r="D34" s="58"/>
      <c r="E34" s="39"/>
      <c r="F34" s="40"/>
      <c r="G34" s="51"/>
      <c r="H34" s="44" t="str">
        <f t="shared" si="8"/>
        <v/>
      </c>
      <c r="I34" s="52" t="str">
        <f t="shared" si="7"/>
        <v/>
      </c>
      <c r="J34" s="44" t="str">
        <f t="shared" si="3"/>
        <v/>
      </c>
      <c r="K34" s="44" t="str">
        <f t="shared" si="4"/>
        <v/>
      </c>
      <c r="L34" s="44" t="str">
        <f t="shared" si="5"/>
        <v/>
      </c>
      <c r="M34" s="53" t="str">
        <f t="shared" si="6"/>
        <v/>
      </c>
      <c r="N34" s="164"/>
      <c r="O34" s="162"/>
      <c r="P34" s="163"/>
      <c r="Q34" s="47"/>
      <c r="R34" s="44" t="str">
        <f t="shared" si="1"/>
        <v/>
      </c>
      <c r="S34" s="44" t="str">
        <f t="shared" si="2"/>
        <v/>
      </c>
    </row>
    <row r="35" spans="1:19" ht="12" customHeight="1" x14ac:dyDescent="0.2">
      <c r="A35" s="37"/>
      <c r="B35" s="48"/>
      <c r="C35" s="49">
        <v>15.74</v>
      </c>
      <c r="D35" s="58"/>
      <c r="E35" s="39"/>
      <c r="F35" s="40"/>
      <c r="G35" s="51"/>
      <c r="H35" s="44" t="str">
        <f t="shared" si="8"/>
        <v/>
      </c>
      <c r="I35" s="52" t="str">
        <f t="shared" si="7"/>
        <v/>
      </c>
      <c r="J35" s="44" t="str">
        <f t="shared" si="3"/>
        <v/>
      </c>
      <c r="K35" s="44" t="str">
        <f t="shared" si="4"/>
        <v/>
      </c>
      <c r="L35" s="44" t="str">
        <f t="shared" si="5"/>
        <v/>
      </c>
      <c r="M35" s="53" t="str">
        <f t="shared" si="6"/>
        <v/>
      </c>
      <c r="N35" s="228"/>
      <c r="O35" s="229"/>
      <c r="P35" s="230"/>
      <c r="Q35" s="47"/>
      <c r="R35" s="44" t="str">
        <f t="shared" si="1"/>
        <v/>
      </c>
      <c r="S35" s="44" t="str">
        <f t="shared" si="2"/>
        <v/>
      </c>
    </row>
    <row r="36" spans="1:19" ht="12" customHeight="1" x14ac:dyDescent="0.2">
      <c r="A36" s="37"/>
      <c r="B36" s="48"/>
      <c r="C36" s="49">
        <v>15.74</v>
      </c>
      <c r="D36" s="58"/>
      <c r="E36" s="39"/>
      <c r="F36" s="56"/>
      <c r="G36" s="51"/>
      <c r="H36" s="44" t="str">
        <f t="shared" si="8"/>
        <v/>
      </c>
      <c r="I36" s="52" t="str">
        <f t="shared" si="7"/>
        <v/>
      </c>
      <c r="J36" s="44" t="str">
        <f t="shared" si="3"/>
        <v/>
      </c>
      <c r="K36" s="44" t="str">
        <f t="shared" si="4"/>
        <v/>
      </c>
      <c r="L36" s="44" t="str">
        <f t="shared" si="5"/>
        <v/>
      </c>
      <c r="M36" s="53" t="str">
        <f t="shared" si="6"/>
        <v/>
      </c>
      <c r="N36" s="231"/>
      <c r="O36" s="229"/>
      <c r="P36" s="230"/>
      <c r="Q36" s="47"/>
      <c r="R36" s="44" t="str">
        <f t="shared" si="1"/>
        <v/>
      </c>
      <c r="S36" s="44" t="str">
        <f t="shared" si="2"/>
        <v/>
      </c>
    </row>
    <row r="37" spans="1:19" ht="12" customHeight="1" x14ac:dyDescent="0.2">
      <c r="A37" s="37"/>
      <c r="B37" s="48"/>
      <c r="C37" s="49">
        <v>15.74</v>
      </c>
      <c r="D37" s="58"/>
      <c r="E37" s="50"/>
      <c r="F37" s="56"/>
      <c r="G37" s="51"/>
      <c r="H37" s="44" t="str">
        <f t="shared" si="8"/>
        <v/>
      </c>
      <c r="I37" s="52" t="str">
        <f t="shared" si="7"/>
        <v/>
      </c>
      <c r="J37" s="44" t="str">
        <f t="shared" si="3"/>
        <v/>
      </c>
      <c r="K37" s="44" t="str">
        <f t="shared" si="4"/>
        <v/>
      </c>
      <c r="L37" s="44" t="str">
        <f t="shared" si="5"/>
        <v/>
      </c>
      <c r="M37" s="53" t="str">
        <f t="shared" si="6"/>
        <v/>
      </c>
      <c r="N37" s="228"/>
      <c r="O37" s="229"/>
      <c r="P37" s="230"/>
      <c r="Q37" s="47"/>
      <c r="R37" s="44" t="str">
        <f t="shared" si="1"/>
        <v/>
      </c>
      <c r="S37" s="44" t="str">
        <f t="shared" si="2"/>
        <v/>
      </c>
    </row>
    <row r="38" spans="1:19" ht="12" customHeight="1" x14ac:dyDescent="0.2">
      <c r="A38" s="37"/>
      <c r="B38" s="48"/>
      <c r="C38" s="49">
        <v>15.74</v>
      </c>
      <c r="D38" s="58"/>
      <c r="E38" s="50"/>
      <c r="F38" s="56"/>
      <c r="G38" s="51"/>
      <c r="H38" s="44" t="str">
        <f t="shared" si="8"/>
        <v/>
      </c>
      <c r="I38" s="52" t="str">
        <f t="shared" si="7"/>
        <v/>
      </c>
      <c r="J38" s="44" t="str">
        <f t="shared" si="3"/>
        <v/>
      </c>
      <c r="K38" s="44" t="str">
        <f t="shared" si="4"/>
        <v/>
      </c>
      <c r="L38" s="44" t="str">
        <f t="shared" si="5"/>
        <v/>
      </c>
      <c r="M38" s="53" t="str">
        <f t="shared" si="6"/>
        <v/>
      </c>
      <c r="N38" s="228"/>
      <c r="O38" s="229"/>
      <c r="P38" s="230"/>
      <c r="Q38" s="47"/>
      <c r="R38" s="44" t="str">
        <f t="shared" si="1"/>
        <v/>
      </c>
      <c r="S38" s="44" t="str">
        <f t="shared" si="2"/>
        <v/>
      </c>
    </row>
    <row r="39" spans="1:19" ht="12" customHeight="1" x14ac:dyDescent="0.2">
      <c r="A39" s="37"/>
      <c r="B39" s="48"/>
      <c r="C39" s="49">
        <v>15.74</v>
      </c>
      <c r="D39" s="58"/>
      <c r="E39" s="50"/>
      <c r="F39" s="56"/>
      <c r="G39" s="51"/>
      <c r="H39" s="44" t="str">
        <f t="shared" si="8"/>
        <v/>
      </c>
      <c r="I39" s="52" t="str">
        <f t="shared" si="7"/>
        <v/>
      </c>
      <c r="J39" s="44" t="str">
        <f t="shared" si="3"/>
        <v/>
      </c>
      <c r="K39" s="44" t="str">
        <f t="shared" si="4"/>
        <v/>
      </c>
      <c r="L39" s="44" t="str">
        <f t="shared" si="5"/>
        <v/>
      </c>
      <c r="M39" s="53" t="str">
        <f t="shared" si="6"/>
        <v/>
      </c>
      <c r="N39" s="228"/>
      <c r="O39" s="229"/>
      <c r="P39" s="230"/>
      <c r="Q39" s="47"/>
      <c r="R39" s="44" t="str">
        <f t="shared" si="1"/>
        <v/>
      </c>
      <c r="S39" s="44" t="str">
        <f t="shared" si="2"/>
        <v/>
      </c>
    </row>
    <row r="40" spans="1:19" ht="12" customHeight="1" x14ac:dyDescent="0.2">
      <c r="A40" s="37"/>
      <c r="B40" s="48"/>
      <c r="C40" s="49">
        <v>15.74</v>
      </c>
      <c r="D40" s="58"/>
      <c r="E40" s="50"/>
      <c r="F40" s="56"/>
      <c r="G40" s="51"/>
      <c r="H40" s="44" t="str">
        <f t="shared" si="8"/>
        <v/>
      </c>
      <c r="I40" s="52" t="str">
        <f t="shared" si="7"/>
        <v/>
      </c>
      <c r="J40" s="44" t="str">
        <f t="shared" si="3"/>
        <v/>
      </c>
      <c r="K40" s="44" t="str">
        <f t="shared" si="4"/>
        <v/>
      </c>
      <c r="L40" s="44" t="str">
        <f t="shared" si="5"/>
        <v/>
      </c>
      <c r="M40" s="53" t="str">
        <f t="shared" si="6"/>
        <v/>
      </c>
      <c r="N40" s="231"/>
      <c r="O40" s="229"/>
      <c r="P40" s="230"/>
      <c r="Q40" s="47"/>
      <c r="R40" s="44" t="str">
        <f t="shared" si="1"/>
        <v/>
      </c>
      <c r="S40" s="44" t="str">
        <f t="shared" si="2"/>
        <v/>
      </c>
    </row>
    <row r="41" spans="1:19" ht="12" customHeight="1" x14ac:dyDescent="0.2">
      <c r="A41" s="37"/>
      <c r="B41" s="48"/>
      <c r="C41" s="49">
        <v>15.74</v>
      </c>
      <c r="D41" s="58"/>
      <c r="E41" s="50"/>
      <c r="F41" s="40"/>
      <c r="G41" s="51"/>
      <c r="H41" s="44" t="str">
        <f t="shared" si="8"/>
        <v/>
      </c>
      <c r="I41" s="52" t="str">
        <f t="shared" si="7"/>
        <v/>
      </c>
      <c r="J41" s="44" t="str">
        <f t="shared" si="3"/>
        <v/>
      </c>
      <c r="K41" s="44" t="str">
        <f t="shared" si="4"/>
        <v/>
      </c>
      <c r="L41" s="44" t="str">
        <f t="shared" si="5"/>
        <v/>
      </c>
      <c r="M41" s="53" t="str">
        <f t="shared" si="6"/>
        <v/>
      </c>
      <c r="N41" s="228"/>
      <c r="O41" s="229"/>
      <c r="P41" s="230"/>
      <c r="Q41" s="47"/>
      <c r="R41" s="44" t="str">
        <f t="shared" si="1"/>
        <v/>
      </c>
      <c r="S41" s="44" t="str">
        <f t="shared" si="2"/>
        <v/>
      </c>
    </row>
    <row r="42" spans="1:19" ht="12" customHeight="1" x14ac:dyDescent="0.2">
      <c r="A42" s="37"/>
      <c r="B42" s="48"/>
      <c r="C42" s="49">
        <v>15.74</v>
      </c>
      <c r="D42" s="58"/>
      <c r="E42" s="50"/>
      <c r="F42" s="40"/>
      <c r="G42" s="51"/>
      <c r="H42" s="44" t="str">
        <f t="shared" si="8"/>
        <v/>
      </c>
      <c r="I42" s="52" t="str">
        <f t="shared" si="7"/>
        <v/>
      </c>
      <c r="J42" s="44" t="str">
        <f t="shared" si="3"/>
        <v/>
      </c>
      <c r="K42" s="44" t="str">
        <f t="shared" si="4"/>
        <v/>
      </c>
      <c r="L42" s="44" t="str">
        <f t="shared" si="5"/>
        <v/>
      </c>
      <c r="M42" s="53" t="str">
        <f t="shared" si="6"/>
        <v/>
      </c>
      <c r="N42" s="228"/>
      <c r="O42" s="229"/>
      <c r="P42" s="230"/>
      <c r="Q42" s="47"/>
      <c r="R42" s="44" t="str">
        <f t="shared" si="1"/>
        <v/>
      </c>
      <c r="S42" s="44" t="str">
        <f t="shared" si="2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8"/>
        <v/>
      </c>
      <c r="I43" s="52" t="str">
        <f t="shared" si="7"/>
        <v/>
      </c>
      <c r="J43" s="44" t="str">
        <f t="shared" si="3"/>
        <v/>
      </c>
      <c r="K43" s="44" t="str">
        <f t="shared" si="4"/>
        <v/>
      </c>
      <c r="L43" s="44" t="str">
        <f t="shared" si="5"/>
        <v/>
      </c>
      <c r="M43" s="53" t="str">
        <f t="shared" si="6"/>
        <v/>
      </c>
      <c r="N43" s="228"/>
      <c r="O43" s="229"/>
      <c r="P43" s="230"/>
      <c r="Q43" s="47"/>
      <c r="R43" s="44" t="str">
        <f t="shared" si="1"/>
        <v/>
      </c>
      <c r="S43" s="44" t="str">
        <f t="shared" si="2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8"/>
        <v/>
      </c>
      <c r="I44" s="52" t="str">
        <f t="shared" si="7"/>
        <v/>
      </c>
      <c r="J44" s="44" t="str">
        <f t="shared" si="3"/>
        <v/>
      </c>
      <c r="K44" s="44" t="str">
        <f t="shared" si="4"/>
        <v/>
      </c>
      <c r="L44" s="44" t="str">
        <f t="shared" si="5"/>
        <v/>
      </c>
      <c r="M44" s="53" t="str">
        <f t="shared" si="6"/>
        <v/>
      </c>
      <c r="N44" s="243"/>
      <c r="O44" s="244"/>
      <c r="P44" s="245"/>
      <c r="Q44" s="47"/>
      <c r="R44" s="44" t="str">
        <f t="shared" si="1"/>
        <v/>
      </c>
      <c r="S44" s="44" t="str">
        <f t="shared" si="2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8"/>
        <v/>
      </c>
      <c r="I45" s="52" t="str">
        <f t="shared" si="7"/>
        <v/>
      </c>
      <c r="J45" s="44" t="str">
        <f t="shared" si="3"/>
        <v/>
      </c>
      <c r="K45" s="44" t="str">
        <f t="shared" si="4"/>
        <v/>
      </c>
      <c r="L45" s="44" t="str">
        <f t="shared" si="5"/>
        <v/>
      </c>
      <c r="M45" s="53" t="str">
        <f t="shared" si="6"/>
        <v/>
      </c>
      <c r="N45" s="243"/>
      <c r="O45" s="244"/>
      <c r="P45" s="245"/>
      <c r="Q45" s="47"/>
      <c r="R45" s="44" t="str">
        <f t="shared" si="1"/>
        <v/>
      </c>
      <c r="S45" s="44" t="str">
        <f t="shared" si="2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8"/>
        <v/>
      </c>
      <c r="I46" s="52" t="str">
        <f t="shared" si="7"/>
        <v/>
      </c>
      <c r="J46" s="44" t="str">
        <f t="shared" si="3"/>
        <v/>
      </c>
      <c r="K46" s="44" t="str">
        <f t="shared" si="4"/>
        <v/>
      </c>
      <c r="L46" s="44" t="str">
        <f t="shared" si="5"/>
        <v/>
      </c>
      <c r="M46" s="53" t="str">
        <f t="shared" si="6"/>
        <v/>
      </c>
      <c r="N46" s="243"/>
      <c r="O46" s="244"/>
      <c r="P46" s="245"/>
      <c r="Q46" s="47"/>
      <c r="R46" s="44" t="str">
        <f t="shared" si="1"/>
        <v/>
      </c>
      <c r="S46" s="44" t="str">
        <f t="shared" si="2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8"/>
        <v/>
      </c>
      <c r="I47" s="52" t="str">
        <f t="shared" si="7"/>
        <v/>
      </c>
      <c r="J47" s="44" t="str">
        <f t="shared" si="3"/>
        <v/>
      </c>
      <c r="K47" s="44" t="str">
        <f t="shared" si="4"/>
        <v/>
      </c>
      <c r="L47" s="44" t="str">
        <f t="shared" si="5"/>
        <v/>
      </c>
      <c r="M47" s="53" t="str">
        <f t="shared" si="6"/>
        <v/>
      </c>
      <c r="N47" s="243"/>
      <c r="O47" s="244"/>
      <c r="P47" s="245"/>
      <c r="Q47" s="47"/>
      <c r="R47" s="44" t="str">
        <f t="shared" si="1"/>
        <v/>
      </c>
      <c r="S47" s="44" t="str">
        <f t="shared" si="2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8"/>
        <v/>
      </c>
      <c r="I48" s="52" t="str">
        <f t="shared" si="7"/>
        <v/>
      </c>
      <c r="J48" s="44" t="str">
        <f t="shared" si="3"/>
        <v/>
      </c>
      <c r="K48" s="44" t="str">
        <f t="shared" si="4"/>
        <v/>
      </c>
      <c r="L48" s="44" t="str">
        <f t="shared" si="5"/>
        <v/>
      </c>
      <c r="M48" s="53" t="str">
        <f t="shared" si="6"/>
        <v/>
      </c>
      <c r="N48" s="243"/>
      <c r="O48" s="244"/>
      <c r="P48" s="245"/>
      <c r="Q48" s="47"/>
      <c r="R48" s="44" t="str">
        <f t="shared" si="1"/>
        <v/>
      </c>
      <c r="S48" s="44" t="str">
        <f t="shared" si="2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7"/>
        <v/>
      </c>
      <c r="J49" s="44" t="str">
        <f t="shared" si="3"/>
        <v/>
      </c>
      <c r="K49" s="44" t="str">
        <f t="shared" si="4"/>
        <v/>
      </c>
      <c r="L49" s="44" t="str">
        <f t="shared" si="5"/>
        <v/>
      </c>
      <c r="M49" s="53" t="str">
        <f t="shared" si="6"/>
        <v/>
      </c>
      <c r="N49" s="243"/>
      <c r="O49" s="244"/>
      <c r="P49" s="245"/>
      <c r="Q49" s="47"/>
      <c r="R49" s="44" t="str">
        <f t="shared" si="1"/>
        <v/>
      </c>
      <c r="S49" s="44" t="str">
        <f t="shared" si="2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7"/>
        <v/>
      </c>
      <c r="J50" s="44" t="str">
        <f t="shared" si="3"/>
        <v/>
      </c>
      <c r="K50" s="44" t="str">
        <f t="shared" si="4"/>
        <v/>
      </c>
      <c r="L50" s="44" t="str">
        <f t="shared" si="5"/>
        <v/>
      </c>
      <c r="M50" s="53" t="str">
        <f t="shared" si="6"/>
        <v/>
      </c>
      <c r="N50" s="243"/>
      <c r="O50" s="244"/>
      <c r="P50" s="245"/>
      <c r="Q50" s="47"/>
      <c r="R50" s="44" t="str">
        <f t="shared" si="1"/>
        <v/>
      </c>
      <c r="S50" s="44" t="str">
        <f t="shared" si="2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7"/>
        <v/>
      </c>
      <c r="J51" s="44" t="str">
        <f t="shared" si="3"/>
        <v/>
      </c>
      <c r="K51" s="44" t="str">
        <f t="shared" si="4"/>
        <v/>
      </c>
      <c r="L51" s="44" t="str">
        <f t="shared" si="5"/>
        <v/>
      </c>
      <c r="M51" s="53" t="str">
        <f t="shared" si="6"/>
        <v/>
      </c>
      <c r="N51" s="243"/>
      <c r="O51" s="244"/>
      <c r="P51" s="245"/>
      <c r="Q51" s="65"/>
      <c r="R51" s="44" t="str">
        <f t="shared" si="1"/>
        <v/>
      </c>
      <c r="S51" s="44" t="str">
        <f t="shared" si="2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8"/>
        <v/>
      </c>
      <c r="I52" s="52" t="str">
        <f t="shared" si="7"/>
        <v/>
      </c>
      <c r="J52" s="44" t="str">
        <f t="shared" si="3"/>
        <v/>
      </c>
      <c r="K52" s="44" t="str">
        <f t="shared" si="4"/>
        <v/>
      </c>
      <c r="L52" s="44" t="str">
        <f t="shared" si="5"/>
        <v/>
      </c>
      <c r="M52" s="53" t="str">
        <f t="shared" si="6"/>
        <v/>
      </c>
      <c r="N52" s="243"/>
      <c r="O52" s="244"/>
      <c r="P52" s="245"/>
      <c r="Q52" s="65"/>
      <c r="R52" s="44" t="str">
        <f t="shared" si="1"/>
        <v/>
      </c>
      <c r="S52" s="44" t="str">
        <f t="shared" si="2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8"/>
        <v/>
      </c>
      <c r="I53" s="52" t="str">
        <f t="shared" si="7"/>
        <v/>
      </c>
      <c r="J53" s="44" t="str">
        <f t="shared" si="3"/>
        <v/>
      </c>
      <c r="K53" s="44" t="str">
        <f t="shared" si="4"/>
        <v/>
      </c>
      <c r="L53" s="44" t="str">
        <f t="shared" si="5"/>
        <v/>
      </c>
      <c r="M53" s="53" t="str">
        <f t="shared" si="6"/>
        <v/>
      </c>
      <c r="N53" s="243"/>
      <c r="O53" s="244"/>
      <c r="P53" s="245"/>
      <c r="Q53" s="47"/>
      <c r="R53" s="44" t="str">
        <f t="shared" si="1"/>
        <v/>
      </c>
      <c r="S53" s="44" t="str">
        <f t="shared" si="2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8"/>
        <v/>
      </c>
      <c r="I54" s="52" t="str">
        <f t="shared" si="7"/>
        <v/>
      </c>
      <c r="J54" s="44" t="str">
        <f t="shared" si="3"/>
        <v/>
      </c>
      <c r="K54" s="44" t="str">
        <f t="shared" si="4"/>
        <v/>
      </c>
      <c r="L54" s="44" t="str">
        <f t="shared" si="5"/>
        <v/>
      </c>
      <c r="M54" s="53" t="str">
        <f t="shared" si="6"/>
        <v/>
      </c>
      <c r="N54" s="246"/>
      <c r="O54" s="244"/>
      <c r="P54" s="245"/>
      <c r="Q54" s="47"/>
      <c r="R54" s="44" t="str">
        <f t="shared" si="1"/>
        <v/>
      </c>
      <c r="S54" s="44" t="str">
        <f t="shared" si="2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8"/>
        <v/>
      </c>
      <c r="I55" s="52" t="str">
        <f t="shared" si="7"/>
        <v/>
      </c>
      <c r="J55" s="44" t="str">
        <f t="shared" si="3"/>
        <v/>
      </c>
      <c r="K55" s="44" t="str">
        <f t="shared" si="4"/>
        <v/>
      </c>
      <c r="L55" s="44" t="str">
        <f t="shared" si="5"/>
        <v/>
      </c>
      <c r="M55" s="53" t="str">
        <f t="shared" si="6"/>
        <v/>
      </c>
      <c r="N55" s="243"/>
      <c r="O55" s="244"/>
      <c r="P55" s="245"/>
      <c r="Q55" s="47"/>
      <c r="R55" s="44" t="str">
        <f t="shared" si="1"/>
        <v/>
      </c>
      <c r="S55" s="44" t="str">
        <f t="shared" si="2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8"/>
        <v/>
      </c>
      <c r="I56" s="52" t="str">
        <f t="shared" si="7"/>
        <v/>
      </c>
      <c r="J56" s="44" t="str">
        <f t="shared" si="3"/>
        <v/>
      </c>
      <c r="K56" s="44" t="str">
        <f t="shared" si="4"/>
        <v/>
      </c>
      <c r="L56" s="44" t="str">
        <f t="shared" si="5"/>
        <v/>
      </c>
      <c r="M56" s="53" t="str">
        <f t="shared" si="6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2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8"/>
        <v/>
      </c>
      <c r="I57" s="52" t="str">
        <f t="shared" si="7"/>
        <v/>
      </c>
      <c r="J57" s="44" t="str">
        <f t="shared" si="3"/>
        <v/>
      </c>
      <c r="K57" s="44" t="str">
        <f t="shared" si="4"/>
        <v/>
      </c>
      <c r="L57" s="44" t="str">
        <f t="shared" si="5"/>
        <v/>
      </c>
      <c r="M57" s="53" t="str">
        <f t="shared" si="6"/>
        <v/>
      </c>
      <c r="N57" s="243"/>
      <c r="O57" s="244"/>
      <c r="P57" s="245"/>
      <c r="Q57" s="47"/>
      <c r="R57" s="44" t="str">
        <f t="shared" si="1"/>
        <v/>
      </c>
      <c r="S57" s="44" t="str">
        <f t="shared" si="2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8"/>
        <v/>
      </c>
      <c r="I58" s="52" t="str">
        <f t="shared" si="7"/>
        <v/>
      </c>
      <c r="J58" s="44" t="str">
        <f t="shared" si="3"/>
        <v/>
      </c>
      <c r="K58" s="44" t="str">
        <f t="shared" si="4"/>
        <v/>
      </c>
      <c r="L58" s="44" t="str">
        <f t="shared" si="5"/>
        <v/>
      </c>
      <c r="M58" s="53" t="str">
        <f t="shared" si="6"/>
        <v/>
      </c>
      <c r="N58" s="243"/>
      <c r="O58" s="244"/>
      <c r="P58" s="245"/>
      <c r="Q58" s="65"/>
      <c r="R58" s="44" t="str">
        <f t="shared" si="1"/>
        <v/>
      </c>
      <c r="S58" s="44" t="str">
        <f t="shared" si="2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8"/>
        <v/>
      </c>
      <c r="I59" s="52" t="str">
        <f t="shared" si="7"/>
        <v/>
      </c>
      <c r="J59" s="44" t="str">
        <f t="shared" si="3"/>
        <v/>
      </c>
      <c r="K59" s="44" t="str">
        <f t="shared" si="4"/>
        <v/>
      </c>
      <c r="L59" s="44" t="str">
        <f t="shared" si="5"/>
        <v/>
      </c>
      <c r="M59" s="53" t="str">
        <f t="shared" si="6"/>
        <v/>
      </c>
      <c r="N59" s="243"/>
      <c r="O59" s="244"/>
      <c r="P59" s="245"/>
      <c r="Q59" s="47"/>
      <c r="R59" s="44" t="str">
        <f t="shared" si="1"/>
        <v/>
      </c>
      <c r="S59" s="44" t="str">
        <f t="shared" si="2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8"/>
        <v/>
      </c>
      <c r="I60" s="52" t="str">
        <f t="shared" si="7"/>
        <v/>
      </c>
      <c r="J60" s="44" t="str">
        <f t="shared" si="3"/>
        <v/>
      </c>
      <c r="K60" s="44" t="str">
        <f t="shared" si="4"/>
        <v/>
      </c>
      <c r="L60" s="44" t="str">
        <f t="shared" si="5"/>
        <v/>
      </c>
      <c r="M60" s="53" t="str">
        <f t="shared" si="6"/>
        <v/>
      </c>
      <c r="N60" s="243"/>
      <c r="O60" s="244"/>
      <c r="P60" s="245"/>
      <c r="Q60" s="65"/>
      <c r="R60" s="44" t="str">
        <f t="shared" si="1"/>
        <v/>
      </c>
      <c r="S60" s="44" t="str">
        <f t="shared" si="2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8"/>
        <v/>
      </c>
      <c r="I61" s="52" t="str">
        <f t="shared" si="7"/>
        <v/>
      </c>
      <c r="J61" s="44" t="str">
        <f t="shared" si="3"/>
        <v/>
      </c>
      <c r="K61" s="44" t="str">
        <f t="shared" si="4"/>
        <v/>
      </c>
      <c r="L61" s="44" t="str">
        <f t="shared" si="5"/>
        <v/>
      </c>
      <c r="M61" s="53" t="str">
        <f t="shared" si="6"/>
        <v/>
      </c>
      <c r="N61" s="243"/>
      <c r="O61" s="244"/>
      <c r="P61" s="245"/>
      <c r="Q61" s="65"/>
      <c r="R61" s="44" t="str">
        <f t="shared" si="1"/>
        <v/>
      </c>
      <c r="S61" s="44" t="str">
        <f t="shared" si="2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8"/>
        <v/>
      </c>
      <c r="I62" s="52" t="str">
        <f t="shared" si="7"/>
        <v/>
      </c>
      <c r="J62" s="44" t="str">
        <f t="shared" si="3"/>
        <v/>
      </c>
      <c r="K62" s="44" t="str">
        <f t="shared" si="4"/>
        <v/>
      </c>
      <c r="L62" s="44" t="str">
        <f t="shared" si="5"/>
        <v/>
      </c>
      <c r="M62" s="53" t="str">
        <f t="shared" si="6"/>
        <v/>
      </c>
      <c r="N62" s="243"/>
      <c r="O62" s="244"/>
      <c r="P62" s="245"/>
      <c r="Q62" s="65"/>
      <c r="R62" s="44" t="str">
        <f t="shared" si="1"/>
        <v/>
      </c>
      <c r="S62" s="44" t="str">
        <f t="shared" si="2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8"/>
        <v/>
      </c>
      <c r="I63" s="52" t="str">
        <f t="shared" si="7"/>
        <v/>
      </c>
      <c r="J63" s="44" t="str">
        <f t="shared" si="3"/>
        <v/>
      </c>
      <c r="K63" s="44" t="str">
        <f t="shared" si="4"/>
        <v/>
      </c>
      <c r="L63" s="44" t="str">
        <f t="shared" si="5"/>
        <v/>
      </c>
      <c r="M63" s="53" t="str">
        <f t="shared" si="6"/>
        <v/>
      </c>
      <c r="N63" s="243"/>
      <c r="O63" s="244"/>
      <c r="P63" s="245"/>
      <c r="Q63" s="47"/>
      <c r="R63" s="44" t="str">
        <f t="shared" si="1"/>
        <v/>
      </c>
      <c r="S63" s="44" t="str">
        <f t="shared" si="2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8"/>
        <v/>
      </c>
      <c r="I64" s="52" t="str">
        <f t="shared" si="7"/>
        <v/>
      </c>
      <c r="J64" s="44" t="str">
        <f t="shared" si="3"/>
        <v/>
      </c>
      <c r="K64" s="44" t="str">
        <f t="shared" si="4"/>
        <v/>
      </c>
      <c r="L64" s="44" t="str">
        <f t="shared" si="5"/>
        <v/>
      </c>
      <c r="M64" s="53" t="str">
        <f t="shared" si="6"/>
        <v/>
      </c>
      <c r="N64" s="243"/>
      <c r="O64" s="244"/>
      <c r="P64" s="245"/>
      <c r="Q64" s="65"/>
      <c r="R64" s="44" t="str">
        <f t="shared" si="1"/>
        <v/>
      </c>
      <c r="S64" s="44" t="str">
        <f t="shared" si="2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8"/>
        <v/>
      </c>
      <c r="I65" s="52" t="str">
        <f t="shared" si="7"/>
        <v/>
      </c>
      <c r="J65" s="44" t="str">
        <f t="shared" si="3"/>
        <v/>
      </c>
      <c r="K65" s="44" t="str">
        <f t="shared" si="4"/>
        <v/>
      </c>
      <c r="L65" s="44" t="str">
        <f t="shared" si="5"/>
        <v/>
      </c>
      <c r="M65" s="53" t="str">
        <f t="shared" si="6"/>
        <v/>
      </c>
      <c r="N65" s="243"/>
      <c r="O65" s="244"/>
      <c r="P65" s="245"/>
      <c r="Q65" s="65"/>
      <c r="R65" s="44" t="str">
        <f t="shared" si="1"/>
        <v/>
      </c>
      <c r="S65" s="44" t="str">
        <f t="shared" si="2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8"/>
        <v/>
      </c>
      <c r="I66" s="52" t="str">
        <f t="shared" si="7"/>
        <v/>
      </c>
      <c r="J66" s="44" t="str">
        <f t="shared" si="3"/>
        <v/>
      </c>
      <c r="K66" s="44" t="str">
        <f t="shared" si="4"/>
        <v/>
      </c>
      <c r="L66" s="44" t="str">
        <f t="shared" si="5"/>
        <v/>
      </c>
      <c r="M66" s="53" t="str">
        <f t="shared" si="6"/>
        <v/>
      </c>
      <c r="N66" s="243"/>
      <c r="O66" s="244"/>
      <c r="P66" s="245"/>
      <c r="Q66" s="65"/>
      <c r="R66" s="44" t="str">
        <f t="shared" si="1"/>
        <v/>
      </c>
      <c r="S66" s="44" t="str">
        <f t="shared" si="2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8"/>
        <v/>
      </c>
      <c r="I67" s="52" t="str">
        <f t="shared" si="7"/>
        <v/>
      </c>
      <c r="J67" s="44" t="str">
        <f t="shared" si="3"/>
        <v/>
      </c>
      <c r="K67" s="44" t="str">
        <f t="shared" si="4"/>
        <v/>
      </c>
      <c r="L67" s="44" t="str">
        <f t="shared" si="5"/>
        <v/>
      </c>
      <c r="M67" s="53" t="str">
        <f t="shared" si="6"/>
        <v/>
      </c>
      <c r="N67" s="243"/>
      <c r="O67" s="244"/>
      <c r="P67" s="245"/>
      <c r="Q67" s="65"/>
      <c r="R67" s="44" t="str">
        <f t="shared" si="1"/>
        <v/>
      </c>
      <c r="S67" s="44" t="str">
        <f t="shared" si="2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8"/>
        <v/>
      </c>
      <c r="I68" s="52" t="str">
        <f t="shared" si="7"/>
        <v/>
      </c>
      <c r="J68" s="44" t="str">
        <f t="shared" si="3"/>
        <v/>
      </c>
      <c r="K68" s="44" t="str">
        <f t="shared" si="4"/>
        <v/>
      </c>
      <c r="L68" s="44" t="str">
        <f t="shared" si="5"/>
        <v/>
      </c>
      <c r="M68" s="53" t="str">
        <f t="shared" si="6"/>
        <v/>
      </c>
      <c r="N68" s="243"/>
      <c r="O68" s="244"/>
      <c r="P68" s="245"/>
      <c r="Q68" s="65"/>
      <c r="R68" s="44" t="str">
        <f t="shared" si="1"/>
        <v/>
      </c>
      <c r="S68" s="44" t="str">
        <f t="shared" si="2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8"/>
        <v/>
      </c>
      <c r="I69" s="52" t="str">
        <f t="shared" si="7"/>
        <v/>
      </c>
      <c r="J69" s="44" t="str">
        <f t="shared" si="3"/>
        <v/>
      </c>
      <c r="K69" s="44" t="str">
        <f t="shared" si="4"/>
        <v/>
      </c>
      <c r="L69" s="44" t="str">
        <f t="shared" si="5"/>
        <v/>
      </c>
      <c r="M69" s="53" t="str">
        <f t="shared" si="6"/>
        <v/>
      </c>
      <c r="N69" s="246"/>
      <c r="O69" s="247"/>
      <c r="P69" s="248"/>
      <c r="Q69" s="65"/>
      <c r="R69" s="44" t="str">
        <f t="shared" si="1"/>
        <v/>
      </c>
      <c r="S69" s="44" t="str">
        <f t="shared" si="2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8"/>
        <v/>
      </c>
      <c r="I70" s="52" t="str">
        <f t="shared" si="7"/>
        <v/>
      </c>
      <c r="J70" s="44" t="str">
        <f t="shared" si="3"/>
        <v/>
      </c>
      <c r="K70" s="44" t="str">
        <f t="shared" si="4"/>
        <v/>
      </c>
      <c r="L70" s="44" t="str">
        <f t="shared" si="5"/>
        <v/>
      </c>
      <c r="M70" s="53" t="str">
        <f t="shared" si="6"/>
        <v/>
      </c>
      <c r="N70" s="243"/>
      <c r="O70" s="244"/>
      <c r="P70" s="245"/>
      <c r="Q70" s="65"/>
      <c r="R70" s="44" t="str">
        <f t="shared" si="1"/>
        <v/>
      </c>
      <c r="S70" s="44" t="str">
        <f t="shared" si="2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8"/>
        <v/>
      </c>
      <c r="I71" s="52" t="str">
        <f t="shared" si="7"/>
        <v/>
      </c>
      <c r="J71" s="44" t="str">
        <f t="shared" si="3"/>
        <v/>
      </c>
      <c r="K71" s="44" t="str">
        <f t="shared" si="4"/>
        <v/>
      </c>
      <c r="L71" s="44" t="str">
        <f t="shared" si="5"/>
        <v/>
      </c>
      <c r="M71" s="53" t="str">
        <f t="shared" si="6"/>
        <v/>
      </c>
      <c r="N71" s="243"/>
      <c r="O71" s="244"/>
      <c r="P71" s="245"/>
      <c r="Q71" s="65"/>
      <c r="R71" s="44" t="str">
        <f t="shared" ref="R71:R112" si="10">IF(Q71="","",J71/((Q71-Q70)*24))</f>
        <v/>
      </c>
      <c r="S71" s="44" t="str">
        <f t="shared" ref="S71:S112" si="11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8"/>
        <v/>
      </c>
      <c r="I72" s="52" t="str">
        <f t="shared" si="7"/>
        <v/>
      </c>
      <c r="J72" s="44" t="str">
        <f t="shared" si="3"/>
        <v/>
      </c>
      <c r="K72" s="44" t="str">
        <f t="shared" si="4"/>
        <v/>
      </c>
      <c r="L72" s="44" t="str">
        <f t="shared" si="5"/>
        <v/>
      </c>
      <c r="M72" s="53" t="str">
        <f t="shared" si="6"/>
        <v/>
      </c>
      <c r="N72" s="243"/>
      <c r="O72" s="244"/>
      <c r="P72" s="245"/>
      <c r="Q72" s="65"/>
      <c r="R72" s="44" t="str">
        <f t="shared" si="10"/>
        <v/>
      </c>
      <c r="S72" s="44" t="str">
        <f t="shared" si="11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8"/>
        <v/>
      </c>
      <c r="I73" s="52" t="str">
        <f t="shared" si="7"/>
        <v/>
      </c>
      <c r="J73" s="44" t="str">
        <f t="shared" si="3"/>
        <v/>
      </c>
      <c r="K73" s="44" t="str">
        <f t="shared" si="4"/>
        <v/>
      </c>
      <c r="L73" s="44" t="str">
        <f t="shared" si="5"/>
        <v/>
      </c>
      <c r="M73" s="53" t="str">
        <f t="shared" si="6"/>
        <v/>
      </c>
      <c r="N73" s="243"/>
      <c r="O73" s="244"/>
      <c r="P73" s="245"/>
      <c r="Q73" s="65"/>
      <c r="R73" s="44" t="str">
        <f t="shared" si="10"/>
        <v/>
      </c>
      <c r="S73" s="44" t="str">
        <f t="shared" si="11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8"/>
        <v/>
      </c>
      <c r="I74" s="52" t="str">
        <f t="shared" si="7"/>
        <v/>
      </c>
      <c r="J74" s="44" t="str">
        <f t="shared" ref="J74:J112" si="12">IF(F74="","",I74-H74)</f>
        <v/>
      </c>
      <c r="K74" s="44" t="str">
        <f t="shared" ref="K74:K112" si="13">IF(F74="","",K73+H74)</f>
        <v/>
      </c>
      <c r="L74" s="44" t="str">
        <f t="shared" ref="L74:L112" si="14">IF(F74="","",L73+I74)</f>
        <v/>
      </c>
      <c r="M74" s="53" t="str">
        <f t="shared" ref="M74:M112" si="15">IF(F74="","",L74-K74)</f>
        <v/>
      </c>
      <c r="N74" s="243"/>
      <c r="O74" s="244"/>
      <c r="P74" s="245"/>
      <c r="Q74" s="65"/>
      <c r="R74" s="44" t="str">
        <f t="shared" si="10"/>
        <v/>
      </c>
      <c r="S74" s="44" t="str">
        <f t="shared" si="11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2"/>
        <v/>
      </c>
      <c r="K75" s="44" t="str">
        <f>IF(F75="","",K74+H75)</f>
        <v/>
      </c>
      <c r="L75" s="44" t="str">
        <f>IF(F75="","",L74+I75)</f>
        <v/>
      </c>
      <c r="M75" s="53" t="str">
        <f t="shared" si="15"/>
        <v/>
      </c>
      <c r="N75" s="243"/>
      <c r="O75" s="244"/>
      <c r="P75" s="245"/>
      <c r="Q75" s="65"/>
      <c r="R75" s="44" t="str">
        <f t="shared" si="10"/>
        <v/>
      </c>
      <c r="S75" s="44" t="str">
        <f t="shared" si="11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6">IF(E76="","",((E76-E75)*C76)/1000)</f>
        <v/>
      </c>
      <c r="I76" s="52" t="str">
        <f t="shared" ref="I76:I112" si="17">IF(F76="","",F76-F75-G76)</f>
        <v/>
      </c>
      <c r="J76" s="44" t="str">
        <f t="shared" si="12"/>
        <v/>
      </c>
      <c r="K76" s="44" t="str">
        <f t="shared" ref="K76:K89" si="18">IF(F76="","",K75+H76)</f>
        <v/>
      </c>
      <c r="L76" s="44" t="str">
        <f t="shared" ref="L76:L89" si="19">IF(F76="","",L75+I76)</f>
        <v/>
      </c>
      <c r="M76" s="53" t="str">
        <f t="shared" si="15"/>
        <v/>
      </c>
      <c r="N76" s="159"/>
      <c r="O76" s="160"/>
      <c r="P76" s="161"/>
      <c r="Q76" s="65"/>
      <c r="R76" s="44" t="str">
        <f t="shared" si="10"/>
        <v/>
      </c>
      <c r="S76" s="44" t="str">
        <f t="shared" si="11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6"/>
        <v/>
      </c>
      <c r="I77" s="52" t="str">
        <f t="shared" si="17"/>
        <v/>
      </c>
      <c r="J77" s="44" t="str">
        <f t="shared" si="12"/>
        <v/>
      </c>
      <c r="K77" s="44" t="str">
        <f t="shared" si="18"/>
        <v/>
      </c>
      <c r="L77" s="44" t="str">
        <f t="shared" si="19"/>
        <v/>
      </c>
      <c r="M77" s="53" t="str">
        <f t="shared" si="15"/>
        <v/>
      </c>
      <c r="N77" s="159"/>
      <c r="O77" s="160"/>
      <c r="P77" s="161"/>
      <c r="Q77" s="65"/>
      <c r="R77" s="44" t="str">
        <f t="shared" si="10"/>
        <v/>
      </c>
      <c r="S77" s="44" t="str">
        <f t="shared" si="11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6"/>
        <v/>
      </c>
      <c r="I78" s="52" t="str">
        <f t="shared" si="17"/>
        <v/>
      </c>
      <c r="J78" s="44" t="str">
        <f t="shared" si="12"/>
        <v/>
      </c>
      <c r="K78" s="44" t="str">
        <f t="shared" si="18"/>
        <v/>
      </c>
      <c r="L78" s="44" t="str">
        <f t="shared" si="19"/>
        <v/>
      </c>
      <c r="M78" s="53" t="str">
        <f t="shared" si="15"/>
        <v/>
      </c>
      <c r="N78" s="159"/>
      <c r="O78" s="160"/>
      <c r="P78" s="161"/>
      <c r="Q78" s="65"/>
      <c r="R78" s="44" t="str">
        <f t="shared" si="10"/>
        <v/>
      </c>
      <c r="S78" s="44" t="str">
        <f t="shared" si="11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6"/>
        <v/>
      </c>
      <c r="I79" s="52" t="str">
        <f t="shared" si="17"/>
        <v/>
      </c>
      <c r="J79" s="44" t="str">
        <f t="shared" si="12"/>
        <v/>
      </c>
      <c r="K79" s="44" t="str">
        <f t="shared" si="18"/>
        <v/>
      </c>
      <c r="L79" s="44" t="str">
        <f t="shared" si="19"/>
        <v/>
      </c>
      <c r="M79" s="53" t="str">
        <f t="shared" si="15"/>
        <v/>
      </c>
      <c r="N79" s="159"/>
      <c r="O79" s="160"/>
      <c r="P79" s="161"/>
      <c r="Q79" s="65"/>
      <c r="R79" s="44" t="str">
        <f t="shared" si="10"/>
        <v/>
      </c>
      <c r="S79" s="44" t="str">
        <f t="shared" si="11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6"/>
        <v/>
      </c>
      <c r="I80" s="52" t="str">
        <f t="shared" si="17"/>
        <v/>
      </c>
      <c r="J80" s="44" t="str">
        <f t="shared" si="12"/>
        <v/>
      </c>
      <c r="K80" s="44" t="str">
        <f t="shared" si="18"/>
        <v/>
      </c>
      <c r="L80" s="44" t="str">
        <f t="shared" si="19"/>
        <v/>
      </c>
      <c r="M80" s="53" t="str">
        <f t="shared" si="15"/>
        <v/>
      </c>
      <c r="N80" s="243"/>
      <c r="O80" s="244"/>
      <c r="P80" s="245"/>
      <c r="Q80" s="65"/>
      <c r="R80" s="44" t="str">
        <f t="shared" si="10"/>
        <v/>
      </c>
      <c r="S80" s="44" t="str">
        <f t="shared" si="11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6"/>
        <v/>
      </c>
      <c r="I81" s="52" t="str">
        <f t="shared" si="17"/>
        <v/>
      </c>
      <c r="J81" s="44" t="str">
        <f t="shared" si="12"/>
        <v/>
      </c>
      <c r="K81" s="44" t="str">
        <f t="shared" si="18"/>
        <v/>
      </c>
      <c r="L81" s="44" t="str">
        <f t="shared" si="19"/>
        <v/>
      </c>
      <c r="M81" s="53" t="str">
        <f t="shared" si="15"/>
        <v/>
      </c>
      <c r="N81" s="243"/>
      <c r="O81" s="244"/>
      <c r="P81" s="245"/>
      <c r="Q81" s="65"/>
      <c r="R81" s="44" t="str">
        <f t="shared" si="10"/>
        <v/>
      </c>
      <c r="S81" s="44" t="str">
        <f t="shared" si="11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6"/>
        <v/>
      </c>
      <c r="I82" s="52" t="str">
        <f t="shared" si="17"/>
        <v/>
      </c>
      <c r="J82" s="44" t="str">
        <f t="shared" si="12"/>
        <v/>
      </c>
      <c r="K82" s="44" t="str">
        <f t="shared" si="18"/>
        <v/>
      </c>
      <c r="L82" s="44" t="str">
        <f t="shared" si="19"/>
        <v/>
      </c>
      <c r="M82" s="53" t="str">
        <f t="shared" si="15"/>
        <v/>
      </c>
      <c r="N82" s="243"/>
      <c r="O82" s="244"/>
      <c r="P82" s="245"/>
      <c r="Q82" s="65"/>
      <c r="R82" s="44" t="str">
        <f t="shared" si="10"/>
        <v/>
      </c>
      <c r="S82" s="44" t="str">
        <f t="shared" si="11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6"/>
        <v/>
      </c>
      <c r="I83" s="52" t="str">
        <f t="shared" si="17"/>
        <v/>
      </c>
      <c r="J83" s="44" t="str">
        <f t="shared" si="12"/>
        <v/>
      </c>
      <c r="K83" s="44" t="str">
        <f t="shared" si="18"/>
        <v/>
      </c>
      <c r="L83" s="44" t="str">
        <f t="shared" si="19"/>
        <v/>
      </c>
      <c r="M83" s="53" t="str">
        <f t="shared" si="15"/>
        <v/>
      </c>
      <c r="N83" s="243"/>
      <c r="O83" s="244"/>
      <c r="P83" s="245"/>
      <c r="Q83" s="65"/>
      <c r="R83" s="44" t="str">
        <f t="shared" si="10"/>
        <v/>
      </c>
      <c r="S83" s="44" t="str">
        <f t="shared" si="11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6"/>
        <v/>
      </c>
      <c r="I84" s="52" t="str">
        <f t="shared" si="17"/>
        <v/>
      </c>
      <c r="J84" s="44" t="str">
        <f t="shared" si="12"/>
        <v/>
      </c>
      <c r="K84" s="44" t="str">
        <f t="shared" si="18"/>
        <v/>
      </c>
      <c r="L84" s="44" t="str">
        <f t="shared" si="19"/>
        <v/>
      </c>
      <c r="M84" s="53" t="str">
        <f t="shared" si="15"/>
        <v/>
      </c>
      <c r="N84" s="243"/>
      <c r="O84" s="244"/>
      <c r="P84" s="245"/>
      <c r="Q84" s="65"/>
      <c r="R84" s="44" t="str">
        <f t="shared" si="10"/>
        <v/>
      </c>
      <c r="S84" s="44" t="str">
        <f t="shared" si="11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6"/>
        <v/>
      </c>
      <c r="I85" s="52" t="str">
        <f t="shared" si="17"/>
        <v/>
      </c>
      <c r="J85" s="44" t="str">
        <f t="shared" si="12"/>
        <v/>
      </c>
      <c r="K85" s="44" t="str">
        <f t="shared" si="18"/>
        <v/>
      </c>
      <c r="L85" s="44" t="str">
        <f t="shared" si="19"/>
        <v/>
      </c>
      <c r="M85" s="53" t="str">
        <f t="shared" si="15"/>
        <v/>
      </c>
      <c r="N85" s="243"/>
      <c r="O85" s="244"/>
      <c r="P85" s="245"/>
      <c r="Q85" s="65"/>
      <c r="R85" s="44" t="str">
        <f t="shared" si="10"/>
        <v/>
      </c>
      <c r="S85" s="44" t="str">
        <f t="shared" si="11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6"/>
        <v/>
      </c>
      <c r="I86" s="52" t="str">
        <f t="shared" si="17"/>
        <v/>
      </c>
      <c r="J86" s="44" t="str">
        <f t="shared" si="12"/>
        <v/>
      </c>
      <c r="K86" s="44" t="str">
        <f t="shared" si="18"/>
        <v/>
      </c>
      <c r="L86" s="44" t="str">
        <f t="shared" si="19"/>
        <v/>
      </c>
      <c r="M86" s="53" t="str">
        <f t="shared" si="15"/>
        <v/>
      </c>
      <c r="N86" s="243"/>
      <c r="O86" s="244"/>
      <c r="P86" s="245"/>
      <c r="Q86" s="65"/>
      <c r="R86" s="44" t="str">
        <f t="shared" si="10"/>
        <v/>
      </c>
      <c r="S86" s="44" t="str">
        <f t="shared" si="11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6"/>
        <v/>
      </c>
      <c r="I87" s="52" t="str">
        <f t="shared" si="17"/>
        <v/>
      </c>
      <c r="J87" s="44" t="str">
        <f t="shared" si="12"/>
        <v/>
      </c>
      <c r="K87" s="44" t="str">
        <f t="shared" si="18"/>
        <v/>
      </c>
      <c r="L87" s="44" t="str">
        <f t="shared" si="19"/>
        <v/>
      </c>
      <c r="M87" s="53" t="str">
        <f t="shared" si="15"/>
        <v/>
      </c>
      <c r="N87" s="243"/>
      <c r="O87" s="244"/>
      <c r="P87" s="245"/>
      <c r="Q87" s="65"/>
      <c r="R87" s="44" t="str">
        <f t="shared" si="10"/>
        <v/>
      </c>
      <c r="S87" s="44" t="str">
        <f t="shared" si="11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6"/>
        <v/>
      </c>
      <c r="I88" s="52" t="str">
        <f t="shared" si="17"/>
        <v/>
      </c>
      <c r="J88" s="44" t="str">
        <f t="shared" si="12"/>
        <v/>
      </c>
      <c r="K88" s="44" t="str">
        <f t="shared" si="18"/>
        <v/>
      </c>
      <c r="L88" s="44" t="str">
        <f t="shared" si="19"/>
        <v/>
      </c>
      <c r="M88" s="53" t="str">
        <f t="shared" si="15"/>
        <v/>
      </c>
      <c r="N88" s="246"/>
      <c r="O88" s="244"/>
      <c r="P88" s="245"/>
      <c r="Q88" s="65"/>
      <c r="R88" s="44" t="str">
        <f t="shared" si="10"/>
        <v/>
      </c>
      <c r="S88" s="44" t="str">
        <f t="shared" si="11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6"/>
        <v/>
      </c>
      <c r="I89" s="52" t="str">
        <f t="shared" si="17"/>
        <v/>
      </c>
      <c r="J89" s="44" t="str">
        <f t="shared" si="12"/>
        <v/>
      </c>
      <c r="K89" s="44" t="str">
        <f t="shared" si="18"/>
        <v/>
      </c>
      <c r="L89" s="44" t="str">
        <f t="shared" si="19"/>
        <v/>
      </c>
      <c r="M89" s="53" t="str">
        <f t="shared" si="15"/>
        <v/>
      </c>
      <c r="N89" s="243"/>
      <c r="O89" s="244"/>
      <c r="P89" s="245"/>
      <c r="Q89" s="65"/>
      <c r="R89" s="44" t="str">
        <f t="shared" si="10"/>
        <v/>
      </c>
      <c r="S89" s="44" t="str">
        <f t="shared" si="11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6"/>
        <v/>
      </c>
      <c r="I90" s="52" t="str">
        <f t="shared" si="17"/>
        <v/>
      </c>
      <c r="J90" s="44" t="str">
        <f t="shared" si="12"/>
        <v/>
      </c>
      <c r="K90" s="44" t="str">
        <f t="shared" si="13"/>
        <v/>
      </c>
      <c r="L90" s="44" t="str">
        <f t="shared" si="14"/>
        <v/>
      </c>
      <c r="M90" s="53" t="str">
        <f t="shared" si="15"/>
        <v/>
      </c>
      <c r="N90" s="243"/>
      <c r="O90" s="244"/>
      <c r="P90" s="245"/>
      <c r="Q90" s="65"/>
      <c r="R90" s="44" t="str">
        <f t="shared" si="10"/>
        <v/>
      </c>
      <c r="S90" s="44" t="str">
        <f t="shared" si="11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6"/>
        <v/>
      </c>
      <c r="I91" s="52" t="str">
        <f t="shared" si="17"/>
        <v/>
      </c>
      <c r="J91" s="44" t="str">
        <f t="shared" si="12"/>
        <v/>
      </c>
      <c r="K91" s="44" t="str">
        <f t="shared" si="13"/>
        <v/>
      </c>
      <c r="L91" s="44" t="str">
        <f t="shared" si="14"/>
        <v/>
      </c>
      <c r="M91" s="53" t="str">
        <f t="shared" si="15"/>
        <v/>
      </c>
      <c r="N91" s="243"/>
      <c r="O91" s="244"/>
      <c r="P91" s="245"/>
      <c r="Q91" s="65"/>
      <c r="R91" s="44" t="str">
        <f t="shared" si="10"/>
        <v/>
      </c>
      <c r="S91" s="44" t="str">
        <f t="shared" si="11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6"/>
        <v/>
      </c>
      <c r="I92" s="52" t="str">
        <f t="shared" si="17"/>
        <v/>
      </c>
      <c r="J92" s="44" t="str">
        <f t="shared" si="12"/>
        <v/>
      </c>
      <c r="K92" s="44" t="str">
        <f t="shared" si="13"/>
        <v/>
      </c>
      <c r="L92" s="44" t="str">
        <f t="shared" si="14"/>
        <v/>
      </c>
      <c r="M92" s="53" t="str">
        <f t="shared" si="15"/>
        <v/>
      </c>
      <c r="N92" s="243"/>
      <c r="O92" s="244"/>
      <c r="P92" s="245"/>
      <c r="Q92" s="72"/>
      <c r="R92" s="44" t="str">
        <f t="shared" si="10"/>
        <v/>
      </c>
      <c r="S92" s="44" t="str">
        <f t="shared" si="11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6"/>
        <v/>
      </c>
      <c r="I93" s="52" t="str">
        <f t="shared" si="17"/>
        <v/>
      </c>
      <c r="J93" s="44" t="str">
        <f t="shared" si="12"/>
        <v/>
      </c>
      <c r="K93" s="44" t="str">
        <f t="shared" si="13"/>
        <v/>
      </c>
      <c r="L93" s="44" t="str">
        <f t="shared" si="14"/>
        <v/>
      </c>
      <c r="M93" s="53" t="str">
        <f t="shared" si="15"/>
        <v/>
      </c>
      <c r="N93" s="243"/>
      <c r="O93" s="244"/>
      <c r="P93" s="245"/>
      <c r="Q93" s="72"/>
      <c r="R93" s="44" t="str">
        <f t="shared" si="10"/>
        <v/>
      </c>
      <c r="S93" s="44" t="str">
        <f t="shared" si="11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6"/>
        <v/>
      </c>
      <c r="I94" s="52" t="str">
        <f t="shared" si="17"/>
        <v/>
      </c>
      <c r="J94" s="44" t="str">
        <f t="shared" si="12"/>
        <v/>
      </c>
      <c r="K94" s="44" t="str">
        <f t="shared" si="13"/>
        <v/>
      </c>
      <c r="L94" s="44" t="str">
        <f t="shared" si="14"/>
        <v/>
      </c>
      <c r="M94" s="53" t="str">
        <f t="shared" si="15"/>
        <v/>
      </c>
      <c r="N94" s="243"/>
      <c r="O94" s="244"/>
      <c r="P94" s="245"/>
      <c r="Q94" s="72"/>
      <c r="R94" s="44" t="str">
        <f t="shared" si="10"/>
        <v/>
      </c>
      <c r="S94" s="44" t="str">
        <f t="shared" si="11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6"/>
        <v/>
      </c>
      <c r="I95" s="52" t="str">
        <f t="shared" si="17"/>
        <v/>
      </c>
      <c r="J95" s="44" t="str">
        <f t="shared" si="12"/>
        <v/>
      </c>
      <c r="K95" s="44" t="str">
        <f t="shared" si="13"/>
        <v/>
      </c>
      <c r="L95" s="44" t="str">
        <f t="shared" si="14"/>
        <v/>
      </c>
      <c r="M95" s="53" t="str">
        <f t="shared" si="15"/>
        <v/>
      </c>
      <c r="N95" s="243"/>
      <c r="O95" s="244"/>
      <c r="P95" s="245"/>
      <c r="Q95" s="72"/>
      <c r="R95" s="44" t="str">
        <f t="shared" si="10"/>
        <v/>
      </c>
      <c r="S95" s="44" t="str">
        <f t="shared" si="11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6"/>
        <v/>
      </c>
      <c r="I96" s="52" t="str">
        <f t="shared" si="17"/>
        <v/>
      </c>
      <c r="J96" s="44" t="str">
        <f t="shared" si="12"/>
        <v/>
      </c>
      <c r="K96" s="44" t="str">
        <f t="shared" si="13"/>
        <v/>
      </c>
      <c r="L96" s="44" t="str">
        <f t="shared" si="14"/>
        <v/>
      </c>
      <c r="M96" s="53" t="str">
        <f t="shared" si="15"/>
        <v/>
      </c>
      <c r="N96" s="243"/>
      <c r="O96" s="244"/>
      <c r="P96" s="245"/>
      <c r="Q96" s="72"/>
      <c r="R96" s="44" t="str">
        <f t="shared" si="10"/>
        <v/>
      </c>
      <c r="S96" s="44" t="str">
        <f t="shared" si="11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6"/>
        <v/>
      </c>
      <c r="I97" s="52" t="str">
        <f t="shared" si="17"/>
        <v/>
      </c>
      <c r="J97" s="44" t="str">
        <f t="shared" si="12"/>
        <v/>
      </c>
      <c r="K97" s="44" t="str">
        <f t="shared" si="13"/>
        <v/>
      </c>
      <c r="L97" s="44" t="str">
        <f t="shared" si="14"/>
        <v/>
      </c>
      <c r="M97" s="53" t="str">
        <f t="shared" si="15"/>
        <v/>
      </c>
      <c r="N97" s="243"/>
      <c r="O97" s="244"/>
      <c r="P97" s="245"/>
      <c r="Q97" s="72"/>
      <c r="R97" s="44" t="str">
        <f t="shared" si="10"/>
        <v/>
      </c>
      <c r="S97" s="44" t="str">
        <f t="shared" si="11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6"/>
        <v/>
      </c>
      <c r="I98" s="52" t="str">
        <f t="shared" si="17"/>
        <v/>
      </c>
      <c r="J98" s="44" t="str">
        <f t="shared" si="12"/>
        <v/>
      </c>
      <c r="K98" s="44" t="str">
        <f t="shared" si="13"/>
        <v/>
      </c>
      <c r="L98" s="44" t="str">
        <f t="shared" si="14"/>
        <v/>
      </c>
      <c r="M98" s="53" t="str">
        <f t="shared" si="15"/>
        <v/>
      </c>
      <c r="N98" s="243"/>
      <c r="O98" s="244"/>
      <c r="P98" s="245"/>
      <c r="Q98" s="72"/>
      <c r="R98" s="44" t="str">
        <f t="shared" si="10"/>
        <v/>
      </c>
      <c r="S98" s="44" t="str">
        <f t="shared" si="11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6"/>
        <v/>
      </c>
      <c r="I99" s="52" t="str">
        <f t="shared" si="17"/>
        <v/>
      </c>
      <c r="J99" s="44" t="str">
        <f t="shared" si="12"/>
        <v/>
      </c>
      <c r="K99" s="44" t="str">
        <f t="shared" si="13"/>
        <v/>
      </c>
      <c r="L99" s="44" t="str">
        <f t="shared" si="14"/>
        <v/>
      </c>
      <c r="M99" s="53" t="str">
        <f t="shared" si="15"/>
        <v/>
      </c>
      <c r="N99" s="243"/>
      <c r="O99" s="244"/>
      <c r="P99" s="245"/>
      <c r="Q99" s="72"/>
      <c r="R99" s="44" t="str">
        <f t="shared" si="10"/>
        <v/>
      </c>
      <c r="S99" s="44" t="str">
        <f t="shared" si="11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6"/>
        <v/>
      </c>
      <c r="I100" s="52" t="str">
        <f t="shared" si="17"/>
        <v/>
      </c>
      <c r="J100" s="44" t="str">
        <f t="shared" si="12"/>
        <v/>
      </c>
      <c r="K100" s="44" t="str">
        <f t="shared" si="13"/>
        <v/>
      </c>
      <c r="L100" s="44" t="str">
        <f t="shared" si="14"/>
        <v/>
      </c>
      <c r="M100" s="53" t="str">
        <f t="shared" si="15"/>
        <v/>
      </c>
      <c r="N100" s="243"/>
      <c r="O100" s="244"/>
      <c r="P100" s="245"/>
      <c r="Q100" s="73"/>
      <c r="R100" s="44" t="str">
        <f t="shared" si="10"/>
        <v/>
      </c>
      <c r="S100" s="44" t="str">
        <f t="shared" si="11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6"/>
        <v/>
      </c>
      <c r="I101" s="52" t="str">
        <f t="shared" si="17"/>
        <v/>
      </c>
      <c r="J101" s="44" t="str">
        <f t="shared" si="12"/>
        <v/>
      </c>
      <c r="K101" s="44" t="str">
        <f t="shared" si="13"/>
        <v/>
      </c>
      <c r="L101" s="44" t="str">
        <f t="shared" si="14"/>
        <v/>
      </c>
      <c r="M101" s="53" t="str">
        <f t="shared" si="15"/>
        <v/>
      </c>
      <c r="N101" s="243"/>
      <c r="O101" s="244"/>
      <c r="P101" s="245"/>
      <c r="Q101" s="73"/>
      <c r="R101" s="44" t="str">
        <f t="shared" si="10"/>
        <v/>
      </c>
      <c r="S101" s="44" t="str">
        <f t="shared" si="11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6"/>
        <v/>
      </c>
      <c r="I102" s="52" t="str">
        <f t="shared" si="17"/>
        <v/>
      </c>
      <c r="J102" s="44" t="str">
        <f t="shared" si="12"/>
        <v/>
      </c>
      <c r="K102" s="44" t="str">
        <f t="shared" si="13"/>
        <v/>
      </c>
      <c r="L102" s="44" t="str">
        <f t="shared" si="14"/>
        <v/>
      </c>
      <c r="M102" s="53" t="str">
        <f t="shared" si="15"/>
        <v/>
      </c>
      <c r="N102" s="243"/>
      <c r="O102" s="244"/>
      <c r="P102" s="245"/>
      <c r="Q102" s="73"/>
      <c r="R102" s="44" t="str">
        <f t="shared" si="10"/>
        <v/>
      </c>
      <c r="S102" s="44" t="str">
        <f t="shared" si="11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6"/>
        <v/>
      </c>
      <c r="I103" s="52" t="str">
        <f t="shared" si="17"/>
        <v/>
      </c>
      <c r="J103" s="44" t="str">
        <f t="shared" si="12"/>
        <v/>
      </c>
      <c r="K103" s="44" t="str">
        <f t="shared" si="13"/>
        <v/>
      </c>
      <c r="L103" s="44" t="str">
        <f t="shared" si="14"/>
        <v/>
      </c>
      <c r="M103" s="53" t="str">
        <f t="shared" si="15"/>
        <v/>
      </c>
      <c r="N103" s="243"/>
      <c r="O103" s="244"/>
      <c r="P103" s="245"/>
      <c r="Q103" s="73"/>
      <c r="R103" s="44" t="str">
        <f t="shared" si="10"/>
        <v/>
      </c>
      <c r="S103" s="44" t="str">
        <f t="shared" si="11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6"/>
        <v/>
      </c>
      <c r="I104" s="52" t="str">
        <f t="shared" si="17"/>
        <v/>
      </c>
      <c r="J104" s="44" t="str">
        <f t="shared" si="12"/>
        <v/>
      </c>
      <c r="K104" s="44" t="str">
        <f t="shared" si="13"/>
        <v/>
      </c>
      <c r="L104" s="44" t="str">
        <f t="shared" si="14"/>
        <v/>
      </c>
      <c r="M104" s="53" t="str">
        <f t="shared" si="15"/>
        <v/>
      </c>
      <c r="N104" s="243"/>
      <c r="O104" s="244"/>
      <c r="P104" s="245"/>
      <c r="Q104" s="73"/>
      <c r="R104" s="44" t="str">
        <f t="shared" si="10"/>
        <v/>
      </c>
      <c r="S104" s="44" t="str">
        <f t="shared" si="11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6"/>
        <v/>
      </c>
      <c r="I105" s="52" t="str">
        <f t="shared" si="17"/>
        <v/>
      </c>
      <c r="J105" s="44" t="str">
        <f t="shared" si="12"/>
        <v/>
      </c>
      <c r="K105" s="44" t="str">
        <f t="shared" si="13"/>
        <v/>
      </c>
      <c r="L105" s="44" t="str">
        <f t="shared" si="14"/>
        <v/>
      </c>
      <c r="M105" s="53" t="str">
        <f t="shared" si="15"/>
        <v/>
      </c>
      <c r="N105" s="243"/>
      <c r="O105" s="244"/>
      <c r="P105" s="245"/>
      <c r="Q105" s="73"/>
      <c r="R105" s="44" t="str">
        <f t="shared" si="10"/>
        <v/>
      </c>
      <c r="S105" s="44" t="str">
        <f t="shared" si="11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6"/>
        <v/>
      </c>
      <c r="I106" s="52" t="str">
        <f t="shared" si="17"/>
        <v/>
      </c>
      <c r="J106" s="44" t="str">
        <f t="shared" si="12"/>
        <v/>
      </c>
      <c r="K106" s="44" t="str">
        <f t="shared" si="13"/>
        <v/>
      </c>
      <c r="L106" s="44" t="str">
        <f t="shared" si="14"/>
        <v/>
      </c>
      <c r="M106" s="53" t="str">
        <f t="shared" si="15"/>
        <v/>
      </c>
      <c r="N106" s="243"/>
      <c r="O106" s="244"/>
      <c r="P106" s="245"/>
      <c r="Q106" s="73"/>
      <c r="R106" s="44" t="str">
        <f t="shared" si="10"/>
        <v/>
      </c>
      <c r="S106" s="44" t="str">
        <f t="shared" si="11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6"/>
        <v/>
      </c>
      <c r="I107" s="52" t="str">
        <f t="shared" si="17"/>
        <v/>
      </c>
      <c r="J107" s="44" t="str">
        <f t="shared" si="12"/>
        <v/>
      </c>
      <c r="K107" s="44" t="str">
        <f t="shared" si="13"/>
        <v/>
      </c>
      <c r="L107" s="44" t="str">
        <f t="shared" si="14"/>
        <v/>
      </c>
      <c r="M107" s="53" t="str">
        <f t="shared" si="15"/>
        <v/>
      </c>
      <c r="N107" s="243"/>
      <c r="O107" s="244"/>
      <c r="P107" s="245"/>
      <c r="Q107" s="73"/>
      <c r="R107" s="44" t="str">
        <f t="shared" si="10"/>
        <v/>
      </c>
      <c r="S107" s="44" t="str">
        <f t="shared" si="11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6"/>
        <v/>
      </c>
      <c r="I108" s="52" t="str">
        <f t="shared" si="17"/>
        <v/>
      </c>
      <c r="J108" s="44" t="str">
        <f t="shared" si="12"/>
        <v/>
      </c>
      <c r="K108" s="44" t="str">
        <f t="shared" si="13"/>
        <v/>
      </c>
      <c r="L108" s="44" t="str">
        <f t="shared" si="14"/>
        <v/>
      </c>
      <c r="M108" s="53" t="str">
        <f t="shared" si="15"/>
        <v/>
      </c>
      <c r="N108" s="243"/>
      <c r="O108" s="244"/>
      <c r="P108" s="245"/>
      <c r="Q108" s="73"/>
      <c r="R108" s="44" t="str">
        <f t="shared" si="10"/>
        <v/>
      </c>
      <c r="S108" s="44" t="str">
        <f t="shared" si="11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6"/>
        <v/>
      </c>
      <c r="I109" s="52" t="str">
        <f t="shared" si="17"/>
        <v/>
      </c>
      <c r="J109" s="44" t="str">
        <f t="shared" si="12"/>
        <v/>
      </c>
      <c r="K109" s="44" t="str">
        <f t="shared" si="13"/>
        <v/>
      </c>
      <c r="L109" s="44" t="str">
        <f t="shared" si="14"/>
        <v/>
      </c>
      <c r="M109" s="53" t="str">
        <f t="shared" si="15"/>
        <v/>
      </c>
      <c r="N109" s="243"/>
      <c r="O109" s="244"/>
      <c r="P109" s="245"/>
      <c r="Q109" s="73"/>
      <c r="R109" s="44" t="str">
        <f t="shared" si="10"/>
        <v/>
      </c>
      <c r="S109" s="44" t="str">
        <f t="shared" si="11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6"/>
        <v/>
      </c>
      <c r="I110" s="52" t="str">
        <f t="shared" si="17"/>
        <v/>
      </c>
      <c r="J110" s="44" t="str">
        <f t="shared" si="12"/>
        <v/>
      </c>
      <c r="K110" s="44" t="str">
        <f t="shared" si="13"/>
        <v/>
      </c>
      <c r="L110" s="44" t="str">
        <f t="shared" si="14"/>
        <v/>
      </c>
      <c r="M110" s="53" t="str">
        <f t="shared" si="15"/>
        <v/>
      </c>
      <c r="N110" s="243"/>
      <c r="O110" s="244"/>
      <c r="P110" s="245"/>
      <c r="Q110" s="73"/>
      <c r="R110" s="44" t="str">
        <f t="shared" si="10"/>
        <v/>
      </c>
      <c r="S110" s="44" t="str">
        <f t="shared" si="11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6"/>
        <v/>
      </c>
      <c r="I111" s="52" t="str">
        <f t="shared" si="17"/>
        <v/>
      </c>
      <c r="J111" s="44" t="str">
        <f t="shared" si="12"/>
        <v/>
      </c>
      <c r="K111" s="44" t="str">
        <f t="shared" si="13"/>
        <v/>
      </c>
      <c r="L111" s="44" t="str">
        <f t="shared" si="14"/>
        <v/>
      </c>
      <c r="M111" s="53" t="str">
        <f t="shared" si="15"/>
        <v/>
      </c>
      <c r="N111" s="243"/>
      <c r="O111" s="244"/>
      <c r="P111" s="245"/>
      <c r="Q111" s="73"/>
      <c r="R111" s="44" t="str">
        <f t="shared" si="10"/>
        <v/>
      </c>
      <c r="S111" s="44" t="str">
        <f t="shared" si="11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6"/>
        <v/>
      </c>
      <c r="I112" s="52" t="str">
        <f t="shared" si="17"/>
        <v/>
      </c>
      <c r="J112" s="44" t="str">
        <f t="shared" si="12"/>
        <v/>
      </c>
      <c r="K112" s="44" t="str">
        <f t="shared" si="13"/>
        <v/>
      </c>
      <c r="L112" s="44" t="str">
        <f t="shared" si="14"/>
        <v/>
      </c>
      <c r="M112" s="53" t="str">
        <f t="shared" si="15"/>
        <v/>
      </c>
      <c r="N112" s="243"/>
      <c r="O112" s="244"/>
      <c r="P112" s="245"/>
      <c r="Q112" s="73"/>
      <c r="R112" s="44" t="str">
        <f t="shared" si="10"/>
        <v/>
      </c>
      <c r="S112" s="44" t="str">
        <f t="shared" si="11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U112"/>
  <sheetViews>
    <sheetView zoomScaleNormal="100" workbookViewId="0">
      <selection activeCell="E19" sqref="E19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2457</v>
      </c>
      <c r="F6" s="40">
        <v>7.64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44609.333333333336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2440</v>
      </c>
      <c r="F7" s="40">
        <v>7.22</v>
      </c>
      <c r="G7" s="51"/>
      <c r="H7" s="44">
        <f>IF(E7="","",((E7-E6)*C7)/1000)</f>
        <v>-0.17986000000000002</v>
      </c>
      <c r="I7" s="52">
        <f>IF(F7="","",F7-F6-G7)</f>
        <v>-0.41999999999999993</v>
      </c>
      <c r="J7" s="44">
        <f>IF(F7="","",I7-H7)</f>
        <v>-0.24013999999999991</v>
      </c>
      <c r="K7" s="44">
        <f>IF(F7="","",K6+H7)</f>
        <v>-0.17986000000000002</v>
      </c>
      <c r="L7" s="44">
        <f>IF(F7="","",L6+I7)</f>
        <v>-0.41999999999999993</v>
      </c>
      <c r="M7" s="53">
        <f>IF(F7="","",L7-K7)</f>
        <v>-0.24013999999999991</v>
      </c>
      <c r="N7" s="231"/>
      <c r="O7" s="229"/>
      <c r="P7" s="230"/>
      <c r="Q7" s="47">
        <v>44609.347222222219</v>
      </c>
      <c r="R7" s="44">
        <f t="shared" ref="R7:R70" si="0">IF(Q7="","",J7/((Q7-Q6)*24))</f>
        <v>-0.72042000029353748</v>
      </c>
      <c r="S7" s="44">
        <f t="shared" ref="S7:S70" si="1">IF(Q7="","",M7/((Q7-$Q$6)*24))</f>
        <v>-0.72042000029353748</v>
      </c>
    </row>
    <row r="8" spans="1:20" ht="12" customHeight="1" x14ac:dyDescent="0.2">
      <c r="A8" s="37"/>
      <c r="B8" s="48"/>
      <c r="C8" s="49">
        <v>10.58</v>
      </c>
      <c r="D8" s="54"/>
      <c r="E8" s="39">
        <v>2440</v>
      </c>
      <c r="F8" s="40">
        <v>6.94</v>
      </c>
      <c r="G8" s="51"/>
      <c r="H8" s="44">
        <f>IF(E8="","",((E8-E7)*C8)/1000)</f>
        <v>0</v>
      </c>
      <c r="I8" s="52">
        <f>IF(F8="","",F8-F7-G8)</f>
        <v>-0.27999999999999936</v>
      </c>
      <c r="J8" s="44">
        <f>IF(F8="","",I8-H8)</f>
        <v>-0.27999999999999936</v>
      </c>
      <c r="K8" s="44">
        <f>IF(F8="","",K7+H8)</f>
        <v>-0.17986000000000002</v>
      </c>
      <c r="L8" s="44">
        <f>IF(F8="","",L7+I8)</f>
        <v>-0.69999999999999929</v>
      </c>
      <c r="M8" s="53">
        <f>IF(F8="","",L8-K8)</f>
        <v>-0.52013999999999927</v>
      </c>
      <c r="N8" s="231"/>
      <c r="O8" s="229"/>
      <c r="P8" s="230"/>
      <c r="Q8" s="47">
        <v>44609.354166666664</v>
      </c>
      <c r="R8" s="44">
        <f t="shared" si="0"/>
        <v>-1.6799999998044184</v>
      </c>
      <c r="S8" s="44">
        <f t="shared" si="1"/>
        <v>-1.0402800002422077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2400</v>
      </c>
      <c r="F9" s="40">
        <v>8.11</v>
      </c>
      <c r="G9" s="51"/>
      <c r="H9" s="44">
        <f>IF(E9="","",((E9-E8)*C9)/1000)</f>
        <v>-0.42319999999999997</v>
      </c>
      <c r="I9" s="52">
        <f>IF(F9="","",F9-F8-G9)</f>
        <v>1.169999999999999</v>
      </c>
      <c r="J9" s="44">
        <f>IF(F9="","",I9-H9)</f>
        <v>1.5931999999999991</v>
      </c>
      <c r="K9" s="44">
        <f>IF(F9="","",K8+H9)</f>
        <v>-0.60305999999999993</v>
      </c>
      <c r="L9" s="44">
        <f>IF(F9="","",L8+I9)</f>
        <v>0.46999999999999975</v>
      </c>
      <c r="M9" s="53">
        <f>IF(F9="","",L9-K9)</f>
        <v>1.0730599999999997</v>
      </c>
      <c r="N9" s="228"/>
      <c r="O9" s="229"/>
      <c r="P9" s="230"/>
      <c r="Q9" s="47">
        <v>44609.504861111112</v>
      </c>
      <c r="R9" s="44">
        <f t="shared" si="0"/>
        <v>0.44051612902138682</v>
      </c>
      <c r="S9" s="44">
        <f t="shared" si="1"/>
        <v>0.26066234817985756</v>
      </c>
    </row>
    <row r="10" spans="1:20" ht="12" customHeight="1" x14ac:dyDescent="0.2">
      <c r="A10" s="37"/>
      <c r="B10" s="48"/>
      <c r="C10" s="49">
        <v>10.58</v>
      </c>
      <c r="D10" s="54"/>
      <c r="E10" s="39">
        <v>2400</v>
      </c>
      <c r="F10" s="40">
        <v>8.0399999999999991</v>
      </c>
      <c r="G10" s="51"/>
      <c r="H10" s="44">
        <f>IF(E10="","",((E10-E9)*C10)/1000)</f>
        <v>0</v>
      </c>
      <c r="I10" s="52">
        <f>IF(F10="","",F10-F9-G10)</f>
        <v>-7.0000000000000284E-2</v>
      </c>
      <c r="J10" s="44">
        <f t="shared" ref="J10:J73" si="2">IF(F10="","",I10-H10)</f>
        <v>-7.0000000000000284E-2</v>
      </c>
      <c r="K10" s="44">
        <f t="shared" ref="K10:K73" si="3">IF(F10="","",K9+H10)</f>
        <v>-0.60305999999999993</v>
      </c>
      <c r="L10" s="44">
        <f t="shared" ref="L10:L73" si="4">IF(F10="","",L9+I10)</f>
        <v>0.39999999999999947</v>
      </c>
      <c r="M10" s="53">
        <f t="shared" ref="M10:M73" si="5">IF(F10="","",L10-K10)</f>
        <v>1.0030599999999994</v>
      </c>
      <c r="N10" s="228" t="s">
        <v>148</v>
      </c>
      <c r="O10" s="229"/>
      <c r="P10" s="230"/>
      <c r="Q10" s="47">
        <v>44609.511805555558</v>
      </c>
      <c r="R10" s="44">
        <f t="shared" si="0"/>
        <v>-0.41999999995110726</v>
      </c>
      <c r="S10" s="44">
        <f t="shared" si="1"/>
        <v>0.23417743190703896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2010</v>
      </c>
      <c r="F11" s="56">
        <v>2.66</v>
      </c>
      <c r="G11" s="51"/>
      <c r="H11" s="44">
        <f>IF(E11="","",((E11-E10)*C11)/1000)</f>
        <v>-4.1261999999999999</v>
      </c>
      <c r="I11" s="52">
        <f t="shared" ref="I11:I74" si="6">IF(F11="","",F11-F10-G11)</f>
        <v>-5.379999999999999</v>
      </c>
      <c r="J11" s="44">
        <f t="shared" si="2"/>
        <v>-1.2537999999999991</v>
      </c>
      <c r="K11" s="44">
        <f t="shared" si="3"/>
        <v>-4.72926</v>
      </c>
      <c r="L11" s="44">
        <f t="shared" si="4"/>
        <v>-4.9799999999999995</v>
      </c>
      <c r="M11" s="53">
        <f t="shared" si="5"/>
        <v>-0.25073999999999952</v>
      </c>
      <c r="N11" s="228"/>
      <c r="O11" s="229"/>
      <c r="P11" s="230"/>
      <c r="Q11" s="47">
        <v>44609.548611111109</v>
      </c>
      <c r="R11" s="44">
        <f t="shared" si="0"/>
        <v>-1.4193962265585087</v>
      </c>
      <c r="S11" s="44">
        <f t="shared" si="1"/>
        <v>-4.8530322581556304E-2</v>
      </c>
    </row>
    <row r="12" spans="1:20" ht="12" customHeight="1" x14ac:dyDescent="0.2">
      <c r="A12" s="37"/>
      <c r="B12" s="48"/>
      <c r="C12" s="49">
        <v>10.58</v>
      </c>
      <c r="D12" s="54"/>
      <c r="E12" s="39">
        <v>1178</v>
      </c>
      <c r="F12" s="56">
        <v>7.24</v>
      </c>
      <c r="G12" s="51">
        <f>-2.65+7.9-2.26+6.72-1.92+7.82</f>
        <v>15.610000000000001</v>
      </c>
      <c r="H12" s="44">
        <f t="shared" ref="H12:H74" si="7">IF(E12="","",((E12-E11)*C12)/1000)</f>
        <v>-8.8025599999999997</v>
      </c>
      <c r="I12" s="52">
        <f t="shared" si="6"/>
        <v>-11.030000000000001</v>
      </c>
      <c r="J12" s="44">
        <f t="shared" si="2"/>
        <v>-2.2274400000000014</v>
      </c>
      <c r="K12" s="44">
        <f t="shared" si="3"/>
        <v>-13.53182</v>
      </c>
      <c r="L12" s="44">
        <f t="shared" si="4"/>
        <v>-16.010000000000002</v>
      </c>
      <c r="M12" s="53">
        <f t="shared" si="5"/>
        <v>-2.4781800000000018</v>
      </c>
      <c r="N12" s="228"/>
      <c r="O12" s="229"/>
      <c r="P12" s="230"/>
      <c r="Q12" s="47">
        <v>44609.60833333333</v>
      </c>
      <c r="R12" s="44">
        <f t="shared" si="0"/>
        <v>-1.5540279070230252</v>
      </c>
      <c r="S12" s="44">
        <f t="shared" si="1"/>
        <v>-0.37548181818976606</v>
      </c>
    </row>
    <row r="13" spans="1:20" ht="12" customHeight="1" x14ac:dyDescent="0.2">
      <c r="A13" s="37"/>
      <c r="B13" s="48"/>
      <c r="C13" s="49">
        <v>10.58</v>
      </c>
      <c r="D13" s="54"/>
      <c r="E13" s="39">
        <v>810</v>
      </c>
      <c r="F13" s="56">
        <v>2.11</v>
      </c>
      <c r="G13" s="51"/>
      <c r="H13" s="44">
        <f>IF(E13="","",((E13-E12)*C13)/1000)</f>
        <v>-3.89344</v>
      </c>
      <c r="I13" s="52">
        <f t="shared" si="6"/>
        <v>-5.1300000000000008</v>
      </c>
      <c r="J13" s="44">
        <f t="shared" si="2"/>
        <v>-1.2365600000000008</v>
      </c>
      <c r="K13" s="44">
        <f t="shared" si="3"/>
        <v>-17.425260000000002</v>
      </c>
      <c r="L13" s="44">
        <f t="shared" si="4"/>
        <v>-21.14</v>
      </c>
      <c r="M13" s="53">
        <f t="shared" si="5"/>
        <v>-3.714739999999999</v>
      </c>
      <c r="N13" s="231"/>
      <c r="O13" s="229"/>
      <c r="P13" s="230"/>
      <c r="Q13" s="47">
        <v>44609.626388888886</v>
      </c>
      <c r="R13" s="44">
        <f t="shared" si="0"/>
        <v>-2.8535999998977855</v>
      </c>
      <c r="S13" s="44">
        <f t="shared" si="1"/>
        <v>-0.52816208531738162</v>
      </c>
    </row>
    <row r="14" spans="1:20" ht="12" customHeight="1" x14ac:dyDescent="0.2">
      <c r="A14" s="37"/>
      <c r="B14" s="48"/>
      <c r="C14" s="49">
        <v>10.58</v>
      </c>
      <c r="D14" s="54"/>
      <c r="E14" s="39">
        <v>469</v>
      </c>
      <c r="F14" s="56">
        <v>3.81</v>
      </c>
      <c r="G14" s="51">
        <f>-1.38+7.3</f>
        <v>5.92</v>
      </c>
      <c r="H14" s="44">
        <f t="shared" si="7"/>
        <v>-3.60778</v>
      </c>
      <c r="I14" s="52">
        <f t="shared" si="6"/>
        <v>-4.22</v>
      </c>
      <c r="J14" s="44">
        <f t="shared" si="2"/>
        <v>-0.61221999999999976</v>
      </c>
      <c r="K14" s="44">
        <f t="shared" si="3"/>
        <v>-21.03304</v>
      </c>
      <c r="L14" s="44">
        <f t="shared" si="4"/>
        <v>-25.36</v>
      </c>
      <c r="M14" s="53">
        <f t="shared" si="5"/>
        <v>-4.3269599999999997</v>
      </c>
      <c r="N14" s="231"/>
      <c r="O14" s="229"/>
      <c r="P14" s="230"/>
      <c r="Q14" s="47">
        <v>44609.647916666669</v>
      </c>
      <c r="R14" s="44">
        <f t="shared" si="0"/>
        <v>-1.1849419352257791</v>
      </c>
      <c r="S14" s="44">
        <f t="shared" si="1"/>
        <v>-0.57310728476909556</v>
      </c>
    </row>
    <row r="15" spans="1:20" ht="12" customHeight="1" x14ac:dyDescent="0.2">
      <c r="A15" s="37"/>
      <c r="B15" s="48"/>
      <c r="C15" s="49">
        <v>10.58</v>
      </c>
      <c r="D15" s="54"/>
      <c r="E15" s="39">
        <v>469</v>
      </c>
      <c r="F15" s="40">
        <v>3.62</v>
      </c>
      <c r="G15" s="51"/>
      <c r="H15" s="44">
        <f t="shared" si="7"/>
        <v>0</v>
      </c>
      <c r="I15" s="52">
        <f t="shared" si="6"/>
        <v>-0.18999999999999995</v>
      </c>
      <c r="J15" s="44">
        <f t="shared" si="2"/>
        <v>-0.18999999999999995</v>
      </c>
      <c r="K15" s="44">
        <f t="shared" si="3"/>
        <v>-21.03304</v>
      </c>
      <c r="L15" s="44">
        <f t="shared" si="4"/>
        <v>-25.55</v>
      </c>
      <c r="M15" s="53">
        <f t="shared" si="5"/>
        <v>-4.516960000000001</v>
      </c>
      <c r="N15" s="231" t="s">
        <v>96</v>
      </c>
      <c r="O15" s="229"/>
      <c r="P15" s="230"/>
      <c r="Q15" s="47">
        <v>44609.654861111114</v>
      </c>
      <c r="R15" s="44">
        <f t="shared" si="0"/>
        <v>-1.1399999998672863</v>
      </c>
      <c r="S15" s="44">
        <f t="shared" si="1"/>
        <v>-0.58535118790437901</v>
      </c>
    </row>
    <row r="16" spans="1:20" ht="12" customHeight="1" x14ac:dyDescent="0.2">
      <c r="A16" s="37"/>
      <c r="B16" s="48"/>
      <c r="C16" s="49">
        <v>10.58</v>
      </c>
      <c r="D16" s="57"/>
      <c r="E16" s="39">
        <v>312</v>
      </c>
      <c r="F16" s="40">
        <v>6.78</v>
      </c>
      <c r="G16" s="51">
        <f>-3.57+8.16</f>
        <v>4.59</v>
      </c>
      <c r="H16" s="44">
        <f t="shared" si="7"/>
        <v>-1.66106</v>
      </c>
      <c r="I16" s="52">
        <f t="shared" si="6"/>
        <v>-1.4299999999999997</v>
      </c>
      <c r="J16" s="44">
        <f t="shared" si="2"/>
        <v>0.23106000000000027</v>
      </c>
      <c r="K16" s="44">
        <f t="shared" si="3"/>
        <v>-22.694099999999999</v>
      </c>
      <c r="L16" s="44">
        <f t="shared" si="4"/>
        <v>-26.98</v>
      </c>
      <c r="M16" s="53">
        <f t="shared" si="5"/>
        <v>-4.2859000000000016</v>
      </c>
      <c r="N16" s="228"/>
      <c r="O16" s="229"/>
      <c r="P16" s="230"/>
      <c r="Q16" s="47">
        <v>44609.674305555556</v>
      </c>
      <c r="R16" s="44">
        <f t="shared" si="0"/>
        <v>0.49512857148209538</v>
      </c>
      <c r="S16" s="44">
        <f t="shared" si="1"/>
        <v>-0.52373523421861801</v>
      </c>
      <c r="T16" s="55"/>
    </row>
    <row r="17" spans="1:19" ht="12" customHeight="1" x14ac:dyDescent="0.2">
      <c r="A17" s="37"/>
      <c r="B17" s="48" t="s">
        <v>38</v>
      </c>
      <c r="C17" s="49">
        <v>4.37</v>
      </c>
      <c r="D17" s="54"/>
      <c r="E17" s="39">
        <v>40</v>
      </c>
      <c r="F17" s="40">
        <v>4.1399999999999997</v>
      </c>
      <c r="G17" s="51"/>
      <c r="H17" s="44">
        <f t="shared" si="7"/>
        <v>-1.1886400000000001</v>
      </c>
      <c r="I17" s="52">
        <f t="shared" si="6"/>
        <v>-2.6400000000000006</v>
      </c>
      <c r="J17" s="44">
        <f t="shared" si="2"/>
        <v>-1.4513600000000004</v>
      </c>
      <c r="K17" s="44">
        <f t="shared" si="3"/>
        <v>-23.882739999999998</v>
      </c>
      <c r="L17" s="44">
        <f t="shared" si="4"/>
        <v>-29.62</v>
      </c>
      <c r="M17" s="53">
        <f t="shared" si="5"/>
        <v>-5.7372600000000027</v>
      </c>
      <c r="N17" s="231"/>
      <c r="O17" s="229"/>
      <c r="P17" s="230"/>
      <c r="Q17" s="47">
        <v>44609.697222222225</v>
      </c>
      <c r="R17" s="44">
        <f t="shared" si="0"/>
        <v>-2.6388363634129455</v>
      </c>
      <c r="S17" s="44">
        <f t="shared" si="1"/>
        <v>-0.65693816793863968</v>
      </c>
    </row>
    <row r="18" spans="1:19" ht="12" customHeight="1" x14ac:dyDescent="0.2">
      <c r="A18" s="37"/>
      <c r="B18" s="48"/>
      <c r="C18" s="49">
        <v>4.37</v>
      </c>
      <c r="D18" s="54"/>
      <c r="E18" s="39">
        <v>0</v>
      </c>
      <c r="F18" s="40">
        <v>7.29</v>
      </c>
      <c r="G18" s="40">
        <f>-3.5+8.53</f>
        <v>5.0299999999999994</v>
      </c>
      <c r="H18" s="44">
        <f t="shared" si="7"/>
        <v>-0.17480000000000001</v>
      </c>
      <c r="I18" s="52">
        <f t="shared" si="6"/>
        <v>-1.879999999999999</v>
      </c>
      <c r="J18" s="44">
        <f t="shared" si="2"/>
        <v>-1.7051999999999989</v>
      </c>
      <c r="K18" s="44">
        <f t="shared" si="3"/>
        <v>-24.057539999999999</v>
      </c>
      <c r="L18" s="44">
        <f t="shared" si="4"/>
        <v>-31.5</v>
      </c>
      <c r="M18" s="53">
        <f t="shared" si="5"/>
        <v>-7.4424600000000005</v>
      </c>
      <c r="N18" s="228"/>
      <c r="O18" s="229"/>
      <c r="P18" s="230"/>
      <c r="Q18" s="47">
        <v>44609.76666666667</v>
      </c>
      <c r="R18" s="44">
        <f t="shared" si="0"/>
        <v>-1.0231199999880887</v>
      </c>
      <c r="S18" s="44">
        <f t="shared" si="1"/>
        <v>-0.71562115384455183</v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 t="s">
        <v>29</v>
      </c>
      <c r="C24" s="49">
        <v>10.58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10.58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10.58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10.58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10.58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10.58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10.58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10.58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10.58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10.58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10.58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64"/>
      <c r="O34" s="162"/>
      <c r="P34" s="163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10.58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10.58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9"/>
      <c r="O76" s="160"/>
      <c r="P76" s="16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9"/>
      <c r="O77" s="160"/>
      <c r="P77" s="16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9"/>
      <c r="O78" s="160"/>
      <c r="P78" s="16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9"/>
      <c r="O79" s="160"/>
      <c r="P79" s="16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U112"/>
  <sheetViews>
    <sheetView topLeftCell="F1" zoomScaleNormal="100" workbookViewId="0">
      <selection activeCell="E43" sqref="E43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0</v>
      </c>
      <c r="F6" s="40">
        <v>3.34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44608.743750000001</v>
      </c>
      <c r="R6" s="11"/>
      <c r="S6" s="11"/>
    </row>
    <row r="7" spans="1:20" ht="12" customHeight="1" x14ac:dyDescent="0.2">
      <c r="A7" s="37"/>
      <c r="B7" s="48" t="s">
        <v>43</v>
      </c>
      <c r="C7" s="49">
        <v>5.05</v>
      </c>
      <c r="D7" s="39"/>
      <c r="E7" s="39">
        <v>35</v>
      </c>
      <c r="F7" s="40">
        <v>6.32</v>
      </c>
      <c r="G7" s="51">
        <f>-2.96+7.99</f>
        <v>5.03</v>
      </c>
      <c r="H7" s="44">
        <f>IF(E7="","",((E7-E6)*C7)/1000)</f>
        <v>0.17674999999999999</v>
      </c>
      <c r="I7" s="52">
        <f>IF(F7="","",F7-F6-G7)</f>
        <v>-2.0499999999999998</v>
      </c>
      <c r="J7" s="44">
        <f>IF(F7="","",I7-H7)</f>
        <v>-2.22675</v>
      </c>
      <c r="K7" s="44">
        <f>IF(F7="","",K6+H7)</f>
        <v>0.17674999999999999</v>
      </c>
      <c r="L7" s="44">
        <f>IF(F7="","",L6+I7)</f>
        <v>-2.0499999999999998</v>
      </c>
      <c r="M7" s="53">
        <f>IF(F7="","",L7-K7)</f>
        <v>-2.22675</v>
      </c>
      <c r="N7" s="231"/>
      <c r="O7" s="229"/>
      <c r="P7" s="230"/>
      <c r="Q7" s="47">
        <v>44608.807638888888</v>
      </c>
      <c r="R7" s="44">
        <f t="shared" ref="R7:R70" si="0">IF(Q7="","",J7/((Q7-Q6)*24))</f>
        <v>-1.4522282609320445</v>
      </c>
      <c r="S7" s="44">
        <f t="shared" ref="S7:S70" si="1">IF(Q7="","",M7/((Q7-$Q$6)*24))</f>
        <v>-1.4522282609320445</v>
      </c>
    </row>
    <row r="8" spans="1:20" ht="12" customHeight="1" x14ac:dyDescent="0.2">
      <c r="A8" s="37"/>
      <c r="B8" s="48"/>
      <c r="C8" s="49">
        <v>5.05</v>
      </c>
      <c r="D8" s="54"/>
      <c r="E8" s="39">
        <v>71</v>
      </c>
      <c r="F8" s="40">
        <v>5.98</v>
      </c>
      <c r="G8" s="51"/>
      <c r="H8" s="44">
        <f>IF(E8="","",((E8-E7)*C8)/1000)</f>
        <v>0.18179999999999999</v>
      </c>
      <c r="I8" s="52">
        <f>IF(F8="","",F8-F7-G8)</f>
        <v>-0.33999999999999986</v>
      </c>
      <c r="J8" s="44">
        <f>IF(F8="","",I8-H8)</f>
        <v>-0.52179999999999982</v>
      </c>
      <c r="K8" s="44">
        <f>IF(F8="","",K7+H8)</f>
        <v>0.35854999999999998</v>
      </c>
      <c r="L8" s="44">
        <f>IF(F8="","",L7+I8)</f>
        <v>-2.3899999999999997</v>
      </c>
      <c r="M8" s="53">
        <f>IF(F8="","",L8-K8)</f>
        <v>-2.7485499999999998</v>
      </c>
      <c r="N8" s="231"/>
      <c r="O8" s="229"/>
      <c r="P8" s="230"/>
      <c r="Q8" s="47">
        <v>44608.820833333331</v>
      </c>
      <c r="R8" s="44">
        <f t="shared" si="0"/>
        <v>-1.6477894737649796</v>
      </c>
      <c r="S8" s="44">
        <f t="shared" si="1"/>
        <v>-1.4857027027681464</v>
      </c>
      <c r="T8" s="55"/>
    </row>
    <row r="9" spans="1:20" ht="12" customHeight="1" x14ac:dyDescent="0.2">
      <c r="A9" s="37"/>
      <c r="B9" s="48"/>
      <c r="C9" s="49">
        <v>5.05</v>
      </c>
      <c r="D9" s="54"/>
      <c r="E9" s="39">
        <v>248</v>
      </c>
      <c r="F9" s="40">
        <v>5.7</v>
      </c>
      <c r="G9" s="51"/>
      <c r="H9" s="44">
        <f>IF(E9="","",((E9-E8)*C9)/1000)</f>
        <v>0.89385000000000003</v>
      </c>
      <c r="I9" s="52">
        <f>IF(F9="","",F9-F8-G9)</f>
        <v>-0.28000000000000025</v>
      </c>
      <c r="J9" s="44">
        <f>IF(F9="","",I9-H9)</f>
        <v>-1.1738500000000003</v>
      </c>
      <c r="K9" s="44">
        <f>IF(F9="","",K8+H9)</f>
        <v>1.2524</v>
      </c>
      <c r="L9" s="44">
        <f>IF(F9="","",L8+I9)</f>
        <v>-2.67</v>
      </c>
      <c r="M9" s="53">
        <f>IF(F9="","",L9-K9)</f>
        <v>-3.9223999999999997</v>
      </c>
      <c r="N9" s="228"/>
      <c r="O9" s="229"/>
      <c r="P9" s="230"/>
      <c r="Q9" s="47">
        <v>44608.853472222225</v>
      </c>
      <c r="R9" s="44">
        <f t="shared" si="0"/>
        <v>-1.4985319146857596</v>
      </c>
      <c r="S9" s="44">
        <f t="shared" si="1"/>
        <v>-1.4895189873264072</v>
      </c>
    </row>
    <row r="10" spans="1:20" ht="12" customHeight="1" x14ac:dyDescent="0.2">
      <c r="A10" s="37"/>
      <c r="B10" s="48"/>
      <c r="C10" s="49">
        <v>5.05</v>
      </c>
      <c r="D10" s="54"/>
      <c r="E10" s="39">
        <v>330</v>
      </c>
      <c r="F10" s="40">
        <v>5.51</v>
      </c>
      <c r="G10" s="51"/>
      <c r="H10" s="44">
        <f>IF(E10="","",((E10-E9)*C10)/1000)</f>
        <v>0.41409999999999997</v>
      </c>
      <c r="I10" s="52">
        <f>IF(F10="","",F10-F9-G10)</f>
        <v>-0.19000000000000039</v>
      </c>
      <c r="J10" s="44">
        <f t="shared" ref="J10:J73" si="2">IF(F10="","",I10-H10)</f>
        <v>-0.6041000000000003</v>
      </c>
      <c r="K10" s="44">
        <f t="shared" ref="K10:K73" si="3">IF(F10="","",K9+H10)</f>
        <v>1.6664999999999999</v>
      </c>
      <c r="L10" s="44">
        <f t="shared" ref="L10:L73" si="4">IF(F10="","",L9+I10)</f>
        <v>-2.8600000000000003</v>
      </c>
      <c r="M10" s="53">
        <f t="shared" ref="M10:M73" si="5">IF(F10="","",L10-K10)</f>
        <v>-4.5265000000000004</v>
      </c>
      <c r="N10" s="249"/>
      <c r="O10" s="250"/>
      <c r="P10" s="251"/>
      <c r="Q10" s="47">
        <v>44608.870138888888</v>
      </c>
      <c r="R10" s="44">
        <f t="shared" si="0"/>
        <v>-1.5102500003516333</v>
      </c>
      <c r="S10" s="44">
        <f t="shared" si="1"/>
        <v>-1.4922527472852007</v>
      </c>
      <c r="T10" s="55"/>
    </row>
    <row r="11" spans="1:20" ht="12" customHeight="1" x14ac:dyDescent="0.2">
      <c r="A11" s="37"/>
      <c r="B11" s="48"/>
      <c r="C11" s="49">
        <v>5.05</v>
      </c>
      <c r="D11" s="54"/>
      <c r="E11" s="39">
        <v>425</v>
      </c>
      <c r="F11" s="56">
        <v>5.26</v>
      </c>
      <c r="G11" s="51"/>
      <c r="H11" s="44">
        <f>IF(E11="","",((E11-E10)*C11)/1000)</f>
        <v>0.47975000000000001</v>
      </c>
      <c r="I11" s="52">
        <f t="shared" ref="I11:I74" si="6">IF(F11="","",F11-F10-G11)</f>
        <v>-0.25</v>
      </c>
      <c r="J11" s="44">
        <f t="shared" si="2"/>
        <v>-0.72975000000000001</v>
      </c>
      <c r="K11" s="44">
        <f t="shared" si="3"/>
        <v>2.1462499999999998</v>
      </c>
      <c r="L11" s="44">
        <f t="shared" si="4"/>
        <v>-3.1100000000000003</v>
      </c>
      <c r="M11" s="53">
        <f t="shared" si="5"/>
        <v>-5.2562499999999996</v>
      </c>
      <c r="N11" s="228"/>
      <c r="O11" s="229"/>
      <c r="P11" s="230"/>
      <c r="Q11" s="47">
        <v>44608.888194444444</v>
      </c>
      <c r="R11" s="44">
        <f t="shared" si="0"/>
        <v>-1.6840384614781392</v>
      </c>
      <c r="S11" s="44">
        <f t="shared" si="1"/>
        <v>-1.5162259615605254</v>
      </c>
    </row>
    <row r="12" spans="1:20" ht="12" customHeight="1" x14ac:dyDescent="0.2">
      <c r="A12" s="37"/>
      <c r="B12" s="48"/>
      <c r="C12" s="49">
        <v>5.05</v>
      </c>
      <c r="D12" s="54"/>
      <c r="E12" s="39">
        <v>578</v>
      </c>
      <c r="F12" s="56">
        <v>5.22</v>
      </c>
      <c r="G12" s="51"/>
      <c r="H12" s="44">
        <f t="shared" ref="H12:H74" si="7">IF(E12="","",((E12-E11)*C12)/1000)</f>
        <v>0.77264999999999995</v>
      </c>
      <c r="I12" s="52">
        <f t="shared" si="6"/>
        <v>-4.0000000000000036E-2</v>
      </c>
      <c r="J12" s="44">
        <f t="shared" si="2"/>
        <v>-0.81264999999999998</v>
      </c>
      <c r="K12" s="44">
        <f t="shared" si="3"/>
        <v>2.9188999999999998</v>
      </c>
      <c r="L12" s="44">
        <f t="shared" si="4"/>
        <v>-3.1500000000000004</v>
      </c>
      <c r="M12" s="53">
        <f t="shared" si="5"/>
        <v>-6.0689000000000002</v>
      </c>
      <c r="N12" s="228"/>
      <c r="O12" s="229"/>
      <c r="P12" s="230"/>
      <c r="Q12" s="47">
        <v>44608.913194444445</v>
      </c>
      <c r="R12" s="44">
        <f t="shared" si="0"/>
        <v>-1.3544166665878292</v>
      </c>
      <c r="S12" s="44">
        <f t="shared" si="1"/>
        <v>-1.4923524590220896</v>
      </c>
    </row>
    <row r="13" spans="1:20" ht="12" customHeight="1" x14ac:dyDescent="0.2">
      <c r="A13" s="37"/>
      <c r="B13" s="48"/>
      <c r="C13" s="49">
        <v>5.05</v>
      </c>
      <c r="D13" s="54"/>
      <c r="E13" s="39">
        <v>695</v>
      </c>
      <c r="F13" s="56">
        <v>4.9800000000000004</v>
      </c>
      <c r="G13" s="51"/>
      <c r="H13" s="44">
        <f>IF(E13="","",((E13-E12)*C13)/1000)</f>
        <v>0.59084999999999999</v>
      </c>
      <c r="I13" s="52">
        <f t="shared" si="6"/>
        <v>-0.23999999999999932</v>
      </c>
      <c r="J13" s="44">
        <f t="shared" si="2"/>
        <v>-0.83084999999999931</v>
      </c>
      <c r="K13" s="44">
        <f t="shared" si="3"/>
        <v>3.5097499999999999</v>
      </c>
      <c r="L13" s="44">
        <f t="shared" si="4"/>
        <v>-3.3899999999999997</v>
      </c>
      <c r="M13" s="53">
        <f t="shared" si="5"/>
        <v>-6.8997499999999992</v>
      </c>
      <c r="N13" s="231"/>
      <c r="O13" s="229"/>
      <c r="P13" s="230"/>
      <c r="Q13" s="47">
        <v>44608.934027777781</v>
      </c>
      <c r="R13" s="44">
        <f t="shared" si="0"/>
        <v>-1.6616999998065514</v>
      </c>
      <c r="S13" s="44">
        <f t="shared" si="1"/>
        <v>-1.5108941605698187</v>
      </c>
    </row>
    <row r="14" spans="1:20" ht="12" customHeight="1" x14ac:dyDescent="0.2">
      <c r="A14" s="37"/>
      <c r="B14" s="48"/>
      <c r="C14" s="49">
        <v>5.05</v>
      </c>
      <c r="D14" s="54"/>
      <c r="E14" s="39">
        <v>813</v>
      </c>
      <c r="F14" s="56">
        <v>4.9800000000000004</v>
      </c>
      <c r="G14" s="51"/>
      <c r="H14" s="44">
        <f t="shared" si="7"/>
        <v>0.59589999999999999</v>
      </c>
      <c r="I14" s="52">
        <f t="shared" si="6"/>
        <v>0</v>
      </c>
      <c r="J14" s="44">
        <f t="shared" si="2"/>
        <v>-0.59589999999999999</v>
      </c>
      <c r="K14" s="44">
        <f t="shared" si="3"/>
        <v>4.1056499999999998</v>
      </c>
      <c r="L14" s="44">
        <f t="shared" si="4"/>
        <v>-3.3899999999999997</v>
      </c>
      <c r="M14" s="53">
        <f t="shared" si="5"/>
        <v>-7.4956499999999995</v>
      </c>
      <c r="N14" s="231"/>
      <c r="O14" s="229"/>
      <c r="P14" s="230"/>
      <c r="Q14" s="47">
        <v>44608.951388888891</v>
      </c>
      <c r="R14" s="44">
        <f t="shared" si="0"/>
        <v>-1.430160000133194</v>
      </c>
      <c r="S14" s="44">
        <f t="shared" si="1"/>
        <v>-1.5041438127078588</v>
      </c>
    </row>
    <row r="15" spans="1:20" ht="12" customHeight="1" x14ac:dyDescent="0.2">
      <c r="A15" s="37"/>
      <c r="B15" s="48"/>
      <c r="C15" s="49">
        <v>5.05</v>
      </c>
      <c r="D15" s="54"/>
      <c r="E15" s="39">
        <v>978</v>
      </c>
      <c r="F15" s="40">
        <v>4.67</v>
      </c>
      <c r="G15" s="51"/>
      <c r="H15" s="44">
        <f t="shared" si="7"/>
        <v>0.83325000000000005</v>
      </c>
      <c r="I15" s="52">
        <f t="shared" si="6"/>
        <v>-0.3100000000000005</v>
      </c>
      <c r="J15" s="44">
        <f t="shared" si="2"/>
        <v>-1.1432500000000005</v>
      </c>
      <c r="K15" s="44">
        <f t="shared" si="3"/>
        <v>4.9389000000000003</v>
      </c>
      <c r="L15" s="44">
        <f t="shared" si="4"/>
        <v>-3.7</v>
      </c>
      <c r="M15" s="53">
        <f t="shared" si="5"/>
        <v>-8.6388999999999996</v>
      </c>
      <c r="N15" s="231"/>
      <c r="O15" s="229"/>
      <c r="P15" s="230"/>
      <c r="Q15" s="47">
        <v>44608.982638888891</v>
      </c>
      <c r="R15" s="44">
        <f t="shared" si="0"/>
        <v>-1.524333333333334</v>
      </c>
      <c r="S15" s="44">
        <f t="shared" si="1"/>
        <v>-1.5067848837199103</v>
      </c>
    </row>
    <row r="16" spans="1:20" ht="12" customHeight="1" x14ac:dyDescent="0.2">
      <c r="A16" s="37"/>
      <c r="B16" s="48"/>
      <c r="C16" s="49">
        <v>5.05</v>
      </c>
      <c r="D16" s="57"/>
      <c r="E16" s="39">
        <v>1178</v>
      </c>
      <c r="F16" s="40">
        <v>4.41</v>
      </c>
      <c r="G16" s="51"/>
      <c r="H16" s="44">
        <f t="shared" si="7"/>
        <v>1.01</v>
      </c>
      <c r="I16" s="52">
        <f t="shared" si="6"/>
        <v>-0.25999999999999979</v>
      </c>
      <c r="J16" s="44">
        <f t="shared" si="2"/>
        <v>-1.2699999999999998</v>
      </c>
      <c r="K16" s="44">
        <f t="shared" si="3"/>
        <v>5.9489000000000001</v>
      </c>
      <c r="L16" s="44">
        <f t="shared" si="4"/>
        <v>-3.96</v>
      </c>
      <c r="M16" s="53">
        <f t="shared" si="5"/>
        <v>-9.9088999999999992</v>
      </c>
      <c r="N16" s="228"/>
      <c r="O16" s="229"/>
      <c r="P16" s="230"/>
      <c r="Q16" s="47">
        <v>44609.019444444442</v>
      </c>
      <c r="R16" s="44">
        <f t="shared" si="0"/>
        <v>-1.4377358492018719</v>
      </c>
      <c r="S16" s="44">
        <f t="shared" si="1"/>
        <v>-1.4975667506490451</v>
      </c>
      <c r="T16" s="55"/>
    </row>
    <row r="17" spans="1:19" ht="12" customHeight="1" x14ac:dyDescent="0.2">
      <c r="A17" s="37"/>
      <c r="B17" s="48"/>
      <c r="C17" s="49">
        <v>5.05</v>
      </c>
      <c r="D17" s="54"/>
      <c r="E17" s="39">
        <v>1403</v>
      </c>
      <c r="F17" s="40">
        <v>4.3499999999999996</v>
      </c>
      <c r="G17" s="51"/>
      <c r="H17" s="44">
        <f t="shared" si="7"/>
        <v>1.13625</v>
      </c>
      <c r="I17" s="52">
        <f t="shared" si="6"/>
        <v>-6.0000000000000497E-2</v>
      </c>
      <c r="J17" s="44">
        <f t="shared" si="2"/>
        <v>-1.1962500000000005</v>
      </c>
      <c r="K17" s="44">
        <f t="shared" si="3"/>
        <v>7.0851500000000005</v>
      </c>
      <c r="L17" s="44">
        <f t="shared" si="4"/>
        <v>-4.0200000000000005</v>
      </c>
      <c r="M17" s="53">
        <f t="shared" si="5"/>
        <v>-11.105150000000002</v>
      </c>
      <c r="N17" s="231"/>
      <c r="O17" s="229"/>
      <c r="P17" s="230"/>
      <c r="Q17" s="47">
        <v>44609.053472222222</v>
      </c>
      <c r="R17" s="44">
        <f t="shared" si="0"/>
        <v>-1.4647959182907855</v>
      </c>
      <c r="S17" s="44">
        <f t="shared" si="1"/>
        <v>-1.4939663677215838</v>
      </c>
    </row>
    <row r="18" spans="1:19" ht="12" customHeight="1" x14ac:dyDescent="0.2">
      <c r="A18" s="37"/>
      <c r="B18" s="48"/>
      <c r="C18" s="49">
        <v>5.05</v>
      </c>
      <c r="D18" s="54"/>
      <c r="E18" s="39">
        <v>1640</v>
      </c>
      <c r="F18" s="40">
        <v>4.2300000000000004</v>
      </c>
      <c r="G18" s="40"/>
      <c r="H18" s="44">
        <f t="shared" si="7"/>
        <v>1.19685</v>
      </c>
      <c r="I18" s="52">
        <f t="shared" si="6"/>
        <v>-0.11999999999999922</v>
      </c>
      <c r="J18" s="44">
        <f t="shared" si="2"/>
        <v>-1.3168499999999992</v>
      </c>
      <c r="K18" s="44">
        <f t="shared" si="3"/>
        <v>8.282</v>
      </c>
      <c r="L18" s="44">
        <f t="shared" si="4"/>
        <v>-4.1399999999999997</v>
      </c>
      <c r="M18" s="53">
        <f t="shared" si="5"/>
        <v>-12.422000000000001</v>
      </c>
      <c r="N18" s="228"/>
      <c r="O18" s="229"/>
      <c r="P18" s="230"/>
      <c r="Q18" s="47">
        <v>44609.092361111114</v>
      </c>
      <c r="R18" s="44">
        <f t="shared" si="0"/>
        <v>-1.410910714174257</v>
      </c>
      <c r="S18" s="44">
        <f t="shared" si="1"/>
        <v>-1.4847011952136147</v>
      </c>
    </row>
    <row r="19" spans="1:19" ht="12" customHeight="1" x14ac:dyDescent="0.2">
      <c r="A19" s="37"/>
      <c r="B19" s="48" t="s">
        <v>38</v>
      </c>
      <c r="C19" s="49">
        <v>4.37</v>
      </c>
      <c r="D19" s="54"/>
      <c r="E19" s="39">
        <v>1723</v>
      </c>
      <c r="F19" s="40">
        <v>3.71</v>
      </c>
      <c r="G19" s="40"/>
      <c r="H19" s="44">
        <f t="shared" si="7"/>
        <v>0.36271000000000003</v>
      </c>
      <c r="I19" s="52">
        <f t="shared" si="6"/>
        <v>-0.52000000000000046</v>
      </c>
      <c r="J19" s="44">
        <f t="shared" si="2"/>
        <v>-0.88271000000000055</v>
      </c>
      <c r="K19" s="44">
        <f t="shared" si="3"/>
        <v>8.6447099999999999</v>
      </c>
      <c r="L19" s="44">
        <f t="shared" si="4"/>
        <v>-4.66</v>
      </c>
      <c r="M19" s="53">
        <f t="shared" si="5"/>
        <v>-13.30471</v>
      </c>
      <c r="N19" s="228"/>
      <c r="O19" s="229"/>
      <c r="P19" s="230"/>
      <c r="Q19" s="47">
        <v>44609.125</v>
      </c>
      <c r="R19" s="44">
        <f t="shared" si="0"/>
        <v>-1.1268638298821341</v>
      </c>
      <c r="S19" s="44">
        <f t="shared" si="1"/>
        <v>-1.4540666666722166</v>
      </c>
    </row>
    <row r="20" spans="1:19" ht="12" customHeight="1" x14ac:dyDescent="0.2">
      <c r="A20" s="37"/>
      <c r="B20" s="48"/>
      <c r="C20" s="49">
        <v>4.37</v>
      </c>
      <c r="D20" s="54"/>
      <c r="E20" s="39">
        <v>1763</v>
      </c>
      <c r="F20" s="40">
        <v>2.13</v>
      </c>
      <c r="G20" s="40"/>
      <c r="H20" s="44">
        <f t="shared" si="7"/>
        <v>0.17480000000000001</v>
      </c>
      <c r="I20" s="52">
        <f t="shared" si="6"/>
        <v>-1.58</v>
      </c>
      <c r="J20" s="44">
        <f t="shared" si="2"/>
        <v>-1.7548000000000001</v>
      </c>
      <c r="K20" s="44">
        <f t="shared" si="3"/>
        <v>8.8195099999999993</v>
      </c>
      <c r="L20" s="44">
        <f t="shared" si="4"/>
        <v>-6.24</v>
      </c>
      <c r="M20" s="53">
        <f t="shared" si="5"/>
        <v>-15.05951</v>
      </c>
      <c r="N20" s="242"/>
      <c r="O20" s="229"/>
      <c r="P20" s="230"/>
      <c r="Q20" s="47">
        <v>44609.165277777778</v>
      </c>
      <c r="R20" s="44">
        <f t="shared" si="0"/>
        <v>-1.8153103448130119</v>
      </c>
      <c r="S20" s="44">
        <f t="shared" si="1"/>
        <v>-1.4885841845180001</v>
      </c>
    </row>
    <row r="21" spans="1:19" ht="12" customHeight="1" x14ac:dyDescent="0.2">
      <c r="A21" s="37"/>
      <c r="B21" s="48"/>
      <c r="C21" s="49">
        <v>4.37</v>
      </c>
      <c r="D21" s="54"/>
      <c r="E21" s="39">
        <v>1843</v>
      </c>
      <c r="F21" s="40">
        <v>8.25</v>
      </c>
      <c r="G21" s="51">
        <v>6.27</v>
      </c>
      <c r="H21" s="44">
        <f t="shared" si="7"/>
        <v>0.34960000000000002</v>
      </c>
      <c r="I21" s="52">
        <f t="shared" si="6"/>
        <v>-0.14999999999999947</v>
      </c>
      <c r="J21" s="44">
        <f t="shared" si="2"/>
        <v>-0.49959999999999949</v>
      </c>
      <c r="K21" s="44">
        <f t="shared" si="3"/>
        <v>9.1691099999999999</v>
      </c>
      <c r="L21" s="44">
        <f t="shared" si="4"/>
        <v>-6.39</v>
      </c>
      <c r="M21" s="53">
        <f t="shared" si="5"/>
        <v>-15.55911</v>
      </c>
      <c r="N21" s="228"/>
      <c r="O21" s="229"/>
      <c r="P21" s="230"/>
      <c r="Q21" s="47">
        <v>44609.17083333333</v>
      </c>
      <c r="R21" s="44">
        <f t="shared" si="0"/>
        <v>-3.7470000025081935</v>
      </c>
      <c r="S21" s="44">
        <f t="shared" si="1"/>
        <v>-1.5179619512367526</v>
      </c>
    </row>
    <row r="22" spans="1:19" ht="12" customHeight="1" x14ac:dyDescent="0.2">
      <c r="A22" s="37"/>
      <c r="B22" s="48"/>
      <c r="C22" s="49">
        <v>4.37</v>
      </c>
      <c r="D22" s="54"/>
      <c r="E22" s="39">
        <v>1925</v>
      </c>
      <c r="F22" s="40">
        <v>8.34</v>
      </c>
      <c r="G22" s="51"/>
      <c r="H22" s="44">
        <f t="shared" si="7"/>
        <v>0.35834000000000005</v>
      </c>
      <c r="I22" s="52">
        <f t="shared" si="6"/>
        <v>8.9999999999999858E-2</v>
      </c>
      <c r="J22" s="44">
        <f t="shared" si="2"/>
        <v>-0.26834000000000019</v>
      </c>
      <c r="K22" s="44">
        <f t="shared" si="3"/>
        <v>9.52745</v>
      </c>
      <c r="L22" s="44">
        <f t="shared" si="4"/>
        <v>-6.3</v>
      </c>
      <c r="M22" s="53">
        <f t="shared" si="5"/>
        <v>-15.827449999999999</v>
      </c>
      <c r="N22" s="228"/>
      <c r="O22" s="229"/>
      <c r="P22" s="230"/>
      <c r="Q22" s="47">
        <v>44609.176388888889</v>
      </c>
      <c r="R22" s="44">
        <f t="shared" si="0"/>
        <v>-2.0125499987113975</v>
      </c>
      <c r="S22" s="44">
        <f t="shared" si="1"/>
        <v>-1.5243130016096937</v>
      </c>
    </row>
    <row r="23" spans="1:19" ht="12" customHeight="1" x14ac:dyDescent="0.2">
      <c r="A23" s="37"/>
      <c r="B23" s="48"/>
      <c r="C23" s="49">
        <v>4.37</v>
      </c>
      <c r="D23" s="54"/>
      <c r="E23" s="39">
        <v>2030</v>
      </c>
      <c r="F23" s="40">
        <v>1.75</v>
      </c>
      <c r="G23" s="51">
        <v>-6.92</v>
      </c>
      <c r="H23" s="44">
        <f t="shared" si="7"/>
        <v>0.45885000000000004</v>
      </c>
      <c r="I23" s="52">
        <f t="shared" si="6"/>
        <v>0.33000000000000007</v>
      </c>
      <c r="J23" s="44">
        <f t="shared" si="2"/>
        <v>-0.12884999999999996</v>
      </c>
      <c r="K23" s="44">
        <f t="shared" si="3"/>
        <v>9.9863</v>
      </c>
      <c r="L23" s="44">
        <f t="shared" si="4"/>
        <v>-5.97</v>
      </c>
      <c r="M23" s="53">
        <f t="shared" si="5"/>
        <v>-15.956299999999999</v>
      </c>
      <c r="N23" s="228"/>
      <c r="O23" s="229"/>
      <c r="P23" s="230"/>
      <c r="Q23" s="47">
        <v>44609.182638888888</v>
      </c>
      <c r="R23" s="44">
        <f t="shared" si="0"/>
        <v>-0.85900000020000133</v>
      </c>
      <c r="S23" s="44">
        <f t="shared" si="1"/>
        <v>-1.5148386076044238</v>
      </c>
    </row>
    <row r="24" spans="1:19" ht="12" customHeight="1" x14ac:dyDescent="0.2">
      <c r="A24" s="37"/>
      <c r="B24" s="48" t="s">
        <v>29</v>
      </c>
      <c r="C24" s="49">
        <v>10.58</v>
      </c>
      <c r="D24" s="54"/>
      <c r="E24" s="39">
        <v>2059</v>
      </c>
      <c r="F24" s="40">
        <v>1.85</v>
      </c>
      <c r="G24" s="51"/>
      <c r="H24" s="44">
        <f t="shared" si="7"/>
        <v>0.30681999999999998</v>
      </c>
      <c r="I24" s="52">
        <f t="shared" si="6"/>
        <v>0.10000000000000009</v>
      </c>
      <c r="J24" s="44">
        <f t="shared" si="2"/>
        <v>-0.20681999999999989</v>
      </c>
      <c r="K24" s="44">
        <f t="shared" si="3"/>
        <v>10.29312</v>
      </c>
      <c r="L24" s="44">
        <f t="shared" si="4"/>
        <v>-5.8699999999999992</v>
      </c>
      <c r="M24" s="53">
        <f t="shared" si="5"/>
        <v>-16.163119999999999</v>
      </c>
      <c r="N24" s="231"/>
      <c r="O24" s="229"/>
      <c r="P24" s="230"/>
      <c r="Q24" s="47">
        <v>44609.18472222222</v>
      </c>
      <c r="R24" s="44">
        <f t="shared" si="0"/>
        <v>-4.1364000009630786</v>
      </c>
      <c r="S24" s="44">
        <f t="shared" si="1"/>
        <v>-1.5272239370190734</v>
      </c>
    </row>
    <row r="25" spans="1:19" ht="12" customHeight="1" x14ac:dyDescent="0.2">
      <c r="A25" s="37"/>
      <c r="B25" s="48"/>
      <c r="C25" s="49">
        <v>10.58</v>
      </c>
      <c r="D25" s="54"/>
      <c r="E25" s="39">
        <v>2426</v>
      </c>
      <c r="F25" s="40">
        <v>5.24</v>
      </c>
      <c r="G25" s="51"/>
      <c r="H25" s="44">
        <f t="shared" si="7"/>
        <v>3.88286</v>
      </c>
      <c r="I25" s="52">
        <f t="shared" si="6"/>
        <v>3.39</v>
      </c>
      <c r="J25" s="44">
        <f t="shared" si="2"/>
        <v>-0.49285999999999985</v>
      </c>
      <c r="K25" s="44">
        <f t="shared" si="3"/>
        <v>14.175979999999999</v>
      </c>
      <c r="L25" s="44">
        <f t="shared" si="4"/>
        <v>-2.4799999999999991</v>
      </c>
      <c r="M25" s="53">
        <f t="shared" si="5"/>
        <v>-16.65598</v>
      </c>
      <c r="N25" s="228"/>
      <c r="O25" s="229"/>
      <c r="P25" s="230"/>
      <c r="Q25" s="47">
        <v>44609.206250000003</v>
      </c>
      <c r="R25" s="44">
        <f t="shared" si="0"/>
        <v>-0.95392258043738776</v>
      </c>
      <c r="S25" s="44">
        <f t="shared" si="1"/>
        <v>-1.5005387387340174</v>
      </c>
    </row>
    <row r="26" spans="1:19" ht="12" customHeight="1" x14ac:dyDescent="0.2">
      <c r="A26" s="37">
        <v>176.43</v>
      </c>
      <c r="B26" s="48"/>
      <c r="C26" s="49">
        <v>10.58</v>
      </c>
      <c r="D26" s="54"/>
      <c r="E26" s="39">
        <v>2583</v>
      </c>
      <c r="F26" s="40">
        <v>6.92</v>
      </c>
      <c r="G26" s="51"/>
      <c r="H26" s="44">
        <f>IF(E26="","",((E26-E25)*C26)/1000)</f>
        <v>1.66106</v>
      </c>
      <c r="I26" s="52">
        <f>IF(F26="","",F26-F25-G26)</f>
        <v>1.6799999999999997</v>
      </c>
      <c r="J26" s="44">
        <f t="shared" si="2"/>
        <v>1.8939999999999735E-2</v>
      </c>
      <c r="K26" s="44">
        <f t="shared" si="3"/>
        <v>15.837039999999998</v>
      </c>
      <c r="L26" s="44">
        <f t="shared" si="4"/>
        <v>-0.79999999999999938</v>
      </c>
      <c r="M26" s="53">
        <f t="shared" si="5"/>
        <v>-16.637039999999999</v>
      </c>
      <c r="N26" s="228"/>
      <c r="O26" s="229"/>
      <c r="P26" s="230"/>
      <c r="Q26" s="47">
        <v>44609.214583333334</v>
      </c>
      <c r="R26" s="44">
        <f t="shared" si="0"/>
        <v>9.4700000022047731E-2</v>
      </c>
      <c r="S26" s="44">
        <f t="shared" si="1"/>
        <v>-1.4723044247802777</v>
      </c>
    </row>
    <row r="27" spans="1:19" ht="12" customHeight="1" x14ac:dyDescent="0.2">
      <c r="A27" s="37"/>
      <c r="B27" s="48"/>
      <c r="C27" s="49">
        <v>10.58</v>
      </c>
      <c r="D27" s="58"/>
      <c r="E27" s="39">
        <v>2714</v>
      </c>
      <c r="F27" s="40">
        <v>7.9</v>
      </c>
      <c r="G27" s="51"/>
      <c r="H27" s="44">
        <f t="shared" si="7"/>
        <v>1.38598</v>
      </c>
      <c r="I27" s="52">
        <f>IF(F27="","",F27-F26-G27)</f>
        <v>0.98000000000000043</v>
      </c>
      <c r="J27" s="44">
        <f>IF(F27="","",I27-H27)</f>
        <v>-0.40597999999999956</v>
      </c>
      <c r="K27" s="44">
        <f>IF(F27="","",K26+H27)</f>
        <v>17.223019999999998</v>
      </c>
      <c r="L27" s="44">
        <f>IF(F27="","",L26+I27)</f>
        <v>0.18000000000000105</v>
      </c>
      <c r="M27" s="53">
        <f>IF(F27="","",L27-K27)</f>
        <v>-17.043019999999999</v>
      </c>
      <c r="N27" s="231"/>
      <c r="O27" s="229"/>
      <c r="P27" s="230"/>
      <c r="Q27" s="47">
        <v>44609.220833333333</v>
      </c>
      <c r="R27" s="44">
        <f t="shared" si="0"/>
        <v>-2.7065333339634945</v>
      </c>
      <c r="S27" s="44">
        <f t="shared" si="1"/>
        <v>-1.4884733624514681</v>
      </c>
    </row>
    <row r="28" spans="1:19" ht="12" customHeight="1" x14ac:dyDescent="0.2">
      <c r="A28" s="37"/>
      <c r="B28" s="48"/>
      <c r="C28" s="49">
        <v>10.58</v>
      </c>
      <c r="D28" s="58"/>
      <c r="E28" s="39">
        <v>2793</v>
      </c>
      <c r="F28" s="40">
        <v>8.39</v>
      </c>
      <c r="G28" s="51"/>
      <c r="H28" s="44">
        <f t="shared" si="7"/>
        <v>0.83582000000000001</v>
      </c>
      <c r="I28" s="52">
        <f>IF(F28="","",F28-F27-G28)</f>
        <v>0.49000000000000021</v>
      </c>
      <c r="J28" s="44">
        <f t="shared" si="2"/>
        <v>-0.34581999999999979</v>
      </c>
      <c r="K28" s="44">
        <f t="shared" si="3"/>
        <v>18.058839999999996</v>
      </c>
      <c r="L28" s="44">
        <f t="shared" si="4"/>
        <v>0.67000000000000126</v>
      </c>
      <c r="M28" s="53">
        <f t="shared" si="5"/>
        <v>-17.388839999999995</v>
      </c>
      <c r="N28" s="231"/>
      <c r="O28" s="229"/>
      <c r="P28" s="230"/>
      <c r="Q28" s="47">
        <v>44609.224999999999</v>
      </c>
      <c r="R28" s="44">
        <f t="shared" si="0"/>
        <v>-3.458200000805173</v>
      </c>
      <c r="S28" s="44">
        <f t="shared" si="1"/>
        <v>-1.5055272727363771</v>
      </c>
    </row>
    <row r="29" spans="1:19" ht="12" customHeight="1" x14ac:dyDescent="0.2">
      <c r="A29" s="37"/>
      <c r="B29" s="48"/>
      <c r="C29" s="49">
        <v>10.58</v>
      </c>
      <c r="D29" s="58"/>
      <c r="E29" s="39">
        <v>2897</v>
      </c>
      <c r="F29" s="40">
        <v>3.54</v>
      </c>
      <c r="G29" s="51">
        <v>-5.7</v>
      </c>
      <c r="H29" s="44">
        <f t="shared" si="7"/>
        <v>1.10032</v>
      </c>
      <c r="I29" s="52">
        <f t="shared" si="6"/>
        <v>0.84999999999999964</v>
      </c>
      <c r="J29" s="44">
        <f t="shared" si="2"/>
        <v>-0.25032000000000032</v>
      </c>
      <c r="K29" s="44">
        <f t="shared" si="3"/>
        <v>19.159159999999996</v>
      </c>
      <c r="L29" s="44">
        <f t="shared" si="4"/>
        <v>1.5200000000000009</v>
      </c>
      <c r="M29" s="53">
        <f t="shared" si="5"/>
        <v>-17.639159999999997</v>
      </c>
      <c r="N29" s="228"/>
      <c r="O29" s="229"/>
      <c r="P29" s="230"/>
      <c r="Q29" s="47">
        <v>44609.229861111111</v>
      </c>
      <c r="R29" s="44">
        <f t="shared" si="0"/>
        <v>-2.1455999994290753</v>
      </c>
      <c r="S29" s="44">
        <f t="shared" si="1"/>
        <v>-1.5119280000050286</v>
      </c>
    </row>
    <row r="30" spans="1:19" ht="12" customHeight="1" x14ac:dyDescent="0.2">
      <c r="A30" s="37"/>
      <c r="B30" s="48"/>
      <c r="C30" s="49">
        <v>10.58</v>
      </c>
      <c r="D30" s="58"/>
      <c r="E30" s="39">
        <v>3342</v>
      </c>
      <c r="F30" s="40">
        <v>7.69</v>
      </c>
      <c r="G30" s="59"/>
      <c r="H30" s="44">
        <f t="shared" si="7"/>
        <v>4.7081</v>
      </c>
      <c r="I30" s="52">
        <f t="shared" si="6"/>
        <v>4.1500000000000004</v>
      </c>
      <c r="J30" s="44">
        <f t="shared" si="2"/>
        <v>-0.5580999999999996</v>
      </c>
      <c r="K30" s="44">
        <f t="shared" si="3"/>
        <v>23.867259999999995</v>
      </c>
      <c r="L30" s="44">
        <f t="shared" si="4"/>
        <v>5.6700000000000017</v>
      </c>
      <c r="M30" s="53">
        <f t="shared" si="5"/>
        <v>-18.197259999999993</v>
      </c>
      <c r="N30" s="228"/>
      <c r="O30" s="229"/>
      <c r="P30" s="230"/>
      <c r="Q30" s="47">
        <v>44609.251388888886</v>
      </c>
      <c r="R30" s="44">
        <f t="shared" si="0"/>
        <v>-1.0801935485169036</v>
      </c>
      <c r="S30" s="44">
        <f t="shared" si="1"/>
        <v>-1.4936191518591537</v>
      </c>
    </row>
    <row r="31" spans="1:19" ht="12" customHeight="1" x14ac:dyDescent="0.2">
      <c r="A31" s="37"/>
      <c r="B31" s="48"/>
      <c r="C31" s="49">
        <v>10.58</v>
      </c>
      <c r="D31" s="58"/>
      <c r="E31" s="39">
        <v>3473</v>
      </c>
      <c r="F31" s="40">
        <v>2.2400000000000002</v>
      </c>
      <c r="G31" s="51">
        <v>-6.76</v>
      </c>
      <c r="H31" s="44">
        <f t="shared" si="7"/>
        <v>1.38598</v>
      </c>
      <c r="I31" s="52">
        <f t="shared" si="6"/>
        <v>1.3099999999999996</v>
      </c>
      <c r="J31" s="44">
        <f t="shared" si="2"/>
        <v>-7.5980000000000381E-2</v>
      </c>
      <c r="K31" s="44">
        <f t="shared" si="3"/>
        <v>25.253239999999995</v>
      </c>
      <c r="L31" s="44">
        <f t="shared" si="4"/>
        <v>6.9800000000000013</v>
      </c>
      <c r="M31" s="53">
        <f t="shared" si="5"/>
        <v>-18.273239999999994</v>
      </c>
      <c r="N31" s="231"/>
      <c r="O31" s="229"/>
      <c r="P31" s="230"/>
      <c r="Q31" s="47">
        <v>44609.258333333331</v>
      </c>
      <c r="R31" s="44">
        <f t="shared" si="0"/>
        <v>-0.45587999994693085</v>
      </c>
      <c r="S31" s="44">
        <f t="shared" si="1"/>
        <v>-1.4796145749085481</v>
      </c>
    </row>
    <row r="32" spans="1:19" ht="12" customHeight="1" x14ac:dyDescent="0.2">
      <c r="A32" s="37"/>
      <c r="B32" s="48"/>
      <c r="C32" s="49">
        <v>10.58</v>
      </c>
      <c r="D32" s="58"/>
      <c r="E32" s="39">
        <v>4165</v>
      </c>
      <c r="F32" s="40">
        <v>8.18</v>
      </c>
      <c r="G32" s="51"/>
      <c r="H32" s="44">
        <f t="shared" si="7"/>
        <v>7.3213599999999994</v>
      </c>
      <c r="I32" s="52">
        <f t="shared" si="6"/>
        <v>5.9399999999999995</v>
      </c>
      <c r="J32" s="44">
        <f t="shared" si="2"/>
        <v>-1.3813599999999999</v>
      </c>
      <c r="K32" s="44">
        <f t="shared" si="3"/>
        <v>32.574599999999997</v>
      </c>
      <c r="L32" s="44">
        <f t="shared" si="4"/>
        <v>12.920000000000002</v>
      </c>
      <c r="M32" s="53">
        <f t="shared" si="5"/>
        <v>-19.654599999999995</v>
      </c>
      <c r="N32" s="228"/>
      <c r="O32" s="229"/>
      <c r="P32" s="230"/>
      <c r="Q32" s="47">
        <v>44609.302777777775</v>
      </c>
      <c r="R32" s="44">
        <f t="shared" si="0"/>
        <v>-1.295025000018845</v>
      </c>
      <c r="S32" s="44">
        <f t="shared" si="1"/>
        <v>-1.4649391304453749</v>
      </c>
    </row>
    <row r="33" spans="1:19" ht="12" customHeight="1" x14ac:dyDescent="0.2">
      <c r="A33" s="37"/>
      <c r="B33" s="48"/>
      <c r="C33" s="49">
        <v>10.58</v>
      </c>
      <c r="D33" s="58"/>
      <c r="E33" s="39">
        <v>4181</v>
      </c>
      <c r="F33" s="40">
        <v>7.64</v>
      </c>
      <c r="G33" s="51"/>
      <c r="H33" s="44">
        <f t="shared" si="7"/>
        <v>0.16928000000000001</v>
      </c>
      <c r="I33" s="52">
        <f t="shared" si="6"/>
        <v>-0.54</v>
      </c>
      <c r="J33" s="44">
        <f t="shared" si="2"/>
        <v>-0.70928000000000002</v>
      </c>
      <c r="K33" s="44">
        <f t="shared" si="3"/>
        <v>32.743879999999997</v>
      </c>
      <c r="L33" s="44">
        <f t="shared" si="4"/>
        <v>12.380000000000003</v>
      </c>
      <c r="M33" s="53">
        <f t="shared" si="5"/>
        <v>-20.363879999999995</v>
      </c>
      <c r="N33" s="231"/>
      <c r="O33" s="229"/>
      <c r="P33" s="230"/>
      <c r="Q33" s="47">
        <v>44609.333333333336</v>
      </c>
      <c r="R33" s="44">
        <f t="shared" si="0"/>
        <v>-0.96719999984134075</v>
      </c>
      <c r="S33" s="44">
        <f t="shared" si="1"/>
        <v>-1.439143462895158</v>
      </c>
    </row>
    <row r="34" spans="1:19" ht="12" customHeight="1" x14ac:dyDescent="0.2">
      <c r="A34" s="37"/>
      <c r="B34" s="48"/>
      <c r="C34" s="49">
        <v>10.58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64"/>
      <c r="O34" s="162"/>
      <c r="P34" s="163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10.58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10.58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9"/>
      <c r="O76" s="160"/>
      <c r="P76" s="16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9"/>
      <c r="O77" s="160"/>
      <c r="P77" s="16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9"/>
      <c r="O78" s="160"/>
      <c r="P78" s="16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9"/>
      <c r="O79" s="160"/>
      <c r="P79" s="16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U112"/>
  <sheetViews>
    <sheetView zoomScaleNormal="100" workbookViewId="0">
      <selection activeCell="F24" sqref="F2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4155</v>
      </c>
      <c r="F6" s="40">
        <v>6.46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44608.401388888888</v>
      </c>
      <c r="R6" s="11"/>
      <c r="S6" s="11"/>
    </row>
    <row r="7" spans="1:20" ht="12" customHeight="1" x14ac:dyDescent="0.2">
      <c r="A7" s="37"/>
      <c r="B7" s="48" t="s">
        <v>146</v>
      </c>
      <c r="C7" s="49">
        <v>10.58</v>
      </c>
      <c r="D7" s="39"/>
      <c r="E7" s="39">
        <v>4155</v>
      </c>
      <c r="F7" s="40">
        <v>6.18</v>
      </c>
      <c r="G7" s="51"/>
      <c r="H7" s="44">
        <f>IF(E7="","",((E7-E6)*C7)/1000)</f>
        <v>0</v>
      </c>
      <c r="I7" s="52">
        <f>IF(F7="","",F7-F6-G7)</f>
        <v>-0.28000000000000025</v>
      </c>
      <c r="J7" s="44">
        <f>IF(F7="","",I7-H7)</f>
        <v>-0.28000000000000025</v>
      </c>
      <c r="K7" s="44">
        <f>IF(F7="","",K6+H7)</f>
        <v>0</v>
      </c>
      <c r="L7" s="44">
        <f>IF(F7="","",L6+I7)</f>
        <v>-0.28000000000000025</v>
      </c>
      <c r="M7" s="53">
        <f>IF(F7="","",L7-K7)</f>
        <v>-0.28000000000000025</v>
      </c>
      <c r="N7" s="231"/>
      <c r="O7" s="229"/>
      <c r="P7" s="230"/>
      <c r="Q7" s="47">
        <v>44608.407638888886</v>
      </c>
      <c r="R7" s="44">
        <f t="shared" ref="R7:R70" si="0">IF(Q7="","",J7/((Q7-Q6)*24))</f>
        <v>-1.8666666671012855</v>
      </c>
      <c r="S7" s="44">
        <f t="shared" ref="S7:S70" si="1">IF(Q7="","",M7/((Q7-$Q$6)*24))</f>
        <v>-1.8666666671012855</v>
      </c>
    </row>
    <row r="8" spans="1:20" ht="12" customHeight="1" x14ac:dyDescent="0.2">
      <c r="A8" s="37"/>
      <c r="B8" s="48"/>
      <c r="C8" s="49">
        <v>10.58</v>
      </c>
      <c r="D8" s="54"/>
      <c r="E8" s="39">
        <v>3820</v>
      </c>
      <c r="F8" s="40">
        <v>4.63</v>
      </c>
      <c r="G8" s="51">
        <v>5</v>
      </c>
      <c r="H8" s="44">
        <f>IF(E8="","",((E8-E7)*C8)/1000)</f>
        <v>-3.5443000000000002</v>
      </c>
      <c r="I8" s="52">
        <f>IF(F8="","",F8-F7-G8)</f>
        <v>-6.55</v>
      </c>
      <c r="J8" s="44">
        <f>IF(F8="","",I8-H8)</f>
        <v>-3.0056999999999996</v>
      </c>
      <c r="K8" s="44">
        <f>IF(F8="","",K7+H8)</f>
        <v>-3.5443000000000002</v>
      </c>
      <c r="L8" s="44">
        <f>IF(F8="","",L7+I8)</f>
        <v>-6.83</v>
      </c>
      <c r="M8" s="53">
        <f>IF(F8="","",L8-K8)</f>
        <v>-3.2856999999999998</v>
      </c>
      <c r="N8" s="231"/>
      <c r="O8" s="229"/>
      <c r="P8" s="230"/>
      <c r="Q8" s="47">
        <v>44608.443055555559</v>
      </c>
      <c r="R8" s="44">
        <f t="shared" si="0"/>
        <v>-3.5361176464292279</v>
      </c>
      <c r="S8" s="44">
        <f t="shared" si="1"/>
        <v>-3.2856999996174938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3470</v>
      </c>
      <c r="F9" s="40">
        <v>5.9</v>
      </c>
      <c r="G9" s="51">
        <v>6</v>
      </c>
      <c r="H9" s="44">
        <f>IF(E9="","",((E9-E8)*C9)/1000)</f>
        <v>-3.7029999999999998</v>
      </c>
      <c r="I9" s="52">
        <f>IF(F9="","",F9-F8-G9)</f>
        <v>-4.7299999999999995</v>
      </c>
      <c r="J9" s="44">
        <f>IF(F9="","",I9-H9)</f>
        <v>-1.0269999999999997</v>
      </c>
      <c r="K9" s="44">
        <f>IF(F9="","",K8+H9)</f>
        <v>-7.2473000000000001</v>
      </c>
      <c r="L9" s="44">
        <f>IF(F9="","",L8+I9)</f>
        <v>-11.559999999999999</v>
      </c>
      <c r="M9" s="53">
        <f>IF(F9="","",L9-K9)</f>
        <v>-4.3126999999999986</v>
      </c>
      <c r="N9" s="228"/>
      <c r="O9" s="229"/>
      <c r="P9" s="230"/>
      <c r="Q9" s="47">
        <v>44608.464583333334</v>
      </c>
      <c r="R9" s="44">
        <f t="shared" si="0"/>
        <v>-1.9877419357227386</v>
      </c>
      <c r="S9" s="44">
        <f t="shared" si="1"/>
        <v>-2.8435384614366046</v>
      </c>
    </row>
    <row r="10" spans="1:20" ht="12" customHeight="1" x14ac:dyDescent="0.2">
      <c r="A10" s="37"/>
      <c r="B10" s="48"/>
      <c r="C10" s="49">
        <v>10.58</v>
      </c>
      <c r="D10" s="54"/>
      <c r="E10" s="39">
        <v>3215</v>
      </c>
      <c r="F10" s="40">
        <v>7.5</v>
      </c>
      <c r="G10" s="51">
        <v>5.5</v>
      </c>
      <c r="H10" s="44">
        <f>IF(E10="","",((E10-E9)*C10)/1000)</f>
        <v>-2.6979000000000002</v>
      </c>
      <c r="I10" s="52">
        <f>IF(F10="","",F10-F9-G10)</f>
        <v>-3.9000000000000004</v>
      </c>
      <c r="J10" s="44">
        <f t="shared" ref="J10:J73" si="2">IF(F10="","",I10-H10)</f>
        <v>-1.2021000000000002</v>
      </c>
      <c r="K10" s="44">
        <f t="shared" ref="K10:K73" si="3">IF(F10="","",K9+H10)</f>
        <v>-9.9451999999999998</v>
      </c>
      <c r="L10" s="44">
        <f t="shared" ref="L10:L73" si="4">IF(F10="","",L9+I10)</f>
        <v>-15.459999999999999</v>
      </c>
      <c r="M10" s="53">
        <f t="shared" ref="M10:M73" si="5">IF(F10="","",L10-K10)</f>
        <v>-5.5147999999999993</v>
      </c>
      <c r="N10" s="249"/>
      <c r="O10" s="250"/>
      <c r="P10" s="251"/>
      <c r="Q10" s="47">
        <v>44608.481944444444</v>
      </c>
      <c r="R10" s="44">
        <f t="shared" si="0"/>
        <v>-2.8850400002686909</v>
      </c>
      <c r="S10" s="44">
        <f t="shared" si="1"/>
        <v>-2.8524827585977879</v>
      </c>
      <c r="T10" s="55"/>
    </row>
    <row r="11" spans="1:20" ht="12" customHeight="1" x14ac:dyDescent="0.2">
      <c r="A11" s="37"/>
      <c r="B11" s="48" t="s">
        <v>147</v>
      </c>
      <c r="C11" s="49">
        <v>4.37</v>
      </c>
      <c r="D11" s="54"/>
      <c r="E11" s="39">
        <v>2903</v>
      </c>
      <c r="F11" s="56">
        <v>5.29</v>
      </c>
      <c r="G11" s="51"/>
      <c r="H11" s="44">
        <f>IF(E11="","",((E11-E10)*C11)/1000)</f>
        <v>-1.36344</v>
      </c>
      <c r="I11" s="52">
        <f t="shared" ref="I11:I74" si="6">IF(F11="","",F11-F10-G11)</f>
        <v>-2.21</v>
      </c>
      <c r="J11" s="44">
        <f t="shared" si="2"/>
        <v>-0.84655999999999998</v>
      </c>
      <c r="K11" s="44">
        <f t="shared" si="3"/>
        <v>-11.30864</v>
      </c>
      <c r="L11" s="44">
        <f t="shared" si="4"/>
        <v>-17.669999999999998</v>
      </c>
      <c r="M11" s="53">
        <f t="shared" si="5"/>
        <v>-6.3613599999999977</v>
      </c>
      <c r="N11" s="228"/>
      <c r="O11" s="229"/>
      <c r="P11" s="230"/>
      <c r="Q11" s="47">
        <v>44608.49722222222</v>
      </c>
      <c r="R11" s="44">
        <f t="shared" si="0"/>
        <v>-2.3088000001710416</v>
      </c>
      <c r="S11" s="44">
        <f t="shared" si="1"/>
        <v>-2.765808695666172</v>
      </c>
    </row>
    <row r="12" spans="1:20" ht="12" customHeight="1" x14ac:dyDescent="0.2">
      <c r="A12" s="37"/>
      <c r="B12" s="48"/>
      <c r="C12" s="49">
        <v>10.58</v>
      </c>
      <c r="D12" s="54"/>
      <c r="E12" s="39">
        <v>2700</v>
      </c>
      <c r="F12" s="56">
        <v>2.8</v>
      </c>
      <c r="G12" s="51"/>
      <c r="H12" s="44">
        <f t="shared" ref="H12:H74" si="7">IF(E12="","",((E12-E11)*C12)/1000)</f>
        <v>-2.1477400000000002</v>
      </c>
      <c r="I12" s="52">
        <f t="shared" si="6"/>
        <v>-2.4900000000000002</v>
      </c>
      <c r="J12" s="44">
        <f t="shared" si="2"/>
        <v>-0.34226000000000001</v>
      </c>
      <c r="K12" s="44">
        <f t="shared" si="3"/>
        <v>-13.456380000000001</v>
      </c>
      <c r="L12" s="44">
        <f t="shared" si="4"/>
        <v>-20.159999999999997</v>
      </c>
      <c r="M12" s="53">
        <f t="shared" si="5"/>
        <v>-6.7036199999999955</v>
      </c>
      <c r="N12" s="228"/>
      <c r="O12" s="229"/>
      <c r="P12" s="230"/>
      <c r="Q12" s="47">
        <v>44608.509722222225</v>
      </c>
      <c r="R12" s="44">
        <f t="shared" si="0"/>
        <v>-1.1408666662682236</v>
      </c>
      <c r="S12" s="44">
        <f t="shared" si="1"/>
        <v>-2.5783153845230276</v>
      </c>
    </row>
    <row r="13" spans="1:20" ht="12" customHeight="1" x14ac:dyDescent="0.2">
      <c r="A13" s="37"/>
      <c r="B13" s="48"/>
      <c r="C13" s="49">
        <v>10.58</v>
      </c>
      <c r="D13" s="54"/>
      <c r="E13" s="39">
        <v>2360</v>
      </c>
      <c r="F13" s="56">
        <v>3.09</v>
      </c>
      <c r="G13" s="51">
        <v>5.4</v>
      </c>
      <c r="H13" s="44">
        <f>IF(E13="","",((E13-E12)*C13)/1000)</f>
        <v>-3.5972</v>
      </c>
      <c r="I13" s="52">
        <f t="shared" si="6"/>
        <v>-5.1100000000000003</v>
      </c>
      <c r="J13" s="44">
        <f t="shared" si="2"/>
        <v>-1.5128000000000004</v>
      </c>
      <c r="K13" s="44">
        <f t="shared" si="3"/>
        <v>-17.05358</v>
      </c>
      <c r="L13" s="44">
        <f t="shared" si="4"/>
        <v>-25.269999999999996</v>
      </c>
      <c r="M13" s="53">
        <f t="shared" si="5"/>
        <v>-8.2164199999999958</v>
      </c>
      <c r="N13" s="231"/>
      <c r="O13" s="229"/>
      <c r="P13" s="230"/>
      <c r="Q13" s="47">
        <v>44608.533333333333</v>
      </c>
      <c r="R13" s="44">
        <f t="shared" si="0"/>
        <v>-2.669647059170881</v>
      </c>
      <c r="S13" s="44">
        <f t="shared" si="1"/>
        <v>-2.5946589473525221</v>
      </c>
    </row>
    <row r="14" spans="1:20" ht="12" customHeight="1" x14ac:dyDescent="0.2">
      <c r="A14" s="37"/>
      <c r="B14" s="48"/>
      <c r="C14" s="49">
        <v>10.58</v>
      </c>
      <c r="D14" s="54"/>
      <c r="E14" s="39">
        <v>2360</v>
      </c>
      <c r="F14" s="56">
        <v>2.9</v>
      </c>
      <c r="G14" s="51"/>
      <c r="H14" s="44">
        <f t="shared" si="7"/>
        <v>0</v>
      </c>
      <c r="I14" s="52">
        <f t="shared" si="6"/>
        <v>-0.18999999999999995</v>
      </c>
      <c r="J14" s="44">
        <f t="shared" si="2"/>
        <v>-0.18999999999999995</v>
      </c>
      <c r="K14" s="44">
        <f t="shared" si="3"/>
        <v>-17.05358</v>
      </c>
      <c r="L14" s="44">
        <f t="shared" si="4"/>
        <v>-25.459999999999997</v>
      </c>
      <c r="M14" s="53">
        <f t="shared" si="5"/>
        <v>-8.4064199999999971</v>
      </c>
      <c r="N14" s="231"/>
      <c r="O14" s="229"/>
      <c r="P14" s="230"/>
      <c r="Q14" s="47">
        <v>44608.538888888892</v>
      </c>
      <c r="R14" s="44">
        <f t="shared" si="0"/>
        <v>-1.4249999990875946</v>
      </c>
      <c r="S14" s="44">
        <f t="shared" si="1"/>
        <v>-2.5473999999191199</v>
      </c>
    </row>
    <row r="15" spans="1:20" ht="12" customHeight="1" x14ac:dyDescent="0.2">
      <c r="A15" s="37"/>
      <c r="B15" s="48"/>
      <c r="C15" s="49">
        <v>10.58</v>
      </c>
      <c r="D15" s="54"/>
      <c r="E15" s="39">
        <v>2091</v>
      </c>
      <c r="F15" s="40">
        <v>5.26</v>
      </c>
      <c r="G15" s="51">
        <f>8.4-2.86</f>
        <v>5.5400000000000009</v>
      </c>
      <c r="H15" s="44">
        <f t="shared" si="7"/>
        <v>-2.8460199999999998</v>
      </c>
      <c r="I15" s="52">
        <f t="shared" si="6"/>
        <v>-3.180000000000001</v>
      </c>
      <c r="J15" s="44">
        <f t="shared" si="2"/>
        <v>-0.33398000000000128</v>
      </c>
      <c r="K15" s="44">
        <f t="shared" si="3"/>
        <v>-19.8996</v>
      </c>
      <c r="L15" s="44">
        <f t="shared" si="4"/>
        <v>-28.639999999999997</v>
      </c>
      <c r="M15" s="53">
        <f t="shared" si="5"/>
        <v>-8.7403999999999975</v>
      </c>
      <c r="N15" s="231"/>
      <c r="O15" s="229"/>
      <c r="P15" s="230"/>
      <c r="Q15" s="47">
        <v>44608.552777777775</v>
      </c>
      <c r="R15" s="44">
        <f t="shared" si="0"/>
        <v>-1.0019400004082479</v>
      </c>
      <c r="S15" s="44">
        <f t="shared" si="1"/>
        <v>-2.405614678919636</v>
      </c>
    </row>
    <row r="16" spans="1:20" ht="12" customHeight="1" x14ac:dyDescent="0.2">
      <c r="A16" s="37"/>
      <c r="B16" s="48"/>
      <c r="C16" s="49">
        <v>4.37</v>
      </c>
      <c r="D16" s="57"/>
      <c r="E16" s="39">
        <v>1589</v>
      </c>
      <c r="F16" s="40">
        <v>6.42</v>
      </c>
      <c r="G16" s="51">
        <v>4.5</v>
      </c>
      <c r="H16" s="44">
        <f t="shared" si="7"/>
        <v>-2.19374</v>
      </c>
      <c r="I16" s="52">
        <f t="shared" si="6"/>
        <v>-3.34</v>
      </c>
      <c r="J16" s="44">
        <f t="shared" si="2"/>
        <v>-1.1462599999999998</v>
      </c>
      <c r="K16" s="44">
        <f t="shared" si="3"/>
        <v>-22.093339999999998</v>
      </c>
      <c r="L16" s="44">
        <f t="shared" si="4"/>
        <v>-31.979999999999997</v>
      </c>
      <c r="M16" s="53">
        <f t="shared" si="5"/>
        <v>-9.8866599999999991</v>
      </c>
      <c r="N16" s="228"/>
      <c r="O16" s="229"/>
      <c r="P16" s="230"/>
      <c r="Q16" s="47">
        <v>44608.583333333336</v>
      </c>
      <c r="R16" s="44">
        <f t="shared" si="0"/>
        <v>-1.5630818179254105</v>
      </c>
      <c r="S16" s="44">
        <f t="shared" si="1"/>
        <v>-2.2641206106407457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1120</v>
      </c>
      <c r="F17" s="40">
        <v>6.64</v>
      </c>
      <c r="G17" s="51">
        <v>5.8</v>
      </c>
      <c r="H17" s="44">
        <f t="shared" si="7"/>
        <v>-4.9620200000000008</v>
      </c>
      <c r="I17" s="52">
        <f t="shared" si="6"/>
        <v>-5.58</v>
      </c>
      <c r="J17" s="44">
        <f t="shared" si="2"/>
        <v>-0.61797999999999931</v>
      </c>
      <c r="K17" s="44">
        <f t="shared" si="3"/>
        <v>-27.05536</v>
      </c>
      <c r="L17" s="44">
        <f t="shared" si="4"/>
        <v>-37.559999999999995</v>
      </c>
      <c r="M17" s="53">
        <f t="shared" si="5"/>
        <v>-10.504639999999995</v>
      </c>
      <c r="N17" s="231"/>
      <c r="O17" s="229"/>
      <c r="P17" s="230"/>
      <c r="Q17" s="47">
        <v>44608.605555555558</v>
      </c>
      <c r="R17" s="44">
        <f t="shared" si="0"/>
        <v>-1.1587125000168601</v>
      </c>
      <c r="S17" s="44">
        <f t="shared" si="1"/>
        <v>-2.1438040815969988</v>
      </c>
    </row>
    <row r="18" spans="1:19" ht="12" customHeight="1" x14ac:dyDescent="0.2">
      <c r="A18" s="37"/>
      <c r="B18" s="48"/>
      <c r="C18" s="49">
        <v>10.58</v>
      </c>
      <c r="D18" s="54"/>
      <c r="E18" s="39">
        <v>490</v>
      </c>
      <c r="F18" s="40">
        <v>4.74</v>
      </c>
      <c r="G18" s="40">
        <f>-2.59+7.25</f>
        <v>4.66</v>
      </c>
      <c r="H18" s="44">
        <f t="shared" si="7"/>
        <v>-6.6654</v>
      </c>
      <c r="I18" s="52">
        <f t="shared" si="6"/>
        <v>-6.56</v>
      </c>
      <c r="J18" s="44">
        <f t="shared" si="2"/>
        <v>0.10540000000000038</v>
      </c>
      <c r="K18" s="44">
        <f t="shared" si="3"/>
        <v>-33.720759999999999</v>
      </c>
      <c r="L18" s="44">
        <f t="shared" si="4"/>
        <v>-44.12</v>
      </c>
      <c r="M18" s="53">
        <f t="shared" si="5"/>
        <v>-10.399239999999999</v>
      </c>
      <c r="N18" s="228"/>
      <c r="O18" s="229"/>
      <c r="P18" s="230"/>
      <c r="Q18" s="47">
        <v>44608.635416666664</v>
      </c>
      <c r="R18" s="44">
        <f t="shared" si="0"/>
        <v>0.14706976746415834</v>
      </c>
      <c r="S18" s="44">
        <f t="shared" si="1"/>
        <v>-1.8514967359139987</v>
      </c>
    </row>
    <row r="19" spans="1:19" ht="12" customHeight="1" x14ac:dyDescent="0.2">
      <c r="A19" s="37"/>
      <c r="B19" s="48"/>
      <c r="C19" s="49">
        <v>4.37</v>
      </c>
      <c r="D19" s="54"/>
      <c r="E19" s="39">
        <v>434</v>
      </c>
      <c r="F19" s="40">
        <v>4.34</v>
      </c>
      <c r="G19" s="40"/>
      <c r="H19" s="44">
        <f t="shared" si="7"/>
        <v>-0.24471999999999999</v>
      </c>
      <c r="I19" s="52">
        <f t="shared" si="6"/>
        <v>-0.40000000000000036</v>
      </c>
      <c r="J19" s="44">
        <f t="shared" si="2"/>
        <v>-0.15528000000000036</v>
      </c>
      <c r="K19" s="44">
        <f t="shared" si="3"/>
        <v>-33.965479999999999</v>
      </c>
      <c r="L19" s="44">
        <f t="shared" si="4"/>
        <v>-44.519999999999996</v>
      </c>
      <c r="M19" s="53">
        <f t="shared" si="5"/>
        <v>-10.554519999999997</v>
      </c>
      <c r="N19" s="228"/>
      <c r="O19" s="229"/>
      <c r="P19" s="230"/>
      <c r="Q19" s="47">
        <v>44608.638194444444</v>
      </c>
      <c r="R19" s="44">
        <f t="shared" si="0"/>
        <v>-2.3291999985086553</v>
      </c>
      <c r="S19" s="44">
        <f t="shared" si="1"/>
        <v>-1.8571002932500593</v>
      </c>
    </row>
    <row r="20" spans="1:19" ht="12" customHeight="1" x14ac:dyDescent="0.2">
      <c r="A20" s="37"/>
      <c r="B20" s="48"/>
      <c r="C20" s="49">
        <v>4.37</v>
      </c>
      <c r="D20" s="54"/>
      <c r="E20" s="39">
        <v>434</v>
      </c>
      <c r="F20" s="40">
        <v>4.08</v>
      </c>
      <c r="G20" s="40"/>
      <c r="H20" s="44">
        <f t="shared" si="7"/>
        <v>0</v>
      </c>
      <c r="I20" s="52">
        <f t="shared" si="6"/>
        <v>-0.25999999999999979</v>
      </c>
      <c r="J20" s="44">
        <f t="shared" si="2"/>
        <v>-0.25999999999999979</v>
      </c>
      <c r="K20" s="44">
        <f t="shared" si="3"/>
        <v>-33.965479999999999</v>
      </c>
      <c r="L20" s="44">
        <f t="shared" si="4"/>
        <v>-44.779999999999994</v>
      </c>
      <c r="M20" s="53">
        <f t="shared" si="5"/>
        <v>-10.814519999999995</v>
      </c>
      <c r="N20" s="242" t="s">
        <v>96</v>
      </c>
      <c r="O20" s="229"/>
      <c r="P20" s="230"/>
      <c r="Q20" s="47">
        <v>44608.645138888889</v>
      </c>
      <c r="R20" s="44">
        <f t="shared" si="0"/>
        <v>-1.5599999998183909</v>
      </c>
      <c r="S20" s="44">
        <f t="shared" si="1"/>
        <v>-1.8486358974248602</v>
      </c>
    </row>
    <row r="21" spans="1:19" ht="12" customHeight="1" x14ac:dyDescent="0.2">
      <c r="A21" s="37"/>
      <c r="B21" s="48"/>
      <c r="C21" s="49">
        <v>4.37</v>
      </c>
      <c r="D21" s="54"/>
      <c r="E21" s="39">
        <v>14</v>
      </c>
      <c r="F21" s="40">
        <v>5.85</v>
      </c>
      <c r="G21" s="51">
        <f>-2.66+8.05</f>
        <v>5.3900000000000006</v>
      </c>
      <c r="H21" s="44">
        <f t="shared" si="7"/>
        <v>-1.8354000000000001</v>
      </c>
      <c r="I21" s="52">
        <f t="shared" si="6"/>
        <v>-3.620000000000001</v>
      </c>
      <c r="J21" s="44">
        <f t="shared" si="2"/>
        <v>-1.7846000000000009</v>
      </c>
      <c r="K21" s="44">
        <f t="shared" si="3"/>
        <v>-35.800879999999999</v>
      </c>
      <c r="L21" s="44">
        <f t="shared" si="4"/>
        <v>-48.399999999999991</v>
      </c>
      <c r="M21" s="53">
        <f t="shared" si="5"/>
        <v>-12.599119999999992</v>
      </c>
      <c r="N21" s="228"/>
      <c r="O21" s="229"/>
      <c r="P21" s="230"/>
      <c r="Q21" s="47">
        <v>44608.677083333336</v>
      </c>
      <c r="R21" s="44">
        <f t="shared" si="0"/>
        <v>-2.3277391302698365</v>
      </c>
      <c r="S21" s="44">
        <f t="shared" si="1"/>
        <v>-1.9041491183622232</v>
      </c>
    </row>
    <row r="22" spans="1:19" ht="12" customHeight="1" x14ac:dyDescent="0.2">
      <c r="A22" s="37"/>
      <c r="B22" s="48"/>
      <c r="C22" s="49">
        <v>4.37</v>
      </c>
      <c r="D22" s="54"/>
      <c r="E22" s="39">
        <v>0</v>
      </c>
      <c r="F22" s="40">
        <v>4.92</v>
      </c>
      <c r="G22" s="51"/>
      <c r="H22" s="44">
        <f t="shared" si="7"/>
        <v>-6.1179999999999998E-2</v>
      </c>
      <c r="I22" s="52">
        <f t="shared" si="6"/>
        <v>-0.92999999999999972</v>
      </c>
      <c r="J22" s="44">
        <f t="shared" si="2"/>
        <v>-0.8688199999999997</v>
      </c>
      <c r="K22" s="44">
        <f t="shared" si="3"/>
        <v>-35.86206</v>
      </c>
      <c r="L22" s="44">
        <f t="shared" si="4"/>
        <v>-49.329999999999991</v>
      </c>
      <c r="M22" s="53">
        <f t="shared" si="5"/>
        <v>-13.467939999999992</v>
      </c>
      <c r="N22" s="228"/>
      <c r="O22" s="229"/>
      <c r="P22" s="230"/>
      <c r="Q22" s="47">
        <v>44608.70208333333</v>
      </c>
      <c r="R22" s="44">
        <f t="shared" si="0"/>
        <v>-1.4480333336704794</v>
      </c>
      <c r="S22" s="44">
        <f t="shared" si="1"/>
        <v>-1.8662272517451459</v>
      </c>
    </row>
    <row r="23" spans="1:19" ht="12" customHeight="1" x14ac:dyDescent="0.2">
      <c r="A23" s="37"/>
      <c r="B23" s="48"/>
      <c r="C23" s="49">
        <v>4.37</v>
      </c>
      <c r="D23" s="54"/>
      <c r="E23" s="39">
        <v>0</v>
      </c>
      <c r="F23" s="40">
        <v>3.34</v>
      </c>
      <c r="G23" s="51"/>
      <c r="H23" s="44">
        <f t="shared" si="7"/>
        <v>0</v>
      </c>
      <c r="I23" s="52">
        <f t="shared" si="6"/>
        <v>-1.58</v>
      </c>
      <c r="J23" s="44">
        <f t="shared" si="2"/>
        <v>-1.58</v>
      </c>
      <c r="K23" s="44">
        <f t="shared" si="3"/>
        <v>-35.86206</v>
      </c>
      <c r="L23" s="44">
        <f t="shared" si="4"/>
        <v>-50.909999999999989</v>
      </c>
      <c r="M23" s="53">
        <f t="shared" si="5"/>
        <v>-15.04793999999999</v>
      </c>
      <c r="N23" s="228"/>
      <c r="O23" s="229"/>
      <c r="P23" s="230"/>
      <c r="Q23" s="47">
        <v>44608.743750000001</v>
      </c>
      <c r="R23" s="44">
        <f t="shared" si="0"/>
        <v>-1.5799999998160639</v>
      </c>
      <c r="S23" s="44">
        <f t="shared" si="1"/>
        <v>-1.8313922920745447</v>
      </c>
    </row>
    <row r="24" spans="1:19" ht="12" customHeight="1" x14ac:dyDescent="0.2">
      <c r="A24" s="37"/>
      <c r="B24" s="48"/>
      <c r="C24" s="49">
        <v>4.37</v>
      </c>
      <c r="D24" s="54"/>
      <c r="E24" s="39">
        <v>0</v>
      </c>
      <c r="F24" s="40"/>
      <c r="G24" s="51"/>
      <c r="H24" s="44">
        <f t="shared" si="7"/>
        <v>0</v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64"/>
      <c r="O34" s="162"/>
      <c r="P34" s="163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9"/>
      <c r="O76" s="160"/>
      <c r="P76" s="16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9"/>
      <c r="O77" s="160"/>
      <c r="P77" s="16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9"/>
      <c r="O78" s="160"/>
      <c r="P78" s="16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9"/>
      <c r="O79" s="160"/>
      <c r="P79" s="16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U112"/>
  <sheetViews>
    <sheetView topLeftCell="A13" zoomScaleNormal="100" workbookViewId="0">
      <selection activeCell="F30" sqref="F30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1</v>
      </c>
      <c r="F6" s="40">
        <v>7.3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44607.354166666664</v>
      </c>
      <c r="R6" s="11"/>
      <c r="S6" s="11"/>
    </row>
    <row r="7" spans="1:20" ht="12" customHeight="1" x14ac:dyDescent="0.2">
      <c r="A7" s="37"/>
      <c r="B7" s="48" t="s">
        <v>43</v>
      </c>
      <c r="C7" s="49">
        <v>5.05</v>
      </c>
      <c r="D7" s="39"/>
      <c r="E7" s="39">
        <v>212</v>
      </c>
      <c r="F7" s="40">
        <v>4.8899999999999997</v>
      </c>
      <c r="G7" s="51"/>
      <c r="H7" s="44">
        <f>IF(E7="","",((E7-E6)*C7)/1000)</f>
        <v>1.06555</v>
      </c>
      <c r="I7" s="52">
        <f>IF(F7="","",F7-F6-G7)</f>
        <v>-2.41</v>
      </c>
      <c r="J7" s="44">
        <f>IF(F7="","",I7-H7)</f>
        <v>-3.4755500000000001</v>
      </c>
      <c r="K7" s="44">
        <f>IF(F7="","",K6+H7)</f>
        <v>1.06555</v>
      </c>
      <c r="L7" s="44">
        <f>IF(F7="","",L6+I7)</f>
        <v>-2.41</v>
      </c>
      <c r="M7" s="53">
        <f>IF(F7="","",L7-K7)</f>
        <v>-3.4755500000000001</v>
      </c>
      <c r="N7" s="231"/>
      <c r="O7" s="229"/>
      <c r="P7" s="230"/>
      <c r="Q7" s="47">
        <v>44607.4375</v>
      </c>
      <c r="R7" s="44">
        <f t="shared" ref="R7:R70" si="0">IF(Q7="","",J7/((Q7-Q6)*24))</f>
        <v>-1.7377749999494241</v>
      </c>
      <c r="S7" s="44">
        <f t="shared" ref="S7:S70" si="1">IF(Q7="","",M7/((Q7-$Q$6)*24))</f>
        <v>-1.7377749999494241</v>
      </c>
    </row>
    <row r="8" spans="1:20" ht="12" customHeight="1" x14ac:dyDescent="0.2">
      <c r="A8" s="37"/>
      <c r="B8" s="48"/>
      <c r="C8" s="49">
        <v>5.05</v>
      </c>
      <c r="D8" s="54"/>
      <c r="E8" s="39">
        <v>827</v>
      </c>
      <c r="F8" s="40">
        <v>3.17</v>
      </c>
      <c r="G8" s="51"/>
      <c r="H8" s="44">
        <f>IF(E8="","",((E8-E7)*C8)/1000)</f>
        <v>3.10575</v>
      </c>
      <c r="I8" s="52">
        <f>IF(F8="","",F8-F7-G8)</f>
        <v>-1.7199999999999998</v>
      </c>
      <c r="J8" s="44">
        <f>IF(F8="","",I8-H8)</f>
        <v>-4.8257499999999993</v>
      </c>
      <c r="K8" s="44">
        <f>IF(F8="","",K7+H8)</f>
        <v>4.1713000000000005</v>
      </c>
      <c r="L8" s="44">
        <f>IF(F8="","",L7+I8)</f>
        <v>-4.13</v>
      </c>
      <c r="M8" s="53">
        <f>IF(F8="","",L8-K8)</f>
        <v>-8.3013000000000012</v>
      </c>
      <c r="N8" s="231"/>
      <c r="O8" s="229"/>
      <c r="P8" s="230"/>
      <c r="Q8" s="47">
        <v>44607.555555555555</v>
      </c>
      <c r="R8" s="44">
        <f t="shared" si="0"/>
        <v>-1.7032058823646044</v>
      </c>
      <c r="S8" s="44">
        <f t="shared" si="1"/>
        <v>-1.7175103448137972</v>
      </c>
      <c r="T8" s="55"/>
    </row>
    <row r="9" spans="1:20" ht="12" customHeight="1" x14ac:dyDescent="0.2">
      <c r="A9" s="37"/>
      <c r="B9" s="48"/>
      <c r="C9" s="49">
        <v>5.05</v>
      </c>
      <c r="D9" s="54"/>
      <c r="E9" s="39">
        <v>1697</v>
      </c>
      <c r="F9" s="40">
        <v>7.93</v>
      </c>
      <c r="G9" s="51">
        <v>5.5</v>
      </c>
      <c r="H9" s="44">
        <f>IF(E9="","",((E9-E8)*C9)/1000)</f>
        <v>4.3935000000000004</v>
      </c>
      <c r="I9" s="52">
        <f>IF(F9="","",F9-F8-G9)</f>
        <v>-0.74000000000000021</v>
      </c>
      <c r="J9" s="44">
        <f>IF(F9="","",I9-H9)</f>
        <v>-5.1335000000000006</v>
      </c>
      <c r="K9" s="44">
        <f>IF(F9="","",K8+H9)</f>
        <v>8.5648000000000017</v>
      </c>
      <c r="L9" s="44">
        <f>IF(F9="","",L8+I9)</f>
        <v>-4.87</v>
      </c>
      <c r="M9" s="53">
        <f>IF(F9="","",L9-K9)</f>
        <v>-13.434800000000003</v>
      </c>
      <c r="N9" s="228"/>
      <c r="O9" s="229"/>
      <c r="P9" s="230"/>
      <c r="Q9" s="47">
        <v>44607.711805555555</v>
      </c>
      <c r="R9" s="44">
        <f t="shared" si="0"/>
        <v>-1.3689333333333336</v>
      </c>
      <c r="S9" s="44">
        <f t="shared" si="1"/>
        <v>-1.5652194174686522</v>
      </c>
    </row>
    <row r="10" spans="1:20" ht="12" customHeight="1" x14ac:dyDescent="0.2">
      <c r="A10" s="37"/>
      <c r="B10" s="48"/>
      <c r="C10" s="49">
        <v>5.05</v>
      </c>
      <c r="D10" s="54">
        <v>182</v>
      </c>
      <c r="E10" s="39">
        <v>2145</v>
      </c>
      <c r="F10" s="40">
        <v>6.82</v>
      </c>
      <c r="G10" s="51"/>
      <c r="H10" s="44">
        <f>IF(E10="","",((E10-E9)*C10)/1000)</f>
        <v>2.2624</v>
      </c>
      <c r="I10" s="52">
        <f>IF(F10="","",F10-F9-G10)</f>
        <v>-1.1099999999999994</v>
      </c>
      <c r="J10" s="44">
        <f t="shared" ref="J10:J73" si="2">IF(F10="","",I10-H10)</f>
        <v>-3.3723999999999994</v>
      </c>
      <c r="K10" s="44">
        <f t="shared" ref="K10:K73" si="3">IF(F10="","",K9+H10)</f>
        <v>10.827200000000001</v>
      </c>
      <c r="L10" s="44">
        <f t="shared" ref="L10:L73" si="4">IF(F10="","",L9+I10)</f>
        <v>-5.9799999999999995</v>
      </c>
      <c r="M10" s="53">
        <f t="shared" ref="M10:M73" si="5">IF(F10="","",L10-K10)</f>
        <v>-16.807200000000002</v>
      </c>
      <c r="N10" s="249"/>
      <c r="O10" s="250"/>
      <c r="P10" s="251"/>
      <c r="Q10" s="47">
        <v>44607.795138888891</v>
      </c>
      <c r="R10" s="44">
        <f t="shared" si="0"/>
        <v>-1.6861999999509247</v>
      </c>
      <c r="S10" s="44">
        <f t="shared" si="1"/>
        <v>-1.5880818897492224</v>
      </c>
      <c r="T10" s="55"/>
    </row>
    <row r="11" spans="1:20" ht="12" customHeight="1" x14ac:dyDescent="0.2">
      <c r="A11" s="37"/>
      <c r="B11" s="48"/>
      <c r="C11" s="49">
        <v>5.05</v>
      </c>
      <c r="D11" s="54">
        <v>224</v>
      </c>
      <c r="E11" s="39">
        <v>2641</v>
      </c>
      <c r="F11" s="56">
        <v>5.76</v>
      </c>
      <c r="G11" s="51"/>
      <c r="H11" s="44">
        <f>IF(E11="","",((E11-E10)*C11)/1000)</f>
        <v>2.5047999999999999</v>
      </c>
      <c r="I11" s="52">
        <f t="shared" ref="I11:I74" si="6">IF(F11="","",F11-F10-G11)</f>
        <v>-1.0600000000000005</v>
      </c>
      <c r="J11" s="44">
        <f t="shared" si="2"/>
        <v>-3.5648000000000004</v>
      </c>
      <c r="K11" s="44">
        <f t="shared" si="3"/>
        <v>13.332000000000001</v>
      </c>
      <c r="L11" s="44">
        <f t="shared" si="4"/>
        <v>-7.04</v>
      </c>
      <c r="M11" s="53">
        <f t="shared" si="5"/>
        <v>-20.372</v>
      </c>
      <c r="N11" s="228"/>
      <c r="O11" s="229"/>
      <c r="P11" s="230"/>
      <c r="Q11" s="47">
        <v>44607.882638888892</v>
      </c>
      <c r="R11" s="44">
        <f t="shared" si="0"/>
        <v>-1.6975238094955787</v>
      </c>
      <c r="S11" s="44">
        <f t="shared" si="1"/>
        <v>-1.6062023652920958</v>
      </c>
    </row>
    <row r="12" spans="1:20" ht="12" customHeight="1" x14ac:dyDescent="0.2">
      <c r="A12" s="37"/>
      <c r="B12" s="48"/>
      <c r="C12" s="49">
        <v>5.05</v>
      </c>
      <c r="D12" s="54">
        <v>266</v>
      </c>
      <c r="E12" s="39">
        <v>3135</v>
      </c>
      <c r="F12" s="56">
        <v>4.97</v>
      </c>
      <c r="G12" s="51"/>
      <c r="H12" s="44">
        <f t="shared" ref="H12:H74" si="7">IF(E12="","",((E12-E11)*C12)/1000)</f>
        <v>2.4946999999999999</v>
      </c>
      <c r="I12" s="52">
        <f t="shared" si="6"/>
        <v>-0.79</v>
      </c>
      <c r="J12" s="44">
        <f t="shared" si="2"/>
        <v>-3.2847</v>
      </c>
      <c r="K12" s="44">
        <f t="shared" si="3"/>
        <v>15.826700000000001</v>
      </c>
      <c r="L12" s="44">
        <f t="shared" si="4"/>
        <v>-7.83</v>
      </c>
      <c r="M12" s="53">
        <f t="shared" si="5"/>
        <v>-23.656700000000001</v>
      </c>
      <c r="N12" s="228"/>
      <c r="O12" s="229"/>
      <c r="P12" s="230"/>
      <c r="Q12" s="47">
        <v>44607.961805555555</v>
      </c>
      <c r="R12" s="44">
        <f t="shared" si="0"/>
        <v>-1.7287894737689506</v>
      </c>
      <c r="S12" s="44">
        <f t="shared" si="1"/>
        <v>-1.6221737142813979</v>
      </c>
    </row>
    <row r="13" spans="1:20" ht="12" customHeight="1" x14ac:dyDescent="0.2">
      <c r="A13" s="37"/>
      <c r="B13" s="48"/>
      <c r="C13" s="49">
        <v>5.05</v>
      </c>
      <c r="D13" s="54">
        <v>273</v>
      </c>
      <c r="E13" s="39">
        <v>3218</v>
      </c>
      <c r="F13" s="56">
        <v>4.79</v>
      </c>
      <c r="G13" s="51"/>
      <c r="H13" s="44">
        <f>IF(E13="","",((E13-E12)*C13)/1000)</f>
        <v>0.41914999999999997</v>
      </c>
      <c r="I13" s="52">
        <f t="shared" si="6"/>
        <v>-0.17999999999999972</v>
      </c>
      <c r="J13" s="44">
        <f t="shared" si="2"/>
        <v>-0.59914999999999963</v>
      </c>
      <c r="K13" s="44">
        <f t="shared" si="3"/>
        <v>16.245850000000001</v>
      </c>
      <c r="L13" s="44">
        <f t="shared" si="4"/>
        <v>-8.01</v>
      </c>
      <c r="M13" s="53">
        <f t="shared" si="5"/>
        <v>-24.255850000000002</v>
      </c>
      <c r="N13" s="231"/>
      <c r="O13" s="229"/>
      <c r="P13" s="230"/>
      <c r="Q13" s="47">
        <v>44607.975694444445</v>
      </c>
      <c r="R13" s="44">
        <f t="shared" si="0"/>
        <v>-1.7974499997907483</v>
      </c>
      <c r="S13" s="44">
        <f t="shared" si="1"/>
        <v>-1.6260905027848358</v>
      </c>
    </row>
    <row r="14" spans="1:20" ht="12" customHeight="1" x14ac:dyDescent="0.2">
      <c r="A14" s="37"/>
      <c r="B14" s="48"/>
      <c r="C14" s="49">
        <v>5.05</v>
      </c>
      <c r="D14" s="54">
        <v>276</v>
      </c>
      <c r="E14" s="39">
        <v>3234</v>
      </c>
      <c r="F14" s="56">
        <v>5.63</v>
      </c>
      <c r="G14" s="51">
        <f>-4.38+8.87</f>
        <v>4.4899999999999993</v>
      </c>
      <c r="H14" s="44">
        <f t="shared" si="7"/>
        <v>8.0799999999999997E-2</v>
      </c>
      <c r="I14" s="52">
        <f t="shared" si="6"/>
        <v>-3.6499999999999995</v>
      </c>
      <c r="J14" s="44">
        <f t="shared" si="2"/>
        <v>-3.7307999999999995</v>
      </c>
      <c r="K14" s="44">
        <f t="shared" si="3"/>
        <v>16.326650000000001</v>
      </c>
      <c r="L14" s="44">
        <f t="shared" si="4"/>
        <v>-11.66</v>
      </c>
      <c r="M14" s="53">
        <f t="shared" si="5"/>
        <v>-27.986650000000001</v>
      </c>
      <c r="N14" s="231"/>
      <c r="O14" s="229"/>
      <c r="P14" s="230"/>
      <c r="Q14" s="47">
        <v>44608.083333333336</v>
      </c>
      <c r="R14" s="44">
        <f t="shared" si="0"/>
        <v>-1.4441806451395967</v>
      </c>
      <c r="S14" s="44">
        <f t="shared" si="1"/>
        <v>-1.5992371428465042</v>
      </c>
    </row>
    <row r="15" spans="1:20" ht="12" customHeight="1" x14ac:dyDescent="0.2">
      <c r="A15" s="37"/>
      <c r="B15" s="48" t="s">
        <v>38</v>
      </c>
      <c r="C15" s="49">
        <v>4.37</v>
      </c>
      <c r="D15" s="54">
        <v>294</v>
      </c>
      <c r="E15" s="39">
        <v>3710</v>
      </c>
      <c r="F15" s="40">
        <v>4.58</v>
      </c>
      <c r="G15" s="51"/>
      <c r="H15" s="44">
        <f t="shared" si="7"/>
        <v>2.08012</v>
      </c>
      <c r="I15" s="52">
        <f t="shared" si="6"/>
        <v>-1.0499999999999998</v>
      </c>
      <c r="J15" s="44">
        <f t="shared" si="2"/>
        <v>-3.1301199999999998</v>
      </c>
      <c r="K15" s="44">
        <f t="shared" si="3"/>
        <v>18.406770000000002</v>
      </c>
      <c r="L15" s="44">
        <f t="shared" si="4"/>
        <v>-12.71</v>
      </c>
      <c r="M15" s="53">
        <f t="shared" si="5"/>
        <v>-31.116770000000002</v>
      </c>
      <c r="N15" s="231"/>
      <c r="O15" s="229"/>
      <c r="P15" s="230"/>
      <c r="Q15" s="47">
        <v>44608.127083333333</v>
      </c>
      <c r="R15" s="44">
        <f t="shared" si="0"/>
        <v>-2.9810666668649759</v>
      </c>
      <c r="S15" s="44">
        <f t="shared" si="1"/>
        <v>-1.6774539083515843</v>
      </c>
    </row>
    <row r="16" spans="1:20" ht="12" customHeight="1" x14ac:dyDescent="0.2">
      <c r="A16" s="37"/>
      <c r="B16" s="48" t="s">
        <v>29</v>
      </c>
      <c r="C16" s="49">
        <v>10.58</v>
      </c>
      <c r="D16" s="57">
        <v>309</v>
      </c>
      <c r="E16" s="39">
        <v>4103</v>
      </c>
      <c r="F16" s="40">
        <v>6.78</v>
      </c>
      <c r="G16" s="51"/>
      <c r="H16" s="44">
        <f t="shared" si="7"/>
        <v>4.15794</v>
      </c>
      <c r="I16" s="52">
        <f t="shared" si="6"/>
        <v>2.2000000000000002</v>
      </c>
      <c r="J16" s="44">
        <f t="shared" si="2"/>
        <v>-1.9579399999999998</v>
      </c>
      <c r="K16" s="44">
        <f t="shared" si="3"/>
        <v>22.564710000000002</v>
      </c>
      <c r="L16" s="44">
        <f t="shared" si="4"/>
        <v>-10.510000000000002</v>
      </c>
      <c r="M16" s="53">
        <f t="shared" si="5"/>
        <v>-33.074710000000003</v>
      </c>
      <c r="N16" s="228"/>
      <c r="O16" s="229"/>
      <c r="P16" s="230"/>
      <c r="Q16" s="47">
        <v>44608.151388888888</v>
      </c>
      <c r="R16" s="44">
        <f t="shared" si="0"/>
        <v>-3.3564685715402125</v>
      </c>
      <c r="S16" s="44">
        <f t="shared" si="1"/>
        <v>-1.7286433797884868</v>
      </c>
      <c r="T16" s="55"/>
    </row>
    <row r="17" spans="1:19" ht="12" customHeight="1" x14ac:dyDescent="0.2">
      <c r="A17" s="37"/>
      <c r="B17" s="48" t="s">
        <v>38</v>
      </c>
      <c r="C17" s="49">
        <v>4.37</v>
      </c>
      <c r="D17" s="54">
        <v>320</v>
      </c>
      <c r="E17" s="39">
        <v>4402</v>
      </c>
      <c r="F17" s="40">
        <v>6.96</v>
      </c>
      <c r="G17" s="51"/>
      <c r="H17" s="44">
        <f t="shared" si="7"/>
        <v>1.3066300000000002</v>
      </c>
      <c r="I17" s="52">
        <f t="shared" si="6"/>
        <v>0.17999999999999972</v>
      </c>
      <c r="J17" s="44">
        <f t="shared" si="2"/>
        <v>-1.1266300000000005</v>
      </c>
      <c r="K17" s="44">
        <f t="shared" si="3"/>
        <v>23.871340000000004</v>
      </c>
      <c r="L17" s="44">
        <f t="shared" si="4"/>
        <v>-10.330000000000002</v>
      </c>
      <c r="M17" s="53">
        <f t="shared" si="5"/>
        <v>-34.201340000000002</v>
      </c>
      <c r="N17" s="231"/>
      <c r="O17" s="229"/>
      <c r="P17" s="230"/>
      <c r="Q17" s="47">
        <v>44608.166666666664</v>
      </c>
      <c r="R17" s="44">
        <f t="shared" si="0"/>
        <v>-3.072627272954902</v>
      </c>
      <c r="S17" s="44">
        <f t="shared" si="1"/>
        <v>-1.7539148717948718</v>
      </c>
    </row>
    <row r="18" spans="1:19" ht="12" customHeight="1" x14ac:dyDescent="0.2">
      <c r="A18" s="37"/>
      <c r="B18" s="48" t="s">
        <v>29</v>
      </c>
      <c r="C18" s="49">
        <v>10.58</v>
      </c>
      <c r="D18" s="54">
        <v>335</v>
      </c>
      <c r="E18" s="39">
        <v>4795</v>
      </c>
      <c r="F18" s="40">
        <v>8.6300000000000008</v>
      </c>
      <c r="G18" s="40"/>
      <c r="H18" s="44">
        <f t="shared" si="7"/>
        <v>4.15794</v>
      </c>
      <c r="I18" s="52">
        <f t="shared" si="6"/>
        <v>1.6700000000000008</v>
      </c>
      <c r="J18" s="44">
        <f t="shared" si="2"/>
        <v>-2.4879399999999992</v>
      </c>
      <c r="K18" s="44">
        <f t="shared" si="3"/>
        <v>28.029280000000004</v>
      </c>
      <c r="L18" s="44">
        <f t="shared" si="4"/>
        <v>-8.66</v>
      </c>
      <c r="M18" s="53">
        <f t="shared" si="5"/>
        <v>-36.689280000000004</v>
      </c>
      <c r="N18" s="228"/>
      <c r="O18" s="229"/>
      <c r="P18" s="230"/>
      <c r="Q18" s="47">
        <v>44608.190972222219</v>
      </c>
      <c r="R18" s="44">
        <f t="shared" si="0"/>
        <v>-4.2650400001418607</v>
      </c>
      <c r="S18" s="44">
        <f t="shared" si="1"/>
        <v>-1.8268521161843376</v>
      </c>
    </row>
    <row r="19" spans="1:19" ht="12" customHeight="1" x14ac:dyDescent="0.2">
      <c r="A19" s="37"/>
      <c r="B19" s="48" t="s">
        <v>38</v>
      </c>
      <c r="C19" s="49">
        <v>4.37</v>
      </c>
      <c r="D19" s="54">
        <v>354</v>
      </c>
      <c r="E19" s="39">
        <v>5298</v>
      </c>
      <c r="F19" s="40">
        <v>8.85</v>
      </c>
      <c r="G19" s="40"/>
      <c r="H19" s="44">
        <f t="shared" si="7"/>
        <v>2.1981100000000002</v>
      </c>
      <c r="I19" s="52">
        <f t="shared" si="6"/>
        <v>0.21999999999999886</v>
      </c>
      <c r="J19" s="44">
        <f t="shared" si="2"/>
        <v>-1.9781100000000014</v>
      </c>
      <c r="K19" s="44">
        <f t="shared" si="3"/>
        <v>30.227390000000003</v>
      </c>
      <c r="L19" s="44">
        <f t="shared" si="4"/>
        <v>-8.4400000000000013</v>
      </c>
      <c r="M19" s="53">
        <f t="shared" si="5"/>
        <v>-38.667390000000005</v>
      </c>
      <c r="N19" s="228"/>
      <c r="O19" s="229"/>
      <c r="P19" s="230"/>
      <c r="Q19" s="47">
        <v>44608.222222222219</v>
      </c>
      <c r="R19" s="44">
        <f t="shared" si="0"/>
        <v>-2.6374800000000018</v>
      </c>
      <c r="S19" s="44">
        <f t="shared" si="1"/>
        <v>-1.8560347200017289</v>
      </c>
    </row>
    <row r="20" spans="1:19" ht="12" customHeight="1" x14ac:dyDescent="0.2">
      <c r="A20" s="37"/>
      <c r="B20" s="48" t="s">
        <v>29</v>
      </c>
      <c r="C20" s="49">
        <v>10.58</v>
      </c>
      <c r="D20" s="54">
        <v>385</v>
      </c>
      <c r="E20" s="39">
        <v>6109</v>
      </c>
      <c r="F20" s="40">
        <v>8.4</v>
      </c>
      <c r="G20" s="40">
        <f>-9.32+4.57</f>
        <v>-4.75</v>
      </c>
      <c r="H20" s="44">
        <f t="shared" si="7"/>
        <v>8.5803799999999999</v>
      </c>
      <c r="I20" s="52">
        <f t="shared" si="6"/>
        <v>4.3000000000000007</v>
      </c>
      <c r="J20" s="44">
        <f t="shared" si="2"/>
        <v>-4.2803799999999992</v>
      </c>
      <c r="K20" s="44">
        <f t="shared" si="3"/>
        <v>38.807770000000005</v>
      </c>
      <c r="L20" s="44">
        <f t="shared" si="4"/>
        <v>-4.1400000000000006</v>
      </c>
      <c r="M20" s="53">
        <f t="shared" si="5"/>
        <v>-42.947770000000006</v>
      </c>
      <c r="N20" s="242"/>
      <c r="O20" s="229"/>
      <c r="P20" s="230"/>
      <c r="Q20" s="47">
        <v>44608.271527777775</v>
      </c>
      <c r="R20" s="44">
        <f t="shared" si="0"/>
        <v>-3.617222535163819</v>
      </c>
      <c r="S20" s="44">
        <f t="shared" si="1"/>
        <v>-1.9506935654810404</v>
      </c>
    </row>
    <row r="21" spans="1:19" ht="12" customHeight="1" x14ac:dyDescent="0.2">
      <c r="A21" s="37"/>
      <c r="B21" s="48" t="s">
        <v>38</v>
      </c>
      <c r="C21" s="49">
        <v>4.37</v>
      </c>
      <c r="D21" s="54">
        <v>397</v>
      </c>
      <c r="E21" s="39">
        <v>6483</v>
      </c>
      <c r="F21" s="40">
        <v>8.34</v>
      </c>
      <c r="G21" s="51"/>
      <c r="H21" s="44">
        <f t="shared" si="7"/>
        <v>1.6343800000000002</v>
      </c>
      <c r="I21" s="52">
        <f t="shared" si="6"/>
        <v>-6.0000000000000497E-2</v>
      </c>
      <c r="J21" s="44">
        <f t="shared" si="2"/>
        <v>-1.6943800000000007</v>
      </c>
      <c r="K21" s="44">
        <f t="shared" si="3"/>
        <v>40.442150000000005</v>
      </c>
      <c r="L21" s="44">
        <f t="shared" si="4"/>
        <v>-4.2000000000000011</v>
      </c>
      <c r="M21" s="53">
        <f t="shared" si="5"/>
        <v>-44.642150000000008</v>
      </c>
      <c r="N21" s="228"/>
      <c r="O21" s="229"/>
      <c r="P21" s="230"/>
      <c r="Q21" s="47">
        <v>44608.302083333336</v>
      </c>
      <c r="R21" s="44">
        <f t="shared" si="0"/>
        <v>-2.310518181439166</v>
      </c>
      <c r="S21" s="44">
        <f t="shared" si="1"/>
        <v>-1.9622923076822667</v>
      </c>
    </row>
    <row r="22" spans="1:19" ht="12" customHeight="1" x14ac:dyDescent="0.2">
      <c r="A22" s="37"/>
      <c r="B22" s="48" t="s">
        <v>29</v>
      </c>
      <c r="C22" s="49">
        <v>10.58</v>
      </c>
      <c r="D22" s="54"/>
      <c r="E22" s="39">
        <v>6759</v>
      </c>
      <c r="F22" s="40">
        <v>4.3899999999999997</v>
      </c>
      <c r="G22" s="51">
        <v>-5</v>
      </c>
      <c r="H22" s="44">
        <f t="shared" si="7"/>
        <v>2.92008</v>
      </c>
      <c r="I22" s="52">
        <f t="shared" si="6"/>
        <v>1.0499999999999998</v>
      </c>
      <c r="J22" s="44">
        <f t="shared" si="2"/>
        <v>-1.8700800000000002</v>
      </c>
      <c r="K22" s="44">
        <f t="shared" si="3"/>
        <v>43.362230000000004</v>
      </c>
      <c r="L22" s="44">
        <f t="shared" si="4"/>
        <v>-3.1500000000000012</v>
      </c>
      <c r="M22" s="53">
        <f t="shared" si="5"/>
        <v>-46.512230000000002</v>
      </c>
      <c r="N22" s="228"/>
      <c r="O22" s="229"/>
      <c r="P22" s="230"/>
      <c r="Q22" s="47">
        <v>44608.323611111111</v>
      </c>
      <c r="R22" s="44">
        <f t="shared" si="0"/>
        <v>-3.6195096778543139</v>
      </c>
      <c r="S22" s="44">
        <f t="shared" si="1"/>
        <v>-1.9990929799380257</v>
      </c>
    </row>
    <row r="23" spans="1:19" ht="12" customHeight="1" x14ac:dyDescent="0.2">
      <c r="A23" s="37"/>
      <c r="B23" s="48"/>
      <c r="C23" s="49">
        <v>10.58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10.58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10.58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 t="s">
        <v>29</v>
      </c>
      <c r="C30" s="49">
        <v>10.58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10.58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10.58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10.58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10.58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64"/>
      <c r="O34" s="162"/>
      <c r="P34" s="163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10.58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10.58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10.58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10.58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10.58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10.58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10.58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10.58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10.58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10.58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10.58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10.58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10.58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10.58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10.58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9"/>
      <c r="O76" s="160"/>
      <c r="P76" s="16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9"/>
      <c r="O77" s="160"/>
      <c r="P77" s="16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9"/>
      <c r="O78" s="160"/>
      <c r="P78" s="16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9"/>
      <c r="O79" s="160"/>
      <c r="P79" s="16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U112"/>
  <sheetViews>
    <sheetView zoomScaleNormal="100" workbookViewId="0">
      <selection activeCell="G34" sqref="G3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0</v>
      </c>
      <c r="F6" s="40">
        <v>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44607.074305555558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48</v>
      </c>
      <c r="F7" s="40">
        <v>5.52</v>
      </c>
      <c r="G7" s="51"/>
      <c r="H7" s="44">
        <f>IF(E7="","",((E7-E6)*C7)/1000)</f>
        <v>0.20976</v>
      </c>
      <c r="I7" s="52">
        <f>IF(F7="","",F7-F6-G7)</f>
        <v>-0.48000000000000043</v>
      </c>
      <c r="J7" s="44">
        <f>IF(F7="","",I7-H7)</f>
        <v>-0.68976000000000037</v>
      </c>
      <c r="K7" s="44">
        <f>IF(F7="","",K6+H7)</f>
        <v>0.20976</v>
      </c>
      <c r="L7" s="44">
        <f>IF(F7="","",L6+I7)</f>
        <v>-0.48000000000000043</v>
      </c>
      <c r="M7" s="53">
        <f>IF(F7="","",L7-K7)</f>
        <v>-0.68976000000000037</v>
      </c>
      <c r="N7" s="231"/>
      <c r="O7" s="229"/>
      <c r="P7" s="230"/>
      <c r="Q7" s="47">
        <v>44607.09375</v>
      </c>
      <c r="R7" s="44">
        <f t="shared" ref="R7:R70" si="0">IF(Q7="","",J7/((Q7-Q6)*24))</f>
        <v>-1.4780571430169216</v>
      </c>
      <c r="S7" s="44">
        <f t="shared" ref="S7:S70" si="1">IF(Q7="","",M7/((Q7-$Q$6)*24))</f>
        <v>-1.4780571430169216</v>
      </c>
    </row>
    <row r="8" spans="1:20" ht="12" customHeight="1" x14ac:dyDescent="0.2">
      <c r="A8" s="37"/>
      <c r="B8" s="48"/>
      <c r="C8" s="49">
        <v>4.37</v>
      </c>
      <c r="D8" s="54">
        <v>13</v>
      </c>
      <c r="E8" s="39">
        <v>351</v>
      </c>
      <c r="F8" s="40">
        <v>5.64</v>
      </c>
      <c r="G8" s="51"/>
      <c r="H8" s="44">
        <f>IF(E8="","",((E8-E7)*C8)/1000)</f>
        <v>1.3241100000000001</v>
      </c>
      <c r="I8" s="52">
        <f>IF(F8="","",F8-F7-G8)</f>
        <v>0.12000000000000011</v>
      </c>
      <c r="J8" s="44">
        <f>IF(F8="","",I8-H8)</f>
        <v>-1.20411</v>
      </c>
      <c r="K8" s="44">
        <f>IF(F8="","",K7+H8)</f>
        <v>1.5338700000000001</v>
      </c>
      <c r="L8" s="44">
        <f>IF(F8="","",L7+I8)</f>
        <v>-0.36000000000000032</v>
      </c>
      <c r="M8" s="53">
        <f>IF(F8="","",L8-K8)</f>
        <v>-1.8938700000000004</v>
      </c>
      <c r="N8" s="231"/>
      <c r="O8" s="229"/>
      <c r="P8" s="230"/>
      <c r="Q8" s="47">
        <v>44607.125</v>
      </c>
      <c r="R8" s="44">
        <f t="shared" si="0"/>
        <v>-1.60548</v>
      </c>
      <c r="S8" s="44">
        <f t="shared" si="1"/>
        <v>-1.5566054795165967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351</v>
      </c>
      <c r="F9" s="40">
        <v>3.84</v>
      </c>
      <c r="G9" s="51"/>
      <c r="H9" s="44">
        <f>IF(E9="","",((E9-E8)*C9)/1000)</f>
        <v>0</v>
      </c>
      <c r="I9" s="52">
        <f>IF(F9="","",F9-F8-G9)</f>
        <v>-1.7999999999999998</v>
      </c>
      <c r="J9" s="44">
        <f>IF(F9="","",I9-H9)</f>
        <v>-1.7999999999999998</v>
      </c>
      <c r="K9" s="44">
        <f>IF(F9="","",K8+H9)</f>
        <v>1.5338700000000001</v>
      </c>
      <c r="L9" s="44">
        <f>IF(F9="","",L8+I9)</f>
        <v>-2.16</v>
      </c>
      <c r="M9" s="53">
        <f>IF(F9="","",L9-K9)</f>
        <v>-3.6938700000000004</v>
      </c>
      <c r="N9" s="228" t="s">
        <v>145</v>
      </c>
      <c r="O9" s="229"/>
      <c r="P9" s="230"/>
      <c r="Q9" s="47">
        <v>44607.166666666664</v>
      </c>
      <c r="R9" s="44">
        <f t="shared" si="0"/>
        <v>-1.8000000001047736</v>
      </c>
      <c r="S9" s="44">
        <f t="shared" si="1"/>
        <v>-1.6664075188786749</v>
      </c>
    </row>
    <row r="10" spans="1:20" ht="12" customHeight="1" x14ac:dyDescent="0.2">
      <c r="A10" s="37"/>
      <c r="B10" s="48"/>
      <c r="C10" s="49">
        <v>4.37</v>
      </c>
      <c r="D10" s="54"/>
      <c r="E10" s="39">
        <v>351</v>
      </c>
      <c r="F10" s="40">
        <v>6.84</v>
      </c>
      <c r="G10" s="51">
        <f>-2.93+7.57</f>
        <v>4.6400000000000006</v>
      </c>
      <c r="H10" s="44">
        <f>IF(E10="","",((E10-E9)*C10)/1000)</f>
        <v>0</v>
      </c>
      <c r="I10" s="52">
        <f>IF(F10="","",F10-F9-G10)</f>
        <v>-1.6400000000000006</v>
      </c>
      <c r="J10" s="44">
        <f t="shared" ref="J10:J73" si="2">IF(F10="","",I10-H10)</f>
        <v>-1.6400000000000006</v>
      </c>
      <c r="K10" s="44">
        <f t="shared" ref="K10:K73" si="3">IF(F10="","",K9+H10)</f>
        <v>1.5338700000000001</v>
      </c>
      <c r="L10" s="44">
        <f t="shared" ref="L10:L73" si="4">IF(F10="","",L9+I10)</f>
        <v>-3.8000000000000007</v>
      </c>
      <c r="M10" s="53">
        <f t="shared" ref="M10:M73" si="5">IF(F10="","",L10-K10)</f>
        <v>-5.333870000000001</v>
      </c>
      <c r="N10" s="228"/>
      <c r="O10" s="229"/>
      <c r="P10" s="230"/>
      <c r="Q10" s="47">
        <v>44607.208333333336</v>
      </c>
      <c r="R10" s="44">
        <f t="shared" si="0"/>
        <v>-1.6399999998090795</v>
      </c>
      <c r="S10" s="44">
        <f t="shared" si="1"/>
        <v>-1.6581979274571395</v>
      </c>
      <c r="T10" s="55"/>
    </row>
    <row r="11" spans="1:20" ht="12" customHeight="1" x14ac:dyDescent="0.2">
      <c r="A11" s="37"/>
      <c r="B11" s="48" t="s">
        <v>35</v>
      </c>
      <c r="C11" s="49">
        <v>4.41</v>
      </c>
      <c r="D11" s="54"/>
      <c r="E11" s="39">
        <v>351</v>
      </c>
      <c r="F11" s="56">
        <v>4.71</v>
      </c>
      <c r="G11" s="51"/>
      <c r="H11" s="44">
        <f>IF(E11="","",((E11-E10)*C11)/1000)</f>
        <v>0</v>
      </c>
      <c r="I11" s="52">
        <f t="shared" ref="I11:I74" si="6">IF(F11="","",F11-F10-G11)</f>
        <v>-2.13</v>
      </c>
      <c r="J11" s="44">
        <f t="shared" si="2"/>
        <v>-2.13</v>
      </c>
      <c r="K11" s="44">
        <f t="shared" si="3"/>
        <v>1.5338700000000001</v>
      </c>
      <c r="L11" s="44">
        <f t="shared" si="4"/>
        <v>-5.9300000000000006</v>
      </c>
      <c r="M11" s="53">
        <f t="shared" si="5"/>
        <v>-7.4638700000000009</v>
      </c>
      <c r="N11" s="228"/>
      <c r="O11" s="229"/>
      <c r="P11" s="230"/>
      <c r="Q11" s="47">
        <v>44607.25</v>
      </c>
      <c r="R11" s="44">
        <f t="shared" si="0"/>
        <v>-2.1300000001239821</v>
      </c>
      <c r="S11" s="44">
        <f t="shared" si="1"/>
        <v>-1.77008774705675</v>
      </c>
    </row>
    <row r="12" spans="1:20" ht="12" customHeight="1" x14ac:dyDescent="0.2">
      <c r="A12" s="37"/>
      <c r="B12" s="48"/>
      <c r="C12" s="49">
        <v>4.41</v>
      </c>
      <c r="D12" s="54"/>
      <c r="E12" s="39"/>
      <c r="F12" s="56"/>
      <c r="G12" s="51">
        <f>-4.48+7.5</f>
        <v>3.0199999999999996</v>
      </c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4.41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4.41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4.41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4.41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4.41</v>
      </c>
      <c r="D18" s="54"/>
      <c r="E18" s="39"/>
      <c r="F18" s="40"/>
      <c r="G18" s="51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31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4.41</v>
      </c>
      <c r="D19" s="54"/>
      <c r="E19" s="39"/>
      <c r="F19" s="40"/>
      <c r="G19" s="51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4.41</v>
      </c>
      <c r="D20" s="54"/>
      <c r="E20" s="39"/>
      <c r="F20" s="40"/>
      <c r="G20" s="40"/>
      <c r="H20" s="44" t="str">
        <f>IF(E20="","",((E20-E19)*C20)/1000)</f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4.41</v>
      </c>
      <c r="D21" s="54"/>
      <c r="E21" s="39"/>
      <c r="F21" s="40"/>
      <c r="G21" s="51"/>
      <c r="H21" s="44" t="str">
        <f>IF(E21="","",((E21-E20)*C21)/1000)</f>
        <v/>
      </c>
      <c r="I21" s="52" t="str">
        <f>IF(F21="","",F21-F20-G21)</f>
        <v/>
      </c>
      <c r="J21" s="44" t="str">
        <f>IF(F21="","",I21-H21)</f>
        <v/>
      </c>
      <c r="K21" s="44" t="str">
        <f>IF(F21="","",K20+H21)</f>
        <v/>
      </c>
      <c r="L21" s="44" t="str">
        <f>IF(F21="","",L20+I21)</f>
        <v/>
      </c>
      <c r="M21" s="53" t="str">
        <f>IF(F21="","",L21-K21)</f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4.41</v>
      </c>
      <c r="D22" s="54"/>
      <c r="E22" s="39"/>
      <c r="F22" s="40"/>
      <c r="G22" s="51"/>
      <c r="H22" s="44" t="str">
        <f t="shared" si="7"/>
        <v/>
      </c>
      <c r="I22" s="52" t="str">
        <f>IF(F22="","",F22-F21-G22)</f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>IF(Q22="","",J22/((Q22-Q21)*24))</f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4.41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4.41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/>
      <c r="F26" s="40"/>
      <c r="G26" s="51"/>
      <c r="H26" s="44" t="str">
        <f t="shared" si="7"/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47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9"/>
      <c r="O76" s="160"/>
      <c r="P76" s="16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9"/>
      <c r="O77" s="160"/>
      <c r="P77" s="16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9"/>
      <c r="O78" s="160"/>
      <c r="P78" s="16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9"/>
      <c r="O79" s="160"/>
      <c r="P79" s="16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U112"/>
  <sheetViews>
    <sheetView zoomScaleNormal="100" workbookViewId="0">
      <selection activeCell="Q25" sqref="Q2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6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6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66" t="s">
        <v>20</v>
      </c>
      <c r="I5" s="16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6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67" t="s">
        <v>28</v>
      </c>
      <c r="E6" s="39">
        <v>7390</v>
      </c>
      <c r="F6" s="40">
        <v>8.11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44606.430555555555</v>
      </c>
      <c r="R6" s="11"/>
      <c r="S6" s="11"/>
    </row>
    <row r="7" spans="1:20" ht="12" customHeight="1" x14ac:dyDescent="0.2">
      <c r="A7" s="37"/>
      <c r="B7" s="48"/>
      <c r="C7" s="49">
        <v>4.37</v>
      </c>
      <c r="D7" s="39"/>
      <c r="E7" s="39">
        <v>7390</v>
      </c>
      <c r="F7" s="40">
        <v>7.86</v>
      </c>
      <c r="G7" s="51"/>
      <c r="H7" s="44">
        <f>IF(E7="","",((E7-E6)*C7)/1000)</f>
        <v>0</v>
      </c>
      <c r="I7" s="52">
        <f>IF(F7="","",F7-F6-G7)</f>
        <v>-0.24999999999999911</v>
      </c>
      <c r="J7" s="44">
        <f>IF(F7="","",I7-H7)</f>
        <v>-0.24999999999999911</v>
      </c>
      <c r="K7" s="44">
        <f>IF(F7="","",K6+H7)</f>
        <v>0</v>
      </c>
      <c r="L7" s="44">
        <f>IF(F7="","",L6+I7)</f>
        <v>-0.24999999999999911</v>
      </c>
      <c r="M7" s="53">
        <f>IF(F7="","",L7-K7)</f>
        <v>-0.24999999999999911</v>
      </c>
      <c r="N7" s="231"/>
      <c r="O7" s="229"/>
      <c r="P7" s="230"/>
      <c r="Q7" s="47">
        <v>44606.436111111114</v>
      </c>
      <c r="R7" s="44">
        <f t="shared" ref="R7:R70" si="0">IF(Q7="","",J7/((Q7-Q6)*24))</f>
        <v>-1.8749999987994603</v>
      </c>
      <c r="S7" s="44">
        <f t="shared" ref="S7:S70" si="1">IF(Q7="","",M7/((Q7-$Q$6)*24))</f>
        <v>-1.8749999987994603</v>
      </c>
    </row>
    <row r="8" spans="1:20" ht="12" customHeight="1" x14ac:dyDescent="0.2">
      <c r="A8" s="37"/>
      <c r="B8" s="48"/>
      <c r="C8" s="49">
        <v>4.37</v>
      </c>
      <c r="D8" s="54"/>
      <c r="E8" s="39">
        <v>7009</v>
      </c>
      <c r="F8" s="40">
        <v>3.7</v>
      </c>
      <c r="G8" s="51"/>
      <c r="H8" s="44">
        <f>IF(E8="","",((E8-E7)*C8)/1000)</f>
        <v>-1.6649700000000001</v>
      </c>
      <c r="I8" s="52">
        <f>IF(F8="","",F8-F7-G8)</f>
        <v>-4.16</v>
      </c>
      <c r="J8" s="44">
        <f>IF(F8="","",I8-H8)</f>
        <v>-2.4950299999999999</v>
      </c>
      <c r="K8" s="44">
        <f>IF(F8="","",K7+H8)</f>
        <v>-1.6649700000000001</v>
      </c>
      <c r="L8" s="44">
        <f>IF(F8="","",L7+I8)</f>
        <v>-4.4099999999999993</v>
      </c>
      <c r="M8" s="53">
        <f>IF(F8="","",L8-K8)</f>
        <v>-2.745029999999999</v>
      </c>
      <c r="N8" s="231"/>
      <c r="O8" s="229"/>
      <c r="P8" s="230"/>
      <c r="Q8" s="47">
        <v>44606.481944444444</v>
      </c>
      <c r="R8" s="44">
        <f t="shared" si="0"/>
        <v>-2.2682090910771255</v>
      </c>
      <c r="S8" s="44">
        <f t="shared" si="1"/>
        <v>-2.2256999999929965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6383</v>
      </c>
      <c r="F9" s="40">
        <v>4.8</v>
      </c>
      <c r="G9" s="51">
        <v>6.5</v>
      </c>
      <c r="H9" s="44">
        <f>IF(E9="","",((E9-E8)*C9)/1000)</f>
        <v>-2.7356199999999999</v>
      </c>
      <c r="I9" s="52">
        <f>IF(F9="","",F9-F8-G9)</f>
        <v>-5.4</v>
      </c>
      <c r="J9" s="44">
        <f>IF(F9="","",I9-H9)</f>
        <v>-2.6643800000000004</v>
      </c>
      <c r="K9" s="44">
        <f>IF(F9="","",K8+H9)</f>
        <v>-4.4005900000000002</v>
      </c>
      <c r="L9" s="44">
        <f>IF(F9="","",L8+I9)</f>
        <v>-9.8099999999999987</v>
      </c>
      <c r="M9" s="53">
        <f>IF(F9="","",L9-K9)</f>
        <v>-5.4094099999999985</v>
      </c>
      <c r="N9" s="228"/>
      <c r="O9" s="229"/>
      <c r="P9" s="230"/>
      <c r="Q9" s="47">
        <v>44606.518750000003</v>
      </c>
      <c r="R9" s="44">
        <f t="shared" si="0"/>
        <v>-3.0162792449915061</v>
      </c>
      <c r="S9" s="44">
        <f t="shared" si="1"/>
        <v>-2.5556267715457817</v>
      </c>
    </row>
    <row r="10" spans="1:20" ht="12" customHeight="1" x14ac:dyDescent="0.2">
      <c r="A10" s="37"/>
      <c r="B10" s="48"/>
      <c r="C10" s="49">
        <v>4.37</v>
      </c>
      <c r="D10" s="54"/>
      <c r="E10" s="39">
        <v>5779</v>
      </c>
      <c r="F10" s="40">
        <v>8.43</v>
      </c>
      <c r="G10" s="51">
        <v>10.5</v>
      </c>
      <c r="H10" s="44">
        <f>IF(E10="","",((E10-E9)*C10)/1000)</f>
        <v>-2.6394799999999998</v>
      </c>
      <c r="I10" s="52">
        <f>IF(F10="","",F10-F9-G10)</f>
        <v>-6.87</v>
      </c>
      <c r="J10" s="44">
        <f t="shared" ref="J10:J73" si="2">IF(F10="","",I10-H10)</f>
        <v>-4.2305200000000003</v>
      </c>
      <c r="K10" s="44">
        <f t="shared" ref="K10:K73" si="3">IF(F10="","",K9+H10)</f>
        <v>-7.0400700000000001</v>
      </c>
      <c r="L10" s="44">
        <f t="shared" ref="L10:L73" si="4">IF(F10="","",L9+I10)</f>
        <v>-16.68</v>
      </c>
      <c r="M10" s="53">
        <f t="shared" ref="M10:M73" si="5">IF(F10="","",L10-K10)</f>
        <v>-9.6399299999999997</v>
      </c>
      <c r="N10" s="228"/>
      <c r="O10" s="229"/>
      <c r="P10" s="230"/>
      <c r="Q10" s="47">
        <v>44606.590277777781</v>
      </c>
      <c r="R10" s="44">
        <f t="shared" si="0"/>
        <v>-2.4643805825131304</v>
      </c>
      <c r="S10" s="44">
        <f t="shared" si="1"/>
        <v>-2.5147643477624442</v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>
        <v>4819</v>
      </c>
      <c r="F11" s="56">
        <v>6.66</v>
      </c>
      <c r="G11" s="51">
        <v>6</v>
      </c>
      <c r="H11" s="44">
        <f>IF(E11="","",((E11-E10)*C11)/1000)</f>
        <v>-4.2336</v>
      </c>
      <c r="I11" s="52">
        <f t="shared" ref="I11:I74" si="6">IF(F11="","",F11-F10-G11)</f>
        <v>-7.77</v>
      </c>
      <c r="J11" s="44">
        <f t="shared" si="2"/>
        <v>-3.5363999999999995</v>
      </c>
      <c r="K11" s="44">
        <f t="shared" si="3"/>
        <v>-11.273669999999999</v>
      </c>
      <c r="L11" s="44">
        <f t="shared" si="4"/>
        <v>-24.45</v>
      </c>
      <c r="M11" s="53">
        <f t="shared" si="5"/>
        <v>-13.17633</v>
      </c>
      <c r="N11" s="228"/>
      <c r="O11" s="229"/>
      <c r="P11" s="230"/>
      <c r="Q11" s="47">
        <v>44606.642361111109</v>
      </c>
      <c r="R11" s="44">
        <f t="shared" si="0"/>
        <v>-2.8291200002634818</v>
      </c>
      <c r="S11" s="44">
        <f t="shared" si="1"/>
        <v>-2.5920649180426807</v>
      </c>
    </row>
    <row r="12" spans="1:20" ht="12" customHeight="1" x14ac:dyDescent="0.2">
      <c r="A12" s="37"/>
      <c r="B12" s="48"/>
      <c r="C12" s="49">
        <v>4.41</v>
      </c>
      <c r="D12" s="54"/>
      <c r="E12" s="39">
        <v>2996</v>
      </c>
      <c r="F12" s="56">
        <v>2.95</v>
      </c>
      <c r="G12" s="51">
        <v>12</v>
      </c>
      <c r="H12" s="44">
        <f t="shared" ref="H12:H74" si="7">IF(E12="","",((E12-E11)*C12)/1000)</f>
        <v>-8.0394299999999994</v>
      </c>
      <c r="I12" s="52">
        <f t="shared" si="6"/>
        <v>-15.71</v>
      </c>
      <c r="J12" s="44">
        <f t="shared" si="2"/>
        <v>-7.6705700000000014</v>
      </c>
      <c r="K12" s="44">
        <f t="shared" si="3"/>
        <v>-19.313099999999999</v>
      </c>
      <c r="L12" s="44">
        <f t="shared" si="4"/>
        <v>-40.159999999999997</v>
      </c>
      <c r="M12" s="53">
        <f t="shared" si="5"/>
        <v>-20.846899999999998</v>
      </c>
      <c r="N12" s="228"/>
      <c r="O12" s="229"/>
      <c r="P12" s="230"/>
      <c r="Q12" s="47">
        <v>44606.772916666669</v>
      </c>
      <c r="R12" s="44">
        <f t="shared" si="0"/>
        <v>-2.4480542552524494</v>
      </c>
      <c r="S12" s="44">
        <f t="shared" si="1"/>
        <v>-2.5371480730019424</v>
      </c>
    </row>
    <row r="13" spans="1:20" ht="12" customHeight="1" x14ac:dyDescent="0.2">
      <c r="A13" s="37"/>
      <c r="B13" s="48"/>
      <c r="C13" s="49">
        <v>4.41</v>
      </c>
      <c r="D13" s="54">
        <v>99</v>
      </c>
      <c r="E13" s="39">
        <v>2939</v>
      </c>
      <c r="F13" s="56">
        <v>8.3000000000000007</v>
      </c>
      <c r="G13" s="51">
        <f>-2.69+8.3</f>
        <v>5.6100000000000012</v>
      </c>
      <c r="H13" s="44">
        <f>IF(E13="","",((E13-E12)*C13)/1000)</f>
        <v>-0.25136999999999998</v>
      </c>
      <c r="I13" s="52">
        <f t="shared" si="6"/>
        <v>-0.26000000000000068</v>
      </c>
      <c r="J13" s="44">
        <f t="shared" si="2"/>
        <v>-8.6300000000006927E-3</v>
      </c>
      <c r="K13" s="44">
        <f t="shared" si="3"/>
        <v>-19.56447</v>
      </c>
      <c r="L13" s="44">
        <f t="shared" si="4"/>
        <v>-40.419999999999995</v>
      </c>
      <c r="M13" s="53">
        <f t="shared" si="5"/>
        <v>-20.855529999999995</v>
      </c>
      <c r="N13" s="231"/>
      <c r="O13" s="229"/>
      <c r="P13" s="230"/>
      <c r="Q13" s="47">
        <v>44606.775694444441</v>
      </c>
      <c r="R13" s="44">
        <f t="shared" si="0"/>
        <v>-0.12945000025619977</v>
      </c>
      <c r="S13" s="44">
        <f t="shared" si="1"/>
        <v>-2.5177702213480186</v>
      </c>
    </row>
    <row r="14" spans="1:20" ht="12" customHeight="1" x14ac:dyDescent="0.2">
      <c r="A14" s="37"/>
      <c r="B14" s="48"/>
      <c r="C14" s="49">
        <v>4.41</v>
      </c>
      <c r="D14" s="54">
        <v>80</v>
      </c>
      <c r="E14" s="39">
        <v>2388</v>
      </c>
      <c r="F14" s="56">
        <v>4.34</v>
      </c>
      <c r="G14" s="51"/>
      <c r="H14" s="44">
        <f t="shared" si="7"/>
        <v>-2.42991</v>
      </c>
      <c r="I14" s="52">
        <f t="shared" si="6"/>
        <v>-3.9600000000000009</v>
      </c>
      <c r="J14" s="44">
        <f t="shared" si="2"/>
        <v>-1.5300900000000008</v>
      </c>
      <c r="K14" s="44">
        <f t="shared" si="3"/>
        <v>-21.99438</v>
      </c>
      <c r="L14" s="44">
        <f t="shared" si="4"/>
        <v>-44.379999999999995</v>
      </c>
      <c r="M14" s="53">
        <f t="shared" si="5"/>
        <v>-22.385619999999996</v>
      </c>
      <c r="N14" s="231"/>
      <c r="O14" s="229"/>
      <c r="P14" s="230"/>
      <c r="Q14" s="47">
        <v>44606.808333333334</v>
      </c>
      <c r="R14" s="44">
        <f t="shared" si="0"/>
        <v>-1.9533063827077859</v>
      </c>
      <c r="S14" s="44">
        <f t="shared" si="1"/>
        <v>-2.4690022058707286</v>
      </c>
    </row>
    <row r="15" spans="1:20" ht="12" customHeight="1" x14ac:dyDescent="0.2">
      <c r="A15" s="37"/>
      <c r="B15" s="48"/>
      <c r="C15" s="49">
        <v>4.41</v>
      </c>
      <c r="D15" s="54"/>
      <c r="E15" s="39">
        <v>2388</v>
      </c>
      <c r="F15" s="40">
        <v>4.0999999999999996</v>
      </c>
      <c r="G15" s="51"/>
      <c r="H15" s="44">
        <f t="shared" si="7"/>
        <v>0</v>
      </c>
      <c r="I15" s="52">
        <f t="shared" si="6"/>
        <v>-0.24000000000000021</v>
      </c>
      <c r="J15" s="44">
        <f t="shared" si="2"/>
        <v>-0.24000000000000021</v>
      </c>
      <c r="K15" s="44">
        <f t="shared" si="3"/>
        <v>-21.99438</v>
      </c>
      <c r="L15" s="44">
        <f t="shared" si="4"/>
        <v>-44.62</v>
      </c>
      <c r="M15" s="53">
        <f t="shared" si="5"/>
        <v>-22.625619999999998</v>
      </c>
      <c r="N15" s="231" t="s">
        <v>144</v>
      </c>
      <c r="O15" s="229"/>
      <c r="P15" s="230"/>
      <c r="Q15" s="47">
        <v>44606.81527777778</v>
      </c>
      <c r="R15" s="44">
        <f t="shared" si="0"/>
        <v>-1.4399999998323632</v>
      </c>
      <c r="S15" s="44">
        <f t="shared" si="1"/>
        <v>-2.4504281588282875</v>
      </c>
    </row>
    <row r="16" spans="1:20" ht="12" customHeight="1" x14ac:dyDescent="0.2">
      <c r="A16" s="37"/>
      <c r="B16" s="48"/>
      <c r="C16" s="49">
        <v>4.41</v>
      </c>
      <c r="D16" s="57">
        <v>54</v>
      </c>
      <c r="E16" s="39">
        <v>1635</v>
      </c>
      <c r="F16" s="40">
        <v>7.56</v>
      </c>
      <c r="G16" s="51">
        <f>-2.12+6.94-3.25+7.53</f>
        <v>9.1000000000000014</v>
      </c>
      <c r="H16" s="44">
        <f t="shared" si="7"/>
        <v>-3.3207300000000002</v>
      </c>
      <c r="I16" s="52">
        <f t="shared" si="6"/>
        <v>-5.6400000000000015</v>
      </c>
      <c r="J16" s="44">
        <f t="shared" si="2"/>
        <v>-2.3192700000000013</v>
      </c>
      <c r="K16" s="44">
        <f t="shared" si="3"/>
        <v>-25.315110000000001</v>
      </c>
      <c r="L16" s="44">
        <f t="shared" si="4"/>
        <v>-50.26</v>
      </c>
      <c r="M16" s="53">
        <f t="shared" si="5"/>
        <v>-24.944889999999997</v>
      </c>
      <c r="N16" s="228"/>
      <c r="O16" s="229"/>
      <c r="P16" s="230"/>
      <c r="Q16" s="47">
        <v>44606.859722222223</v>
      </c>
      <c r="R16" s="44">
        <f t="shared" si="0"/>
        <v>-2.1743156250316416</v>
      </c>
      <c r="S16" s="44">
        <f t="shared" si="1"/>
        <v>-2.421833980571575</v>
      </c>
      <c r="T16" s="55"/>
    </row>
    <row r="17" spans="1:19" ht="12" customHeight="1" x14ac:dyDescent="0.2">
      <c r="A17" s="37"/>
      <c r="B17" s="48"/>
      <c r="C17" s="49">
        <v>4.41</v>
      </c>
      <c r="D17" s="54">
        <v>33</v>
      </c>
      <c r="E17" s="39">
        <v>1026</v>
      </c>
      <c r="F17" s="40">
        <v>3.32</v>
      </c>
      <c r="G17" s="51"/>
      <c r="H17" s="44">
        <f t="shared" si="7"/>
        <v>-2.6856900000000001</v>
      </c>
      <c r="I17" s="52">
        <f t="shared" si="6"/>
        <v>-4.24</v>
      </c>
      <c r="J17" s="44">
        <f t="shared" si="2"/>
        <v>-1.5543100000000001</v>
      </c>
      <c r="K17" s="44">
        <f t="shared" si="3"/>
        <v>-28.000800000000002</v>
      </c>
      <c r="L17" s="44">
        <f t="shared" si="4"/>
        <v>-54.5</v>
      </c>
      <c r="M17" s="53">
        <f t="shared" si="5"/>
        <v>-26.499199999999998</v>
      </c>
      <c r="N17" s="231"/>
      <c r="O17" s="229"/>
      <c r="P17" s="230"/>
      <c r="Q17" s="47">
        <v>44606.885416666664</v>
      </c>
      <c r="R17" s="44">
        <f t="shared" si="0"/>
        <v>-2.5205027030516409</v>
      </c>
      <c r="S17" s="44">
        <f t="shared" si="1"/>
        <v>-2.4274076335964145</v>
      </c>
    </row>
    <row r="18" spans="1:19" ht="12" customHeight="1" x14ac:dyDescent="0.2">
      <c r="A18" s="37"/>
      <c r="B18" s="48"/>
      <c r="C18" s="49">
        <v>4.41</v>
      </c>
      <c r="D18" s="54">
        <v>13</v>
      </c>
      <c r="E18" s="39">
        <v>446</v>
      </c>
      <c r="F18" s="40">
        <v>7.54</v>
      </c>
      <c r="G18" s="51">
        <f>-2.9+7.6-4.19+7.71</f>
        <v>8.2199999999999989</v>
      </c>
      <c r="H18" s="44">
        <f t="shared" si="7"/>
        <v>-2.5578000000000003</v>
      </c>
      <c r="I18" s="52">
        <f t="shared" si="6"/>
        <v>-3.9999999999999982</v>
      </c>
      <c r="J18" s="44">
        <f t="shared" si="2"/>
        <v>-1.4421999999999979</v>
      </c>
      <c r="K18" s="44">
        <f t="shared" si="3"/>
        <v>-30.558600000000002</v>
      </c>
      <c r="L18" s="44">
        <f t="shared" si="4"/>
        <v>-58.5</v>
      </c>
      <c r="M18" s="53">
        <f t="shared" si="5"/>
        <v>-27.941399999999998</v>
      </c>
      <c r="N18" s="231"/>
      <c r="O18" s="229"/>
      <c r="P18" s="230"/>
      <c r="Q18" s="47">
        <v>44606.913888888892</v>
      </c>
      <c r="R18" s="44">
        <f t="shared" si="0"/>
        <v>-2.1105365849583504</v>
      </c>
      <c r="S18" s="44">
        <f t="shared" si="1"/>
        <v>-2.4087413792910057</v>
      </c>
    </row>
    <row r="19" spans="1:19" ht="12" customHeight="1" x14ac:dyDescent="0.2">
      <c r="A19" s="37"/>
      <c r="B19" s="48"/>
      <c r="C19" s="49">
        <v>4.41</v>
      </c>
      <c r="D19" s="54"/>
      <c r="E19" s="39">
        <v>446</v>
      </c>
      <c r="F19" s="40">
        <v>7.2</v>
      </c>
      <c r="G19" s="51"/>
      <c r="H19" s="44">
        <f t="shared" si="7"/>
        <v>0</v>
      </c>
      <c r="I19" s="52">
        <f t="shared" si="6"/>
        <v>-0.33999999999999986</v>
      </c>
      <c r="J19" s="44">
        <f t="shared" si="2"/>
        <v>-0.33999999999999986</v>
      </c>
      <c r="K19" s="44">
        <f t="shared" si="3"/>
        <v>-30.558600000000002</v>
      </c>
      <c r="L19" s="44">
        <f t="shared" si="4"/>
        <v>-58.84</v>
      </c>
      <c r="M19" s="53">
        <f t="shared" si="5"/>
        <v>-28.281400000000001</v>
      </c>
      <c r="N19" s="228" t="s">
        <v>96</v>
      </c>
      <c r="O19" s="229"/>
      <c r="P19" s="230"/>
      <c r="Q19" s="47">
        <v>44606.92083333333</v>
      </c>
      <c r="R19" s="44">
        <f t="shared" si="0"/>
        <v>-2.0400000018998972</v>
      </c>
      <c r="S19" s="44">
        <f t="shared" si="1"/>
        <v>-2.4035184136104162</v>
      </c>
    </row>
    <row r="20" spans="1:19" ht="12" customHeight="1" x14ac:dyDescent="0.2">
      <c r="A20" s="37"/>
      <c r="B20" s="48"/>
      <c r="C20" s="49">
        <v>4.41</v>
      </c>
      <c r="D20" s="54">
        <v>0</v>
      </c>
      <c r="E20" s="39">
        <v>69</v>
      </c>
      <c r="F20" s="40">
        <v>3.58</v>
      </c>
      <c r="G20" s="40"/>
      <c r="H20" s="44">
        <f>IF(E20="","",((E20-E19)*C20)/1000)</f>
        <v>-1.6625700000000001</v>
      </c>
      <c r="I20" s="52">
        <f t="shared" si="6"/>
        <v>-3.62</v>
      </c>
      <c r="J20" s="44">
        <f t="shared" si="2"/>
        <v>-1.95743</v>
      </c>
      <c r="K20" s="44">
        <f t="shared" si="3"/>
        <v>-32.221170000000001</v>
      </c>
      <c r="L20" s="44">
        <f t="shared" si="4"/>
        <v>-62.46</v>
      </c>
      <c r="M20" s="53">
        <f t="shared" si="5"/>
        <v>-30.23883</v>
      </c>
      <c r="N20" s="242"/>
      <c r="O20" s="229"/>
      <c r="P20" s="230"/>
      <c r="Q20" s="47">
        <v>44606.948611111111</v>
      </c>
      <c r="R20" s="44">
        <f t="shared" si="0"/>
        <v>-2.9361449996581879</v>
      </c>
      <c r="S20" s="44">
        <f t="shared" si="1"/>
        <v>-2.4320774798897253</v>
      </c>
    </row>
    <row r="21" spans="1:19" ht="12" customHeight="1" x14ac:dyDescent="0.2">
      <c r="A21" s="37"/>
      <c r="B21" s="48"/>
      <c r="C21" s="49">
        <v>4.41</v>
      </c>
      <c r="D21" s="54"/>
      <c r="E21" s="39">
        <v>41</v>
      </c>
      <c r="F21" s="40">
        <v>7.68</v>
      </c>
      <c r="G21" s="51">
        <f>-2.2+7.7</f>
        <v>5.5</v>
      </c>
      <c r="H21" s="44">
        <f>IF(E21="","",((E21-E20)*C21)/1000)</f>
        <v>-0.12348000000000001</v>
      </c>
      <c r="I21" s="52">
        <f>IF(F21="","",F21-F20-G21)</f>
        <v>-1.4000000000000004</v>
      </c>
      <c r="J21" s="44">
        <f>IF(F21="","",I21-H21)</f>
        <v>-1.2765200000000003</v>
      </c>
      <c r="K21" s="44">
        <f>IF(F21="","",K20+H21)</f>
        <v>-32.344650000000001</v>
      </c>
      <c r="L21" s="44">
        <f>IF(F21="","",L20+I21)</f>
        <v>-63.86</v>
      </c>
      <c r="M21" s="53">
        <f>IF(F21="","",L21-K21)</f>
        <v>-31.515349999999998</v>
      </c>
      <c r="N21" s="228" t="s">
        <v>97</v>
      </c>
      <c r="O21" s="229"/>
      <c r="P21" s="230"/>
      <c r="Q21" s="47">
        <v>44606.975694444445</v>
      </c>
      <c r="R21" s="44">
        <f t="shared" si="0"/>
        <v>-1.9638769230065773</v>
      </c>
      <c r="S21" s="44">
        <f t="shared" si="1"/>
        <v>-2.4088165605024097</v>
      </c>
    </row>
    <row r="22" spans="1:19" ht="12" customHeight="1" x14ac:dyDescent="0.2">
      <c r="A22" s="37"/>
      <c r="B22" s="48"/>
      <c r="C22" s="49">
        <v>4.41</v>
      </c>
      <c r="D22" s="54"/>
      <c r="E22" s="39">
        <v>21</v>
      </c>
      <c r="F22" s="40">
        <v>6.3</v>
      </c>
      <c r="G22" s="51"/>
      <c r="H22" s="44">
        <f t="shared" si="7"/>
        <v>-8.8200000000000001E-2</v>
      </c>
      <c r="I22" s="52">
        <f>IF(F22="","",F22-F21-G22)</f>
        <v>-1.38</v>
      </c>
      <c r="J22" s="44">
        <f t="shared" si="2"/>
        <v>-1.2917999999999998</v>
      </c>
      <c r="K22" s="44">
        <f t="shared" si="3"/>
        <v>-32.432850000000002</v>
      </c>
      <c r="L22" s="44">
        <f t="shared" si="4"/>
        <v>-65.239999999999995</v>
      </c>
      <c r="M22" s="53">
        <f t="shared" si="5"/>
        <v>-32.807149999999993</v>
      </c>
      <c r="N22" s="228"/>
      <c r="O22" s="229"/>
      <c r="P22" s="230"/>
      <c r="Q22" s="47">
        <v>44606.996527777781</v>
      </c>
      <c r="R22" s="44">
        <f>IF(Q22="","",J22/((Q22-Q21)*24))</f>
        <v>-2.5835999996992292</v>
      </c>
      <c r="S22" s="44">
        <f t="shared" si="1"/>
        <v>-2.4152503067312159</v>
      </c>
    </row>
    <row r="23" spans="1:19" ht="12" customHeight="1" x14ac:dyDescent="0.2">
      <c r="A23" s="37"/>
      <c r="B23" s="48"/>
      <c r="C23" s="49">
        <v>4.41</v>
      </c>
      <c r="D23" s="54"/>
      <c r="E23" s="39">
        <v>0</v>
      </c>
      <c r="F23" s="40">
        <v>6.49</v>
      </c>
      <c r="G23" s="51">
        <f>-4.12+7.81</f>
        <v>3.6899999999999995</v>
      </c>
      <c r="H23" s="44">
        <f t="shared" si="7"/>
        <v>-9.2609999999999998E-2</v>
      </c>
      <c r="I23" s="52">
        <f t="shared" si="6"/>
        <v>-3.4999999999999991</v>
      </c>
      <c r="J23" s="44">
        <f t="shared" si="2"/>
        <v>-3.407389999999999</v>
      </c>
      <c r="K23" s="44">
        <f t="shared" si="3"/>
        <v>-32.525460000000002</v>
      </c>
      <c r="L23" s="44">
        <f t="shared" si="4"/>
        <v>-68.739999999999995</v>
      </c>
      <c r="M23" s="53">
        <f t="shared" si="5"/>
        <v>-36.214539999999992</v>
      </c>
      <c r="N23" s="228"/>
      <c r="O23" s="229"/>
      <c r="P23" s="230"/>
      <c r="Q23" s="47">
        <v>44607.0625</v>
      </c>
      <c r="R23" s="44">
        <f t="shared" si="0"/>
        <v>-2.1520357895791697</v>
      </c>
      <c r="S23" s="44">
        <f t="shared" si="1"/>
        <v>-2.3877718681288131</v>
      </c>
    </row>
    <row r="24" spans="1:19" ht="12" customHeight="1" x14ac:dyDescent="0.2">
      <c r="A24" s="37"/>
      <c r="B24" s="48"/>
      <c r="C24" s="49">
        <v>4.41</v>
      </c>
      <c r="D24" s="54"/>
      <c r="E24" s="39">
        <v>0</v>
      </c>
      <c r="F24" s="40">
        <v>6</v>
      </c>
      <c r="G24" s="51"/>
      <c r="H24" s="44">
        <f t="shared" si="7"/>
        <v>0</v>
      </c>
      <c r="I24" s="52">
        <f t="shared" si="6"/>
        <v>-0.49000000000000021</v>
      </c>
      <c r="J24" s="44">
        <f t="shared" si="2"/>
        <v>-0.49000000000000021</v>
      </c>
      <c r="K24" s="44">
        <f t="shared" si="3"/>
        <v>-32.525460000000002</v>
      </c>
      <c r="L24" s="44">
        <f t="shared" si="4"/>
        <v>-69.22999999999999</v>
      </c>
      <c r="M24" s="53">
        <f t="shared" si="5"/>
        <v>-36.704539999999987</v>
      </c>
      <c r="N24" s="231"/>
      <c r="O24" s="229"/>
      <c r="P24" s="230"/>
      <c r="Q24" s="47">
        <v>44607.074305555558</v>
      </c>
      <c r="R24" s="44">
        <f t="shared" si="0"/>
        <v>-1.7294117643979665</v>
      </c>
      <c r="S24" s="44">
        <f t="shared" si="1"/>
        <v>-2.3756983818662811</v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/>
      <c r="F26" s="40"/>
      <c r="G26" s="51"/>
      <c r="H26" s="44" t="str">
        <f t="shared" si="7"/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47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9"/>
      <c r="O76" s="160"/>
      <c r="P76" s="16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9"/>
      <c r="O77" s="160"/>
      <c r="P77" s="16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9"/>
      <c r="O78" s="160"/>
      <c r="P78" s="16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9"/>
      <c r="O79" s="160"/>
      <c r="P79" s="16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U112"/>
  <sheetViews>
    <sheetView zoomScaleNormal="100" workbookViewId="0">
      <selection activeCell="A21" sqref="A21:XFD21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55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58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56" t="s">
        <v>20</v>
      </c>
      <c r="I5" s="157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56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57" t="s">
        <v>28</v>
      </c>
      <c r="E6" s="39">
        <v>2</v>
      </c>
      <c r="F6" s="40">
        <v>7.21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44600.791666666664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2</v>
      </c>
      <c r="F7" s="40">
        <v>6.76</v>
      </c>
      <c r="G7" s="51"/>
      <c r="H7" s="44">
        <f>IF(E7="","",((E7-E6)*C7)/1000)</f>
        <v>0</v>
      </c>
      <c r="I7" s="52">
        <f>IF(F7="","",F7-F6-G7)</f>
        <v>-0.45000000000000018</v>
      </c>
      <c r="J7" s="44">
        <f>IF(F7="","",I7-H7)</f>
        <v>-0.45000000000000018</v>
      </c>
      <c r="K7" s="44">
        <f>IF(F7="","",K6+H7)</f>
        <v>0</v>
      </c>
      <c r="L7" s="44">
        <f>IF(F7="","",L6+I7)</f>
        <v>-0.45000000000000018</v>
      </c>
      <c r="M7" s="53">
        <f>IF(F7="","",L7-K7)</f>
        <v>-0.45000000000000018</v>
      </c>
      <c r="N7" s="231" t="s">
        <v>142</v>
      </c>
      <c r="O7" s="229"/>
      <c r="P7" s="230"/>
      <c r="Q7" s="47">
        <v>44600.8125</v>
      </c>
      <c r="R7" s="44">
        <f t="shared" ref="R7:R70" si="0">IF(Q7="","",J7/((Q7-Q6)*24))</f>
        <v>-0.89999999989522661</v>
      </c>
      <c r="S7" s="44">
        <f t="shared" ref="S7:S70" si="1">IF(Q7="","",M7/((Q7-$Q$6)*24))</f>
        <v>-0.89999999989522661</v>
      </c>
    </row>
    <row r="8" spans="1:20" ht="12" customHeight="1" x14ac:dyDescent="0.2">
      <c r="A8" s="37"/>
      <c r="B8" s="48"/>
      <c r="C8" s="49">
        <v>13.33</v>
      </c>
      <c r="D8" s="54"/>
      <c r="E8" s="39">
        <v>2</v>
      </c>
      <c r="F8" s="40">
        <v>5.8</v>
      </c>
      <c r="G8" s="51"/>
      <c r="H8" s="44">
        <f>IF(E8="","",((E8-E7)*C8)/1000)</f>
        <v>0</v>
      </c>
      <c r="I8" s="52">
        <f>IF(F8="","",F8-F7-G8)</f>
        <v>-0.96</v>
      </c>
      <c r="J8" s="44">
        <f>IF(F8="","",I8-H8)</f>
        <v>-0.96</v>
      </c>
      <c r="K8" s="44">
        <f>IF(F8="","",K7+H8)</f>
        <v>0</v>
      </c>
      <c r="L8" s="44">
        <f>IF(F8="","",L7+I8)</f>
        <v>-1.4100000000000001</v>
      </c>
      <c r="M8" s="53">
        <f>IF(F8="","",L8-K8)</f>
        <v>-1.4100000000000001</v>
      </c>
      <c r="N8" s="231"/>
      <c r="O8" s="229"/>
      <c r="P8" s="230"/>
      <c r="Q8" s="47">
        <v>44600.833333333336</v>
      </c>
      <c r="R8" s="44">
        <f t="shared" si="0"/>
        <v>-1.9199999997764825</v>
      </c>
      <c r="S8" s="44">
        <f t="shared" si="1"/>
        <v>-1.4099999998358546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2</v>
      </c>
      <c r="F9" s="40">
        <v>4.29</v>
      </c>
      <c r="G9" s="51"/>
      <c r="H9" s="44">
        <f>IF(E9="","",((E9-E8)*C9)/1000)</f>
        <v>0</v>
      </c>
      <c r="I9" s="52">
        <f>IF(F9="","",F9-F8-G9)</f>
        <v>-1.5099999999999998</v>
      </c>
      <c r="J9" s="44">
        <f>IF(F9="","",I9-H9)</f>
        <v>-1.5099999999999998</v>
      </c>
      <c r="K9" s="44">
        <f>IF(F9="","",K8+H9)</f>
        <v>0</v>
      </c>
      <c r="L9" s="44">
        <f>IF(F9="","",L8+I9)</f>
        <v>-2.92</v>
      </c>
      <c r="M9" s="53">
        <f>IF(F9="","",L9-K9)</f>
        <v>-2.92</v>
      </c>
      <c r="N9" s="228"/>
      <c r="O9" s="229"/>
      <c r="P9" s="230"/>
      <c r="Q9" s="47">
        <v>44600.875</v>
      </c>
      <c r="R9" s="44">
        <f t="shared" si="0"/>
        <v>-1.5100000000878933</v>
      </c>
      <c r="S9" s="44">
        <f t="shared" si="1"/>
        <v>-1.4599999999575084</v>
      </c>
    </row>
    <row r="10" spans="1:20" ht="12" customHeight="1" x14ac:dyDescent="0.2">
      <c r="A10" s="37"/>
      <c r="B10" s="48"/>
      <c r="C10" s="49">
        <v>13.33</v>
      </c>
      <c r="D10" s="54"/>
      <c r="E10" s="39">
        <v>2</v>
      </c>
      <c r="F10" s="40">
        <v>8.2899999999999991</v>
      </c>
      <c r="G10" s="51">
        <f>8.29-3.92</f>
        <v>4.3699999999999992</v>
      </c>
      <c r="H10" s="44">
        <f>IF(E10="","",((E10-E9)*C10)/1000)</f>
        <v>0</v>
      </c>
      <c r="I10" s="52">
        <f>IF(F10="","",F10-F9-G10)</f>
        <v>-0.37000000000000011</v>
      </c>
      <c r="J10" s="44">
        <f t="shared" ref="J10:J73" si="2">IF(F10="","",I10-H10)</f>
        <v>-0.37000000000000011</v>
      </c>
      <c r="K10" s="44">
        <f t="shared" ref="K10:K73" si="3">IF(F10="","",K9+H10)</f>
        <v>0</v>
      </c>
      <c r="L10" s="44">
        <f t="shared" ref="L10:L73" si="4">IF(F10="","",L9+I10)</f>
        <v>-3.29</v>
      </c>
      <c r="M10" s="53">
        <f t="shared" ref="M10:M73" si="5">IF(F10="","",L10-K10)</f>
        <v>-3.29</v>
      </c>
      <c r="N10" s="228" t="s">
        <v>143</v>
      </c>
      <c r="O10" s="229"/>
      <c r="P10" s="230"/>
      <c r="Q10" s="47">
        <v>44600.904861111114</v>
      </c>
      <c r="R10" s="44">
        <f t="shared" si="0"/>
        <v>-0.51627906971991888</v>
      </c>
      <c r="S10" s="44">
        <f t="shared" si="1"/>
        <v>-1.2110429447299205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2</v>
      </c>
      <c r="F11" s="56">
        <v>8.16</v>
      </c>
      <c r="G11" s="51"/>
      <c r="H11" s="44">
        <f>IF(E11="","",((E11-E10)*C11)/1000)</f>
        <v>0</v>
      </c>
      <c r="I11" s="52">
        <f t="shared" ref="I11:I74" si="6">IF(F11="","",F11-F10-G11)</f>
        <v>-0.12999999999999901</v>
      </c>
      <c r="J11" s="44">
        <f t="shared" si="2"/>
        <v>-0.12999999999999901</v>
      </c>
      <c r="K11" s="44">
        <f t="shared" si="3"/>
        <v>0</v>
      </c>
      <c r="L11" s="44">
        <f t="shared" si="4"/>
        <v>-3.419999999999999</v>
      </c>
      <c r="M11" s="53">
        <f t="shared" si="5"/>
        <v>-3.419999999999999</v>
      </c>
      <c r="N11" s="228"/>
      <c r="O11" s="229"/>
      <c r="P11" s="230"/>
      <c r="Q11" s="47">
        <v>44600.920138888891</v>
      </c>
      <c r="R11" s="44">
        <f t="shared" si="0"/>
        <v>-0.35454545457171743</v>
      </c>
      <c r="S11" s="44">
        <f t="shared" si="1"/>
        <v>-1.1091891891542898</v>
      </c>
    </row>
    <row r="12" spans="1:20" ht="12" customHeight="1" x14ac:dyDescent="0.2">
      <c r="A12" s="37"/>
      <c r="B12" s="48"/>
      <c r="C12" s="49">
        <v>13.33</v>
      </c>
      <c r="D12" s="54"/>
      <c r="E12" s="39">
        <v>2</v>
      </c>
      <c r="F12" s="56">
        <v>7.39</v>
      </c>
      <c r="G12" s="51"/>
      <c r="H12" s="44">
        <f t="shared" ref="H12:H74" si="7">IF(E12="","",((E12-E11)*C12)/1000)</f>
        <v>0</v>
      </c>
      <c r="I12" s="52">
        <f t="shared" si="6"/>
        <v>-0.77000000000000046</v>
      </c>
      <c r="J12" s="44">
        <f t="shared" si="2"/>
        <v>-0.77000000000000046</v>
      </c>
      <c r="K12" s="44">
        <f t="shared" si="3"/>
        <v>0</v>
      </c>
      <c r="L12" s="44">
        <f t="shared" si="4"/>
        <v>-4.1899999999999995</v>
      </c>
      <c r="M12" s="53">
        <f t="shared" si="5"/>
        <v>-4.1899999999999995</v>
      </c>
      <c r="N12" s="228"/>
      <c r="O12" s="229"/>
      <c r="P12" s="230"/>
      <c r="Q12" s="47">
        <v>44600.956250000003</v>
      </c>
      <c r="R12" s="44">
        <f t="shared" si="0"/>
        <v>-0.8884615384297142</v>
      </c>
      <c r="S12" s="44">
        <f t="shared" si="1"/>
        <v>-1.0607594936364968</v>
      </c>
    </row>
    <row r="13" spans="1:20" ht="12" customHeight="1" x14ac:dyDescent="0.2">
      <c r="A13" s="37"/>
      <c r="B13" s="48"/>
      <c r="C13" s="49">
        <v>13.33</v>
      </c>
      <c r="D13" s="54"/>
      <c r="E13" s="39">
        <v>2</v>
      </c>
      <c r="F13" s="56">
        <v>5.27</v>
      </c>
      <c r="G13" s="51"/>
      <c r="H13" s="44">
        <f>IF(E13="","",((E13-E12)*C13)/1000)</f>
        <v>0</v>
      </c>
      <c r="I13" s="52">
        <f t="shared" si="6"/>
        <v>-2.12</v>
      </c>
      <c r="J13" s="44">
        <f t="shared" si="2"/>
        <v>-2.12</v>
      </c>
      <c r="K13" s="44">
        <f t="shared" si="3"/>
        <v>0</v>
      </c>
      <c r="L13" s="44">
        <f t="shared" si="4"/>
        <v>-6.31</v>
      </c>
      <c r="M13" s="53">
        <f t="shared" si="5"/>
        <v>-6.31</v>
      </c>
      <c r="N13" s="231"/>
      <c r="O13" s="229"/>
      <c r="P13" s="230"/>
      <c r="Q13" s="47">
        <v>44601.000694444447</v>
      </c>
      <c r="R13" s="44">
        <f t="shared" si="0"/>
        <v>-1.987500000028922</v>
      </c>
      <c r="S13" s="44">
        <f t="shared" si="1"/>
        <v>-1.2578073089418842</v>
      </c>
    </row>
    <row r="14" spans="1:20" ht="12" customHeight="1" x14ac:dyDescent="0.2">
      <c r="A14" s="37"/>
      <c r="B14" s="48"/>
      <c r="C14" s="49">
        <v>13.33</v>
      </c>
      <c r="D14" s="54"/>
      <c r="E14" s="39">
        <v>2</v>
      </c>
      <c r="F14" s="56">
        <v>3.81</v>
      </c>
      <c r="G14" s="51"/>
      <c r="H14" s="44">
        <f t="shared" si="7"/>
        <v>0</v>
      </c>
      <c r="I14" s="52">
        <f t="shared" si="6"/>
        <v>-1.4599999999999995</v>
      </c>
      <c r="J14" s="44">
        <f t="shared" si="2"/>
        <v>-1.4599999999999995</v>
      </c>
      <c r="K14" s="44">
        <f t="shared" si="3"/>
        <v>0</v>
      </c>
      <c r="L14" s="44">
        <f t="shared" si="4"/>
        <v>-7.77</v>
      </c>
      <c r="M14" s="53">
        <f t="shared" si="5"/>
        <v>-7.77</v>
      </c>
      <c r="N14" s="231"/>
      <c r="O14" s="229"/>
      <c r="P14" s="230"/>
      <c r="Q14" s="47">
        <v>44601.040972222225</v>
      </c>
      <c r="R14" s="44">
        <f t="shared" si="0"/>
        <v>-1.5103448275740803</v>
      </c>
      <c r="S14" s="44">
        <f t="shared" si="1"/>
        <v>-1.298607242313724</v>
      </c>
    </row>
    <row r="15" spans="1:20" ht="12" customHeight="1" x14ac:dyDescent="0.2">
      <c r="A15" s="37"/>
      <c r="B15" s="48"/>
      <c r="C15" s="49">
        <v>13.33</v>
      </c>
      <c r="D15" s="54"/>
      <c r="E15" s="39">
        <v>2</v>
      </c>
      <c r="F15" s="40">
        <v>7.9</v>
      </c>
      <c r="G15" s="51">
        <v>5.5</v>
      </c>
      <c r="H15" s="44">
        <f t="shared" si="7"/>
        <v>0</v>
      </c>
      <c r="I15" s="52">
        <f t="shared" si="6"/>
        <v>-1.4100000000000001</v>
      </c>
      <c r="J15" s="44">
        <f t="shared" si="2"/>
        <v>-1.4100000000000001</v>
      </c>
      <c r="K15" s="44">
        <f t="shared" si="3"/>
        <v>0</v>
      </c>
      <c r="L15" s="44">
        <f t="shared" si="4"/>
        <v>-9.18</v>
      </c>
      <c r="M15" s="53">
        <f t="shared" si="5"/>
        <v>-9.18</v>
      </c>
      <c r="N15" s="231" t="s">
        <v>142</v>
      </c>
      <c r="O15" s="229"/>
      <c r="P15" s="230"/>
      <c r="Q15" s="47">
        <v>44601.098611111112</v>
      </c>
      <c r="R15" s="44">
        <f t="shared" si="0"/>
        <v>-1.0192771084566092</v>
      </c>
      <c r="S15" s="44">
        <f t="shared" si="1"/>
        <v>-1.2461538461387482</v>
      </c>
    </row>
    <row r="16" spans="1:20" ht="12" customHeight="1" x14ac:dyDescent="0.2">
      <c r="A16" s="37"/>
      <c r="B16" s="48"/>
      <c r="C16" s="49">
        <v>13.33</v>
      </c>
      <c r="D16" s="57"/>
      <c r="E16" s="39">
        <v>2</v>
      </c>
      <c r="F16" s="40">
        <v>6.14</v>
      </c>
      <c r="G16" s="51"/>
      <c r="H16" s="44">
        <f t="shared" si="7"/>
        <v>0</v>
      </c>
      <c r="I16" s="52">
        <f t="shared" si="6"/>
        <v>-1.7600000000000007</v>
      </c>
      <c r="J16" s="44">
        <f t="shared" si="2"/>
        <v>-1.7600000000000007</v>
      </c>
      <c r="K16" s="44">
        <f t="shared" si="3"/>
        <v>0</v>
      </c>
      <c r="L16" s="44">
        <f t="shared" si="4"/>
        <v>-10.940000000000001</v>
      </c>
      <c r="M16" s="53">
        <f t="shared" si="5"/>
        <v>-10.940000000000001</v>
      </c>
      <c r="N16" s="228"/>
      <c r="O16" s="229"/>
      <c r="P16" s="230"/>
      <c r="Q16" s="47">
        <v>44601.144444444442</v>
      </c>
      <c r="R16" s="44">
        <f t="shared" si="0"/>
        <v>-1.6000000001185326</v>
      </c>
      <c r="S16" s="44">
        <f t="shared" si="1"/>
        <v>-1.2921259842507842</v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>
        <v>2</v>
      </c>
      <c r="F17" s="40">
        <v>4.22</v>
      </c>
      <c r="G17" s="51"/>
      <c r="H17" s="44">
        <f t="shared" si="7"/>
        <v>0</v>
      </c>
      <c r="I17" s="52">
        <f t="shared" si="6"/>
        <v>-1.92</v>
      </c>
      <c r="J17" s="44">
        <f t="shared" si="2"/>
        <v>-1.92</v>
      </c>
      <c r="K17" s="44">
        <f t="shared" si="3"/>
        <v>0</v>
      </c>
      <c r="L17" s="44">
        <f t="shared" si="4"/>
        <v>-12.860000000000001</v>
      </c>
      <c r="M17" s="53">
        <f t="shared" si="5"/>
        <v>-12.860000000000001</v>
      </c>
      <c r="N17" s="231"/>
      <c r="O17" s="229"/>
      <c r="P17" s="230"/>
      <c r="Q17" s="47">
        <v>44601.185416666667</v>
      </c>
      <c r="R17" s="44">
        <f t="shared" si="0"/>
        <v>-1.9525423727580713</v>
      </c>
      <c r="S17" s="44">
        <f t="shared" si="1"/>
        <v>-1.3608465608365024</v>
      </c>
    </row>
    <row r="18" spans="1:19" ht="12" customHeight="1" x14ac:dyDescent="0.2">
      <c r="A18" s="37"/>
      <c r="B18" s="48"/>
      <c r="C18" s="49">
        <v>13.33</v>
      </c>
      <c r="D18" s="54"/>
      <c r="E18" s="39">
        <v>2</v>
      </c>
      <c r="F18" s="40">
        <v>7.96</v>
      </c>
      <c r="G18" s="51">
        <v>4.0999999999999996</v>
      </c>
      <c r="H18" s="44">
        <f t="shared" si="7"/>
        <v>0</v>
      </c>
      <c r="I18" s="52">
        <f t="shared" si="6"/>
        <v>-0.35999999999999943</v>
      </c>
      <c r="J18" s="44">
        <f t="shared" si="2"/>
        <v>-0.35999999999999943</v>
      </c>
      <c r="K18" s="44">
        <f t="shared" si="3"/>
        <v>0</v>
      </c>
      <c r="L18" s="44">
        <f t="shared" si="4"/>
        <v>-13.22</v>
      </c>
      <c r="M18" s="53">
        <f t="shared" si="5"/>
        <v>-13.22</v>
      </c>
      <c r="N18" s="231"/>
      <c r="O18" s="229"/>
      <c r="P18" s="230"/>
      <c r="Q18" s="47">
        <v>44601.231249999997</v>
      </c>
      <c r="R18" s="44">
        <f t="shared" si="0"/>
        <v>-0.32727272729697193</v>
      </c>
      <c r="S18" s="44">
        <f t="shared" si="1"/>
        <v>-1.2530805687217619</v>
      </c>
    </row>
    <row r="19" spans="1:19" ht="12" customHeight="1" x14ac:dyDescent="0.2">
      <c r="A19" s="37"/>
      <c r="B19" s="48"/>
      <c r="C19" s="49">
        <v>13.33</v>
      </c>
      <c r="D19" s="54"/>
      <c r="E19" s="39">
        <v>2</v>
      </c>
      <c r="F19" s="40">
        <v>7.32</v>
      </c>
      <c r="G19" s="51"/>
      <c r="H19" s="44">
        <f t="shared" si="7"/>
        <v>0</v>
      </c>
      <c r="I19" s="52">
        <f t="shared" si="6"/>
        <v>-0.63999999999999968</v>
      </c>
      <c r="J19" s="44">
        <f t="shared" si="2"/>
        <v>-0.63999999999999968</v>
      </c>
      <c r="K19" s="44">
        <f t="shared" si="3"/>
        <v>0</v>
      </c>
      <c r="L19" s="44">
        <f t="shared" si="4"/>
        <v>-13.86</v>
      </c>
      <c r="M19" s="53">
        <f t="shared" si="5"/>
        <v>-13.86</v>
      </c>
      <c r="N19" s="228"/>
      <c r="O19" s="229"/>
      <c r="P19" s="230"/>
      <c r="Q19" s="47">
        <v>44601.253472222219</v>
      </c>
      <c r="R19" s="44">
        <f t="shared" si="0"/>
        <v>-1.2000000000174618</v>
      </c>
      <c r="S19" s="44">
        <f t="shared" si="1"/>
        <v>-1.2505263157916628</v>
      </c>
    </row>
    <row r="20" spans="1:19" ht="12" customHeight="1" x14ac:dyDescent="0.2">
      <c r="A20" s="37"/>
      <c r="B20" s="48"/>
      <c r="C20" s="49">
        <v>13.33</v>
      </c>
      <c r="D20" s="54"/>
      <c r="E20" s="39">
        <v>2</v>
      </c>
      <c r="F20" s="40">
        <v>6.08</v>
      </c>
      <c r="G20" s="40"/>
      <c r="H20" s="44">
        <f>IF(E20="","",((E20-E19)*C20)/1000)</f>
        <v>0</v>
      </c>
      <c r="I20" s="52">
        <f t="shared" si="6"/>
        <v>-1.2400000000000002</v>
      </c>
      <c r="J20" s="44">
        <f t="shared" si="2"/>
        <v>-1.2400000000000002</v>
      </c>
      <c r="K20" s="44">
        <f t="shared" si="3"/>
        <v>0</v>
      </c>
      <c r="L20" s="44">
        <f t="shared" si="4"/>
        <v>-15.1</v>
      </c>
      <c r="M20" s="53">
        <f t="shared" si="5"/>
        <v>-15.1</v>
      </c>
      <c r="N20" s="242"/>
      <c r="O20" s="229"/>
      <c r="P20" s="230"/>
      <c r="Q20" s="47">
        <v>44601.293749999997</v>
      </c>
      <c r="R20" s="44">
        <f t="shared" si="0"/>
        <v>-1.2827586206793566</v>
      </c>
      <c r="S20" s="44">
        <f t="shared" si="1"/>
        <v>-1.2531120331962313</v>
      </c>
    </row>
    <row r="21" spans="1:19" ht="12" customHeight="1" x14ac:dyDescent="0.2">
      <c r="A21" s="37"/>
      <c r="B21" s="48"/>
      <c r="C21" s="49">
        <v>13.33</v>
      </c>
      <c r="D21" s="54"/>
      <c r="E21" s="39">
        <v>764</v>
      </c>
      <c r="F21" s="40">
        <v>8.06</v>
      </c>
      <c r="G21" s="51">
        <v>-3.95</v>
      </c>
      <c r="H21" s="44">
        <f>IF(E21="","",((E21-E20)*C21)/1000)</f>
        <v>10.15746</v>
      </c>
      <c r="I21" s="52">
        <f>IF(F21="","",F21-F20-G21)</f>
        <v>5.9300000000000006</v>
      </c>
      <c r="J21" s="44">
        <f>IF(F21="","",I21-H21)</f>
        <v>-4.2274599999999998</v>
      </c>
      <c r="K21" s="44">
        <f>IF(F21="","",K20+H21)</f>
        <v>10.15746</v>
      </c>
      <c r="L21" s="44">
        <f>IF(F21="","",L20+I21)</f>
        <v>-9.1699999999999982</v>
      </c>
      <c r="M21" s="53">
        <f>IF(F21="","",L21-K21)</f>
        <v>-19.327459999999999</v>
      </c>
      <c r="N21" s="228"/>
      <c r="O21" s="229"/>
      <c r="P21" s="230"/>
      <c r="Q21" s="47">
        <v>44601.405555555553</v>
      </c>
      <c r="R21" s="44">
        <f t="shared" si="0"/>
        <v>-1.5754509316679053</v>
      </c>
      <c r="S21" s="44">
        <f t="shared" si="1"/>
        <v>-1.3118185520358534</v>
      </c>
    </row>
    <row r="22" spans="1:19" ht="12" customHeight="1" x14ac:dyDescent="0.2">
      <c r="A22" s="37"/>
      <c r="B22" s="48"/>
      <c r="C22" s="49">
        <v>13.33</v>
      </c>
      <c r="D22" s="54"/>
      <c r="E22" s="39">
        <v>1278</v>
      </c>
      <c r="F22" s="40">
        <v>4.16</v>
      </c>
      <c r="G22" s="51">
        <v>-9.1300000000000008</v>
      </c>
      <c r="H22" s="44">
        <f t="shared" si="7"/>
        <v>6.8516199999999996</v>
      </c>
      <c r="I22" s="52">
        <f>IF(F22="","",F22-F21-G22)</f>
        <v>5.23</v>
      </c>
      <c r="J22" s="44">
        <f t="shared" si="2"/>
        <v>-1.6216199999999992</v>
      </c>
      <c r="K22" s="44">
        <f t="shared" si="3"/>
        <v>17.009080000000001</v>
      </c>
      <c r="L22" s="44">
        <f t="shared" si="4"/>
        <v>-3.9399999999999977</v>
      </c>
      <c r="M22" s="53">
        <f t="shared" si="5"/>
        <v>-20.949079999999999</v>
      </c>
      <c r="N22" s="228"/>
      <c r="O22" s="229"/>
      <c r="P22" s="230"/>
      <c r="Q22" s="47">
        <v>44601.442361111112</v>
      </c>
      <c r="R22" s="44">
        <f>IF(Q22="","",J22/((Q22-Q21)*24))</f>
        <v>-1.8357962262376697</v>
      </c>
      <c r="S22" s="44">
        <f t="shared" si="1"/>
        <v>-1.3414565634928668</v>
      </c>
    </row>
    <row r="23" spans="1:19" ht="12" customHeight="1" x14ac:dyDescent="0.2">
      <c r="A23" s="37"/>
      <c r="B23" s="48"/>
      <c r="C23" s="49">
        <v>13.33</v>
      </c>
      <c r="D23" s="54"/>
      <c r="E23" s="39">
        <v>1722</v>
      </c>
      <c r="F23" s="40">
        <v>5.05</v>
      </c>
      <c r="G23" s="51">
        <v>-4.4000000000000004</v>
      </c>
      <c r="H23" s="44">
        <f t="shared" si="7"/>
        <v>5.91852</v>
      </c>
      <c r="I23" s="52">
        <f t="shared" si="6"/>
        <v>5.29</v>
      </c>
      <c r="J23" s="44">
        <f t="shared" si="2"/>
        <v>-0.62851999999999997</v>
      </c>
      <c r="K23" s="44">
        <f t="shared" si="3"/>
        <v>22.927600000000002</v>
      </c>
      <c r="L23" s="44">
        <f t="shared" si="4"/>
        <v>1.3500000000000023</v>
      </c>
      <c r="M23" s="53">
        <f t="shared" si="5"/>
        <v>-21.5776</v>
      </c>
      <c r="N23" s="228"/>
      <c r="O23" s="229"/>
      <c r="P23" s="230"/>
      <c r="Q23" s="47">
        <v>44601.464583333334</v>
      </c>
      <c r="R23" s="44">
        <f t="shared" si="0"/>
        <v>-1.1784750000171491</v>
      </c>
      <c r="S23" s="44">
        <f t="shared" si="1"/>
        <v>-1.3360743033988312</v>
      </c>
    </row>
    <row r="24" spans="1:19" ht="12" customHeight="1" x14ac:dyDescent="0.2">
      <c r="A24" s="37"/>
      <c r="B24" s="48"/>
      <c r="C24" s="49">
        <v>13.33</v>
      </c>
      <c r="D24" s="54"/>
      <c r="E24" s="39">
        <v>1950</v>
      </c>
      <c r="F24" s="40">
        <v>7.38</v>
      </c>
      <c r="G24" s="51"/>
      <c r="H24" s="44">
        <f t="shared" si="7"/>
        <v>3.0392400000000004</v>
      </c>
      <c r="I24" s="52">
        <f t="shared" si="6"/>
        <v>2.33</v>
      </c>
      <c r="J24" s="44">
        <f t="shared" si="2"/>
        <v>-0.70924000000000031</v>
      </c>
      <c r="K24" s="44">
        <f t="shared" si="3"/>
        <v>25.966840000000001</v>
      </c>
      <c r="L24" s="44">
        <f t="shared" si="4"/>
        <v>3.6800000000000024</v>
      </c>
      <c r="M24" s="53">
        <f t="shared" si="5"/>
        <v>-22.286839999999998</v>
      </c>
      <c r="N24" s="231"/>
      <c r="O24" s="229"/>
      <c r="P24" s="230"/>
      <c r="Q24" s="47">
        <v>44601.482638888891</v>
      </c>
      <c r="R24" s="44">
        <f t="shared" si="0"/>
        <v>-1.636707692249066</v>
      </c>
      <c r="S24" s="44">
        <f t="shared" si="1"/>
        <v>-1.3439300502433942</v>
      </c>
    </row>
    <row r="25" spans="1:19" ht="12" customHeight="1" x14ac:dyDescent="0.2">
      <c r="A25" s="37"/>
      <c r="B25" s="48"/>
      <c r="C25" s="49">
        <v>13.33</v>
      </c>
      <c r="D25" s="54"/>
      <c r="E25" s="39">
        <v>2475</v>
      </c>
      <c r="F25" s="40">
        <v>8.32</v>
      </c>
      <c r="G25" s="51">
        <v>-5</v>
      </c>
      <c r="H25" s="44">
        <f t="shared" si="7"/>
        <v>6.9982499999999996</v>
      </c>
      <c r="I25" s="52">
        <f t="shared" si="6"/>
        <v>5.94</v>
      </c>
      <c r="J25" s="44">
        <f t="shared" si="2"/>
        <v>-1.0582499999999992</v>
      </c>
      <c r="K25" s="44">
        <f t="shared" si="3"/>
        <v>32.965090000000004</v>
      </c>
      <c r="L25" s="44">
        <f t="shared" si="4"/>
        <v>9.6200000000000028</v>
      </c>
      <c r="M25" s="53">
        <f t="shared" si="5"/>
        <v>-23.345089999999999</v>
      </c>
      <c r="N25" s="228"/>
      <c r="O25" s="229"/>
      <c r="P25" s="230"/>
      <c r="Q25" s="47">
        <v>44601.521527777775</v>
      </c>
      <c r="R25" s="44">
        <f t="shared" si="0"/>
        <v>-1.1338392858368529</v>
      </c>
      <c r="S25" s="44">
        <f t="shared" si="1"/>
        <v>-1.3327358705997243</v>
      </c>
    </row>
    <row r="26" spans="1:19" ht="12" customHeight="1" x14ac:dyDescent="0.2">
      <c r="A26" s="37">
        <v>176.43</v>
      </c>
      <c r="B26" s="48"/>
      <c r="C26" s="49">
        <v>13.33</v>
      </c>
      <c r="D26" s="54"/>
      <c r="E26" s="39">
        <v>2998</v>
      </c>
      <c r="F26" s="40">
        <v>3.56</v>
      </c>
      <c r="G26" s="51">
        <v>-10.8</v>
      </c>
      <c r="H26" s="44">
        <f t="shared" si="7"/>
        <v>6.97159</v>
      </c>
      <c r="I26" s="52">
        <f>IF(F26="","",F26-F25-G26)</f>
        <v>6.0400000000000009</v>
      </c>
      <c r="J26" s="44">
        <f t="shared" si="2"/>
        <v>-0.93158999999999903</v>
      </c>
      <c r="K26" s="44">
        <f t="shared" si="3"/>
        <v>39.936680000000003</v>
      </c>
      <c r="L26" s="44">
        <f t="shared" si="4"/>
        <v>15.660000000000004</v>
      </c>
      <c r="M26" s="53">
        <f t="shared" si="5"/>
        <v>-24.276679999999999</v>
      </c>
      <c r="N26" s="228"/>
      <c r="O26" s="229"/>
      <c r="P26" s="230"/>
      <c r="Q26" s="47">
        <v>44601.552083333336</v>
      </c>
      <c r="R26" s="44">
        <f t="shared" si="0"/>
        <v>-1.2703499997916108</v>
      </c>
      <c r="S26" s="44">
        <f t="shared" si="1"/>
        <v>-1.3302290410874049</v>
      </c>
    </row>
    <row r="27" spans="1:19" ht="12" customHeight="1" x14ac:dyDescent="0.2">
      <c r="A27" s="37"/>
      <c r="B27" s="48"/>
      <c r="C27" s="49">
        <v>13.33</v>
      </c>
      <c r="D27" s="58"/>
      <c r="E27" s="39">
        <v>3288</v>
      </c>
      <c r="F27" s="40">
        <v>7.21</v>
      </c>
      <c r="G27" s="51"/>
      <c r="H27" s="44">
        <f t="shared" si="7"/>
        <v>3.8656999999999999</v>
      </c>
      <c r="I27" s="52">
        <f>IF(F27="","",F27-F26-G27)</f>
        <v>3.65</v>
      </c>
      <c r="J27" s="44">
        <f>IF(F27="","",I27-H27)</f>
        <v>-0.2157</v>
      </c>
      <c r="K27" s="44">
        <f>IF(F27="","",K26+H27)</f>
        <v>43.802379999999999</v>
      </c>
      <c r="L27" s="44">
        <f>IF(F27="","",L26+I27)</f>
        <v>19.310000000000002</v>
      </c>
      <c r="M27" s="53">
        <f>IF(F27="","",L27-K27)</f>
        <v>-24.492379999999997</v>
      </c>
      <c r="N27" s="231"/>
      <c r="O27" s="229"/>
      <c r="P27" s="230"/>
      <c r="Q27" s="47">
        <v>44601.576388888891</v>
      </c>
      <c r="R27" s="44">
        <f t="shared" si="0"/>
        <v>-0.36977142858372775</v>
      </c>
      <c r="S27" s="44">
        <f t="shared" si="1"/>
        <v>-1.3004803539756018</v>
      </c>
    </row>
    <row r="28" spans="1:19" ht="12" customHeight="1" x14ac:dyDescent="0.2">
      <c r="A28" s="37"/>
      <c r="B28" s="48"/>
      <c r="C28" s="49">
        <v>13.33</v>
      </c>
      <c r="D28" s="58"/>
      <c r="E28" s="39">
        <v>3637</v>
      </c>
      <c r="F28" s="40">
        <v>5.65</v>
      </c>
      <c r="G28" s="51">
        <v>-5.5</v>
      </c>
      <c r="H28" s="44">
        <f t="shared" si="7"/>
        <v>4.6521699999999999</v>
      </c>
      <c r="I28" s="52">
        <f>IF(F28="","",F28-F27-G28)</f>
        <v>3.9400000000000004</v>
      </c>
      <c r="J28" s="44">
        <f t="shared" si="2"/>
        <v>-0.71216999999999953</v>
      </c>
      <c r="K28" s="44">
        <f t="shared" si="3"/>
        <v>48.454549999999998</v>
      </c>
      <c r="L28" s="44">
        <f t="shared" si="4"/>
        <v>23.250000000000004</v>
      </c>
      <c r="M28" s="53">
        <f t="shared" si="5"/>
        <v>-25.204549999999994</v>
      </c>
      <c r="N28" s="231"/>
      <c r="O28" s="229"/>
      <c r="P28" s="230"/>
      <c r="Q28" s="47">
        <v>44601.597916666666</v>
      </c>
      <c r="R28" s="44">
        <f t="shared" si="0"/>
        <v>-1.3783935485527383</v>
      </c>
      <c r="S28" s="44">
        <f t="shared" si="1"/>
        <v>-1.3025607235118606</v>
      </c>
    </row>
    <row r="29" spans="1:19" ht="12" customHeight="1" x14ac:dyDescent="0.2">
      <c r="A29" s="37"/>
      <c r="B29" s="48"/>
      <c r="C29" s="49">
        <v>13.33</v>
      </c>
      <c r="D29" s="58"/>
      <c r="E29" s="39">
        <v>4904</v>
      </c>
      <c r="F29" s="40">
        <v>4.93</v>
      </c>
      <c r="G29" s="51">
        <v>-12.8</v>
      </c>
      <c r="H29" s="44">
        <f t="shared" si="7"/>
        <v>16.889110000000002</v>
      </c>
      <c r="I29" s="52">
        <f t="shared" si="6"/>
        <v>12.08</v>
      </c>
      <c r="J29" s="44">
        <f t="shared" si="2"/>
        <v>-4.8091100000000022</v>
      </c>
      <c r="K29" s="44">
        <f t="shared" si="3"/>
        <v>65.34366</v>
      </c>
      <c r="L29" s="44">
        <f t="shared" si="4"/>
        <v>35.330000000000005</v>
      </c>
      <c r="M29" s="53">
        <f t="shared" si="5"/>
        <v>-30.013659999999994</v>
      </c>
      <c r="N29" s="228"/>
      <c r="O29" s="229"/>
      <c r="P29" s="230"/>
      <c r="Q29" s="47">
        <v>44601.69027777778</v>
      </c>
      <c r="R29" s="44">
        <f t="shared" si="0"/>
        <v>-2.1695233082061121</v>
      </c>
      <c r="S29" s="44">
        <f t="shared" si="1"/>
        <v>-1.391668933532902</v>
      </c>
    </row>
    <row r="30" spans="1:19" ht="12" customHeight="1" x14ac:dyDescent="0.2">
      <c r="A30" s="37"/>
      <c r="B30" s="48"/>
      <c r="C30" s="49">
        <v>13.33</v>
      </c>
      <c r="D30" s="58"/>
      <c r="E30" s="39">
        <v>5276</v>
      </c>
      <c r="F30" s="40">
        <v>7.81</v>
      </c>
      <c r="G30" s="59"/>
      <c r="H30" s="44">
        <f t="shared" si="7"/>
        <v>4.9587599999999998</v>
      </c>
      <c r="I30" s="52">
        <f t="shared" si="6"/>
        <v>2.88</v>
      </c>
      <c r="J30" s="44">
        <f t="shared" si="2"/>
        <v>-2.0787599999999999</v>
      </c>
      <c r="K30" s="44">
        <f t="shared" si="3"/>
        <v>70.302419999999998</v>
      </c>
      <c r="L30" s="44">
        <f t="shared" si="4"/>
        <v>38.210000000000008</v>
      </c>
      <c r="M30" s="53">
        <f t="shared" si="5"/>
        <v>-32.09241999999999</v>
      </c>
      <c r="N30" s="228"/>
      <c r="O30" s="229"/>
      <c r="P30" s="230"/>
      <c r="Q30" s="47">
        <v>44601.736805555556</v>
      </c>
      <c r="R30" s="44">
        <f t="shared" si="0"/>
        <v>-1.861576119448269</v>
      </c>
      <c r="S30" s="44">
        <f t="shared" si="1"/>
        <v>-1.4148017634046588</v>
      </c>
    </row>
    <row r="31" spans="1:19" ht="12" customHeight="1" x14ac:dyDescent="0.2">
      <c r="A31" s="37"/>
      <c r="B31" s="48"/>
      <c r="C31" s="49">
        <v>13.33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13.33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117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13.33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13.33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13.33</v>
      </c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13.33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13.33</v>
      </c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13.33</v>
      </c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13.33</v>
      </c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13.33</v>
      </c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13.33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116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13.33</v>
      </c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13.33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13.33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13.33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13.33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13.33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13.33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13.33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13.33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13.33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13.33</v>
      </c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13.33</v>
      </c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13.33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13.33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13.33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13.33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13.33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13.33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13.33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 t="s">
        <v>117</v>
      </c>
      <c r="O60" s="244"/>
      <c r="P60" s="245"/>
      <c r="Q60" s="65">
        <v>44583.590277777781</v>
      </c>
      <c r="R60" s="44" t="e">
        <f t="shared" si="0"/>
        <v>#VALUE!</v>
      </c>
      <c r="S60" s="44" t="e">
        <f t="shared" si="1"/>
        <v>#VALUE!</v>
      </c>
    </row>
    <row r="61" spans="1:19" ht="12" customHeight="1" x14ac:dyDescent="0.2">
      <c r="B61" s="48"/>
      <c r="C61" s="49">
        <v>13.33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>
        <v>44583.605555555558</v>
      </c>
      <c r="R61" s="44" t="e">
        <f t="shared" si="0"/>
        <v>#VALUE!</v>
      </c>
      <c r="S61" s="44" t="e">
        <f t="shared" si="1"/>
        <v>#VALUE!</v>
      </c>
    </row>
    <row r="62" spans="1:19" ht="12" customHeight="1" x14ac:dyDescent="0.2">
      <c r="B62" s="48"/>
      <c r="C62" s="49">
        <v>13.33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13.33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13.33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 t="s">
        <v>118</v>
      </c>
      <c r="O64" s="244"/>
      <c r="P64" s="245"/>
      <c r="Q64" s="65">
        <v>44583.649305555555</v>
      </c>
      <c r="R64" s="44" t="e">
        <f t="shared" si="0"/>
        <v>#VALUE!</v>
      </c>
      <c r="S64" s="44" t="e">
        <f t="shared" si="1"/>
        <v>#VALUE!</v>
      </c>
    </row>
    <row r="65" spans="2:19" x14ac:dyDescent="0.2">
      <c r="B65" s="48"/>
      <c r="C65" s="49">
        <v>13.33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>
        <v>44583.652777777781</v>
      </c>
      <c r="R65" s="44" t="e">
        <f t="shared" si="0"/>
        <v>#VALUE!</v>
      </c>
      <c r="S65" s="44" t="e">
        <f t="shared" si="1"/>
        <v>#VALUE!</v>
      </c>
    </row>
    <row r="66" spans="2:19" x14ac:dyDescent="0.2">
      <c r="B66" s="48"/>
      <c r="C66" s="49">
        <v>13.33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13.33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13.33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 t="s">
        <v>119</v>
      </c>
      <c r="O68" s="244"/>
      <c r="P68" s="245"/>
      <c r="Q68" s="47">
        <v>44583.725694444445</v>
      </c>
      <c r="R68" s="44" t="e">
        <f t="shared" si="0"/>
        <v>#VALUE!</v>
      </c>
      <c r="S68" s="44" t="e">
        <f t="shared" si="1"/>
        <v>#VALUE!</v>
      </c>
    </row>
    <row r="69" spans="2:19" x14ac:dyDescent="0.2">
      <c r="B69" s="48"/>
      <c r="C69" s="49">
        <v>13.33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>
        <v>44583.744444444441</v>
      </c>
      <c r="R69" s="44" t="e">
        <f t="shared" si="0"/>
        <v>#VALUE!</v>
      </c>
      <c r="S69" s="44" t="e">
        <f t="shared" si="1"/>
        <v>#VALUE!</v>
      </c>
    </row>
    <row r="70" spans="2:19" x14ac:dyDescent="0.2">
      <c r="B70" s="48"/>
      <c r="C70" s="49">
        <v>13.33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13.33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13.33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13.33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>
        <v>13.33</v>
      </c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>
        <v>13.33</v>
      </c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>
        <v>13.33</v>
      </c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52"/>
      <c r="O76" s="153"/>
      <c r="P76" s="154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>
        <v>13.33</v>
      </c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52"/>
      <c r="O77" s="153"/>
      <c r="P77" s="154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>
        <v>13.33</v>
      </c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52"/>
      <c r="O78" s="153"/>
      <c r="P78" s="154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>
        <v>13.33</v>
      </c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52"/>
      <c r="O79" s="153"/>
      <c r="P79" s="154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>
        <v>13.33</v>
      </c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>
        <v>13.33</v>
      </c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>
        <v>13.33</v>
      </c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U112"/>
  <sheetViews>
    <sheetView zoomScaleNormal="100" workbookViewId="0">
      <selection activeCell="E24" sqref="E2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48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51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49" t="s">
        <v>20</v>
      </c>
      <c r="I5" s="150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49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50" t="s">
        <v>28</v>
      </c>
      <c r="E6" s="39">
        <v>5494</v>
      </c>
      <c r="F6" s="40">
        <v>4.92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44599.322916666664</v>
      </c>
      <c r="R6" s="11"/>
      <c r="S6" s="11"/>
    </row>
    <row r="7" spans="1:20" ht="12" customHeight="1" x14ac:dyDescent="0.2">
      <c r="A7" s="37"/>
      <c r="B7" s="48" t="s">
        <v>36</v>
      </c>
      <c r="C7" s="49">
        <v>4.41</v>
      </c>
      <c r="D7" s="39"/>
      <c r="E7" s="39">
        <v>5494</v>
      </c>
      <c r="F7" s="40">
        <v>4.57</v>
      </c>
      <c r="G7" s="51"/>
      <c r="H7" s="44">
        <f>IF(E7="","",((E7-E6)*C7)/1000)</f>
        <v>0</v>
      </c>
      <c r="I7" s="52">
        <f>IF(F7="","",F7-F6-G7)</f>
        <v>-0.34999999999999964</v>
      </c>
      <c r="J7" s="44">
        <f>IF(F7="","",I7-H7)</f>
        <v>-0.34999999999999964</v>
      </c>
      <c r="K7" s="44">
        <f>IF(F7="","",K6+H7)</f>
        <v>0</v>
      </c>
      <c r="L7" s="44">
        <f>IF(F7="","",L6+I7)</f>
        <v>-0.34999999999999964</v>
      </c>
      <c r="M7" s="53">
        <f>IF(F7="","",L7-K7)</f>
        <v>-0.34999999999999964</v>
      </c>
      <c r="N7" s="231"/>
      <c r="O7" s="229"/>
      <c r="P7" s="230"/>
      <c r="Q7" s="47">
        <v>44599.332638888889</v>
      </c>
      <c r="R7" s="44">
        <f t="shared" ref="R7:R70" si="0">IF(Q7="","",J7/((Q7-Q6)*24))</f>
        <v>-1.4999999996008602</v>
      </c>
      <c r="S7" s="44">
        <f t="shared" ref="S7:S70" si="1">IF(Q7="","",M7/((Q7-$Q$6)*24))</f>
        <v>-1.4999999996008602</v>
      </c>
    </row>
    <row r="8" spans="1:20" ht="12" customHeight="1" x14ac:dyDescent="0.2">
      <c r="A8" s="37"/>
      <c r="B8" s="48"/>
      <c r="C8" s="49">
        <v>4.41</v>
      </c>
      <c r="D8" s="54"/>
      <c r="E8" s="39">
        <v>5464</v>
      </c>
      <c r="F8" s="40">
        <v>7.92</v>
      </c>
      <c r="G8" s="51">
        <v>4</v>
      </c>
      <c r="H8" s="44">
        <f>IF(E8="","",((E8-E7)*C8)/1000)</f>
        <v>-0.1323</v>
      </c>
      <c r="I8" s="52">
        <f>IF(F8="","",F8-F7-G8)</f>
        <v>-0.65000000000000036</v>
      </c>
      <c r="J8" s="44">
        <f>IF(F8="","",I8-H8)</f>
        <v>-0.51770000000000038</v>
      </c>
      <c r="K8" s="44">
        <f>IF(F8="","",K7+H8)</f>
        <v>-0.1323</v>
      </c>
      <c r="L8" s="44">
        <f>IF(F8="","",L7+I8)</f>
        <v>-1</v>
      </c>
      <c r="M8" s="53">
        <f>IF(F8="","",L8-K8)</f>
        <v>-0.86770000000000003</v>
      </c>
      <c r="N8" s="231"/>
      <c r="O8" s="229"/>
      <c r="P8" s="230"/>
      <c r="Q8" s="47">
        <v>44599.345833333333</v>
      </c>
      <c r="R8" s="44">
        <f t="shared" si="0"/>
        <v>-1.6348421053432942</v>
      </c>
      <c r="S8" s="44">
        <f t="shared" si="1"/>
        <v>-1.5776363635027919</v>
      </c>
      <c r="T8" s="55"/>
    </row>
    <row r="9" spans="1:20" ht="12" customHeight="1" x14ac:dyDescent="0.2">
      <c r="A9" s="37"/>
      <c r="B9" s="48"/>
      <c r="C9" s="49">
        <v>4.41</v>
      </c>
      <c r="D9" s="54"/>
      <c r="E9" s="39">
        <v>5269</v>
      </c>
      <c r="F9" s="40">
        <v>6.6</v>
      </c>
      <c r="G9" s="51"/>
      <c r="H9" s="44">
        <f>IF(E9="","",((E9-E8)*C9)/1000)</f>
        <v>-0.85994999999999999</v>
      </c>
      <c r="I9" s="52">
        <f>IF(F9="","",F9-F8-G9)</f>
        <v>-1.3200000000000003</v>
      </c>
      <c r="J9" s="44">
        <f>IF(F9="","",I9-H9)</f>
        <v>-0.46005000000000029</v>
      </c>
      <c r="K9" s="44">
        <f>IF(F9="","",K8+H9)</f>
        <v>-0.99224999999999997</v>
      </c>
      <c r="L9" s="44">
        <f>IF(F9="","",L8+I9)</f>
        <v>-2.3200000000000003</v>
      </c>
      <c r="M9" s="53">
        <f>IF(F9="","",L9-K9)</f>
        <v>-1.3277500000000004</v>
      </c>
      <c r="N9" s="228"/>
      <c r="O9" s="229"/>
      <c r="P9" s="230"/>
      <c r="Q9" s="47">
        <v>44599.371527777781</v>
      </c>
      <c r="R9" s="44">
        <f t="shared" si="0"/>
        <v>-0.74602702691905309</v>
      </c>
      <c r="S9" s="44">
        <f t="shared" si="1"/>
        <v>-1.1380714284389399</v>
      </c>
    </row>
    <row r="10" spans="1:20" ht="12" customHeight="1" x14ac:dyDescent="0.2">
      <c r="A10" s="37"/>
      <c r="B10" s="48"/>
      <c r="C10" s="49">
        <v>4.41</v>
      </c>
      <c r="D10" s="54"/>
      <c r="E10" s="39">
        <v>4883</v>
      </c>
      <c r="F10" s="40">
        <v>7.27</v>
      </c>
      <c r="G10" s="51">
        <v>3.5</v>
      </c>
      <c r="H10" s="44">
        <f>IF(E10="","",((E10-E9)*C10)/1000)</f>
        <v>-1.7022599999999999</v>
      </c>
      <c r="I10" s="52">
        <f>IF(F10="","",F10-F9-G10)</f>
        <v>-2.83</v>
      </c>
      <c r="J10" s="44">
        <f t="shared" ref="J10:J73" si="2">IF(F10="","",I10-H10)</f>
        <v>-1.1277400000000002</v>
      </c>
      <c r="K10" s="44">
        <f t="shared" ref="K10:K73" si="3">IF(F10="","",K9+H10)</f>
        <v>-2.6945099999999997</v>
      </c>
      <c r="L10" s="44">
        <f t="shared" ref="L10:L73" si="4">IF(F10="","",L9+I10)</f>
        <v>-5.15</v>
      </c>
      <c r="M10" s="53">
        <f t="shared" ref="M10:M73" si="5">IF(F10="","",L10-K10)</f>
        <v>-2.4554900000000006</v>
      </c>
      <c r="N10" s="249"/>
      <c r="O10" s="250"/>
      <c r="P10" s="251"/>
      <c r="Q10" s="47">
        <v>44599.397222222222</v>
      </c>
      <c r="R10" s="44">
        <f t="shared" si="0"/>
        <v>-1.8287675678207422</v>
      </c>
      <c r="S10" s="44">
        <f t="shared" si="1"/>
        <v>-1.3769102803348823</v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>
        <v>4592</v>
      </c>
      <c r="F11" s="56">
        <v>4.83</v>
      </c>
      <c r="G11" s="51"/>
      <c r="H11" s="44">
        <f>IF(E11="","",((E11-E10)*C11)/1000)</f>
        <v>-1.28331</v>
      </c>
      <c r="I11" s="52">
        <f t="shared" ref="I11:I74" si="6">IF(F11="","",F11-F10-G11)</f>
        <v>-2.4399999999999995</v>
      </c>
      <c r="J11" s="44">
        <f t="shared" si="2"/>
        <v>-1.1566899999999996</v>
      </c>
      <c r="K11" s="44">
        <f t="shared" si="3"/>
        <v>-3.9778199999999995</v>
      </c>
      <c r="L11" s="44">
        <f t="shared" si="4"/>
        <v>-7.59</v>
      </c>
      <c r="M11" s="53">
        <f t="shared" si="5"/>
        <v>-3.6121800000000004</v>
      </c>
      <c r="N11" s="228"/>
      <c r="O11" s="229"/>
      <c r="P11" s="230"/>
      <c r="Q11" s="47">
        <v>44599.413194444445</v>
      </c>
      <c r="R11" s="44">
        <f t="shared" si="0"/>
        <v>-3.0174521736992213</v>
      </c>
      <c r="S11" s="44">
        <f t="shared" si="1"/>
        <v>-1.6671599999402824</v>
      </c>
    </row>
    <row r="12" spans="1:20" ht="12" customHeight="1" x14ac:dyDescent="0.2">
      <c r="A12" s="37"/>
      <c r="B12" s="48"/>
      <c r="C12" s="49">
        <v>4.41</v>
      </c>
      <c r="D12" s="54"/>
      <c r="E12" s="39">
        <v>3375</v>
      </c>
      <c r="F12" s="56">
        <v>6.21</v>
      </c>
      <c r="G12" s="51">
        <v>10</v>
      </c>
      <c r="H12" s="44">
        <f t="shared" ref="H12:H74" si="7">IF(E12="","",((E12-E11)*C12)/1000)</f>
        <v>-5.3669700000000002</v>
      </c>
      <c r="I12" s="52">
        <f t="shared" si="6"/>
        <v>-8.620000000000001</v>
      </c>
      <c r="J12" s="44">
        <f t="shared" si="2"/>
        <v>-3.2530300000000008</v>
      </c>
      <c r="K12" s="44">
        <f t="shared" si="3"/>
        <v>-9.3447899999999997</v>
      </c>
      <c r="L12" s="44">
        <f t="shared" si="4"/>
        <v>-16.21</v>
      </c>
      <c r="M12" s="53">
        <f t="shared" si="5"/>
        <v>-6.8652100000000011</v>
      </c>
      <c r="N12" s="228"/>
      <c r="O12" s="229"/>
      <c r="P12" s="230"/>
      <c r="Q12" s="47">
        <v>44599.46875</v>
      </c>
      <c r="R12" s="44">
        <f t="shared" si="0"/>
        <v>-2.4397725000355037</v>
      </c>
      <c r="S12" s="44">
        <f t="shared" si="1"/>
        <v>-1.9614885713959507</v>
      </c>
    </row>
    <row r="13" spans="1:20" ht="12" customHeight="1" x14ac:dyDescent="0.2">
      <c r="A13" s="37"/>
      <c r="B13" s="48"/>
      <c r="C13" s="49">
        <v>4.41</v>
      </c>
      <c r="D13" s="54"/>
      <c r="E13" s="39">
        <v>3027</v>
      </c>
      <c r="F13" s="56">
        <v>3.62</v>
      </c>
      <c r="G13" s="51"/>
      <c r="H13" s="44">
        <f>IF(E13="","",((E13-E12)*C13)/1000)</f>
        <v>-1.53468</v>
      </c>
      <c r="I13" s="52">
        <f t="shared" si="6"/>
        <v>-2.59</v>
      </c>
      <c r="J13" s="44">
        <f t="shared" si="2"/>
        <v>-1.0553199999999998</v>
      </c>
      <c r="K13" s="44">
        <f t="shared" si="3"/>
        <v>-10.87947</v>
      </c>
      <c r="L13" s="44">
        <f t="shared" si="4"/>
        <v>-18.8</v>
      </c>
      <c r="M13" s="53">
        <f t="shared" si="5"/>
        <v>-7.9205300000000012</v>
      </c>
      <c r="N13" s="231"/>
      <c r="O13" s="229"/>
      <c r="P13" s="230"/>
      <c r="Q13" s="47">
        <v>44599.486111111109</v>
      </c>
      <c r="R13" s="44">
        <f t="shared" si="0"/>
        <v>-2.5327680002358819</v>
      </c>
      <c r="S13" s="44">
        <f t="shared" si="1"/>
        <v>-2.0222629787133868</v>
      </c>
    </row>
    <row r="14" spans="1:20" ht="12" customHeight="1" x14ac:dyDescent="0.2">
      <c r="A14" s="37"/>
      <c r="B14" s="48"/>
      <c r="C14" s="49">
        <v>4.41</v>
      </c>
      <c r="D14" s="54"/>
      <c r="E14" s="39">
        <v>2390</v>
      </c>
      <c r="F14" s="56">
        <v>3.9</v>
      </c>
      <c r="G14" s="51">
        <v>5</v>
      </c>
      <c r="H14" s="44">
        <f t="shared" si="7"/>
        <v>-2.8091699999999999</v>
      </c>
      <c r="I14" s="52">
        <f t="shared" si="6"/>
        <v>-4.7200000000000006</v>
      </c>
      <c r="J14" s="44">
        <f t="shared" si="2"/>
        <v>-1.9108300000000007</v>
      </c>
      <c r="K14" s="44">
        <f t="shared" si="3"/>
        <v>-13.688639999999999</v>
      </c>
      <c r="L14" s="44">
        <f t="shared" si="4"/>
        <v>-23.520000000000003</v>
      </c>
      <c r="M14" s="53">
        <f t="shared" si="5"/>
        <v>-9.8313600000000037</v>
      </c>
      <c r="N14" s="231"/>
      <c r="O14" s="229"/>
      <c r="P14" s="230"/>
      <c r="Q14" s="47">
        <v>44599.51666666667</v>
      </c>
      <c r="R14" s="44">
        <f t="shared" si="0"/>
        <v>-2.6056772722998391</v>
      </c>
      <c r="S14" s="44">
        <f t="shared" si="1"/>
        <v>-2.1142709676784182</v>
      </c>
    </row>
    <row r="15" spans="1:20" ht="12" customHeight="1" x14ac:dyDescent="0.2">
      <c r="A15" s="37"/>
      <c r="B15" s="48"/>
      <c r="C15" s="49">
        <v>4.41</v>
      </c>
      <c r="D15" s="54"/>
      <c r="E15" s="39">
        <v>2390</v>
      </c>
      <c r="F15" s="40">
        <v>3.79</v>
      </c>
      <c r="G15" s="51"/>
      <c r="H15" s="44">
        <f t="shared" si="7"/>
        <v>0</v>
      </c>
      <c r="I15" s="52">
        <f t="shared" si="6"/>
        <v>-0.10999999999999988</v>
      </c>
      <c r="J15" s="44">
        <f t="shared" si="2"/>
        <v>-0.10999999999999988</v>
      </c>
      <c r="K15" s="44">
        <f t="shared" si="3"/>
        <v>-13.688639999999999</v>
      </c>
      <c r="L15" s="44">
        <f t="shared" si="4"/>
        <v>-23.630000000000003</v>
      </c>
      <c r="M15" s="53">
        <f t="shared" si="5"/>
        <v>-9.9413600000000031</v>
      </c>
      <c r="N15" s="231"/>
      <c r="O15" s="229"/>
      <c r="P15" s="230"/>
      <c r="Q15" s="47">
        <v>44599.523611111108</v>
      </c>
      <c r="R15" s="44">
        <f t="shared" si="0"/>
        <v>-0.66000000061467212</v>
      </c>
      <c r="S15" s="44">
        <f t="shared" si="1"/>
        <v>-2.0639501730170324</v>
      </c>
    </row>
    <row r="16" spans="1:20" ht="12" customHeight="1" x14ac:dyDescent="0.2">
      <c r="A16" s="37"/>
      <c r="B16" s="48"/>
      <c r="C16" s="49">
        <v>4.41</v>
      </c>
      <c r="D16" s="57"/>
      <c r="E16" s="39">
        <v>1801</v>
      </c>
      <c r="F16" s="40">
        <v>4.74</v>
      </c>
      <c r="G16" s="51">
        <v>5.5</v>
      </c>
      <c r="H16" s="44">
        <f t="shared" si="7"/>
        <v>-2.5974900000000001</v>
      </c>
      <c r="I16" s="52">
        <f t="shared" si="6"/>
        <v>-4.55</v>
      </c>
      <c r="J16" s="44">
        <f t="shared" si="2"/>
        <v>-1.9525099999999997</v>
      </c>
      <c r="K16" s="44">
        <f t="shared" si="3"/>
        <v>-16.28613</v>
      </c>
      <c r="L16" s="44">
        <f t="shared" si="4"/>
        <v>-28.180000000000003</v>
      </c>
      <c r="M16" s="53">
        <f t="shared" si="5"/>
        <v>-11.893870000000003</v>
      </c>
      <c r="N16" s="228"/>
      <c r="O16" s="229"/>
      <c r="P16" s="230"/>
      <c r="Q16" s="47">
        <v>44599.557638888888</v>
      </c>
      <c r="R16" s="44">
        <f t="shared" si="0"/>
        <v>-2.390828571303607</v>
      </c>
      <c r="S16" s="44">
        <f t="shared" si="1"/>
        <v>-2.1113378698123051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>
        <v>1317</v>
      </c>
      <c r="F17" s="40">
        <v>6.25</v>
      </c>
      <c r="G17" s="51">
        <v>5</v>
      </c>
      <c r="H17" s="44">
        <f t="shared" si="7"/>
        <v>-2.1344400000000001</v>
      </c>
      <c r="I17" s="52">
        <f t="shared" si="6"/>
        <v>-3.49</v>
      </c>
      <c r="J17" s="44">
        <f t="shared" si="2"/>
        <v>-1.3555600000000001</v>
      </c>
      <c r="K17" s="44">
        <f t="shared" si="3"/>
        <v>-18.420570000000001</v>
      </c>
      <c r="L17" s="44">
        <f t="shared" si="4"/>
        <v>-31.67</v>
      </c>
      <c r="M17" s="53">
        <f t="shared" si="5"/>
        <v>-13.24943</v>
      </c>
      <c r="N17" s="231"/>
      <c r="O17" s="229"/>
      <c r="P17" s="230"/>
      <c r="Q17" s="47">
        <v>44599.587500000001</v>
      </c>
      <c r="R17" s="44">
        <f t="shared" si="0"/>
        <v>-1.8914790695933326</v>
      </c>
      <c r="S17" s="44">
        <f t="shared" si="1"/>
        <v>-2.0865244094182169</v>
      </c>
    </row>
    <row r="18" spans="1:19" ht="12" customHeight="1" x14ac:dyDescent="0.2">
      <c r="A18" s="37"/>
      <c r="B18" s="48"/>
      <c r="C18" s="49">
        <v>4.41</v>
      </c>
      <c r="D18" s="54"/>
      <c r="E18" s="39">
        <v>591</v>
      </c>
      <c r="F18" s="40">
        <v>6.59</v>
      </c>
      <c r="G18" s="51">
        <v>5</v>
      </c>
      <c r="H18" s="44">
        <f t="shared" si="7"/>
        <v>-3.2016600000000004</v>
      </c>
      <c r="I18" s="52">
        <f t="shared" si="6"/>
        <v>-4.66</v>
      </c>
      <c r="J18" s="44">
        <f t="shared" si="2"/>
        <v>-1.4583399999999997</v>
      </c>
      <c r="K18" s="44">
        <f t="shared" si="3"/>
        <v>-21.622230000000002</v>
      </c>
      <c r="L18" s="44">
        <f t="shared" si="4"/>
        <v>-36.33</v>
      </c>
      <c r="M18" s="53">
        <f t="shared" si="5"/>
        <v>-14.707769999999996</v>
      </c>
      <c r="N18" s="231"/>
      <c r="O18" s="229"/>
      <c r="P18" s="230"/>
      <c r="Q18" s="47">
        <v>44599.620138888888</v>
      </c>
      <c r="R18" s="44">
        <f t="shared" si="0"/>
        <v>-1.8617106384546567</v>
      </c>
      <c r="S18" s="44">
        <f t="shared" si="1"/>
        <v>-2.0618369158799985</v>
      </c>
    </row>
    <row r="19" spans="1:19" ht="12" customHeight="1" x14ac:dyDescent="0.2">
      <c r="A19" s="37"/>
      <c r="B19" s="48"/>
      <c r="C19" s="49">
        <v>4.41</v>
      </c>
      <c r="D19" s="54"/>
      <c r="E19" s="39">
        <v>591</v>
      </c>
      <c r="F19" s="40">
        <v>6.49</v>
      </c>
      <c r="G19" s="51"/>
      <c r="H19" s="44">
        <f t="shared" si="7"/>
        <v>0</v>
      </c>
      <c r="I19" s="52">
        <f t="shared" si="6"/>
        <v>-9.9999999999999645E-2</v>
      </c>
      <c r="J19" s="44">
        <f t="shared" si="2"/>
        <v>-9.9999999999999645E-2</v>
      </c>
      <c r="K19" s="44">
        <f t="shared" si="3"/>
        <v>-21.622230000000002</v>
      </c>
      <c r="L19" s="44">
        <f t="shared" si="4"/>
        <v>-36.43</v>
      </c>
      <c r="M19" s="53">
        <f t="shared" si="5"/>
        <v>-14.807769999999998</v>
      </c>
      <c r="N19" s="228"/>
      <c r="O19" s="229"/>
      <c r="P19" s="230"/>
      <c r="Q19" s="47">
        <v>44599.624305555553</v>
      </c>
      <c r="R19" s="44">
        <f t="shared" si="0"/>
        <v>-1.0000000002328271</v>
      </c>
      <c r="S19" s="44">
        <f t="shared" si="1"/>
        <v>-2.0471571428560442</v>
      </c>
    </row>
    <row r="20" spans="1:19" ht="12" customHeight="1" x14ac:dyDescent="0.2">
      <c r="A20" s="37"/>
      <c r="B20" s="48"/>
      <c r="C20" s="49">
        <v>4.41</v>
      </c>
      <c r="D20" s="54"/>
      <c r="E20" s="39">
        <v>0</v>
      </c>
      <c r="F20" s="40">
        <v>7.11</v>
      </c>
      <c r="G20" s="40">
        <v>9</v>
      </c>
      <c r="H20" s="44">
        <f>IF(E20="","",((E20-E19)*C20)/1000)</f>
        <v>-2.6063100000000001</v>
      </c>
      <c r="I20" s="52">
        <f t="shared" si="6"/>
        <v>-8.379999999999999</v>
      </c>
      <c r="J20" s="44">
        <f t="shared" si="2"/>
        <v>-5.7736899999999984</v>
      </c>
      <c r="K20" s="44">
        <f t="shared" si="3"/>
        <v>-24.228540000000002</v>
      </c>
      <c r="L20" s="44">
        <f t="shared" si="4"/>
        <v>-44.81</v>
      </c>
      <c r="M20" s="53">
        <f t="shared" si="5"/>
        <v>-20.58146</v>
      </c>
      <c r="N20" s="242"/>
      <c r="O20" s="229"/>
      <c r="P20" s="230"/>
      <c r="Q20" s="47">
        <v>44599.756944444445</v>
      </c>
      <c r="R20" s="44">
        <f t="shared" si="0"/>
        <v>-1.8137246072878346</v>
      </c>
      <c r="S20" s="44">
        <f t="shared" si="1"/>
        <v>-1.9758201599852789</v>
      </c>
    </row>
    <row r="21" spans="1:19" ht="12" customHeight="1" x14ac:dyDescent="0.2">
      <c r="A21" s="37"/>
      <c r="B21" s="48"/>
      <c r="C21" s="49">
        <v>4.41</v>
      </c>
      <c r="D21" s="54"/>
      <c r="E21" s="39">
        <v>0</v>
      </c>
      <c r="F21" s="40">
        <v>6.79</v>
      </c>
      <c r="G21" s="51">
        <v>1.5</v>
      </c>
      <c r="H21" s="44">
        <f>IF(E21="","",((E21-E20)*C21)/1000)</f>
        <v>0</v>
      </c>
      <c r="I21" s="52">
        <f>IF(F21="","",F21-F20-G21)</f>
        <v>-1.8200000000000003</v>
      </c>
      <c r="J21" s="44">
        <f>IF(F21="","",I21-H21)</f>
        <v>-1.8200000000000003</v>
      </c>
      <c r="K21" s="44">
        <f>IF(F21="","",K20+H21)</f>
        <v>-24.228540000000002</v>
      </c>
      <c r="L21" s="44">
        <f>IF(F21="","",L20+I21)</f>
        <v>-46.63</v>
      </c>
      <c r="M21" s="53">
        <f>IF(F21="","",L21-K21)</f>
        <v>-22.40146</v>
      </c>
      <c r="N21" s="228"/>
      <c r="O21" s="229"/>
      <c r="P21" s="230"/>
      <c r="Q21" s="47">
        <v>44599.799305555556</v>
      </c>
      <c r="R21" s="44">
        <f t="shared" si="0"/>
        <v>-1.7901639344330627</v>
      </c>
      <c r="S21" s="44">
        <f t="shared" si="1"/>
        <v>-1.9593113702497558</v>
      </c>
    </row>
    <row r="22" spans="1:19" ht="12" customHeight="1" x14ac:dyDescent="0.2">
      <c r="A22" s="37"/>
      <c r="B22" s="48"/>
      <c r="C22" s="49">
        <v>4.41</v>
      </c>
      <c r="D22" s="54"/>
      <c r="E22" s="39">
        <v>0</v>
      </c>
      <c r="F22" s="40">
        <v>3.89</v>
      </c>
      <c r="G22" s="51"/>
      <c r="H22" s="44">
        <f t="shared" si="7"/>
        <v>0</v>
      </c>
      <c r="I22" s="52">
        <f>IF(F22="","",F22-F21-G22)</f>
        <v>-2.9</v>
      </c>
      <c r="J22" s="44">
        <f t="shared" si="2"/>
        <v>-2.9</v>
      </c>
      <c r="K22" s="44">
        <f t="shared" si="3"/>
        <v>-24.228540000000002</v>
      </c>
      <c r="L22" s="44">
        <f t="shared" si="4"/>
        <v>-49.53</v>
      </c>
      <c r="M22" s="53">
        <f t="shared" si="5"/>
        <v>-25.301459999999999</v>
      </c>
      <c r="N22" s="228"/>
      <c r="O22" s="229"/>
      <c r="P22" s="230"/>
      <c r="Q22" s="47">
        <v>44599.850694444445</v>
      </c>
      <c r="R22" s="44">
        <f t="shared" si="0"/>
        <v>-2.3513513513439532</v>
      </c>
      <c r="S22" s="44">
        <f t="shared" si="1"/>
        <v>-1.9974836841982875</v>
      </c>
    </row>
    <row r="23" spans="1:19" ht="12" customHeight="1" x14ac:dyDescent="0.2">
      <c r="A23" s="37"/>
      <c r="B23" s="48"/>
      <c r="C23" s="49">
        <v>4.41</v>
      </c>
      <c r="D23" s="54"/>
      <c r="E23" s="39">
        <v>0</v>
      </c>
      <c r="F23" s="40">
        <v>2.8</v>
      </c>
      <c r="G23" s="51">
        <v>15</v>
      </c>
      <c r="H23" s="44">
        <f t="shared" si="7"/>
        <v>0</v>
      </c>
      <c r="I23" s="52">
        <f t="shared" si="6"/>
        <v>-16.09</v>
      </c>
      <c r="J23" s="44">
        <f t="shared" si="2"/>
        <v>-16.09</v>
      </c>
      <c r="K23" s="44">
        <f t="shared" si="3"/>
        <v>-24.228540000000002</v>
      </c>
      <c r="L23" s="44">
        <f t="shared" si="4"/>
        <v>-65.62</v>
      </c>
      <c r="M23" s="53">
        <f t="shared" si="5"/>
        <v>-41.391460000000002</v>
      </c>
      <c r="N23" s="228"/>
      <c r="O23" s="229"/>
      <c r="P23" s="230"/>
      <c r="Q23" s="47">
        <v>44600.223611111112</v>
      </c>
      <c r="R23" s="44">
        <f t="shared" si="0"/>
        <v>-1.7977653631261532</v>
      </c>
      <c r="S23" s="44">
        <f t="shared" si="1"/>
        <v>-1.9147938319119091</v>
      </c>
    </row>
    <row r="24" spans="1:19" ht="12" customHeight="1" x14ac:dyDescent="0.2">
      <c r="A24" s="37"/>
      <c r="B24" s="48"/>
      <c r="C24" s="49">
        <v>4.41</v>
      </c>
      <c r="D24" s="54"/>
      <c r="E24" s="39">
        <v>0</v>
      </c>
      <c r="F24" s="40">
        <v>7.99</v>
      </c>
      <c r="G24" s="51">
        <v>7</v>
      </c>
      <c r="H24" s="44">
        <f t="shared" si="7"/>
        <v>0</v>
      </c>
      <c r="I24" s="52">
        <f t="shared" si="6"/>
        <v>-1.8099999999999996</v>
      </c>
      <c r="J24" s="44">
        <f t="shared" si="2"/>
        <v>-1.8099999999999996</v>
      </c>
      <c r="K24" s="44">
        <f t="shared" si="3"/>
        <v>-24.228540000000002</v>
      </c>
      <c r="L24" s="44">
        <f t="shared" si="4"/>
        <v>-67.430000000000007</v>
      </c>
      <c r="M24" s="53">
        <f t="shared" si="5"/>
        <v>-43.201460000000004</v>
      </c>
      <c r="N24" s="231"/>
      <c r="O24" s="229"/>
      <c r="P24" s="230"/>
      <c r="Q24" s="47">
        <v>44600.269444444442</v>
      </c>
      <c r="R24" s="44">
        <f t="shared" si="0"/>
        <v>-1.6454545455764444</v>
      </c>
      <c r="S24" s="44">
        <f t="shared" si="1"/>
        <v>-1.9017517241372814</v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4.41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4.41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4.41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4.41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4.41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4.41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117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4.41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4.41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4.41</v>
      </c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4.41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4.41</v>
      </c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4.41</v>
      </c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4.41</v>
      </c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4.41</v>
      </c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4.41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116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13.33</v>
      </c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13.33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13.33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13.33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13.33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13.33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13.33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13.33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13.33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13.33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13.33</v>
      </c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13.33</v>
      </c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13.33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13.33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13.33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13.33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13.33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13.33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13.33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 t="s">
        <v>117</v>
      </c>
      <c r="O60" s="244"/>
      <c r="P60" s="245"/>
      <c r="Q60" s="65">
        <v>44583.590277777781</v>
      </c>
      <c r="R60" s="44" t="e">
        <f t="shared" si="0"/>
        <v>#VALUE!</v>
      </c>
      <c r="S60" s="44" t="e">
        <f t="shared" si="1"/>
        <v>#VALUE!</v>
      </c>
    </row>
    <row r="61" spans="1:19" ht="12" customHeight="1" x14ac:dyDescent="0.2">
      <c r="B61" s="48"/>
      <c r="C61" s="49">
        <v>13.33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>
        <v>44583.605555555558</v>
      </c>
      <c r="R61" s="44" t="e">
        <f t="shared" si="0"/>
        <v>#VALUE!</v>
      </c>
      <c r="S61" s="44" t="e">
        <f t="shared" si="1"/>
        <v>#VALUE!</v>
      </c>
    </row>
    <row r="62" spans="1:19" ht="12" customHeight="1" x14ac:dyDescent="0.2">
      <c r="B62" s="48"/>
      <c r="C62" s="49">
        <v>13.33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13.33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13.33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 t="s">
        <v>118</v>
      </c>
      <c r="O64" s="244"/>
      <c r="P64" s="245"/>
      <c r="Q64" s="65">
        <v>44583.649305555555</v>
      </c>
      <c r="R64" s="44" t="e">
        <f t="shared" si="0"/>
        <v>#VALUE!</v>
      </c>
      <c r="S64" s="44" t="e">
        <f t="shared" si="1"/>
        <v>#VALUE!</v>
      </c>
    </row>
    <row r="65" spans="2:19" x14ac:dyDescent="0.2">
      <c r="B65" s="48"/>
      <c r="C65" s="49">
        <v>13.33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>
        <v>44583.652777777781</v>
      </c>
      <c r="R65" s="44" t="e">
        <f t="shared" si="0"/>
        <v>#VALUE!</v>
      </c>
      <c r="S65" s="44" t="e">
        <f t="shared" si="1"/>
        <v>#VALUE!</v>
      </c>
    </row>
    <row r="66" spans="2:19" x14ac:dyDescent="0.2">
      <c r="B66" s="48"/>
      <c r="C66" s="49">
        <v>13.33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13.33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13.33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 t="s">
        <v>119</v>
      </c>
      <c r="O68" s="244"/>
      <c r="P68" s="245"/>
      <c r="Q68" s="47">
        <v>44583.725694444445</v>
      </c>
      <c r="R68" s="44" t="e">
        <f t="shared" si="0"/>
        <v>#VALUE!</v>
      </c>
      <c r="S68" s="44" t="e">
        <f t="shared" si="1"/>
        <v>#VALUE!</v>
      </c>
    </row>
    <row r="69" spans="2:19" x14ac:dyDescent="0.2">
      <c r="B69" s="48"/>
      <c r="C69" s="49">
        <v>13.33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>
        <v>44583.744444444441</v>
      </c>
      <c r="R69" s="44" t="e">
        <f t="shared" si="0"/>
        <v>#VALUE!</v>
      </c>
      <c r="S69" s="44" t="e">
        <f t="shared" si="1"/>
        <v>#VALUE!</v>
      </c>
    </row>
    <row r="70" spans="2:19" x14ac:dyDescent="0.2">
      <c r="B70" s="48"/>
      <c r="C70" s="49">
        <v>13.33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13.33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13.33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13.33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>
        <v>13.33</v>
      </c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>
        <v>13.33</v>
      </c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>
        <v>13.33</v>
      </c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42"/>
      <c r="O76" s="143"/>
      <c r="P76" s="144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>
        <v>13.33</v>
      </c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42"/>
      <c r="O77" s="143"/>
      <c r="P77" s="144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>
        <v>13.33</v>
      </c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42"/>
      <c r="O78" s="143"/>
      <c r="P78" s="144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>
        <v>13.33</v>
      </c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42"/>
      <c r="O79" s="143"/>
      <c r="P79" s="144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>
        <v>13.33</v>
      </c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>
        <v>13.33</v>
      </c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>
        <v>13.33</v>
      </c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U112"/>
  <sheetViews>
    <sheetView zoomScaleNormal="100" workbookViewId="0">
      <selection activeCell="R20" sqref="R20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134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48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51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49" t="s">
        <v>20</v>
      </c>
      <c r="I5" s="150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49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50" t="s">
        <v>28</v>
      </c>
      <c r="E6" s="39">
        <v>387</v>
      </c>
      <c r="F6" s="40">
        <v>7.66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44598.494444444441</v>
      </c>
      <c r="R6" s="11"/>
      <c r="S6" s="11"/>
    </row>
    <row r="7" spans="1:20" ht="12" customHeight="1" x14ac:dyDescent="0.2">
      <c r="A7" s="37"/>
      <c r="B7" s="48" t="s">
        <v>135</v>
      </c>
      <c r="C7" s="49">
        <v>13.33</v>
      </c>
      <c r="D7" s="39"/>
      <c r="E7" s="39">
        <v>503</v>
      </c>
      <c r="F7" s="40">
        <v>9.15</v>
      </c>
      <c r="G7" s="51"/>
      <c r="H7" s="44">
        <f>IF(E7="","",((E7-E6)*C7)/1000)</f>
        <v>1.5462799999999999</v>
      </c>
      <c r="I7" s="52">
        <f>IF(F7="","",F7-F6-G7)</f>
        <v>1.4900000000000002</v>
      </c>
      <c r="J7" s="44">
        <f>IF(F7="","",I7-H7)</f>
        <v>-5.6279999999999664E-2</v>
      </c>
      <c r="K7" s="44">
        <f>IF(F7="","",K6+H7)</f>
        <v>1.5462799999999999</v>
      </c>
      <c r="L7" s="44">
        <f>IF(F7="","",L6+I7)</f>
        <v>1.4900000000000002</v>
      </c>
      <c r="M7" s="53">
        <f>IF(F7="","",L7-K7)</f>
        <v>-5.6279999999999664E-2</v>
      </c>
      <c r="N7" s="231"/>
      <c r="O7" s="229"/>
      <c r="P7" s="230"/>
      <c r="Q7" s="47">
        <v>44598.499305555553</v>
      </c>
      <c r="R7" s="44">
        <f t="shared" ref="R7:R70" si="0">IF(Q7="","",J7/((Q7-Q6)*24))</f>
        <v>-0.48239999987163423</v>
      </c>
      <c r="S7" s="44">
        <f t="shared" ref="S7:S70" si="1">IF(Q7="","",M7/((Q7-$Q$6)*24))</f>
        <v>-0.48239999987163423</v>
      </c>
    </row>
    <row r="8" spans="1:20" ht="12" customHeight="1" x14ac:dyDescent="0.2">
      <c r="A8" s="37"/>
      <c r="B8" s="48"/>
      <c r="C8" s="49">
        <v>13.33</v>
      </c>
      <c r="D8" s="54"/>
      <c r="E8" s="39">
        <v>657</v>
      </c>
      <c r="F8" s="40">
        <v>4.0199999999999996</v>
      </c>
      <c r="G8" s="51">
        <v>-7</v>
      </c>
      <c r="H8" s="44">
        <f>IF(E8="","",((E8-E7)*C8)/1000)</f>
        <v>2.0528200000000001</v>
      </c>
      <c r="I8" s="52">
        <f>IF(F8="","",F8-F7-G8)</f>
        <v>1.8699999999999992</v>
      </c>
      <c r="J8" s="44">
        <f>IF(F8="","",I8-H8)</f>
        <v>-0.18282000000000087</v>
      </c>
      <c r="K8" s="44">
        <f>IF(F8="","",K7+H8)</f>
        <v>3.5991</v>
      </c>
      <c r="L8" s="44">
        <f>IF(F8="","",L7+I8)</f>
        <v>3.3599999999999994</v>
      </c>
      <c r="M8" s="53">
        <f>IF(F8="","",L8-K8)</f>
        <v>-0.23910000000000053</v>
      </c>
      <c r="N8" s="231"/>
      <c r="O8" s="229"/>
      <c r="P8" s="230"/>
      <c r="Q8" s="47">
        <v>44598.522222222222</v>
      </c>
      <c r="R8" s="44">
        <f t="shared" si="0"/>
        <v>-0.33239999997185871</v>
      </c>
      <c r="S8" s="44">
        <f t="shared" si="1"/>
        <v>-0.35864999995824842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763</v>
      </c>
      <c r="F9" s="40">
        <v>4.29</v>
      </c>
      <c r="G9" s="51"/>
      <c r="H9" s="44">
        <f>IF(E9="","",((E9-E8)*C9)/1000)</f>
        <v>1.4129800000000001</v>
      </c>
      <c r="I9" s="52">
        <f>IF(F9="","",F9-F8-G9)</f>
        <v>0.27000000000000046</v>
      </c>
      <c r="J9" s="44">
        <f>IF(F9="","",I9-H9)</f>
        <v>-1.1429799999999997</v>
      </c>
      <c r="K9" s="44">
        <f>IF(F9="","",K8+H9)</f>
        <v>5.0120800000000001</v>
      </c>
      <c r="L9" s="44">
        <f>IF(F9="","",L8+I9)</f>
        <v>3.63</v>
      </c>
      <c r="M9" s="53">
        <f>IF(F9="","",L9-K9)</f>
        <v>-1.3820800000000002</v>
      </c>
      <c r="N9" s="228"/>
      <c r="O9" s="229"/>
      <c r="P9" s="230"/>
      <c r="Q9" s="47">
        <v>44598.547222222223</v>
      </c>
      <c r="R9" s="44">
        <f t="shared" si="0"/>
        <v>-1.9049666665557825</v>
      </c>
      <c r="S9" s="44">
        <f t="shared" si="1"/>
        <v>-1.091115789376746</v>
      </c>
    </row>
    <row r="10" spans="1:20" ht="12" customHeight="1" x14ac:dyDescent="0.2">
      <c r="A10" s="37"/>
      <c r="B10" s="48"/>
      <c r="C10" s="49">
        <v>13.33</v>
      </c>
      <c r="D10" s="54"/>
      <c r="E10" s="39">
        <v>889</v>
      </c>
      <c r="F10" s="40">
        <v>4.9800000000000004</v>
      </c>
      <c r="G10" s="51"/>
      <c r="H10" s="44">
        <f>IF(E10="","",((E10-E9)*C10)/1000)</f>
        <v>1.6795799999999999</v>
      </c>
      <c r="I10" s="52">
        <f>IF(F10="","",F10-F9-G10)</f>
        <v>0.69000000000000039</v>
      </c>
      <c r="J10" s="44">
        <f t="shared" ref="J10:J73" si="2">IF(F10="","",I10-H10)</f>
        <v>-0.98957999999999946</v>
      </c>
      <c r="K10" s="44">
        <f t="shared" ref="K10:K73" si="3">IF(F10="","",K9+H10)</f>
        <v>6.6916599999999997</v>
      </c>
      <c r="L10" s="44">
        <f t="shared" ref="L10:L73" si="4">IF(F10="","",L9+I10)</f>
        <v>4.32</v>
      </c>
      <c r="M10" s="53">
        <f t="shared" ref="M10:M73" si="5">IF(F10="","",L10-K10)</f>
        <v>-2.3716599999999994</v>
      </c>
      <c r="N10" s="249"/>
      <c r="O10" s="250"/>
      <c r="P10" s="251"/>
      <c r="Q10" s="47">
        <v>44598.568055555559</v>
      </c>
      <c r="R10" s="44">
        <f t="shared" si="0"/>
        <v>-1.9791599997695943</v>
      </c>
      <c r="S10" s="44">
        <f t="shared" si="1"/>
        <v>-1.3424490564740301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1072</v>
      </c>
      <c r="F11" s="56">
        <v>6.13</v>
      </c>
      <c r="G11" s="51"/>
      <c r="H11" s="44">
        <f>IF(E11="","",((E11-E10)*C11)/1000)</f>
        <v>2.4393899999999999</v>
      </c>
      <c r="I11" s="52">
        <f t="shared" ref="I11:I74" si="6">IF(F11="","",F11-F10-G11)</f>
        <v>1.1499999999999995</v>
      </c>
      <c r="J11" s="44">
        <f t="shared" si="2"/>
        <v>-1.2893900000000005</v>
      </c>
      <c r="K11" s="44">
        <f t="shared" si="3"/>
        <v>9.1310500000000001</v>
      </c>
      <c r="L11" s="44">
        <f t="shared" si="4"/>
        <v>5.47</v>
      </c>
      <c r="M11" s="53">
        <f t="shared" si="5"/>
        <v>-3.6610500000000004</v>
      </c>
      <c r="N11" s="228"/>
      <c r="O11" s="229"/>
      <c r="P11" s="230"/>
      <c r="Q11" s="47">
        <v>44598.595138888886</v>
      </c>
      <c r="R11" s="44">
        <f t="shared" si="0"/>
        <v>-1.9836769235387846</v>
      </c>
      <c r="S11" s="44">
        <f t="shared" si="1"/>
        <v>-1.5149172413671477</v>
      </c>
    </row>
    <row r="12" spans="1:20" ht="12" customHeight="1" x14ac:dyDescent="0.2">
      <c r="A12" s="37"/>
      <c r="B12" s="48"/>
      <c r="C12" s="49">
        <v>13.33</v>
      </c>
      <c r="D12" s="54"/>
      <c r="E12" s="39">
        <v>1171</v>
      </c>
      <c r="F12" s="56">
        <v>5.45</v>
      </c>
      <c r="G12" s="51"/>
      <c r="H12" s="44">
        <f t="shared" ref="H12:H74" si="7">IF(E12="","",((E12-E11)*C12)/1000)</f>
        <v>1.3196700000000001</v>
      </c>
      <c r="I12" s="52">
        <f t="shared" si="6"/>
        <v>-0.67999999999999972</v>
      </c>
      <c r="J12" s="44">
        <f t="shared" si="2"/>
        <v>-1.9996699999999998</v>
      </c>
      <c r="K12" s="44">
        <f t="shared" si="3"/>
        <v>10.45072</v>
      </c>
      <c r="L12" s="44">
        <f t="shared" si="4"/>
        <v>4.79</v>
      </c>
      <c r="M12" s="53">
        <f t="shared" si="5"/>
        <v>-5.6607200000000004</v>
      </c>
      <c r="N12" s="228"/>
      <c r="O12" s="229"/>
      <c r="P12" s="230"/>
      <c r="Q12" s="47">
        <v>44598.656944444447</v>
      </c>
      <c r="R12" s="44">
        <f t="shared" si="0"/>
        <v>-1.3480921347221326</v>
      </c>
      <c r="S12" s="44">
        <f t="shared" si="1"/>
        <v>-1.4514666666146752</v>
      </c>
    </row>
    <row r="13" spans="1:20" ht="12" customHeight="1" x14ac:dyDescent="0.2">
      <c r="A13" s="37"/>
      <c r="B13" s="48"/>
      <c r="C13" s="49">
        <v>13.33</v>
      </c>
      <c r="D13" s="54"/>
      <c r="E13" s="39">
        <v>1461</v>
      </c>
      <c r="F13" s="56">
        <v>7.01</v>
      </c>
      <c r="G13" s="51"/>
      <c r="H13" s="44">
        <f>IF(E13="","",((E13-E12)*C13)/1000)</f>
        <v>3.8656999999999999</v>
      </c>
      <c r="I13" s="52">
        <f t="shared" si="6"/>
        <v>1.5599999999999996</v>
      </c>
      <c r="J13" s="44">
        <f t="shared" si="2"/>
        <v>-2.3057000000000003</v>
      </c>
      <c r="K13" s="44">
        <f t="shared" si="3"/>
        <v>14.316420000000001</v>
      </c>
      <c r="L13" s="44">
        <f t="shared" si="4"/>
        <v>6.35</v>
      </c>
      <c r="M13" s="53">
        <f t="shared" si="5"/>
        <v>-7.9664200000000012</v>
      </c>
      <c r="N13" s="231"/>
      <c r="O13" s="229"/>
      <c r="P13" s="230"/>
      <c r="Q13" s="47">
        <v>44598.704861111109</v>
      </c>
      <c r="R13" s="44">
        <f t="shared" si="0"/>
        <v>-2.0049565219015011</v>
      </c>
      <c r="S13" s="44">
        <f t="shared" si="1"/>
        <v>-1.5775089108765432</v>
      </c>
    </row>
    <row r="14" spans="1:20" ht="12" customHeight="1" x14ac:dyDescent="0.2">
      <c r="A14" s="37"/>
      <c r="B14" s="48"/>
      <c r="C14" s="49">
        <v>13.33</v>
      </c>
      <c r="D14" s="54"/>
      <c r="E14" s="39">
        <v>1838</v>
      </c>
      <c r="F14" s="56">
        <v>5.0999999999999996</v>
      </c>
      <c r="G14" s="51">
        <v>-4.5</v>
      </c>
      <c r="H14" s="44">
        <f t="shared" si="7"/>
        <v>5.0254099999999999</v>
      </c>
      <c r="I14" s="52">
        <f t="shared" si="6"/>
        <v>2.59</v>
      </c>
      <c r="J14" s="44">
        <f t="shared" si="2"/>
        <v>-2.4354100000000001</v>
      </c>
      <c r="K14" s="44">
        <f t="shared" si="3"/>
        <v>19.341830000000002</v>
      </c>
      <c r="L14" s="44">
        <f t="shared" si="4"/>
        <v>8.94</v>
      </c>
      <c r="M14" s="53">
        <f t="shared" si="5"/>
        <v>-10.401830000000002</v>
      </c>
      <c r="N14" s="231"/>
      <c r="O14" s="229"/>
      <c r="P14" s="230"/>
      <c r="Q14" s="47">
        <v>44598.75277777778</v>
      </c>
      <c r="R14" s="44">
        <f t="shared" si="0"/>
        <v>-2.1177478259368896</v>
      </c>
      <c r="S14" s="44">
        <f t="shared" si="1"/>
        <v>-1.6777145160943805</v>
      </c>
    </row>
    <row r="15" spans="1:20" ht="12" customHeight="1" x14ac:dyDescent="0.2">
      <c r="A15" s="37"/>
      <c r="B15" s="48"/>
      <c r="C15" s="49">
        <v>13.33</v>
      </c>
      <c r="D15" s="54"/>
      <c r="E15" s="39">
        <v>2677</v>
      </c>
      <c r="F15" s="40">
        <v>8.52</v>
      </c>
      <c r="G15" s="51">
        <v>-5.04</v>
      </c>
      <c r="H15" s="44">
        <f t="shared" si="7"/>
        <v>11.183870000000001</v>
      </c>
      <c r="I15" s="52">
        <f t="shared" si="6"/>
        <v>8.4600000000000009</v>
      </c>
      <c r="J15" s="44">
        <f t="shared" si="2"/>
        <v>-2.7238699999999998</v>
      </c>
      <c r="K15" s="44">
        <f t="shared" si="3"/>
        <v>30.525700000000001</v>
      </c>
      <c r="L15" s="44">
        <f t="shared" si="4"/>
        <v>17.399999999999999</v>
      </c>
      <c r="M15" s="53">
        <f t="shared" si="5"/>
        <v>-13.125700000000002</v>
      </c>
      <c r="N15" s="231"/>
      <c r="O15" s="229"/>
      <c r="P15" s="230"/>
      <c r="Q15" s="47">
        <v>44598.814583333333</v>
      </c>
      <c r="R15" s="44">
        <f t="shared" si="0"/>
        <v>-1.8363168539998393</v>
      </c>
      <c r="S15" s="44">
        <f t="shared" si="1"/>
        <v>-1.7083340563827394</v>
      </c>
    </row>
    <row r="16" spans="1:20" ht="12" customHeight="1" x14ac:dyDescent="0.2">
      <c r="A16" s="37"/>
      <c r="B16" s="48"/>
      <c r="C16" s="49">
        <v>13.33</v>
      </c>
      <c r="D16" s="57"/>
      <c r="E16" s="39">
        <v>3112</v>
      </c>
      <c r="F16" s="40">
        <v>3</v>
      </c>
      <c r="G16" s="51">
        <v>-9.8699999999999992</v>
      </c>
      <c r="H16" s="44">
        <f t="shared" si="7"/>
        <v>5.7985500000000005</v>
      </c>
      <c r="I16" s="52">
        <f t="shared" si="6"/>
        <v>4.3499999999999996</v>
      </c>
      <c r="J16" s="44">
        <f t="shared" si="2"/>
        <v>-1.4485500000000009</v>
      </c>
      <c r="K16" s="44">
        <f t="shared" si="3"/>
        <v>36.324249999999999</v>
      </c>
      <c r="L16" s="44">
        <f t="shared" si="4"/>
        <v>21.75</v>
      </c>
      <c r="M16" s="53">
        <f t="shared" si="5"/>
        <v>-14.574249999999999</v>
      </c>
      <c r="N16" s="228"/>
      <c r="O16" s="229"/>
      <c r="P16" s="230"/>
      <c r="Q16" s="47">
        <v>44598.845833333333</v>
      </c>
      <c r="R16" s="44">
        <f t="shared" si="0"/>
        <v>-1.9314000000000011</v>
      </c>
      <c r="S16" s="44">
        <f t="shared" si="1"/>
        <v>-1.7281719367437844</v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>
        <v>4014</v>
      </c>
      <c r="F17" s="40">
        <v>6.51</v>
      </c>
      <c r="G17" s="51">
        <v>-5.16</v>
      </c>
      <c r="H17" s="44">
        <f t="shared" si="7"/>
        <v>12.02366</v>
      </c>
      <c r="I17" s="52">
        <f t="shared" si="6"/>
        <v>8.67</v>
      </c>
      <c r="J17" s="44">
        <f t="shared" si="2"/>
        <v>-3.3536599999999996</v>
      </c>
      <c r="K17" s="44">
        <f t="shared" si="3"/>
        <v>48.347909999999999</v>
      </c>
      <c r="L17" s="44">
        <f t="shared" si="4"/>
        <v>30.42</v>
      </c>
      <c r="M17" s="53">
        <f t="shared" si="5"/>
        <v>-17.927909999999997</v>
      </c>
      <c r="N17" s="231"/>
      <c r="O17" s="229"/>
      <c r="P17" s="230"/>
      <c r="Q17" s="47">
        <v>44598.918055555558</v>
      </c>
      <c r="R17" s="44">
        <f t="shared" si="0"/>
        <v>-1.9348038460845411</v>
      </c>
      <c r="S17" s="44">
        <f t="shared" si="1"/>
        <v>-1.7634009835829996</v>
      </c>
    </row>
    <row r="18" spans="1:19" ht="12" customHeight="1" x14ac:dyDescent="0.2">
      <c r="A18" s="37"/>
      <c r="B18" s="48"/>
      <c r="C18" s="49">
        <v>13.33</v>
      </c>
      <c r="D18" s="54"/>
      <c r="E18" s="39">
        <v>4565</v>
      </c>
      <c r="F18" s="40">
        <v>7.07</v>
      </c>
      <c r="G18" s="40">
        <v>-5</v>
      </c>
      <c r="H18" s="44">
        <f t="shared" si="7"/>
        <v>7.34483</v>
      </c>
      <c r="I18" s="52">
        <f t="shared" si="6"/>
        <v>5.5600000000000005</v>
      </c>
      <c r="J18" s="44">
        <f t="shared" si="2"/>
        <v>-1.7848299999999995</v>
      </c>
      <c r="K18" s="44">
        <f t="shared" si="3"/>
        <v>55.692740000000001</v>
      </c>
      <c r="L18" s="44">
        <f t="shared" si="4"/>
        <v>35.980000000000004</v>
      </c>
      <c r="M18" s="53">
        <f t="shared" si="5"/>
        <v>-19.712739999999997</v>
      </c>
      <c r="N18" s="228"/>
      <c r="O18" s="229"/>
      <c r="P18" s="230"/>
      <c r="Q18" s="47">
        <v>44598.956250000003</v>
      </c>
      <c r="R18" s="44">
        <f t="shared" si="0"/>
        <v>-1.9470872726860593</v>
      </c>
      <c r="S18" s="44">
        <f t="shared" si="1"/>
        <v>-1.7785930826818577</v>
      </c>
    </row>
    <row r="19" spans="1:19" ht="12" customHeight="1" x14ac:dyDescent="0.2">
      <c r="A19" s="37"/>
      <c r="B19" s="48"/>
      <c r="C19" s="49">
        <v>13.33</v>
      </c>
      <c r="D19" s="54"/>
      <c r="E19" s="39">
        <v>4749</v>
      </c>
      <c r="F19" s="40">
        <v>2.81</v>
      </c>
      <c r="G19" s="40">
        <v>-6.24</v>
      </c>
      <c r="H19" s="44">
        <f t="shared" si="7"/>
        <v>2.4527199999999998</v>
      </c>
      <c r="I19" s="52">
        <f t="shared" si="6"/>
        <v>1.9800000000000004</v>
      </c>
      <c r="J19" s="44">
        <f t="shared" si="2"/>
        <v>-0.47271999999999936</v>
      </c>
      <c r="K19" s="44">
        <f t="shared" si="3"/>
        <v>58.14546</v>
      </c>
      <c r="L19" s="44">
        <f t="shared" si="4"/>
        <v>37.960000000000008</v>
      </c>
      <c r="M19" s="53">
        <f t="shared" si="5"/>
        <v>-20.185459999999992</v>
      </c>
      <c r="N19" s="228"/>
      <c r="O19" s="229"/>
      <c r="P19" s="230"/>
      <c r="Q19" s="47">
        <v>44598.970833333333</v>
      </c>
      <c r="R19" s="44">
        <f t="shared" si="0"/>
        <v>-1.3506285717430373</v>
      </c>
      <c r="S19" s="44">
        <f t="shared" si="1"/>
        <v>-1.7654921282684977</v>
      </c>
    </row>
    <row r="20" spans="1:19" ht="12" customHeight="1" x14ac:dyDescent="0.2">
      <c r="A20" s="37"/>
      <c r="B20" s="48"/>
      <c r="C20" s="49">
        <v>13.33</v>
      </c>
      <c r="D20" s="54"/>
      <c r="E20" s="39">
        <v>5111</v>
      </c>
      <c r="F20" s="40">
        <v>5.7</v>
      </c>
      <c r="G20" s="40"/>
      <c r="H20" s="44">
        <f t="shared" si="7"/>
        <v>4.8254599999999996</v>
      </c>
      <c r="I20" s="52">
        <f t="shared" si="6"/>
        <v>2.89</v>
      </c>
      <c r="J20" s="44">
        <f t="shared" si="2"/>
        <v>-1.9354599999999995</v>
      </c>
      <c r="K20" s="44">
        <f t="shared" si="3"/>
        <v>62.97092</v>
      </c>
      <c r="L20" s="44">
        <f t="shared" si="4"/>
        <v>40.850000000000009</v>
      </c>
      <c r="M20" s="53">
        <f t="shared" si="5"/>
        <v>-22.120919999999991</v>
      </c>
      <c r="N20" s="242"/>
      <c r="O20" s="229"/>
      <c r="P20" s="230"/>
      <c r="Q20" s="47">
        <v>44599.01666666667</v>
      </c>
      <c r="R20" s="44">
        <f t="shared" si="0"/>
        <v>-1.7595090907601205</v>
      </c>
      <c r="S20" s="44">
        <f t="shared" si="1"/>
        <v>-1.7649670212530972</v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13.33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13.33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13.33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13.33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13.33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13.33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13.33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13.33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47"/>
      <c r="O34" s="145"/>
      <c r="P34" s="146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42"/>
      <c r="O76" s="143"/>
      <c r="P76" s="144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42"/>
      <c r="O77" s="143"/>
      <c r="P77" s="144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42"/>
      <c r="O78" s="143"/>
      <c r="P78" s="144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42"/>
      <c r="O79" s="143"/>
      <c r="P79" s="144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U112"/>
  <sheetViews>
    <sheetView zoomScaleNormal="100" workbookViewId="0">
      <selection activeCell="N15" sqref="N15:P1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37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36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35" t="s">
        <v>20</v>
      </c>
      <c r="I5" s="138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35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38" t="s">
        <v>28</v>
      </c>
      <c r="E6" s="39">
        <v>5171</v>
      </c>
      <c r="F6" s="40">
        <v>5.92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44597.854166666664</v>
      </c>
      <c r="R6" s="11"/>
      <c r="S6" s="11"/>
    </row>
    <row r="7" spans="1:20" ht="12" customHeight="1" x14ac:dyDescent="0.2">
      <c r="A7" s="37"/>
      <c r="B7" s="48" t="s">
        <v>36</v>
      </c>
      <c r="C7" s="49">
        <v>4.41</v>
      </c>
      <c r="D7" s="39"/>
      <c r="E7" s="39">
        <v>4910</v>
      </c>
      <c r="F7" s="40">
        <v>2.94</v>
      </c>
      <c r="G7" s="51"/>
      <c r="H7" s="44">
        <f>IF(E7="","",((E7-E6)*C7)/1000)</f>
        <v>-1.1510100000000001</v>
      </c>
      <c r="I7" s="52">
        <f>IF(F7="","",F7-F6-G7)</f>
        <v>-2.98</v>
      </c>
      <c r="J7" s="44">
        <f>IF(F7="","",I7-H7)</f>
        <v>-1.8289899999999999</v>
      </c>
      <c r="K7" s="44">
        <f>IF(F7="","",K6+H7)</f>
        <v>-1.1510100000000001</v>
      </c>
      <c r="L7" s="44">
        <f>IF(F7="","",L6+I7)</f>
        <v>-2.98</v>
      </c>
      <c r="M7" s="53">
        <f>IF(F7="","",L7-K7)</f>
        <v>-1.8289899999999999</v>
      </c>
      <c r="N7" s="231"/>
      <c r="O7" s="229"/>
      <c r="P7" s="230"/>
      <c r="Q7" s="47">
        <v>44597.878472222219</v>
      </c>
      <c r="R7" s="44">
        <f t="shared" ref="R7:R70" si="0">IF(Q7="","",J7/((Q7-Q6)*24))</f>
        <v>-3.1354114286757171</v>
      </c>
      <c r="S7" s="44">
        <f t="shared" ref="S7:S70" si="1">IF(Q7="","",M7/((Q7-$Q$6)*24))</f>
        <v>-3.1354114286757171</v>
      </c>
    </row>
    <row r="8" spans="1:20" ht="12" customHeight="1" x14ac:dyDescent="0.2">
      <c r="A8" s="37"/>
      <c r="B8" s="48"/>
      <c r="C8" s="49">
        <v>4.41</v>
      </c>
      <c r="D8" s="54"/>
      <c r="E8" s="39">
        <v>4561</v>
      </c>
      <c r="F8" s="40">
        <v>7.32</v>
      </c>
      <c r="G8" s="51">
        <v>8.1999999999999993</v>
      </c>
      <c r="H8" s="44">
        <f>IF(E8="","",((E8-E7)*C8)/1000)</f>
        <v>-1.5390900000000001</v>
      </c>
      <c r="I8" s="52">
        <f>IF(F8="","",F8-F7-G8)</f>
        <v>-3.8199999999999985</v>
      </c>
      <c r="J8" s="44">
        <f>IF(F8="","",I8-H8)</f>
        <v>-2.2809099999999987</v>
      </c>
      <c r="K8" s="44">
        <f>IF(F8="","",K7+H8)</f>
        <v>-2.6901000000000002</v>
      </c>
      <c r="L8" s="44">
        <f>IF(F8="","",L7+I8)</f>
        <v>-6.7999999999999989</v>
      </c>
      <c r="M8" s="53">
        <f>IF(F8="","",L8-K8)</f>
        <v>-4.1098999999999988</v>
      </c>
      <c r="N8" s="231" t="s">
        <v>141</v>
      </c>
      <c r="O8" s="229"/>
      <c r="P8" s="230"/>
      <c r="Q8" s="47">
        <v>44597.900694444441</v>
      </c>
      <c r="R8" s="44">
        <f t="shared" si="0"/>
        <v>-4.2767062500622322</v>
      </c>
      <c r="S8" s="44">
        <f t="shared" si="1"/>
        <v>-3.6805074627760965</v>
      </c>
      <c r="T8" s="55"/>
    </row>
    <row r="9" spans="1:20" ht="12" customHeight="1" x14ac:dyDescent="0.2">
      <c r="A9" s="37"/>
      <c r="B9" s="48"/>
      <c r="C9" s="49">
        <v>4.41</v>
      </c>
      <c r="D9" s="54"/>
      <c r="E9" s="39"/>
      <c r="F9" s="40"/>
      <c r="G9" s="51"/>
      <c r="H9" s="44" t="str">
        <f>IF(E9="","",((E9-E8)*C9)/1000)</f>
        <v/>
      </c>
      <c r="I9" s="52" t="str">
        <f>IF(F9="","",F9-F8-G9)</f>
        <v/>
      </c>
      <c r="J9" s="44" t="str">
        <f>IF(F9="","",I9-H9)</f>
        <v/>
      </c>
      <c r="K9" s="44" t="str">
        <f>IF(F9="","",K8+H9)</f>
        <v/>
      </c>
      <c r="L9" s="44" t="str">
        <f>IF(F9="","",L8+I9)</f>
        <v/>
      </c>
      <c r="M9" s="53" t="str">
        <f>IF(F9="","",L9-K9)</f>
        <v/>
      </c>
      <c r="N9" s="228"/>
      <c r="O9" s="229"/>
      <c r="P9" s="230"/>
      <c r="Q9" s="47"/>
      <c r="R9" s="44" t="str">
        <f t="shared" si="0"/>
        <v/>
      </c>
      <c r="S9" s="44" t="str">
        <f t="shared" si="1"/>
        <v/>
      </c>
    </row>
    <row r="10" spans="1:20" ht="12" customHeight="1" x14ac:dyDescent="0.2">
      <c r="A10" s="37"/>
      <c r="B10" s="48"/>
      <c r="C10" s="49">
        <v>4.41</v>
      </c>
      <c r="D10" s="54"/>
      <c r="E10" s="39"/>
      <c r="F10" s="40"/>
      <c r="G10" s="51"/>
      <c r="H10" s="44" t="str">
        <f>IF(E10="","",((E10-E9)*C10)/1000)</f>
        <v/>
      </c>
      <c r="I10" s="52" t="str">
        <f>IF(F10="","",F10-F9-G10)</f>
        <v/>
      </c>
      <c r="J10" s="44" t="str">
        <f t="shared" ref="J10:J73" si="2">IF(F10="","",I10-H10)</f>
        <v/>
      </c>
      <c r="K10" s="44" t="str">
        <f t="shared" ref="K10:K73" si="3">IF(F10="","",K9+H10)</f>
        <v/>
      </c>
      <c r="L10" s="44" t="str">
        <f t="shared" ref="L10:L73" si="4">IF(F10="","",L9+I10)</f>
        <v/>
      </c>
      <c r="M10" s="53" t="str">
        <f t="shared" ref="M10:M73" si="5">IF(F10="","",L10-K10)</f>
        <v/>
      </c>
      <c r="N10" s="249"/>
      <c r="O10" s="250"/>
      <c r="P10" s="251"/>
      <c r="Q10" s="47"/>
      <c r="R10" s="44" t="str">
        <f t="shared" si="0"/>
        <v/>
      </c>
      <c r="S10" s="44" t="str">
        <f t="shared" si="1"/>
        <v/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/>
      <c r="F11" s="56"/>
      <c r="G11" s="51"/>
      <c r="H11" s="44" t="str">
        <f>IF(E11="","",((E11-E10)*C11)/1000)</f>
        <v/>
      </c>
      <c r="I11" s="52" t="str">
        <f t="shared" ref="I11:I74" si="6">IF(F11="","",F11-F10-G11)</f>
        <v/>
      </c>
      <c r="J11" s="44" t="str">
        <f t="shared" si="2"/>
        <v/>
      </c>
      <c r="K11" s="44" t="str">
        <f t="shared" si="3"/>
        <v/>
      </c>
      <c r="L11" s="44" t="str">
        <f t="shared" si="4"/>
        <v/>
      </c>
      <c r="M11" s="53" t="str">
        <f t="shared" si="5"/>
        <v/>
      </c>
      <c r="N11" s="228"/>
      <c r="O11" s="229"/>
      <c r="P11" s="230"/>
      <c r="Q11" s="47"/>
      <c r="R11" s="44" t="str">
        <f t="shared" si="0"/>
        <v/>
      </c>
      <c r="S11" s="44" t="str">
        <f t="shared" si="1"/>
        <v/>
      </c>
    </row>
    <row r="12" spans="1:20" ht="12" customHeight="1" x14ac:dyDescent="0.2">
      <c r="A12" s="37"/>
      <c r="B12" s="48"/>
      <c r="C12" s="49">
        <v>4.41</v>
      </c>
      <c r="D12" s="54"/>
      <c r="E12" s="39"/>
      <c r="F12" s="56"/>
      <c r="G12" s="51"/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4.41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4.41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4.41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4.41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4.41</v>
      </c>
      <c r="D18" s="54"/>
      <c r="E18" s="39"/>
      <c r="F18" s="40"/>
      <c r="G18" s="51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31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4.41</v>
      </c>
      <c r="D19" s="54"/>
      <c r="E19" s="39"/>
      <c r="F19" s="40"/>
      <c r="G19" s="51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4.41</v>
      </c>
      <c r="D20" s="54"/>
      <c r="E20" s="39"/>
      <c r="F20" s="40"/>
      <c r="G20" s="40"/>
      <c r="H20" s="44" t="str">
        <f>IF(E20="","",((E20-E19)*C20)/1000)</f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4.41</v>
      </c>
      <c r="D21" s="54"/>
      <c r="E21" s="39"/>
      <c r="F21" s="40"/>
      <c r="G21" s="51"/>
      <c r="H21" s="44" t="str">
        <f>IF(E21="","",((E21-E20)*C21)/1000)</f>
        <v/>
      </c>
      <c r="I21" s="52" t="str">
        <f>IF(F21="","",F21-F20-G21)</f>
        <v/>
      </c>
      <c r="J21" s="44" t="str">
        <f>IF(F21="","",I21-H21)</f>
        <v/>
      </c>
      <c r="K21" s="44" t="str">
        <f>IF(F21="","",K20+H21)</f>
        <v/>
      </c>
      <c r="L21" s="44" t="str">
        <f>IF(F21="","",L20+I21)</f>
        <v/>
      </c>
      <c r="M21" s="53" t="str">
        <f>IF(F21="","",L21-K21)</f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4.41</v>
      </c>
      <c r="D22" s="54"/>
      <c r="E22" s="39"/>
      <c r="F22" s="40"/>
      <c r="G22" s="51"/>
      <c r="H22" s="44" t="str">
        <f t="shared" si="7"/>
        <v/>
      </c>
      <c r="I22" s="52" t="str">
        <f>IF(F22="","",F22-F21-G22)</f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4.41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4.41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4.41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4.41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4.41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4.41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4.41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4.41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117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4.41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4.41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4.41</v>
      </c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4.41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4.41</v>
      </c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4.41</v>
      </c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4.41</v>
      </c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4.41</v>
      </c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4.41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116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13.33</v>
      </c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13.33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13.33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13.33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13.33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13.33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13.33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13.33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13.33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13.33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13.33</v>
      </c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13.33</v>
      </c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13.33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13.33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13.33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13.33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13.33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13.33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13.33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 t="s">
        <v>117</v>
      </c>
      <c r="O60" s="244"/>
      <c r="P60" s="245"/>
      <c r="Q60" s="65">
        <v>44583.590277777781</v>
      </c>
      <c r="R60" s="44" t="e">
        <f t="shared" si="0"/>
        <v>#VALUE!</v>
      </c>
      <c r="S60" s="44" t="e">
        <f t="shared" si="1"/>
        <v>#VALUE!</v>
      </c>
    </row>
    <row r="61" spans="1:19" ht="12" customHeight="1" x14ac:dyDescent="0.2">
      <c r="B61" s="48"/>
      <c r="C61" s="49">
        <v>13.33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>
        <v>44583.605555555558</v>
      </c>
      <c r="R61" s="44" t="e">
        <f t="shared" si="0"/>
        <v>#VALUE!</v>
      </c>
      <c r="S61" s="44" t="e">
        <f t="shared" si="1"/>
        <v>#VALUE!</v>
      </c>
    </row>
    <row r="62" spans="1:19" ht="12" customHeight="1" x14ac:dyDescent="0.2">
      <c r="B62" s="48"/>
      <c r="C62" s="49">
        <v>13.33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13.33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13.33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 t="s">
        <v>118</v>
      </c>
      <c r="O64" s="244"/>
      <c r="P64" s="245"/>
      <c r="Q64" s="65">
        <v>44583.649305555555</v>
      </c>
      <c r="R64" s="44" t="e">
        <f t="shared" si="0"/>
        <v>#VALUE!</v>
      </c>
      <c r="S64" s="44" t="e">
        <f t="shared" si="1"/>
        <v>#VALUE!</v>
      </c>
    </row>
    <row r="65" spans="2:19" x14ac:dyDescent="0.2">
      <c r="B65" s="48"/>
      <c r="C65" s="49">
        <v>13.33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>
        <v>44583.652777777781</v>
      </c>
      <c r="R65" s="44" t="e">
        <f t="shared" si="0"/>
        <v>#VALUE!</v>
      </c>
      <c r="S65" s="44" t="e">
        <f t="shared" si="1"/>
        <v>#VALUE!</v>
      </c>
    </row>
    <row r="66" spans="2:19" x14ac:dyDescent="0.2">
      <c r="B66" s="48"/>
      <c r="C66" s="49">
        <v>13.33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13.33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13.33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 t="s">
        <v>119</v>
      </c>
      <c r="O68" s="244"/>
      <c r="P68" s="245"/>
      <c r="Q68" s="47">
        <v>44583.725694444445</v>
      </c>
      <c r="R68" s="44" t="e">
        <f t="shared" si="0"/>
        <v>#VALUE!</v>
      </c>
      <c r="S68" s="44" t="e">
        <f t="shared" si="1"/>
        <v>#VALUE!</v>
      </c>
    </row>
    <row r="69" spans="2:19" x14ac:dyDescent="0.2">
      <c r="B69" s="48"/>
      <c r="C69" s="49">
        <v>13.33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>
        <v>44583.744444444441</v>
      </c>
      <c r="R69" s="44" t="e">
        <f t="shared" si="0"/>
        <v>#VALUE!</v>
      </c>
      <c r="S69" s="44" t="e">
        <f t="shared" si="1"/>
        <v>#VALUE!</v>
      </c>
    </row>
    <row r="70" spans="2:19" x14ac:dyDescent="0.2">
      <c r="B70" s="48"/>
      <c r="C70" s="49">
        <v>13.33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13.33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13.33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13.33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>
        <v>13.33</v>
      </c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>
        <v>13.33</v>
      </c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>
        <v>13.33</v>
      </c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39"/>
      <c r="O76" s="140"/>
      <c r="P76" s="14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>
        <v>13.33</v>
      </c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39"/>
      <c r="O77" s="140"/>
      <c r="P77" s="14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>
        <v>13.33</v>
      </c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39"/>
      <c r="O78" s="140"/>
      <c r="P78" s="14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>
        <v>13.33</v>
      </c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39"/>
      <c r="O79" s="140"/>
      <c r="P79" s="14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>
        <v>13.33</v>
      </c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>
        <v>13.33</v>
      </c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>
        <v>13.33</v>
      </c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U112"/>
  <sheetViews>
    <sheetView zoomScaleNormal="100" workbookViewId="0">
      <selection activeCell="G17" sqref="G1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30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29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28" t="s">
        <v>20</v>
      </c>
      <c r="I5" s="1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28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31" t="s">
        <v>28</v>
      </c>
      <c r="E6" s="39">
        <v>97</v>
      </c>
      <c r="F6" s="40">
        <v>4.1100000000000003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44593.32708333333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533</v>
      </c>
      <c r="F7" s="40">
        <v>3.5</v>
      </c>
      <c r="G7" s="51">
        <v>-5.4</v>
      </c>
      <c r="H7" s="44">
        <f>IF(E7="","",((E7-E6)*C7)/1000)</f>
        <v>5.8118800000000004</v>
      </c>
      <c r="I7" s="52">
        <f>IF(F7="","",F7-F6-G7)</f>
        <v>4.79</v>
      </c>
      <c r="J7" s="44">
        <f>IF(F7="","",I7-H7)</f>
        <v>-1.0218800000000003</v>
      </c>
      <c r="K7" s="44">
        <f>IF(F7="","",K6+H7)</f>
        <v>5.8118800000000004</v>
      </c>
      <c r="L7" s="44">
        <f>IF(F7="","",L6+I7)</f>
        <v>4.79</v>
      </c>
      <c r="M7" s="53">
        <f>IF(F7="","",L7-K7)</f>
        <v>-1.0218800000000003</v>
      </c>
      <c r="N7" s="231"/>
      <c r="O7" s="229"/>
      <c r="P7" s="230"/>
      <c r="Q7" s="47">
        <v>44593.349305555559</v>
      </c>
      <c r="R7" s="44">
        <f t="shared" ref="R7:R70" si="0">IF(Q7="","",J7/((Q7-Q6)*24))</f>
        <v>-1.9160249994005412</v>
      </c>
      <c r="S7" s="44">
        <f t="shared" ref="S7:S70" si="1">IF(Q7="","",M7/((Q7-$Q$6)*24))</f>
        <v>-1.9160249994005412</v>
      </c>
    </row>
    <row r="8" spans="1:20" ht="12" customHeight="1" x14ac:dyDescent="0.2">
      <c r="A8" s="37"/>
      <c r="B8" s="48"/>
      <c r="C8" s="49">
        <v>13.33</v>
      </c>
      <c r="D8" s="54"/>
      <c r="E8" s="39">
        <v>824</v>
      </c>
      <c r="F8" s="40">
        <v>6.44</v>
      </c>
      <c r="G8" s="51"/>
      <c r="H8" s="44">
        <f>IF(E8="","",((E8-E7)*C8)/1000)</f>
        <v>3.8790300000000002</v>
      </c>
      <c r="I8" s="52">
        <f>IF(F8="","",F8-F7-G8)</f>
        <v>2.9400000000000004</v>
      </c>
      <c r="J8" s="44">
        <f>IF(F8="","",I8-H8)</f>
        <v>-0.93902999999999981</v>
      </c>
      <c r="K8" s="44">
        <f>IF(F8="","",K7+H8)</f>
        <v>9.6909100000000006</v>
      </c>
      <c r="L8" s="44">
        <f>IF(F8="","",L7+I8)</f>
        <v>7.73</v>
      </c>
      <c r="M8" s="53">
        <f>IF(F8="","",L8-K8)</f>
        <v>-1.9609100000000002</v>
      </c>
      <c r="N8" s="231"/>
      <c r="O8" s="229"/>
      <c r="P8" s="230"/>
      <c r="Q8" s="47">
        <v>44593.363194444442</v>
      </c>
      <c r="R8" s="44">
        <f t="shared" si="0"/>
        <v>-2.8170900011478328</v>
      </c>
      <c r="S8" s="44">
        <f t="shared" si="1"/>
        <v>-2.2625884614574154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1228</v>
      </c>
      <c r="F9" s="40">
        <v>4.28</v>
      </c>
      <c r="G9" s="51">
        <v>-5.6</v>
      </c>
      <c r="H9" s="44">
        <f>IF(E9="","",((E9-E8)*C9)/1000)</f>
        <v>5.3853200000000001</v>
      </c>
      <c r="I9" s="52">
        <f>IF(F9="","",F9-F8-G9)</f>
        <v>3.4399999999999995</v>
      </c>
      <c r="J9" s="44">
        <f>IF(F9="","",I9-H9)</f>
        <v>-1.9453200000000006</v>
      </c>
      <c r="K9" s="44">
        <f>IF(F9="","",K8+H9)</f>
        <v>15.076230000000001</v>
      </c>
      <c r="L9" s="44">
        <f>IF(F9="","",L8+I9)</f>
        <v>11.17</v>
      </c>
      <c r="M9" s="53">
        <f>IF(F9="","",L9-K9)</f>
        <v>-3.9062300000000008</v>
      </c>
      <c r="N9" s="228"/>
      <c r="O9" s="229"/>
      <c r="P9" s="230"/>
      <c r="Q9" s="47">
        <v>44593.390277777777</v>
      </c>
      <c r="R9" s="44">
        <f t="shared" si="0"/>
        <v>-2.9927999998927985</v>
      </c>
      <c r="S9" s="44">
        <f t="shared" si="1"/>
        <v>-2.5755362636440085</v>
      </c>
    </row>
    <row r="10" spans="1:20" ht="12" customHeight="1" x14ac:dyDescent="0.2">
      <c r="A10" s="37"/>
      <c r="B10" s="48"/>
      <c r="C10" s="49">
        <v>13.33</v>
      </c>
      <c r="D10" s="54"/>
      <c r="E10" s="39">
        <v>1577</v>
      </c>
      <c r="F10" s="40">
        <v>7.91</v>
      </c>
      <c r="G10" s="51"/>
      <c r="H10" s="44">
        <f>IF(E10="","",((E10-E9)*C10)/1000)</f>
        <v>4.6521699999999999</v>
      </c>
      <c r="I10" s="52">
        <f>IF(F10="","",F10-F9-G10)</f>
        <v>3.63</v>
      </c>
      <c r="J10" s="44">
        <f t="shared" ref="J10:J73" si="2">IF(F10="","",I10-H10)</f>
        <v>-1.02217</v>
      </c>
      <c r="K10" s="44">
        <f t="shared" ref="K10:K73" si="3">IF(F10="","",K9+H10)</f>
        <v>19.728400000000001</v>
      </c>
      <c r="L10" s="44">
        <f t="shared" ref="L10:L73" si="4">IF(F10="","",L9+I10)</f>
        <v>14.8</v>
      </c>
      <c r="M10" s="53">
        <f t="shared" ref="M10:M73" si="5">IF(F10="","",L10-K10)</f>
        <v>-4.9283999999999999</v>
      </c>
      <c r="N10" s="249"/>
      <c r="O10" s="250"/>
      <c r="P10" s="251"/>
      <c r="Q10" s="47">
        <v>44593.404861111114</v>
      </c>
      <c r="R10" s="44">
        <f t="shared" si="0"/>
        <v>-2.920485713508596</v>
      </c>
      <c r="S10" s="44">
        <f t="shared" si="1"/>
        <v>-2.6402142855057189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2850</v>
      </c>
      <c r="F11" s="56">
        <v>5.57</v>
      </c>
      <c r="G11" s="51">
        <v>-8</v>
      </c>
      <c r="H11" s="44">
        <f>IF(E11="","",((E11-E10)*C11)/1000)</f>
        <v>16.969090000000001</v>
      </c>
      <c r="I11" s="52">
        <f t="shared" ref="I11:I74" si="6">IF(F11="","",F11-F10-G11)</f>
        <v>5.66</v>
      </c>
      <c r="J11" s="44">
        <f t="shared" si="2"/>
        <v>-11.309090000000001</v>
      </c>
      <c r="K11" s="44">
        <f t="shared" si="3"/>
        <v>36.697490000000002</v>
      </c>
      <c r="L11" s="44">
        <f t="shared" si="4"/>
        <v>20.46</v>
      </c>
      <c r="M11" s="53">
        <f t="shared" si="5"/>
        <v>-16.237490000000001</v>
      </c>
      <c r="N11" s="228"/>
      <c r="O11" s="229"/>
      <c r="P11" s="230"/>
      <c r="Q11" s="47">
        <v>44593.527777777781</v>
      </c>
      <c r="R11" s="44">
        <f t="shared" si="0"/>
        <v>-3.8335898304933465</v>
      </c>
      <c r="S11" s="44">
        <f t="shared" si="1"/>
        <v>-3.3711051902000668</v>
      </c>
    </row>
    <row r="12" spans="1:20" ht="12" customHeight="1" x14ac:dyDescent="0.2">
      <c r="A12" s="37"/>
      <c r="B12" s="48"/>
      <c r="C12" s="49">
        <v>13.33</v>
      </c>
      <c r="D12" s="54"/>
      <c r="E12" s="39">
        <v>2880</v>
      </c>
      <c r="F12" s="56">
        <v>73.069999999999993</v>
      </c>
      <c r="G12" s="51">
        <v>70</v>
      </c>
      <c r="H12" s="44">
        <f t="shared" ref="H12:H74" si="7">IF(E12="","",((E12-E11)*C12)/1000)</f>
        <v>0.39989999999999998</v>
      </c>
      <c r="I12" s="52">
        <f t="shared" si="6"/>
        <v>-2.5</v>
      </c>
      <c r="J12" s="44">
        <f t="shared" si="2"/>
        <v>-2.8999000000000001</v>
      </c>
      <c r="K12" s="44">
        <f t="shared" si="3"/>
        <v>37.097390000000004</v>
      </c>
      <c r="L12" s="44">
        <f t="shared" si="4"/>
        <v>17.96</v>
      </c>
      <c r="M12" s="53">
        <f t="shared" si="5"/>
        <v>-19.137390000000003</v>
      </c>
      <c r="N12" s="228" t="s">
        <v>138</v>
      </c>
      <c r="O12" s="229"/>
      <c r="P12" s="230"/>
      <c r="Q12" s="47">
        <v>44593.5625</v>
      </c>
      <c r="R12" s="44">
        <f t="shared" si="0"/>
        <v>-3.4798800003240893</v>
      </c>
      <c r="S12" s="44">
        <f t="shared" si="1"/>
        <v>-3.3871486725175188</v>
      </c>
    </row>
    <row r="13" spans="1:20" ht="12" customHeight="1" x14ac:dyDescent="0.2">
      <c r="A13" s="37"/>
      <c r="B13" s="48"/>
      <c r="C13" s="49">
        <v>13.33</v>
      </c>
      <c r="D13" s="54"/>
      <c r="E13" s="39">
        <v>2996</v>
      </c>
      <c r="F13" s="56">
        <v>68.7</v>
      </c>
      <c r="G13" s="51"/>
      <c r="H13" s="44">
        <f>IF(E13="","",((E13-E12)*C13)/1000)</f>
        <v>1.5462799999999999</v>
      </c>
      <c r="I13" s="52">
        <f t="shared" si="6"/>
        <v>-4.3699999999999903</v>
      </c>
      <c r="J13" s="44">
        <f t="shared" si="2"/>
        <v>-5.9162799999999898</v>
      </c>
      <c r="K13" s="44">
        <f t="shared" si="3"/>
        <v>38.643670000000007</v>
      </c>
      <c r="L13" s="44">
        <f t="shared" si="4"/>
        <v>13.590000000000011</v>
      </c>
      <c r="M13" s="53">
        <f t="shared" si="5"/>
        <v>-25.053669999999997</v>
      </c>
      <c r="N13" s="231"/>
      <c r="O13" s="229"/>
      <c r="P13" s="230"/>
      <c r="Q13" s="47">
        <v>44593.618055555555</v>
      </c>
      <c r="R13" s="44">
        <f t="shared" si="0"/>
        <v>-4.437210000064562</v>
      </c>
      <c r="S13" s="44">
        <f t="shared" si="1"/>
        <v>-3.5876377087986513</v>
      </c>
    </row>
    <row r="14" spans="1:20" ht="12" customHeight="1" x14ac:dyDescent="0.2">
      <c r="A14" s="37"/>
      <c r="B14" s="48"/>
      <c r="C14" s="49">
        <v>13.33</v>
      </c>
      <c r="D14" s="54"/>
      <c r="E14" s="39">
        <v>3212</v>
      </c>
      <c r="F14" s="56">
        <v>65.94</v>
      </c>
      <c r="G14" s="51"/>
      <c r="H14" s="44">
        <f t="shared" si="7"/>
        <v>2.8792800000000001</v>
      </c>
      <c r="I14" s="52">
        <f t="shared" si="6"/>
        <v>-2.7600000000000051</v>
      </c>
      <c r="J14" s="44">
        <f t="shared" si="2"/>
        <v>-5.6392800000000047</v>
      </c>
      <c r="K14" s="44">
        <f t="shared" si="3"/>
        <v>41.522950000000009</v>
      </c>
      <c r="L14" s="44">
        <f t="shared" si="4"/>
        <v>10.830000000000005</v>
      </c>
      <c r="M14" s="53">
        <f t="shared" si="5"/>
        <v>-30.692950000000003</v>
      </c>
      <c r="N14" s="231"/>
      <c r="O14" s="229"/>
      <c r="P14" s="230"/>
      <c r="Q14" s="47">
        <v>44593.684027777781</v>
      </c>
      <c r="R14" s="44">
        <f t="shared" si="0"/>
        <v>-3.5616505260975657</v>
      </c>
      <c r="S14" s="44">
        <f t="shared" si="1"/>
        <v>-3.5828346302836542</v>
      </c>
    </row>
    <row r="15" spans="1:20" ht="12" customHeight="1" x14ac:dyDescent="0.2">
      <c r="A15" s="37"/>
      <c r="B15" s="48"/>
      <c r="C15" s="49">
        <v>13.33</v>
      </c>
      <c r="D15" s="54"/>
      <c r="E15" s="39">
        <v>3227</v>
      </c>
      <c r="F15" s="40">
        <v>101.2</v>
      </c>
      <c r="G15" s="51">
        <v>35</v>
      </c>
      <c r="H15" s="44">
        <f t="shared" si="7"/>
        <v>0.19994999999999999</v>
      </c>
      <c r="I15" s="52">
        <f t="shared" si="6"/>
        <v>0.26000000000000512</v>
      </c>
      <c r="J15" s="44">
        <f t="shared" si="2"/>
        <v>6.0050000000005127E-2</v>
      </c>
      <c r="K15" s="44">
        <f t="shared" si="3"/>
        <v>41.72290000000001</v>
      </c>
      <c r="L15" s="44">
        <f t="shared" si="4"/>
        <v>11.090000000000011</v>
      </c>
      <c r="M15" s="53">
        <f t="shared" si="5"/>
        <v>-30.632899999999999</v>
      </c>
      <c r="N15" s="231" t="s">
        <v>139</v>
      </c>
      <c r="O15" s="229"/>
      <c r="P15" s="230"/>
      <c r="Q15" s="47">
        <v>44593.69027777778</v>
      </c>
      <c r="R15" s="44">
        <f t="shared" si="0"/>
        <v>0.4003333334265774</v>
      </c>
      <c r="S15" s="44">
        <f t="shared" si="1"/>
        <v>-3.5142906309250792</v>
      </c>
    </row>
    <row r="16" spans="1:20" ht="12" customHeight="1" x14ac:dyDescent="0.2">
      <c r="A16" s="37"/>
      <c r="B16" s="48"/>
      <c r="C16" s="49">
        <v>13.33</v>
      </c>
      <c r="D16" s="57"/>
      <c r="E16" s="39">
        <v>3313</v>
      </c>
      <c r="F16" s="40">
        <v>83</v>
      </c>
      <c r="G16" s="51">
        <v>-15</v>
      </c>
      <c r="H16" s="44">
        <f t="shared" si="7"/>
        <v>1.1463800000000002</v>
      </c>
      <c r="I16" s="52">
        <f t="shared" si="6"/>
        <v>-3.2000000000000028</v>
      </c>
      <c r="J16" s="44">
        <f t="shared" si="2"/>
        <v>-4.3463800000000035</v>
      </c>
      <c r="K16" s="44">
        <f t="shared" si="3"/>
        <v>42.86928000000001</v>
      </c>
      <c r="L16" s="44">
        <f t="shared" si="4"/>
        <v>7.8900000000000077</v>
      </c>
      <c r="M16" s="53">
        <f t="shared" si="5"/>
        <v>-34.979280000000003</v>
      </c>
      <c r="N16" s="228" t="s">
        <v>140</v>
      </c>
      <c r="O16" s="229"/>
      <c r="P16" s="230"/>
      <c r="Q16" s="47">
        <v>44593.709027777775</v>
      </c>
      <c r="R16" s="44">
        <f t="shared" si="0"/>
        <v>-9.6586222244710527</v>
      </c>
      <c r="S16" s="44">
        <f t="shared" si="1"/>
        <v>-3.8159214545373779</v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13.33</v>
      </c>
      <c r="D18" s="54"/>
      <c r="E18" s="39"/>
      <c r="F18" s="40"/>
      <c r="G18" s="51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31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13.33</v>
      </c>
      <c r="D19" s="54"/>
      <c r="E19" s="39"/>
      <c r="F19" s="40"/>
      <c r="G19" s="51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13.33</v>
      </c>
      <c r="D20" s="54"/>
      <c r="E20" s="39"/>
      <c r="F20" s="40"/>
      <c r="G20" s="40"/>
      <c r="H20" s="44" t="str">
        <f>IF(E20="","",((E20-E19)*C20)/1000)</f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>IF(E21="","",((E21-E20)*C21)/1000)</f>
        <v/>
      </c>
      <c r="I21" s="52" t="str">
        <f>IF(F21="","",F21-F20-G21)</f>
        <v/>
      </c>
      <c r="J21" s="44" t="str">
        <f>IF(F21="","",I21-H21)</f>
        <v/>
      </c>
      <c r="K21" s="44" t="str">
        <f>IF(F21="","",K20+H21)</f>
        <v/>
      </c>
      <c r="L21" s="44" t="str">
        <f>IF(F21="","",L20+I21)</f>
        <v/>
      </c>
      <c r="M21" s="53" t="str">
        <f>IF(F21="","",L21-K21)</f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7"/>
        <v/>
      </c>
      <c r="I22" s="52" t="str">
        <f>IF(F22="","",F22-F21-G22)</f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13.33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13.33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13.33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13.33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13.33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13.33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13.33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117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13.33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13.33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13.33</v>
      </c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13.33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13.33</v>
      </c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13.33</v>
      </c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13.33</v>
      </c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13.33</v>
      </c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13.33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116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13.33</v>
      </c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13.33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13.33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13.33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13.33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13.33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13.33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13.33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13.33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13.33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13.33</v>
      </c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13.33</v>
      </c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13.33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13.33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13.33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13.33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13.33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13.33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13.33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 t="s">
        <v>117</v>
      </c>
      <c r="O60" s="244"/>
      <c r="P60" s="245"/>
      <c r="Q60" s="65">
        <v>44583.590277777781</v>
      </c>
      <c r="R60" s="44" t="e">
        <f t="shared" si="0"/>
        <v>#VALUE!</v>
      </c>
      <c r="S60" s="44" t="e">
        <f t="shared" si="1"/>
        <v>#VALUE!</v>
      </c>
    </row>
    <row r="61" spans="1:19" ht="12" customHeight="1" x14ac:dyDescent="0.2">
      <c r="B61" s="48"/>
      <c r="C61" s="49">
        <v>13.33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>
        <v>44583.605555555558</v>
      </c>
      <c r="R61" s="44" t="e">
        <f t="shared" si="0"/>
        <v>#VALUE!</v>
      </c>
      <c r="S61" s="44" t="e">
        <f t="shared" si="1"/>
        <v>#VALUE!</v>
      </c>
    </row>
    <row r="62" spans="1:19" ht="12" customHeight="1" x14ac:dyDescent="0.2">
      <c r="B62" s="48"/>
      <c r="C62" s="49">
        <v>13.33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13.33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13.33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 t="s">
        <v>118</v>
      </c>
      <c r="O64" s="244"/>
      <c r="P64" s="245"/>
      <c r="Q64" s="65">
        <v>44583.649305555555</v>
      </c>
      <c r="R64" s="44" t="e">
        <f t="shared" si="0"/>
        <v>#VALUE!</v>
      </c>
      <c r="S64" s="44" t="e">
        <f t="shared" si="1"/>
        <v>#VALUE!</v>
      </c>
    </row>
    <row r="65" spans="2:19" x14ac:dyDescent="0.2">
      <c r="B65" s="48"/>
      <c r="C65" s="49">
        <v>13.33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>
        <v>44583.652777777781</v>
      </c>
      <c r="R65" s="44" t="e">
        <f t="shared" si="0"/>
        <v>#VALUE!</v>
      </c>
      <c r="S65" s="44" t="e">
        <f t="shared" si="1"/>
        <v>#VALUE!</v>
      </c>
    </row>
    <row r="66" spans="2:19" x14ac:dyDescent="0.2">
      <c r="B66" s="48"/>
      <c r="C66" s="49">
        <v>13.33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13.33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13.33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 t="s">
        <v>119</v>
      </c>
      <c r="O68" s="244"/>
      <c r="P68" s="245"/>
      <c r="Q68" s="47">
        <v>44583.725694444445</v>
      </c>
      <c r="R68" s="44" t="e">
        <f t="shared" si="0"/>
        <v>#VALUE!</v>
      </c>
      <c r="S68" s="44" t="e">
        <f t="shared" si="1"/>
        <v>#VALUE!</v>
      </c>
    </row>
    <row r="69" spans="2:19" x14ac:dyDescent="0.2">
      <c r="B69" s="48"/>
      <c r="C69" s="49">
        <v>13.33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>
        <v>44583.744444444441</v>
      </c>
      <c r="R69" s="44" t="e">
        <f t="shared" si="0"/>
        <v>#VALUE!</v>
      </c>
      <c r="S69" s="44" t="e">
        <f t="shared" si="1"/>
        <v>#VALUE!</v>
      </c>
    </row>
    <row r="70" spans="2:19" x14ac:dyDescent="0.2">
      <c r="B70" s="48"/>
      <c r="C70" s="49">
        <v>13.33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13.33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13.33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13.33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>
        <v>13.33</v>
      </c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>
        <v>13.33</v>
      </c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>
        <v>13.33</v>
      </c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32"/>
      <c r="O76" s="133"/>
      <c r="P76" s="134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>
        <v>13.33</v>
      </c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32"/>
      <c r="O77" s="133"/>
      <c r="P77" s="134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>
        <v>13.33</v>
      </c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32"/>
      <c r="O78" s="133"/>
      <c r="P78" s="134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>
        <v>13.33</v>
      </c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32"/>
      <c r="O79" s="133"/>
      <c r="P79" s="134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>
        <v>13.33</v>
      </c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>
        <v>13.33</v>
      </c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>
        <v>13.33</v>
      </c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U112"/>
  <sheetViews>
    <sheetView zoomScaleNormal="100" workbookViewId="0">
      <selection activeCell="F26" sqref="F2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30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29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28" t="s">
        <v>20</v>
      </c>
      <c r="I5" s="1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28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31" t="s">
        <v>28</v>
      </c>
      <c r="E6" s="39">
        <v>10</v>
      </c>
      <c r="F6" s="40">
        <v>145.4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44592.833333333336</v>
      </c>
      <c r="R6" s="11"/>
      <c r="S6" s="11"/>
    </row>
    <row r="7" spans="1:20" ht="12" customHeight="1" x14ac:dyDescent="0.2">
      <c r="A7" s="37"/>
      <c r="B7" s="48" t="s">
        <v>136</v>
      </c>
      <c r="C7" s="49">
        <v>4.41</v>
      </c>
      <c r="D7" s="39"/>
      <c r="E7" s="39">
        <v>10</v>
      </c>
      <c r="F7" s="40">
        <v>141.63999999999999</v>
      </c>
      <c r="G7" s="51"/>
      <c r="H7" s="44">
        <f>IF(E7="","",((E7-E6)*C7)/1000)</f>
        <v>0</v>
      </c>
      <c r="I7" s="52">
        <f>IF(F7="","",F7-F6-G7)</f>
        <v>-3.7600000000000193</v>
      </c>
      <c r="J7" s="44">
        <f>IF(F7="","",I7-H7)</f>
        <v>-3.7600000000000193</v>
      </c>
      <c r="K7" s="44">
        <f>IF(F7="","",K6+H7)</f>
        <v>0</v>
      </c>
      <c r="L7" s="44">
        <f>IF(F7="","",L6+I7)</f>
        <v>-3.7600000000000193</v>
      </c>
      <c r="M7" s="53">
        <f>IF(F7="","",L7-K7)</f>
        <v>-3.7600000000000193</v>
      </c>
      <c r="N7" s="231"/>
      <c r="O7" s="229"/>
      <c r="P7" s="230"/>
      <c r="Q7" s="47">
        <v>44592.84375</v>
      </c>
      <c r="R7" s="44">
        <f t="shared" ref="R7:R70" si="0">IF(Q7="","",J7/((Q7-Q6)*24))</f>
        <v>-15.04000000350185</v>
      </c>
      <c r="S7" s="44">
        <f t="shared" ref="S7:S70" si="1">IF(Q7="","",M7/((Q7-$Q$6)*24))</f>
        <v>-15.04000000350185</v>
      </c>
    </row>
    <row r="8" spans="1:20" ht="12" customHeight="1" x14ac:dyDescent="0.2">
      <c r="A8" s="37"/>
      <c r="B8" s="48"/>
      <c r="C8" s="49">
        <v>4.41</v>
      </c>
      <c r="D8" s="54"/>
      <c r="E8" s="39">
        <v>10</v>
      </c>
      <c r="F8" s="40">
        <v>139.12</v>
      </c>
      <c r="G8" s="51"/>
      <c r="H8" s="44">
        <f>IF(E8="","",((E8-E7)*C8)/1000)</f>
        <v>0</v>
      </c>
      <c r="I8" s="52">
        <f>IF(F8="","",F8-F7-G8)</f>
        <v>-2.5199999999999818</v>
      </c>
      <c r="J8" s="44">
        <f>IF(F8="","",I8-H8)</f>
        <v>-2.5199999999999818</v>
      </c>
      <c r="K8" s="44">
        <f>IF(F8="","",K7+H8)</f>
        <v>0</v>
      </c>
      <c r="L8" s="44">
        <f>IF(F8="","",L7+I8)</f>
        <v>-6.2800000000000011</v>
      </c>
      <c r="M8" s="53">
        <f>IF(F8="","",L8-K8)</f>
        <v>-6.2800000000000011</v>
      </c>
      <c r="N8" s="231"/>
      <c r="O8" s="229"/>
      <c r="P8" s="230"/>
      <c r="Q8" s="47">
        <v>44592.850694444445</v>
      </c>
      <c r="R8" s="44">
        <f t="shared" si="0"/>
        <v>-15.119999998239692</v>
      </c>
      <c r="S8" s="44">
        <f t="shared" si="1"/>
        <v>-15.072000001403692</v>
      </c>
      <c r="T8" s="55"/>
    </row>
    <row r="9" spans="1:20" ht="12" customHeight="1" x14ac:dyDescent="0.2">
      <c r="A9" s="37"/>
      <c r="B9" s="48"/>
      <c r="C9" s="49">
        <v>4.41</v>
      </c>
      <c r="D9" s="54"/>
      <c r="E9" s="39">
        <v>10</v>
      </c>
      <c r="F9" s="40">
        <v>137.80000000000001</v>
      </c>
      <c r="G9" s="51"/>
      <c r="H9" s="44">
        <f>IF(E9="","",((E9-E8)*C9)/1000)</f>
        <v>0</v>
      </c>
      <c r="I9" s="52">
        <f>IF(F9="","",F9-F8-G9)</f>
        <v>-1.3199999999999932</v>
      </c>
      <c r="J9" s="44">
        <f>IF(F9="","",I9-H9)</f>
        <v>-1.3199999999999932</v>
      </c>
      <c r="K9" s="44">
        <f>IF(F9="","",K8+H9)</f>
        <v>0</v>
      </c>
      <c r="L9" s="44">
        <f>IF(F9="","",L8+I9)</f>
        <v>-7.5999999999999943</v>
      </c>
      <c r="M9" s="53">
        <f>IF(F9="","",L9-K9)</f>
        <v>-7.5999999999999943</v>
      </c>
      <c r="N9" s="228"/>
      <c r="O9" s="229"/>
      <c r="P9" s="230"/>
      <c r="Q9" s="47">
        <v>44592.853472222225</v>
      </c>
      <c r="R9" s="44">
        <f t="shared" si="0"/>
        <v>-19.79999998732227</v>
      </c>
      <c r="S9" s="44">
        <f t="shared" si="1"/>
        <v>-15.724137930908228</v>
      </c>
    </row>
    <row r="10" spans="1:20" ht="12" customHeight="1" x14ac:dyDescent="0.2">
      <c r="A10" s="37"/>
      <c r="B10" s="48"/>
      <c r="C10" s="49">
        <v>4.41</v>
      </c>
      <c r="D10" s="54"/>
      <c r="E10" s="39">
        <v>10</v>
      </c>
      <c r="F10" s="40">
        <v>136.34</v>
      </c>
      <c r="G10" s="51"/>
      <c r="H10" s="44">
        <f>IF(E10="","",((E10-E9)*C10)/1000)</f>
        <v>0</v>
      </c>
      <c r="I10" s="52">
        <f>IF(F10="","",F10-F9-G10)</f>
        <v>-1.460000000000008</v>
      </c>
      <c r="J10" s="44">
        <f t="shared" ref="J10:J73" si="2">IF(F10="","",I10-H10)</f>
        <v>-1.460000000000008</v>
      </c>
      <c r="K10" s="44">
        <f t="shared" ref="K10:K73" si="3">IF(F10="","",K9+H10)</f>
        <v>0</v>
      </c>
      <c r="L10" s="44">
        <f t="shared" ref="L10:L73" si="4">IF(F10="","",L9+I10)</f>
        <v>-9.0600000000000023</v>
      </c>
      <c r="M10" s="53">
        <f t="shared" ref="M10:M73" si="5">IF(F10="","",L10-K10)</f>
        <v>-9.0600000000000023</v>
      </c>
      <c r="N10" s="249"/>
      <c r="O10" s="250"/>
      <c r="P10" s="251"/>
      <c r="Q10" s="47">
        <v>44592.856249999997</v>
      </c>
      <c r="R10" s="44">
        <f t="shared" si="0"/>
        <v>-21.900000043341542</v>
      </c>
      <c r="S10" s="44">
        <f t="shared" si="1"/>
        <v>-16.472727276562633</v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>
        <v>10</v>
      </c>
      <c r="F11" s="56">
        <v>137</v>
      </c>
      <c r="G11" s="51"/>
      <c r="H11" s="44">
        <f>IF(E11="","",((E11-E10)*C11)/1000)</f>
        <v>0</v>
      </c>
      <c r="I11" s="52">
        <f t="shared" ref="I11:I74" si="6">IF(F11="","",F11-F10-G11)</f>
        <v>0.65999999999999659</v>
      </c>
      <c r="J11" s="44">
        <f t="shared" si="2"/>
        <v>0.65999999999999659</v>
      </c>
      <c r="K11" s="44">
        <f t="shared" si="3"/>
        <v>0</v>
      </c>
      <c r="L11" s="44">
        <f t="shared" si="4"/>
        <v>-8.4000000000000057</v>
      </c>
      <c r="M11" s="53">
        <f t="shared" si="5"/>
        <v>-8.4000000000000057</v>
      </c>
      <c r="N11" s="228"/>
      <c r="O11" s="229"/>
      <c r="P11" s="230"/>
      <c r="Q11" s="47">
        <v>44592.861111111109</v>
      </c>
      <c r="R11" s="44">
        <f t="shared" si="0"/>
        <v>5.657142855637507</v>
      </c>
      <c r="S11" s="44">
        <f t="shared" si="1"/>
        <v>-12.60000000183355</v>
      </c>
    </row>
    <row r="12" spans="1:20" ht="12" customHeight="1" x14ac:dyDescent="0.2">
      <c r="A12" s="37"/>
      <c r="B12" s="48"/>
      <c r="C12" s="49">
        <v>4.41</v>
      </c>
      <c r="D12" s="54"/>
      <c r="E12" s="39">
        <v>10</v>
      </c>
      <c r="F12" s="56">
        <v>135.12</v>
      </c>
      <c r="G12" s="51"/>
      <c r="H12" s="44">
        <f t="shared" ref="H12:H74" si="7">IF(E12="","",((E12-E11)*C12)/1000)</f>
        <v>0</v>
      </c>
      <c r="I12" s="52">
        <f t="shared" si="6"/>
        <v>-1.8799999999999955</v>
      </c>
      <c r="J12" s="44">
        <f t="shared" si="2"/>
        <v>-1.8799999999999955</v>
      </c>
      <c r="K12" s="44">
        <f t="shared" si="3"/>
        <v>0</v>
      </c>
      <c r="L12" s="44">
        <f t="shared" si="4"/>
        <v>-10.280000000000001</v>
      </c>
      <c r="M12" s="53">
        <f t="shared" si="5"/>
        <v>-10.280000000000001</v>
      </c>
      <c r="N12" s="228"/>
      <c r="O12" s="229"/>
      <c r="P12" s="230"/>
      <c r="Q12" s="47">
        <v>44592.865277777775</v>
      </c>
      <c r="R12" s="44">
        <f t="shared" si="0"/>
        <v>-18.800000004377171</v>
      </c>
      <c r="S12" s="44">
        <f t="shared" si="1"/>
        <v>-13.408695654277841</v>
      </c>
    </row>
    <row r="13" spans="1:20" ht="12" customHeight="1" x14ac:dyDescent="0.2">
      <c r="A13" s="37"/>
      <c r="B13" s="48"/>
      <c r="C13" s="49">
        <v>4.41</v>
      </c>
      <c r="D13" s="54"/>
      <c r="E13" s="39">
        <v>10</v>
      </c>
      <c r="F13" s="56">
        <v>126.4</v>
      </c>
      <c r="G13" s="51"/>
      <c r="H13" s="44">
        <f>IF(E13="","",((E13-E12)*C13)/1000)</f>
        <v>0</v>
      </c>
      <c r="I13" s="52">
        <f t="shared" si="6"/>
        <v>-8.7199999999999989</v>
      </c>
      <c r="J13" s="44">
        <f t="shared" si="2"/>
        <v>-8.7199999999999989</v>
      </c>
      <c r="K13" s="44">
        <f t="shared" si="3"/>
        <v>0</v>
      </c>
      <c r="L13" s="44">
        <f t="shared" si="4"/>
        <v>-19</v>
      </c>
      <c r="M13" s="53">
        <f t="shared" si="5"/>
        <v>-19</v>
      </c>
      <c r="N13" s="231"/>
      <c r="O13" s="229"/>
      <c r="P13" s="230"/>
      <c r="Q13" s="47">
        <v>44592.892361111109</v>
      </c>
      <c r="R13" s="44">
        <f t="shared" si="0"/>
        <v>-13.415384614904074</v>
      </c>
      <c r="S13" s="44">
        <f t="shared" si="1"/>
        <v>-13.411764706800785</v>
      </c>
    </row>
    <row r="14" spans="1:20" ht="12" customHeight="1" x14ac:dyDescent="0.2">
      <c r="A14" s="37"/>
      <c r="B14" s="48"/>
      <c r="C14" s="49">
        <v>4.41</v>
      </c>
      <c r="D14" s="54"/>
      <c r="E14" s="39">
        <v>10</v>
      </c>
      <c r="F14" s="56">
        <v>6.97</v>
      </c>
      <c r="G14" s="51"/>
      <c r="H14" s="44">
        <f t="shared" si="7"/>
        <v>0</v>
      </c>
      <c r="I14" s="52">
        <f t="shared" si="6"/>
        <v>-119.43</v>
      </c>
      <c r="J14" s="44">
        <f t="shared" si="2"/>
        <v>-119.43</v>
      </c>
      <c r="K14" s="44">
        <f t="shared" si="3"/>
        <v>0</v>
      </c>
      <c r="L14" s="44">
        <f t="shared" si="4"/>
        <v>-138.43</v>
      </c>
      <c r="M14" s="53">
        <f t="shared" si="5"/>
        <v>-138.43</v>
      </c>
      <c r="N14" s="231"/>
      <c r="O14" s="229"/>
      <c r="P14" s="230"/>
      <c r="Q14" s="47">
        <v>44592.907638888886</v>
      </c>
      <c r="R14" s="44">
        <f t="shared" si="0"/>
        <v>-325.71818184231182</v>
      </c>
      <c r="S14" s="44">
        <f t="shared" si="1"/>
        <v>-77.624299070825671</v>
      </c>
    </row>
    <row r="15" spans="1:20" ht="12" customHeight="1" x14ac:dyDescent="0.2">
      <c r="A15" s="37"/>
      <c r="B15" s="48"/>
      <c r="C15" s="49">
        <v>4.41</v>
      </c>
      <c r="D15" s="54"/>
      <c r="E15" s="39">
        <v>10</v>
      </c>
      <c r="F15" s="40">
        <v>6.48</v>
      </c>
      <c r="G15" s="51"/>
      <c r="H15" s="44">
        <f t="shared" si="7"/>
        <v>0</v>
      </c>
      <c r="I15" s="52">
        <f t="shared" si="6"/>
        <v>-0.48999999999999932</v>
      </c>
      <c r="J15" s="44">
        <f t="shared" si="2"/>
        <v>-0.48999999999999932</v>
      </c>
      <c r="K15" s="44">
        <f t="shared" si="3"/>
        <v>0</v>
      </c>
      <c r="L15" s="44">
        <f t="shared" si="4"/>
        <v>-138.92000000000002</v>
      </c>
      <c r="M15" s="53">
        <f t="shared" si="5"/>
        <v>-138.92000000000002</v>
      </c>
      <c r="N15" s="231"/>
      <c r="O15" s="229"/>
      <c r="P15" s="230"/>
      <c r="Q15" s="47">
        <v>44592.914583333331</v>
      </c>
      <c r="R15" s="44">
        <f t="shared" si="0"/>
        <v>-2.9399999996577351</v>
      </c>
      <c r="S15" s="44">
        <f t="shared" si="1"/>
        <v>-71.241025644853437</v>
      </c>
    </row>
    <row r="16" spans="1:20" ht="12" customHeight="1" x14ac:dyDescent="0.2">
      <c r="A16" s="37"/>
      <c r="B16" s="48"/>
      <c r="C16" s="49">
        <v>4.41</v>
      </c>
      <c r="D16" s="57"/>
      <c r="E16" s="39">
        <v>10</v>
      </c>
      <c r="F16" s="40">
        <v>4.5999999999999996</v>
      </c>
      <c r="G16" s="51"/>
      <c r="H16" s="44">
        <f t="shared" si="7"/>
        <v>0</v>
      </c>
      <c r="I16" s="52">
        <f t="shared" si="6"/>
        <v>-1.8800000000000008</v>
      </c>
      <c r="J16" s="44">
        <f t="shared" si="2"/>
        <v>-1.8800000000000008</v>
      </c>
      <c r="K16" s="44">
        <f t="shared" si="3"/>
        <v>0</v>
      </c>
      <c r="L16" s="44">
        <f t="shared" si="4"/>
        <v>-140.80000000000001</v>
      </c>
      <c r="M16" s="53">
        <f t="shared" si="5"/>
        <v>-140.80000000000001</v>
      </c>
      <c r="N16" s="228"/>
      <c r="O16" s="229"/>
      <c r="P16" s="230"/>
      <c r="Q16" s="47">
        <v>44592.93472222222</v>
      </c>
      <c r="R16" s="44">
        <f t="shared" si="0"/>
        <v>-3.8896551723825659</v>
      </c>
      <c r="S16" s="44">
        <f t="shared" si="1"/>
        <v>-57.863013701029317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>
        <v>62</v>
      </c>
      <c r="F17" s="40">
        <v>4.5599999999999996</v>
      </c>
      <c r="G17" s="51"/>
      <c r="H17" s="44">
        <f t="shared" si="7"/>
        <v>0.22932</v>
      </c>
      <c r="I17" s="52">
        <f t="shared" si="6"/>
        <v>-4.0000000000000036E-2</v>
      </c>
      <c r="J17" s="44">
        <f t="shared" si="2"/>
        <v>-0.26932</v>
      </c>
      <c r="K17" s="44">
        <f t="shared" si="3"/>
        <v>0.22932</v>
      </c>
      <c r="L17" s="44">
        <f t="shared" si="4"/>
        <v>-140.84</v>
      </c>
      <c r="M17" s="53">
        <f t="shared" si="5"/>
        <v>-141.06932</v>
      </c>
      <c r="N17" s="231"/>
      <c r="O17" s="229"/>
      <c r="P17" s="230"/>
      <c r="Q17" s="47">
        <v>44592.958333333336</v>
      </c>
      <c r="R17" s="44">
        <f t="shared" si="0"/>
        <v>-0.47527058815067363</v>
      </c>
      <c r="S17" s="44">
        <f t="shared" si="1"/>
        <v>-47.023106666666671</v>
      </c>
    </row>
    <row r="18" spans="1:19" ht="12" customHeight="1" x14ac:dyDescent="0.2">
      <c r="A18" s="37"/>
      <c r="B18" s="48"/>
      <c r="C18" s="49">
        <v>4.41</v>
      </c>
      <c r="D18" s="54"/>
      <c r="E18" s="39">
        <v>279</v>
      </c>
      <c r="F18" s="40">
        <v>4.3600000000000003</v>
      </c>
      <c r="G18" s="51"/>
      <c r="H18" s="44">
        <f t="shared" si="7"/>
        <v>0.95696999999999999</v>
      </c>
      <c r="I18" s="52">
        <f t="shared" si="6"/>
        <v>-0.19999999999999929</v>
      </c>
      <c r="J18" s="44">
        <f t="shared" si="2"/>
        <v>-1.1569699999999994</v>
      </c>
      <c r="K18" s="44">
        <f t="shared" si="3"/>
        <v>1.1862900000000001</v>
      </c>
      <c r="L18" s="44">
        <f t="shared" si="4"/>
        <v>-141.04</v>
      </c>
      <c r="M18" s="53">
        <f t="shared" si="5"/>
        <v>-142.22629000000001</v>
      </c>
      <c r="N18" s="231"/>
      <c r="O18" s="229"/>
      <c r="P18" s="230"/>
      <c r="Q18" s="47">
        <v>44592.970833333333</v>
      </c>
      <c r="R18" s="44">
        <f t="shared" si="0"/>
        <v>-3.8565666675645915</v>
      </c>
      <c r="S18" s="44">
        <f t="shared" si="1"/>
        <v>-43.098875758488006</v>
      </c>
    </row>
    <row r="19" spans="1:19" ht="12" customHeight="1" x14ac:dyDescent="0.2">
      <c r="A19" s="37"/>
      <c r="B19" s="48"/>
      <c r="C19" s="49">
        <v>4.41</v>
      </c>
      <c r="D19" s="54"/>
      <c r="E19" s="39">
        <v>351</v>
      </c>
      <c r="F19" s="40">
        <v>2.8</v>
      </c>
      <c r="G19" s="51"/>
      <c r="H19" s="44">
        <f t="shared" si="7"/>
        <v>0.31751999999999997</v>
      </c>
      <c r="I19" s="52">
        <f t="shared" si="6"/>
        <v>-1.5600000000000005</v>
      </c>
      <c r="J19" s="44">
        <f t="shared" si="2"/>
        <v>-1.8775200000000005</v>
      </c>
      <c r="K19" s="44">
        <f t="shared" si="3"/>
        <v>1.5038100000000001</v>
      </c>
      <c r="L19" s="44">
        <f t="shared" si="4"/>
        <v>-142.6</v>
      </c>
      <c r="M19" s="53">
        <f t="shared" si="5"/>
        <v>-144.10380999999998</v>
      </c>
      <c r="N19" s="228"/>
      <c r="O19" s="229"/>
      <c r="P19" s="230"/>
      <c r="Q19" s="47">
        <v>44592.994444444441</v>
      </c>
      <c r="R19" s="44">
        <f t="shared" si="0"/>
        <v>-3.3132705886663887</v>
      </c>
      <c r="S19" s="44">
        <f t="shared" si="1"/>
        <v>-37.268226725521785</v>
      </c>
    </row>
    <row r="20" spans="1:19" ht="12" customHeight="1" x14ac:dyDescent="0.2">
      <c r="A20" s="37"/>
      <c r="B20" s="48"/>
      <c r="C20" s="49">
        <v>4.41</v>
      </c>
      <c r="D20" s="54"/>
      <c r="E20" s="39">
        <v>351</v>
      </c>
      <c r="F20" s="40">
        <v>3.04</v>
      </c>
      <c r="G20" s="40">
        <v>4.2</v>
      </c>
      <c r="H20" s="44">
        <f>IF(E20="","",((E20-E19)*C20)/1000)</f>
        <v>0</v>
      </c>
      <c r="I20" s="52">
        <f t="shared" si="6"/>
        <v>-3.96</v>
      </c>
      <c r="J20" s="44">
        <f t="shared" si="2"/>
        <v>-3.96</v>
      </c>
      <c r="K20" s="44">
        <f t="shared" si="3"/>
        <v>1.5038100000000001</v>
      </c>
      <c r="L20" s="44">
        <f t="shared" si="4"/>
        <v>-146.56</v>
      </c>
      <c r="M20" s="53">
        <f t="shared" si="5"/>
        <v>-148.06380999999999</v>
      </c>
      <c r="N20" s="242"/>
      <c r="O20" s="229"/>
      <c r="P20" s="230"/>
      <c r="Q20" s="47">
        <v>44593.04791666667</v>
      </c>
      <c r="R20" s="44">
        <f t="shared" si="0"/>
        <v>-3.0857142853130739</v>
      </c>
      <c r="S20" s="44">
        <f t="shared" si="1"/>
        <v>-28.750254368802057</v>
      </c>
    </row>
    <row r="21" spans="1:19" ht="12" customHeight="1" x14ac:dyDescent="0.2">
      <c r="A21" s="37"/>
      <c r="B21" s="48"/>
      <c r="C21" s="49">
        <v>4.41</v>
      </c>
      <c r="D21" s="54"/>
      <c r="E21" s="39">
        <v>351</v>
      </c>
      <c r="F21" s="40">
        <v>7.18</v>
      </c>
      <c r="G21" s="51">
        <v>5</v>
      </c>
      <c r="H21" s="44">
        <f>IF(E21="","",((E21-E20)*C21)/1000)</f>
        <v>0</v>
      </c>
      <c r="I21" s="52">
        <f>IF(F21="","",F21-F20-G21)</f>
        <v>-0.86000000000000032</v>
      </c>
      <c r="J21" s="44">
        <f>IF(F21="","",I21-H21)</f>
        <v>-0.86000000000000032</v>
      </c>
      <c r="K21" s="44">
        <f>IF(F21="","",K20+H21)</f>
        <v>1.5038100000000001</v>
      </c>
      <c r="L21" s="44">
        <f>IF(F21="","",L20+I21)</f>
        <v>-147.42000000000002</v>
      </c>
      <c r="M21" s="53">
        <f>IF(F21="","",L21-K21)</f>
        <v>-148.92381</v>
      </c>
      <c r="N21" s="228"/>
      <c r="O21" s="229"/>
      <c r="P21" s="230"/>
      <c r="Q21" s="47">
        <v>44593.065972222219</v>
      </c>
      <c r="R21" s="44">
        <f t="shared" si="0"/>
        <v>-1.9846153853440489</v>
      </c>
      <c r="S21" s="44">
        <f t="shared" si="1"/>
        <v>-26.672921194678686</v>
      </c>
    </row>
    <row r="22" spans="1:19" ht="12" customHeight="1" x14ac:dyDescent="0.2">
      <c r="A22" s="37"/>
      <c r="B22" s="48"/>
      <c r="C22" s="49">
        <v>4.41</v>
      </c>
      <c r="D22" s="54"/>
      <c r="E22" s="39">
        <v>351</v>
      </c>
      <c r="F22" s="40">
        <v>6.16</v>
      </c>
      <c r="G22" s="51"/>
      <c r="H22" s="44">
        <f t="shared" si="7"/>
        <v>0</v>
      </c>
      <c r="I22" s="52">
        <f>IF(F22="","",F22-F21-G22)</f>
        <v>-1.0199999999999996</v>
      </c>
      <c r="J22" s="44">
        <f t="shared" si="2"/>
        <v>-1.0199999999999996</v>
      </c>
      <c r="K22" s="44">
        <f t="shared" si="3"/>
        <v>1.5038100000000001</v>
      </c>
      <c r="L22" s="44">
        <f t="shared" si="4"/>
        <v>-148.44000000000003</v>
      </c>
      <c r="M22" s="53">
        <f t="shared" si="5"/>
        <v>-149.94381000000001</v>
      </c>
      <c r="N22" s="228"/>
      <c r="O22" s="229"/>
      <c r="P22" s="230"/>
      <c r="Q22" s="47">
        <v>44593.077777777777</v>
      </c>
      <c r="R22" s="44">
        <f t="shared" si="0"/>
        <v>-3.5999999993590293</v>
      </c>
      <c r="S22" s="44">
        <f t="shared" si="1"/>
        <v>-25.558603977644655</v>
      </c>
    </row>
    <row r="23" spans="1:19" ht="12" customHeight="1" x14ac:dyDescent="0.2">
      <c r="A23" s="37"/>
      <c r="B23" s="48"/>
      <c r="C23" s="49">
        <v>4.41</v>
      </c>
      <c r="D23" s="54"/>
      <c r="E23" s="39">
        <v>351</v>
      </c>
      <c r="F23" s="40">
        <v>3.17</v>
      </c>
      <c r="G23" s="51"/>
      <c r="H23" s="44">
        <f t="shared" si="7"/>
        <v>0</v>
      </c>
      <c r="I23" s="52">
        <f t="shared" si="6"/>
        <v>-2.99</v>
      </c>
      <c r="J23" s="44">
        <f t="shared" si="2"/>
        <v>-2.99</v>
      </c>
      <c r="K23" s="44">
        <f t="shared" si="3"/>
        <v>1.5038100000000001</v>
      </c>
      <c r="L23" s="44">
        <f t="shared" si="4"/>
        <v>-151.43000000000004</v>
      </c>
      <c r="M23" s="53">
        <f t="shared" si="5"/>
        <v>-152.93381000000002</v>
      </c>
      <c r="N23" s="228"/>
      <c r="O23" s="229"/>
      <c r="P23" s="230"/>
      <c r="Q23" s="47">
        <v>44593.118055555555</v>
      </c>
      <c r="R23" s="44">
        <f t="shared" si="0"/>
        <v>-3.0931034482510289</v>
      </c>
      <c r="S23" s="44">
        <f t="shared" si="1"/>
        <v>-22.380557561229804</v>
      </c>
    </row>
    <row r="24" spans="1:19" ht="12" customHeight="1" x14ac:dyDescent="0.2">
      <c r="A24" s="37"/>
      <c r="B24" s="48"/>
      <c r="C24" s="49">
        <v>4.41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4.41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4.41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4.41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4.41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4.41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4.41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117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4.41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4.41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4.41</v>
      </c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4.41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4.41</v>
      </c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4.41</v>
      </c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4.41</v>
      </c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4.41</v>
      </c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4.41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116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4.41</v>
      </c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4.41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4.41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4.41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4.41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4.41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4.41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4.41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4.41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4.41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4.41</v>
      </c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4.41</v>
      </c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4.41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4.41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4.41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4.41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4.41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4.41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4.41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 t="s">
        <v>117</v>
      </c>
      <c r="O60" s="244"/>
      <c r="P60" s="245"/>
      <c r="Q60" s="65">
        <v>44583.590277777781</v>
      </c>
      <c r="R60" s="44" t="e">
        <f t="shared" si="0"/>
        <v>#VALUE!</v>
      </c>
      <c r="S60" s="44" t="e">
        <f t="shared" si="1"/>
        <v>#VALUE!</v>
      </c>
    </row>
    <row r="61" spans="1:19" ht="12" customHeight="1" x14ac:dyDescent="0.2">
      <c r="B61" s="48"/>
      <c r="C61" s="49">
        <v>4.41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>
        <v>44583.605555555558</v>
      </c>
      <c r="R61" s="44" t="e">
        <f t="shared" si="0"/>
        <v>#VALUE!</v>
      </c>
      <c r="S61" s="44" t="e">
        <f t="shared" si="1"/>
        <v>#VALUE!</v>
      </c>
    </row>
    <row r="62" spans="1:19" ht="12" customHeight="1" x14ac:dyDescent="0.2">
      <c r="B62" s="48"/>
      <c r="C62" s="49">
        <v>4.41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4.41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4.41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 t="s">
        <v>118</v>
      </c>
      <c r="O64" s="244"/>
      <c r="P64" s="245"/>
      <c r="Q64" s="65">
        <v>44583.649305555555</v>
      </c>
      <c r="R64" s="44" t="e">
        <f t="shared" si="0"/>
        <v>#VALUE!</v>
      </c>
      <c r="S64" s="44" t="e">
        <f t="shared" si="1"/>
        <v>#VALUE!</v>
      </c>
    </row>
    <row r="65" spans="2:19" x14ac:dyDescent="0.2">
      <c r="B65" s="48"/>
      <c r="C65" s="49">
        <v>4.41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>
        <v>44583.652777777781</v>
      </c>
      <c r="R65" s="44" t="e">
        <f t="shared" si="0"/>
        <v>#VALUE!</v>
      </c>
      <c r="S65" s="44" t="e">
        <f t="shared" si="1"/>
        <v>#VALUE!</v>
      </c>
    </row>
    <row r="66" spans="2:19" x14ac:dyDescent="0.2">
      <c r="B66" s="48"/>
      <c r="C66" s="49">
        <v>4.41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4.41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4.41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 t="s">
        <v>119</v>
      </c>
      <c r="O68" s="244"/>
      <c r="P68" s="245"/>
      <c r="Q68" s="47">
        <v>44583.725694444445</v>
      </c>
      <c r="R68" s="44" t="e">
        <f t="shared" si="0"/>
        <v>#VALUE!</v>
      </c>
      <c r="S68" s="44" t="e">
        <f t="shared" si="1"/>
        <v>#VALUE!</v>
      </c>
    </row>
    <row r="69" spans="2:19" x14ac:dyDescent="0.2">
      <c r="B69" s="48"/>
      <c r="C69" s="49">
        <v>4.41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>
        <v>44583.744444444441</v>
      </c>
      <c r="R69" s="44" t="e">
        <f t="shared" si="0"/>
        <v>#VALUE!</v>
      </c>
      <c r="S69" s="44" t="e">
        <f t="shared" si="1"/>
        <v>#VALUE!</v>
      </c>
    </row>
    <row r="70" spans="2:19" x14ac:dyDescent="0.2">
      <c r="B70" s="48"/>
      <c r="C70" s="49">
        <v>4.41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4.41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4.41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4.41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32"/>
      <c r="O76" s="133"/>
      <c r="P76" s="134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32"/>
      <c r="O77" s="133"/>
      <c r="P77" s="134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32"/>
      <c r="O78" s="133"/>
      <c r="P78" s="134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32"/>
      <c r="O79" s="133"/>
      <c r="P79" s="134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U112"/>
  <sheetViews>
    <sheetView zoomScaleNormal="100" workbookViewId="0">
      <selection activeCell="E17" sqref="E1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0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0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03" t="s">
        <v>20</v>
      </c>
      <c r="I5" s="10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0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04" t="s">
        <v>28</v>
      </c>
      <c r="E6" s="39">
        <v>3465</v>
      </c>
      <c r="F6" s="40">
        <v>5.94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44590.090277777781</v>
      </c>
      <c r="R6" s="11"/>
      <c r="S6" s="11"/>
    </row>
    <row r="7" spans="1:20" ht="12" customHeight="1" x14ac:dyDescent="0.2">
      <c r="A7" s="37"/>
      <c r="B7" s="48" t="s">
        <v>136</v>
      </c>
      <c r="C7" s="49">
        <v>4.41</v>
      </c>
      <c r="D7" s="39"/>
      <c r="E7" s="39">
        <v>3143</v>
      </c>
      <c r="F7" s="40">
        <v>3.62</v>
      </c>
      <c r="G7" s="51"/>
      <c r="H7" s="44">
        <f>IF(E7="","",((E7-E6)*C7)/1000)</f>
        <v>-1.4200200000000001</v>
      </c>
      <c r="I7" s="52">
        <f>IF(F7="","",F7-F6-G7)</f>
        <v>-2.3200000000000003</v>
      </c>
      <c r="J7" s="44">
        <f>IF(F7="","",I7-H7)</f>
        <v>-0.89998000000000022</v>
      </c>
      <c r="K7" s="44">
        <f>IF(F7="","",K6+H7)</f>
        <v>-1.4200200000000001</v>
      </c>
      <c r="L7" s="44">
        <f>IF(F7="","",L6+I7)</f>
        <v>-2.3200000000000003</v>
      </c>
      <c r="M7" s="53">
        <f>IF(F7="","",L7-K7)</f>
        <v>-0.89998000000000022</v>
      </c>
      <c r="N7" s="231"/>
      <c r="O7" s="229"/>
      <c r="P7" s="230"/>
      <c r="Q7" s="47">
        <v>44590.123611111114</v>
      </c>
      <c r="R7" s="44">
        <f t="shared" ref="R7:R70" si="0">IF(Q7="","",J7/((Q7-Q6)*24))</f>
        <v>-1.1249750000163707</v>
      </c>
      <c r="S7" s="44">
        <f t="shared" ref="S7:S70" si="1">IF(Q7="","",M7/((Q7-$Q$6)*24))</f>
        <v>-1.1249750000163707</v>
      </c>
    </row>
    <row r="8" spans="1:20" ht="12" customHeight="1" x14ac:dyDescent="0.2">
      <c r="A8" s="37"/>
      <c r="B8" s="48"/>
      <c r="C8" s="49">
        <v>4.41</v>
      </c>
      <c r="D8" s="54"/>
      <c r="E8" s="39">
        <v>2910</v>
      </c>
      <c r="F8" s="40">
        <v>6.1</v>
      </c>
      <c r="G8" s="51">
        <v>4.37</v>
      </c>
      <c r="H8" s="44">
        <f>IF(E8="","",((E8-E7)*C8)/1000)</f>
        <v>-1.0275300000000001</v>
      </c>
      <c r="I8" s="52">
        <f>IF(F8="","",F8-F7-G8)</f>
        <v>-1.8900000000000006</v>
      </c>
      <c r="J8" s="44">
        <f>IF(F8="","",I8-H8)</f>
        <v>-0.86247000000000051</v>
      </c>
      <c r="K8" s="44">
        <f>IF(F8="","",K7+H8)</f>
        <v>-2.4475500000000001</v>
      </c>
      <c r="L8" s="44">
        <f>IF(F8="","",L7+I8)</f>
        <v>-4.2100000000000009</v>
      </c>
      <c r="M8" s="53">
        <f>IF(F8="","",L8-K8)</f>
        <v>-1.7624500000000007</v>
      </c>
      <c r="N8" s="231" t="s">
        <v>137</v>
      </c>
      <c r="O8" s="229"/>
      <c r="P8" s="230"/>
      <c r="Q8" s="47">
        <v>44590.138888888891</v>
      </c>
      <c r="R8" s="44">
        <f t="shared" si="0"/>
        <v>-2.3521909092651665</v>
      </c>
      <c r="S8" s="44">
        <f t="shared" si="1"/>
        <v>-1.5106714286216765</v>
      </c>
      <c r="T8" s="55"/>
    </row>
    <row r="9" spans="1:20" ht="12" customHeight="1" x14ac:dyDescent="0.2">
      <c r="A9" s="37"/>
      <c r="B9" s="48"/>
      <c r="C9" s="49">
        <v>4.41</v>
      </c>
      <c r="D9" s="54"/>
      <c r="E9" s="39">
        <v>2562</v>
      </c>
      <c r="F9" s="40">
        <v>7.94</v>
      </c>
      <c r="G9" s="51">
        <v>4.1399999999999997</v>
      </c>
      <c r="H9" s="44">
        <f>IF(E9="","",((E9-E8)*C9)/1000)</f>
        <v>-1.53468</v>
      </c>
      <c r="I9" s="52">
        <f>IF(F9="","",F9-F8-G9)</f>
        <v>-2.2999999999999989</v>
      </c>
      <c r="J9" s="44">
        <f>IF(F9="","",I9-H9)</f>
        <v>-0.76531999999999889</v>
      </c>
      <c r="K9" s="44">
        <f>IF(F9="","",K8+H9)</f>
        <v>-3.9822300000000004</v>
      </c>
      <c r="L9" s="44">
        <f>IF(F9="","",L8+I9)</f>
        <v>-6.51</v>
      </c>
      <c r="M9" s="53">
        <f>IF(F9="","",L9-K9)</f>
        <v>-2.5277699999999994</v>
      </c>
      <c r="N9" s="228"/>
      <c r="O9" s="229"/>
      <c r="P9" s="230"/>
      <c r="Q9" s="47">
        <v>44590.15625</v>
      </c>
      <c r="R9" s="44">
        <f t="shared" si="0"/>
        <v>-1.8367680001710598</v>
      </c>
      <c r="S9" s="44">
        <f t="shared" si="1"/>
        <v>-1.5964863158677283</v>
      </c>
    </row>
    <row r="10" spans="1:20" ht="12" customHeight="1" x14ac:dyDescent="0.2">
      <c r="A10" s="37"/>
      <c r="B10" s="48"/>
      <c r="C10" s="49">
        <v>4.41</v>
      </c>
      <c r="D10" s="54"/>
      <c r="E10" s="39">
        <v>2388</v>
      </c>
      <c r="F10" s="40">
        <v>6.2</v>
      </c>
      <c r="G10" s="51"/>
      <c r="H10" s="44">
        <f>IF(E10="","",((E10-E9)*C10)/1000)</f>
        <v>-0.76734000000000002</v>
      </c>
      <c r="I10" s="52">
        <f>IF(F10="","",F10-F9-G10)</f>
        <v>-1.7400000000000002</v>
      </c>
      <c r="J10" s="44">
        <f t="shared" ref="J10:J73" si="2">IF(F10="","",I10-H10)</f>
        <v>-0.97266000000000019</v>
      </c>
      <c r="K10" s="44">
        <f t="shared" ref="K10:K73" si="3">IF(F10="","",K9+H10)</f>
        <v>-4.7495700000000003</v>
      </c>
      <c r="L10" s="44">
        <f t="shared" ref="L10:L73" si="4">IF(F10="","",L9+I10)</f>
        <v>-8.25</v>
      </c>
      <c r="M10" s="53">
        <f t="shared" ref="M10:M73" si="5">IF(F10="","",L10-K10)</f>
        <v>-3.5004299999999997</v>
      </c>
      <c r="N10" s="249"/>
      <c r="O10" s="250"/>
      <c r="P10" s="251"/>
      <c r="Q10" s="47">
        <v>44590.171527777777</v>
      </c>
      <c r="R10" s="44">
        <f t="shared" si="0"/>
        <v>-2.6527090911056108</v>
      </c>
      <c r="S10" s="44">
        <f t="shared" si="1"/>
        <v>-1.7950923077887582</v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>
        <v>1864</v>
      </c>
      <c r="F11" s="56">
        <v>6.3</v>
      </c>
      <c r="G11" s="51">
        <v>4.45</v>
      </c>
      <c r="H11" s="44">
        <f>IF(E11="","",((E11-E10)*C11)/1000)</f>
        <v>-2.3108400000000002</v>
      </c>
      <c r="I11" s="52">
        <f t="shared" ref="I11:I74" si="6">IF(F11="","",F11-F10-G11)</f>
        <v>-4.3500000000000005</v>
      </c>
      <c r="J11" s="44">
        <f t="shared" si="2"/>
        <v>-2.0391600000000003</v>
      </c>
      <c r="K11" s="44">
        <f t="shared" si="3"/>
        <v>-7.060410000000001</v>
      </c>
      <c r="L11" s="44">
        <f t="shared" si="4"/>
        <v>-12.600000000000001</v>
      </c>
      <c r="M11" s="53">
        <f t="shared" si="5"/>
        <v>-5.5395900000000005</v>
      </c>
      <c r="N11" s="228"/>
      <c r="O11" s="229"/>
      <c r="P11" s="230"/>
      <c r="Q11" s="47">
        <v>44590.205555555556</v>
      </c>
      <c r="R11" s="44">
        <f t="shared" si="0"/>
        <v>-2.4969306121143884</v>
      </c>
      <c r="S11" s="44">
        <f t="shared" si="1"/>
        <v>-2.0022614458280663</v>
      </c>
    </row>
    <row r="12" spans="1:20" ht="12" customHeight="1" x14ac:dyDescent="0.2">
      <c r="A12" s="37"/>
      <c r="B12" s="48"/>
      <c r="C12" s="49">
        <v>4.41</v>
      </c>
      <c r="D12" s="54"/>
      <c r="E12" s="39">
        <v>1691</v>
      </c>
      <c r="F12" s="56">
        <v>4.1500000000000004</v>
      </c>
      <c r="G12" s="51"/>
      <c r="H12" s="44">
        <f t="shared" ref="H12:H74" si="7">IF(E12="","",((E12-E11)*C12)/1000)</f>
        <v>-0.76293000000000011</v>
      </c>
      <c r="I12" s="52">
        <f t="shared" si="6"/>
        <v>-2.1499999999999995</v>
      </c>
      <c r="J12" s="44">
        <f t="shared" si="2"/>
        <v>-1.3870699999999994</v>
      </c>
      <c r="K12" s="44">
        <f t="shared" si="3"/>
        <v>-7.8233400000000008</v>
      </c>
      <c r="L12" s="44">
        <f t="shared" si="4"/>
        <v>-14.75</v>
      </c>
      <c r="M12" s="53">
        <f t="shared" si="5"/>
        <v>-6.9266599999999992</v>
      </c>
      <c r="N12" s="228"/>
      <c r="O12" s="229"/>
      <c r="P12" s="230"/>
      <c r="Q12" s="47">
        <v>44590.220833333333</v>
      </c>
      <c r="R12" s="44">
        <f t="shared" si="0"/>
        <v>-3.7829181820984279</v>
      </c>
      <c r="S12" s="44">
        <f t="shared" si="1"/>
        <v>-2.2106361702757349</v>
      </c>
    </row>
    <row r="13" spans="1:20" ht="12" customHeight="1" x14ac:dyDescent="0.2">
      <c r="A13" s="37"/>
      <c r="B13" s="48"/>
      <c r="C13" s="49">
        <v>4.41</v>
      </c>
      <c r="D13" s="54"/>
      <c r="E13" s="39">
        <v>1404</v>
      </c>
      <c r="F13" s="56">
        <v>6.91</v>
      </c>
      <c r="G13" s="51">
        <v>5</v>
      </c>
      <c r="H13" s="44">
        <f>IF(E13="","",((E13-E12)*C13)/1000)</f>
        <v>-1.2656700000000001</v>
      </c>
      <c r="I13" s="52">
        <f t="shared" si="6"/>
        <v>-2.2400000000000002</v>
      </c>
      <c r="J13" s="44">
        <f t="shared" si="2"/>
        <v>-0.97433000000000014</v>
      </c>
      <c r="K13" s="44">
        <f t="shared" si="3"/>
        <v>-9.0890100000000018</v>
      </c>
      <c r="L13" s="44">
        <f t="shared" si="4"/>
        <v>-16.990000000000002</v>
      </c>
      <c r="M13" s="53">
        <f t="shared" si="5"/>
        <v>-7.9009900000000002</v>
      </c>
      <c r="N13" s="231"/>
      <c r="O13" s="229"/>
      <c r="P13" s="230"/>
      <c r="Q13" s="47">
        <v>44590.23541666667</v>
      </c>
      <c r="R13" s="44">
        <f t="shared" si="0"/>
        <v>-2.7837999992592533</v>
      </c>
      <c r="S13" s="44">
        <f t="shared" si="1"/>
        <v>-2.2682267942558463</v>
      </c>
    </row>
    <row r="14" spans="1:20" ht="12" customHeight="1" x14ac:dyDescent="0.2">
      <c r="A14" s="37"/>
      <c r="B14" s="48"/>
      <c r="C14" s="49">
        <v>4.41</v>
      </c>
      <c r="D14" s="54"/>
      <c r="E14" s="39">
        <v>994</v>
      </c>
      <c r="F14" s="56">
        <v>3.5</v>
      </c>
      <c r="G14" s="51"/>
      <c r="H14" s="44">
        <f t="shared" si="7"/>
        <v>-1.8081</v>
      </c>
      <c r="I14" s="52">
        <f t="shared" si="6"/>
        <v>-3.41</v>
      </c>
      <c r="J14" s="44">
        <f t="shared" si="2"/>
        <v>-1.6019000000000001</v>
      </c>
      <c r="K14" s="44">
        <f t="shared" si="3"/>
        <v>-10.897110000000001</v>
      </c>
      <c r="L14" s="44">
        <f t="shared" si="4"/>
        <v>-20.400000000000002</v>
      </c>
      <c r="M14" s="53">
        <f t="shared" si="5"/>
        <v>-9.5028900000000007</v>
      </c>
      <c r="N14" s="231"/>
      <c r="O14" s="229"/>
      <c r="P14" s="230"/>
      <c r="Q14" s="47">
        <v>44590.254166666666</v>
      </c>
      <c r="R14" s="44">
        <f t="shared" si="0"/>
        <v>-3.5597777786066032</v>
      </c>
      <c r="S14" s="44">
        <f t="shared" si="1"/>
        <v>-2.4159889831128196</v>
      </c>
    </row>
    <row r="15" spans="1:20" ht="12" customHeight="1" x14ac:dyDescent="0.2">
      <c r="A15" s="37"/>
      <c r="B15" s="48"/>
      <c r="C15" s="49">
        <v>4.41</v>
      </c>
      <c r="D15" s="54"/>
      <c r="E15" s="39">
        <v>648</v>
      </c>
      <c r="F15" s="40">
        <v>5.91</v>
      </c>
      <c r="G15" s="51">
        <v>4.91</v>
      </c>
      <c r="H15" s="44">
        <f t="shared" si="7"/>
        <v>-1.5258600000000002</v>
      </c>
      <c r="I15" s="52">
        <f t="shared" si="6"/>
        <v>-2.5</v>
      </c>
      <c r="J15" s="44">
        <f t="shared" si="2"/>
        <v>-0.97413999999999978</v>
      </c>
      <c r="K15" s="44">
        <f t="shared" si="3"/>
        <v>-12.422970000000001</v>
      </c>
      <c r="L15" s="44">
        <f t="shared" si="4"/>
        <v>-22.900000000000002</v>
      </c>
      <c r="M15" s="53">
        <f t="shared" si="5"/>
        <v>-10.477030000000001</v>
      </c>
      <c r="N15" s="231"/>
      <c r="O15" s="229"/>
      <c r="P15" s="230"/>
      <c r="Q15" s="47">
        <v>44590.269444444442</v>
      </c>
      <c r="R15" s="44">
        <f t="shared" si="0"/>
        <v>-2.6567454547422722</v>
      </c>
      <c r="S15" s="44">
        <f t="shared" si="1"/>
        <v>-2.4365186047237239</v>
      </c>
    </row>
    <row r="16" spans="1:20" ht="12" customHeight="1" x14ac:dyDescent="0.2">
      <c r="A16" s="37"/>
      <c r="B16" s="48"/>
      <c r="C16" s="49">
        <v>4.41</v>
      </c>
      <c r="D16" s="57"/>
      <c r="E16" s="39">
        <v>241</v>
      </c>
      <c r="F16" s="40">
        <v>8.1</v>
      </c>
      <c r="G16" s="51">
        <v>6.6</v>
      </c>
      <c r="H16" s="44">
        <f t="shared" si="7"/>
        <v>-1.7948700000000002</v>
      </c>
      <c r="I16" s="52">
        <f t="shared" si="6"/>
        <v>-4.41</v>
      </c>
      <c r="J16" s="44">
        <f t="shared" si="2"/>
        <v>-2.6151299999999997</v>
      </c>
      <c r="K16" s="44">
        <f t="shared" si="3"/>
        <v>-14.217840000000001</v>
      </c>
      <c r="L16" s="44">
        <f t="shared" si="4"/>
        <v>-27.310000000000002</v>
      </c>
      <c r="M16" s="53">
        <f t="shared" si="5"/>
        <v>-13.092160000000002</v>
      </c>
      <c r="N16" s="228"/>
      <c r="O16" s="229"/>
      <c r="P16" s="230"/>
      <c r="Q16" s="47">
        <v>44590.304166666669</v>
      </c>
      <c r="R16" s="44">
        <f t="shared" si="0"/>
        <v>-3.1381559996346704</v>
      </c>
      <c r="S16" s="44">
        <f t="shared" si="1"/>
        <v>-2.5504207792362035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4.41</v>
      </c>
      <c r="D18" s="54"/>
      <c r="E18" s="39"/>
      <c r="F18" s="40"/>
      <c r="G18" s="51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31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4.41</v>
      </c>
      <c r="D19" s="54"/>
      <c r="E19" s="39"/>
      <c r="F19" s="40"/>
      <c r="G19" s="51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4.41</v>
      </c>
      <c r="D20" s="54"/>
      <c r="E20" s="39"/>
      <c r="F20" s="40"/>
      <c r="G20" s="40"/>
      <c r="H20" s="44" t="str">
        <f>IF(E20="","",((E20-E19)*C20)/1000)</f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4.41</v>
      </c>
      <c r="D21" s="54"/>
      <c r="E21" s="39"/>
      <c r="F21" s="40"/>
      <c r="G21" s="51"/>
      <c r="H21" s="44" t="str">
        <f>IF(E21="","",((E21-E20)*C21)/1000)</f>
        <v/>
      </c>
      <c r="I21" s="52" t="str">
        <f>IF(F21="","",F21-F20-G21)</f>
        <v/>
      </c>
      <c r="J21" s="44" t="str">
        <f>IF(F21="","",I21-H21)</f>
        <v/>
      </c>
      <c r="K21" s="44" t="str">
        <f>IF(F21="","",K20+H21)</f>
        <v/>
      </c>
      <c r="L21" s="44" t="str">
        <f>IF(F21="","",L20+I21)</f>
        <v/>
      </c>
      <c r="M21" s="53" t="str">
        <f>IF(F21="","",L21-K21)</f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4.41</v>
      </c>
      <c r="D22" s="54"/>
      <c r="E22" s="39"/>
      <c r="F22" s="40"/>
      <c r="G22" s="51"/>
      <c r="H22" s="44" t="str">
        <f t="shared" si="7"/>
        <v/>
      </c>
      <c r="I22" s="52" t="str">
        <f>IF(F22="","",F22-F21-G22)</f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4.41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4.41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4.41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4.41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4.41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4.41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4.41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4.41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117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4.41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4.41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231"/>
      <c r="O34" s="229"/>
      <c r="P34" s="230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4.41</v>
      </c>
      <c r="D35" s="58"/>
      <c r="E35" s="39"/>
      <c r="F35" s="40"/>
      <c r="G35" s="40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31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4.41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4.41</v>
      </c>
      <c r="D37" s="58"/>
      <c r="E37" s="39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4.41</v>
      </c>
      <c r="D38" s="58"/>
      <c r="E38" s="39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4.41</v>
      </c>
      <c r="D39" s="58"/>
      <c r="E39" s="39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4.41</v>
      </c>
      <c r="D40" s="58"/>
      <c r="E40" s="39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4.41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116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4.41</v>
      </c>
      <c r="D42" s="58"/>
      <c r="E42" s="39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4.41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4.41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4.41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4.41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4.41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4.41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4.41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4.41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4.41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4.41</v>
      </c>
      <c r="D52" s="58"/>
      <c r="E52" s="39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47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4.41</v>
      </c>
      <c r="D53" s="58"/>
      <c r="E53" s="39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4.41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4.41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4.41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4.41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4.41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4.41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4.41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 t="s">
        <v>117</v>
      </c>
      <c r="O60" s="244"/>
      <c r="P60" s="245"/>
      <c r="Q60" s="65">
        <v>44583.590277777781</v>
      </c>
      <c r="R60" s="44" t="e">
        <f t="shared" si="0"/>
        <v>#VALUE!</v>
      </c>
      <c r="S60" s="44" t="e">
        <f t="shared" si="1"/>
        <v>#VALUE!</v>
      </c>
    </row>
    <row r="61" spans="1:19" ht="12" customHeight="1" x14ac:dyDescent="0.2">
      <c r="B61" s="48"/>
      <c r="C61" s="49">
        <v>4.41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>
        <v>44583.605555555558</v>
      </c>
      <c r="R61" s="44" t="e">
        <f t="shared" si="0"/>
        <v>#VALUE!</v>
      </c>
      <c r="S61" s="44" t="e">
        <f t="shared" si="1"/>
        <v>#VALUE!</v>
      </c>
    </row>
    <row r="62" spans="1:19" ht="12" customHeight="1" x14ac:dyDescent="0.2">
      <c r="B62" s="48"/>
      <c r="C62" s="49">
        <v>4.41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4.41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4.41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 t="s">
        <v>118</v>
      </c>
      <c r="O64" s="244"/>
      <c r="P64" s="245"/>
      <c r="Q64" s="65">
        <v>44583.649305555555</v>
      </c>
      <c r="R64" s="44" t="e">
        <f t="shared" si="0"/>
        <v>#VALUE!</v>
      </c>
      <c r="S64" s="44" t="e">
        <f t="shared" si="1"/>
        <v>#VALUE!</v>
      </c>
    </row>
    <row r="65" spans="2:19" x14ac:dyDescent="0.2">
      <c r="B65" s="48"/>
      <c r="C65" s="49">
        <v>4.41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>
        <v>44583.652777777781</v>
      </c>
      <c r="R65" s="44" t="e">
        <f t="shared" si="0"/>
        <v>#VALUE!</v>
      </c>
      <c r="S65" s="44" t="e">
        <f t="shared" si="1"/>
        <v>#VALUE!</v>
      </c>
    </row>
    <row r="66" spans="2:19" x14ac:dyDescent="0.2">
      <c r="B66" s="48"/>
      <c r="C66" s="49">
        <v>4.41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4.41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4.41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 t="s">
        <v>119</v>
      </c>
      <c r="O68" s="244"/>
      <c r="P68" s="245"/>
      <c r="Q68" s="47">
        <v>44583.725694444445</v>
      </c>
      <c r="R68" s="44" t="e">
        <f t="shared" si="0"/>
        <v>#VALUE!</v>
      </c>
      <c r="S68" s="44" t="e">
        <f t="shared" si="1"/>
        <v>#VALUE!</v>
      </c>
    </row>
    <row r="69" spans="2:19" x14ac:dyDescent="0.2">
      <c r="B69" s="48"/>
      <c r="C69" s="49">
        <v>4.41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>
        <v>44583.744444444441</v>
      </c>
      <c r="R69" s="44" t="e">
        <f t="shared" si="0"/>
        <v>#VALUE!</v>
      </c>
      <c r="S69" s="44" t="e">
        <f t="shared" si="1"/>
        <v>#VALUE!</v>
      </c>
    </row>
    <row r="70" spans="2:19" x14ac:dyDescent="0.2">
      <c r="B70" s="48"/>
      <c r="C70" s="49">
        <v>4.41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4.41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4.41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4.41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96"/>
      <c r="O76" s="97"/>
      <c r="P76" s="9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96"/>
      <c r="O77" s="97"/>
      <c r="P77" s="9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96"/>
      <c r="O78" s="97"/>
      <c r="P78" s="9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96"/>
      <c r="O79" s="97"/>
      <c r="P79" s="9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10:P110"/>
    <mergeCell ref="N111:P111"/>
    <mergeCell ref="N112:P112"/>
    <mergeCell ref="N34:P34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U112"/>
  <sheetViews>
    <sheetView zoomScaleNormal="100" workbookViewId="0">
      <selection activeCell="M92" sqref="M92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134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24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27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25" t="s">
        <v>20</v>
      </c>
      <c r="I5" s="126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25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26" t="s">
        <v>28</v>
      </c>
      <c r="E6" s="39">
        <v>69</v>
      </c>
      <c r="F6" s="40">
        <v>3.1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44588.208333333336</v>
      </c>
      <c r="R6" s="11"/>
      <c r="S6" s="11"/>
    </row>
    <row r="7" spans="1:20" ht="12" customHeight="1" x14ac:dyDescent="0.2">
      <c r="A7" s="37"/>
      <c r="B7" s="48" t="s">
        <v>135</v>
      </c>
      <c r="C7" s="49">
        <v>13.33</v>
      </c>
      <c r="D7" s="39"/>
      <c r="E7" s="39">
        <v>208</v>
      </c>
      <c r="F7" s="40">
        <v>4.2699999999999996</v>
      </c>
      <c r="G7" s="51"/>
      <c r="H7" s="44">
        <f>IF(E7="","",((E7-E6)*C7)/1000)</f>
        <v>1.85287</v>
      </c>
      <c r="I7" s="52">
        <f>IF(F7="","",F7-F6-G7)</f>
        <v>1.1699999999999995</v>
      </c>
      <c r="J7" s="44">
        <f>IF(F7="","",I7-H7)</f>
        <v>-0.68287000000000053</v>
      </c>
      <c r="K7" s="44">
        <f>IF(F7="","",K6+H7)</f>
        <v>1.85287</v>
      </c>
      <c r="L7" s="44">
        <f>IF(F7="","",L6+I7)</f>
        <v>1.1699999999999995</v>
      </c>
      <c r="M7" s="53">
        <f>IF(F7="","",L7-K7)</f>
        <v>-0.68287000000000053</v>
      </c>
      <c r="N7" s="231"/>
      <c r="O7" s="229"/>
      <c r="P7" s="230"/>
      <c r="Q7" s="47">
        <v>44588.225694444445</v>
      </c>
      <c r="R7" s="44">
        <f t="shared" ref="R7:R70" si="0">IF(Q7="","",J7/((Q7-Q6)*24))</f>
        <v>-1.6388880001526347</v>
      </c>
      <c r="S7" s="44">
        <f t="shared" ref="S7:S70" si="1">IF(Q7="","",M7/((Q7-$Q$6)*24))</f>
        <v>-1.6388880001526347</v>
      </c>
    </row>
    <row r="8" spans="1:20" ht="12" customHeight="1" x14ac:dyDescent="0.2">
      <c r="A8" s="37"/>
      <c r="B8" s="48"/>
      <c r="C8" s="49">
        <v>13.33</v>
      </c>
      <c r="D8" s="54"/>
      <c r="E8" s="39">
        <v>562</v>
      </c>
      <c r="F8" s="40">
        <v>7.26</v>
      </c>
      <c r="G8" s="51"/>
      <c r="H8" s="44">
        <f>IF(E8="","",((E8-E7)*C8)/1000)</f>
        <v>4.71882</v>
      </c>
      <c r="I8" s="52">
        <f>IF(F8="","",F8-F7-G8)</f>
        <v>2.99</v>
      </c>
      <c r="J8" s="44">
        <f>IF(F8="","",I8-H8)</f>
        <v>-1.7288199999999998</v>
      </c>
      <c r="K8" s="44">
        <f>IF(F8="","",K7+H8)</f>
        <v>6.5716900000000003</v>
      </c>
      <c r="L8" s="44">
        <f>IF(F8="","",L7+I8)</f>
        <v>4.16</v>
      </c>
      <c r="M8" s="53">
        <f>IF(F8="","",L8-K8)</f>
        <v>-2.4116900000000001</v>
      </c>
      <c r="N8" s="231"/>
      <c r="O8" s="229"/>
      <c r="P8" s="230"/>
      <c r="Q8" s="47">
        <v>44588.240972222222</v>
      </c>
      <c r="R8" s="44">
        <f t="shared" si="0"/>
        <v>-4.7149636367129322</v>
      </c>
      <c r="S8" s="44">
        <f t="shared" si="1"/>
        <v>-3.0787531917486399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1228</v>
      </c>
      <c r="F9" s="40">
        <v>7.58</v>
      </c>
      <c r="G9" s="51">
        <v>-6.15</v>
      </c>
      <c r="H9" s="44">
        <f>IF(E9="","",((E9-E8)*C9)/1000)</f>
        <v>8.8777800000000013</v>
      </c>
      <c r="I9" s="52">
        <f>IF(F9="","",F9-F8-G9)</f>
        <v>6.4700000000000006</v>
      </c>
      <c r="J9" s="44">
        <f>IF(F9="","",I9-H9)</f>
        <v>-2.4077800000000007</v>
      </c>
      <c r="K9" s="44">
        <f>IF(F9="","",K8+H9)</f>
        <v>15.449470000000002</v>
      </c>
      <c r="L9" s="44">
        <f>IF(F9="","",L8+I9)</f>
        <v>10.63</v>
      </c>
      <c r="M9" s="53">
        <f>IF(F9="","",L9-K9)</f>
        <v>-4.8194700000000008</v>
      </c>
      <c r="N9" s="228"/>
      <c r="O9" s="229"/>
      <c r="P9" s="230"/>
      <c r="Q9" s="47">
        <v>44588.272222222222</v>
      </c>
      <c r="R9" s="44">
        <f t="shared" si="0"/>
        <v>-3.2103733333333344</v>
      </c>
      <c r="S9" s="44">
        <f t="shared" si="1"/>
        <v>-3.14313260883088</v>
      </c>
    </row>
    <row r="10" spans="1:20" ht="12" customHeight="1" x14ac:dyDescent="0.2">
      <c r="A10" s="37"/>
      <c r="B10" s="48"/>
      <c r="C10" s="49">
        <v>13.33</v>
      </c>
      <c r="D10" s="54"/>
      <c r="E10" s="39">
        <v>1548</v>
      </c>
      <c r="F10" s="40">
        <v>3.45</v>
      </c>
      <c r="G10" s="51">
        <v>-5</v>
      </c>
      <c r="H10" s="44">
        <f>IF(E10="","",((E10-E9)*C10)/1000)</f>
        <v>4.2656000000000001</v>
      </c>
      <c r="I10" s="52">
        <f>IF(F10="","",F10-F9-G10)</f>
        <v>0.87000000000000011</v>
      </c>
      <c r="J10" s="44">
        <f t="shared" ref="J10:J73" si="2">IF(F10="","",I10-H10)</f>
        <v>-3.3956</v>
      </c>
      <c r="K10" s="44">
        <f t="shared" ref="K10:K73" si="3">IF(F10="","",K9+H10)</f>
        <v>19.715070000000001</v>
      </c>
      <c r="L10" s="44">
        <f t="shared" ref="L10:L73" si="4">IF(F10="","",L9+I10)</f>
        <v>11.5</v>
      </c>
      <c r="M10" s="53">
        <f t="shared" ref="M10:M73" si="5">IF(F10="","",L10-K10)</f>
        <v>-8.2150700000000008</v>
      </c>
      <c r="N10" s="249"/>
      <c r="O10" s="250"/>
      <c r="P10" s="251"/>
      <c r="Q10" s="47">
        <v>44588.315972222219</v>
      </c>
      <c r="R10" s="44">
        <f t="shared" si="0"/>
        <v>-3.2339047621198911</v>
      </c>
      <c r="S10" s="44">
        <f t="shared" si="1"/>
        <v>-3.1800270969413829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1895</v>
      </c>
      <c r="F11" s="56">
        <v>6.51</v>
      </c>
      <c r="G11" s="51"/>
      <c r="H11" s="44">
        <f>IF(E11="","",((E11-E10)*C11)/1000)</f>
        <v>4.6255100000000002</v>
      </c>
      <c r="I11" s="52">
        <f t="shared" ref="I11:I74" si="6">IF(F11="","",F11-F10-G11)</f>
        <v>3.0599999999999996</v>
      </c>
      <c r="J11" s="44">
        <f t="shared" si="2"/>
        <v>-1.5655100000000006</v>
      </c>
      <c r="K11" s="44">
        <f t="shared" si="3"/>
        <v>24.340580000000003</v>
      </c>
      <c r="L11" s="44">
        <f t="shared" si="4"/>
        <v>14.559999999999999</v>
      </c>
      <c r="M11" s="53">
        <f t="shared" si="5"/>
        <v>-9.780580000000004</v>
      </c>
      <c r="N11" s="228"/>
      <c r="O11" s="229"/>
      <c r="P11" s="230"/>
      <c r="Q11" s="47">
        <v>44588.335416666669</v>
      </c>
      <c r="R11" s="44">
        <f t="shared" si="0"/>
        <v>-3.354664284821637</v>
      </c>
      <c r="S11" s="44">
        <f t="shared" si="1"/>
        <v>-3.2067475409958477</v>
      </c>
    </row>
    <row r="12" spans="1:20" ht="12" customHeight="1" x14ac:dyDescent="0.2">
      <c r="A12" s="37"/>
      <c r="B12" s="48"/>
      <c r="C12" s="49">
        <v>13.33</v>
      </c>
      <c r="D12" s="54"/>
      <c r="E12" s="39"/>
      <c r="F12" s="56"/>
      <c r="G12" s="51"/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13.33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13.33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13.33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13.33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13.33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13.33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13.33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13.33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13.33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13.33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13.33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13.33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13.33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13.33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13.33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21"/>
      <c r="O34" s="122"/>
      <c r="P34" s="123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18"/>
      <c r="O76" s="119"/>
      <c r="P76" s="120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18"/>
      <c r="O77" s="119"/>
      <c r="P77" s="120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18"/>
      <c r="O78" s="119"/>
      <c r="P78" s="120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18"/>
      <c r="O79" s="119"/>
      <c r="P79" s="120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U112"/>
  <sheetViews>
    <sheetView zoomScaleNormal="100" workbookViewId="0">
      <selection activeCell="G28" sqref="G2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1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1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13" t="s">
        <v>20</v>
      </c>
      <c r="I5" s="11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1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14" t="s">
        <v>28</v>
      </c>
      <c r="E6" s="39">
        <v>66</v>
      </c>
      <c r="F6" s="40">
        <v>8.56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44587.197916666664</v>
      </c>
      <c r="R6" s="11"/>
      <c r="S6" s="11"/>
    </row>
    <row r="7" spans="1:20" ht="12" customHeight="1" x14ac:dyDescent="0.2">
      <c r="A7" s="37"/>
      <c r="B7" s="48" t="s">
        <v>131</v>
      </c>
      <c r="C7" s="49">
        <v>4.37</v>
      </c>
      <c r="D7" s="39"/>
      <c r="E7" s="39">
        <v>320</v>
      </c>
      <c r="F7" s="40">
        <v>8.43</v>
      </c>
      <c r="G7" s="51"/>
      <c r="H7" s="44">
        <f>IF(E7="","",((E7-E6)*C7)/1000)</f>
        <v>1.10998</v>
      </c>
      <c r="I7" s="52">
        <f>IF(F7="","",F7-F6-G7)</f>
        <v>-0.13000000000000078</v>
      </c>
      <c r="J7" s="44">
        <f>IF(F7="","",I7-H7)</f>
        <v>-1.2399800000000007</v>
      </c>
      <c r="K7" s="44">
        <f>IF(F7="","",K6+H7)</f>
        <v>1.10998</v>
      </c>
      <c r="L7" s="44">
        <f>IF(F7="","",L6+I7)</f>
        <v>-0.13000000000000078</v>
      </c>
      <c r="M7" s="53">
        <f>IF(F7="","",L7-K7)</f>
        <v>-1.2399800000000007</v>
      </c>
      <c r="N7" s="231"/>
      <c r="O7" s="229"/>
      <c r="P7" s="230"/>
      <c r="Q7" s="47">
        <v>44587.211111111108</v>
      </c>
      <c r="R7" s="44">
        <f t="shared" ref="R7:R70" si="0">IF(Q7="","",J7/((Q7-Q6)*24))</f>
        <v>-3.9157263159814133</v>
      </c>
      <c r="S7" s="44">
        <f t="shared" ref="S7:S70" si="1">IF(Q7="","",M7/((Q7-$Q$6)*24))</f>
        <v>-3.9157263159814133</v>
      </c>
    </row>
    <row r="8" spans="1:20" ht="12" customHeight="1" x14ac:dyDescent="0.2">
      <c r="A8" s="37"/>
      <c r="B8" s="48"/>
      <c r="C8" s="49">
        <v>4.37</v>
      </c>
      <c r="D8" s="54"/>
      <c r="E8" s="39">
        <v>347</v>
      </c>
      <c r="F8" s="40">
        <v>6.36</v>
      </c>
      <c r="G8" s="51"/>
      <c r="H8" s="44">
        <f>IF(E8="","",((E8-E7)*C8)/1000)</f>
        <v>0.11799000000000001</v>
      </c>
      <c r="I8" s="52">
        <f>IF(F8="","",F8-F7-G8)</f>
        <v>-2.0699999999999994</v>
      </c>
      <c r="J8" s="44">
        <f>IF(F8="","",I8-H8)</f>
        <v>-2.1879899999999992</v>
      </c>
      <c r="K8" s="44">
        <f>IF(F8="","",K7+H8)</f>
        <v>1.22797</v>
      </c>
      <c r="L8" s="44">
        <f>IF(F8="","",L7+I8)</f>
        <v>-2.2000000000000002</v>
      </c>
      <c r="M8" s="53">
        <f>IF(F8="","",L8-K8)</f>
        <v>-3.4279700000000002</v>
      </c>
      <c r="N8" s="231"/>
      <c r="O8" s="229"/>
      <c r="P8" s="230"/>
      <c r="Q8" s="47">
        <v>44587.226388888892</v>
      </c>
      <c r="R8" s="44">
        <f t="shared" si="0"/>
        <v>-5.9672454521456526</v>
      </c>
      <c r="S8" s="44">
        <f t="shared" si="1"/>
        <v>-5.0165414624460452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347</v>
      </c>
      <c r="F9" s="40">
        <v>7.85</v>
      </c>
      <c r="G9" s="51">
        <v>5.8</v>
      </c>
      <c r="H9" s="44">
        <f>IF(E9="","",((E9-E8)*C9)/1000)</f>
        <v>0</v>
      </c>
      <c r="I9" s="52">
        <f>IF(F9="","",F9-F8-G9)</f>
        <v>-4.3100000000000005</v>
      </c>
      <c r="J9" s="44">
        <f>IF(F9="","",I9-H9)</f>
        <v>-4.3100000000000005</v>
      </c>
      <c r="K9" s="44">
        <f>IF(F9="","",K8+H9)</f>
        <v>1.22797</v>
      </c>
      <c r="L9" s="44">
        <f>IF(F9="","",L8+I9)</f>
        <v>-6.5100000000000007</v>
      </c>
      <c r="M9" s="53">
        <f>IF(F9="","",L9-K9)</f>
        <v>-7.7379700000000007</v>
      </c>
      <c r="N9" s="228"/>
      <c r="O9" s="229"/>
      <c r="P9" s="230"/>
      <c r="Q9" s="47">
        <v>44587.270833333336</v>
      </c>
      <c r="R9" s="44">
        <f t="shared" si="0"/>
        <v>-4.0406250000587995</v>
      </c>
      <c r="S9" s="44">
        <f t="shared" si="1"/>
        <v>-4.4216971425629987</v>
      </c>
    </row>
    <row r="10" spans="1:20" ht="12" customHeight="1" x14ac:dyDescent="0.2">
      <c r="A10" s="37"/>
      <c r="B10" s="48"/>
      <c r="C10" s="49">
        <v>4.37</v>
      </c>
      <c r="D10" s="54"/>
      <c r="E10" s="39">
        <v>346.6</v>
      </c>
      <c r="F10" s="40">
        <v>5.26</v>
      </c>
      <c r="G10" s="51"/>
      <c r="H10" s="44">
        <f>IF(E10="","",((E10-E9)*C10)/1000)</f>
        <v>-1.7479999999999007E-3</v>
      </c>
      <c r="I10" s="52">
        <f>IF(F10="","",F10-F9-G10)</f>
        <v>-2.59</v>
      </c>
      <c r="J10" s="44">
        <f t="shared" ref="J10:J73" si="2">IF(F10="","",I10-H10)</f>
        <v>-2.5882519999999998</v>
      </c>
      <c r="K10" s="44">
        <f t="shared" ref="K10:K73" si="3">IF(F10="","",K9+H10)</f>
        <v>1.2262220000000001</v>
      </c>
      <c r="L10" s="44">
        <f t="shared" ref="L10:L73" si="4">IF(F10="","",L9+I10)</f>
        <v>-9.1000000000000014</v>
      </c>
      <c r="M10" s="53">
        <f t="shared" ref="M10:M73" si="5">IF(F10="","",L10-K10)</f>
        <v>-10.326222000000001</v>
      </c>
      <c r="N10" s="249"/>
      <c r="O10" s="250"/>
      <c r="P10" s="251"/>
      <c r="Q10" s="47">
        <v>44587.297222222223</v>
      </c>
      <c r="R10" s="44">
        <f t="shared" si="0"/>
        <v>-4.086713684410844</v>
      </c>
      <c r="S10" s="44">
        <f t="shared" si="1"/>
        <v>-4.3326805592853628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346.7</v>
      </c>
      <c r="F11" s="56">
        <v>8.3000000000000007</v>
      </c>
      <c r="G11" s="51">
        <v>6.4</v>
      </c>
      <c r="H11" s="44">
        <f>IF(E11="","",((E11-E10)*C11)/1000)</f>
        <v>4.3699999999985097E-4</v>
      </c>
      <c r="I11" s="52">
        <f t="shared" ref="I11:I74" si="6">IF(F11="","",F11-F10-G11)</f>
        <v>-3.3599999999999994</v>
      </c>
      <c r="J11" s="44">
        <f t="shared" si="2"/>
        <v>-3.3604369999999992</v>
      </c>
      <c r="K11" s="44">
        <f t="shared" si="3"/>
        <v>1.2266589999999999</v>
      </c>
      <c r="L11" s="44">
        <f t="shared" si="4"/>
        <v>-12.46</v>
      </c>
      <c r="M11" s="53">
        <f t="shared" si="5"/>
        <v>-13.686659000000001</v>
      </c>
      <c r="N11" s="228"/>
      <c r="O11" s="229"/>
      <c r="P11" s="230"/>
      <c r="Q11" s="47">
        <v>44587.321527777778</v>
      </c>
      <c r="R11" s="44">
        <f t="shared" si="0"/>
        <v>-5.760749143048753</v>
      </c>
      <c r="S11" s="44">
        <f t="shared" si="1"/>
        <v>-4.6134805616951651</v>
      </c>
    </row>
    <row r="12" spans="1:20" ht="12" customHeight="1" x14ac:dyDescent="0.2">
      <c r="A12" s="37"/>
      <c r="B12" s="48"/>
      <c r="C12" s="49">
        <v>4.37</v>
      </c>
      <c r="D12" s="54"/>
      <c r="E12" s="39">
        <v>347</v>
      </c>
      <c r="F12" s="56">
        <v>8.24</v>
      </c>
      <c r="G12" s="51"/>
      <c r="H12" s="44">
        <f t="shared" ref="H12:H74" si="7">IF(E12="","",((E12-E11)*C12)/1000)</f>
        <v>1.3110000000000498E-3</v>
      </c>
      <c r="I12" s="52">
        <f t="shared" si="6"/>
        <v>-6.0000000000000497E-2</v>
      </c>
      <c r="J12" s="44">
        <f t="shared" si="2"/>
        <v>-6.1311000000000546E-2</v>
      </c>
      <c r="K12" s="44">
        <f t="shared" si="3"/>
        <v>1.22797</v>
      </c>
      <c r="L12" s="44">
        <f t="shared" si="4"/>
        <v>-12.520000000000001</v>
      </c>
      <c r="M12" s="53">
        <f t="shared" si="5"/>
        <v>-13.747970000000002</v>
      </c>
      <c r="N12" s="228"/>
      <c r="O12" s="229"/>
      <c r="P12" s="230"/>
      <c r="Q12" s="47">
        <v>44587.322916666664</v>
      </c>
      <c r="R12" s="44">
        <f t="shared" si="0"/>
        <v>-1.8393300036401616</v>
      </c>
      <c r="S12" s="44">
        <f t="shared" si="1"/>
        <v>-4.5826566666666677</v>
      </c>
    </row>
    <row r="13" spans="1:20" ht="12" customHeight="1" x14ac:dyDescent="0.2">
      <c r="A13" s="37"/>
      <c r="B13" s="48"/>
      <c r="C13" s="49">
        <v>4.37</v>
      </c>
      <c r="D13" s="54"/>
      <c r="E13" s="39">
        <v>347.3</v>
      </c>
      <c r="F13" s="56">
        <v>7.2</v>
      </c>
      <c r="G13" s="51"/>
      <c r="H13" s="44">
        <f>IF(E13="","",((E13-E12)*C13)/1000)</f>
        <v>1.3110000000000498E-3</v>
      </c>
      <c r="I13" s="52">
        <f t="shared" si="6"/>
        <v>-1.04</v>
      </c>
      <c r="J13" s="44">
        <f t="shared" si="2"/>
        <v>-1.0413110000000001</v>
      </c>
      <c r="K13" s="44">
        <f t="shared" si="3"/>
        <v>1.2292810000000001</v>
      </c>
      <c r="L13" s="44">
        <f t="shared" si="4"/>
        <v>-13.560000000000002</v>
      </c>
      <c r="M13" s="53">
        <f t="shared" si="5"/>
        <v>-14.789281000000003</v>
      </c>
      <c r="N13" s="231"/>
      <c r="O13" s="229"/>
      <c r="P13" s="230"/>
      <c r="Q13" s="47">
        <v>44587.336805555555</v>
      </c>
      <c r="R13" s="44">
        <f t="shared" si="0"/>
        <v>-3.1239329996363265</v>
      </c>
      <c r="S13" s="44">
        <f t="shared" si="1"/>
        <v>-4.43678429994835</v>
      </c>
    </row>
    <row r="14" spans="1:20" ht="12" customHeight="1" x14ac:dyDescent="0.2">
      <c r="A14" s="37"/>
      <c r="B14" s="48"/>
      <c r="C14" s="49">
        <v>4.37</v>
      </c>
      <c r="D14" s="54"/>
      <c r="E14" s="39">
        <v>347</v>
      </c>
      <c r="F14" s="56">
        <v>2.91</v>
      </c>
      <c r="G14" s="51"/>
      <c r="H14" s="44">
        <f t="shared" si="7"/>
        <v>-1.3110000000000498E-3</v>
      </c>
      <c r="I14" s="52">
        <f t="shared" si="6"/>
        <v>-4.29</v>
      </c>
      <c r="J14" s="44">
        <f t="shared" si="2"/>
        <v>-4.2886889999999998</v>
      </c>
      <c r="K14" s="44">
        <f t="shared" si="3"/>
        <v>1.22797</v>
      </c>
      <c r="L14" s="44">
        <f t="shared" si="4"/>
        <v>-17.850000000000001</v>
      </c>
      <c r="M14" s="53">
        <f t="shared" si="5"/>
        <v>-19.077970000000001</v>
      </c>
      <c r="N14" s="231"/>
      <c r="O14" s="229"/>
      <c r="P14" s="230"/>
      <c r="Q14" s="47">
        <v>44587.37777777778</v>
      </c>
      <c r="R14" s="44">
        <f t="shared" si="0"/>
        <v>-4.3613786437924169</v>
      </c>
      <c r="S14" s="44">
        <f t="shared" si="1"/>
        <v>-4.4196069497036508</v>
      </c>
    </row>
    <row r="15" spans="1:20" ht="12" customHeight="1" x14ac:dyDescent="0.2">
      <c r="A15" s="37"/>
      <c r="B15" s="48"/>
      <c r="C15" s="49">
        <v>4.37</v>
      </c>
      <c r="D15" s="54"/>
      <c r="E15" s="39">
        <v>225</v>
      </c>
      <c r="F15" s="40">
        <v>7.31</v>
      </c>
      <c r="G15" s="51">
        <v>6.19</v>
      </c>
      <c r="H15" s="44">
        <f t="shared" si="7"/>
        <v>-0.53313999999999995</v>
      </c>
      <c r="I15" s="52">
        <f t="shared" si="6"/>
        <v>-1.7900000000000009</v>
      </c>
      <c r="J15" s="44">
        <f t="shared" si="2"/>
        <v>-1.256860000000001</v>
      </c>
      <c r="K15" s="44">
        <f t="shared" si="3"/>
        <v>0.69483000000000006</v>
      </c>
      <c r="L15" s="44">
        <f t="shared" si="4"/>
        <v>-19.64</v>
      </c>
      <c r="M15" s="53">
        <f t="shared" si="5"/>
        <v>-20.33483</v>
      </c>
      <c r="N15" s="231"/>
      <c r="O15" s="229"/>
      <c r="P15" s="230"/>
      <c r="Q15" s="47">
        <v>44587.38958333333</v>
      </c>
      <c r="R15" s="44">
        <f t="shared" si="0"/>
        <v>-4.435976472532392</v>
      </c>
      <c r="S15" s="44">
        <f t="shared" si="1"/>
        <v>-4.4206152174136797</v>
      </c>
    </row>
    <row r="16" spans="1:20" ht="12" customHeight="1" x14ac:dyDescent="0.2">
      <c r="A16" s="37"/>
      <c r="B16" s="48"/>
      <c r="C16" s="49">
        <v>4.37</v>
      </c>
      <c r="D16" s="57"/>
      <c r="E16" s="39">
        <v>0</v>
      </c>
      <c r="F16" s="40">
        <v>5.78</v>
      </c>
      <c r="G16" s="51"/>
      <c r="H16" s="44">
        <f t="shared" si="7"/>
        <v>-0.98324999999999996</v>
      </c>
      <c r="I16" s="52">
        <f t="shared" si="6"/>
        <v>-1.5299999999999994</v>
      </c>
      <c r="J16" s="44">
        <f t="shared" si="2"/>
        <v>-0.5467499999999994</v>
      </c>
      <c r="K16" s="44">
        <f t="shared" si="3"/>
        <v>-0.2884199999999999</v>
      </c>
      <c r="L16" s="44">
        <f t="shared" si="4"/>
        <v>-21.17</v>
      </c>
      <c r="M16" s="53">
        <f t="shared" si="5"/>
        <v>-20.881580000000003</v>
      </c>
      <c r="N16" s="228"/>
      <c r="O16" s="229"/>
      <c r="P16" s="230"/>
      <c r="Q16" s="47">
        <v>44587.472222222219</v>
      </c>
      <c r="R16" s="44">
        <f t="shared" si="0"/>
        <v>-0.27567226890702334</v>
      </c>
      <c r="S16" s="44">
        <f t="shared" si="1"/>
        <v>-3.1718855696296018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0</v>
      </c>
      <c r="F17" s="40">
        <v>2.64</v>
      </c>
      <c r="G17" s="51"/>
      <c r="H17" s="44">
        <f t="shared" si="7"/>
        <v>0</v>
      </c>
      <c r="I17" s="52">
        <f t="shared" si="6"/>
        <v>-3.14</v>
      </c>
      <c r="J17" s="44">
        <f t="shared" si="2"/>
        <v>-3.14</v>
      </c>
      <c r="K17" s="44">
        <f t="shared" si="3"/>
        <v>-0.2884199999999999</v>
      </c>
      <c r="L17" s="44">
        <f t="shared" si="4"/>
        <v>-24.310000000000002</v>
      </c>
      <c r="M17" s="53">
        <f t="shared" si="5"/>
        <v>-24.021580000000004</v>
      </c>
      <c r="N17" s="231"/>
      <c r="O17" s="229"/>
      <c r="P17" s="230"/>
      <c r="Q17" s="47">
        <v>44587.502083333333</v>
      </c>
      <c r="R17" s="44">
        <f t="shared" si="0"/>
        <v>-4.3813953484339052</v>
      </c>
      <c r="S17" s="44">
        <f t="shared" si="1"/>
        <v>-3.2906273972392839</v>
      </c>
    </row>
    <row r="18" spans="1:19" ht="12" customHeight="1" x14ac:dyDescent="0.2">
      <c r="A18" s="37"/>
      <c r="B18" s="48"/>
      <c r="C18" s="49">
        <v>4.37</v>
      </c>
      <c r="D18" s="54"/>
      <c r="E18" s="39">
        <v>0</v>
      </c>
      <c r="F18" s="40">
        <v>8.16</v>
      </c>
      <c r="G18" s="40">
        <v>6.8</v>
      </c>
      <c r="H18" s="44">
        <f t="shared" si="7"/>
        <v>0</v>
      </c>
      <c r="I18" s="52">
        <f t="shared" si="6"/>
        <v>-1.2800000000000002</v>
      </c>
      <c r="J18" s="44">
        <f t="shared" si="2"/>
        <v>-1.2800000000000002</v>
      </c>
      <c r="K18" s="44">
        <f t="shared" si="3"/>
        <v>-0.2884199999999999</v>
      </c>
      <c r="L18" s="44">
        <f t="shared" si="4"/>
        <v>-25.590000000000003</v>
      </c>
      <c r="M18" s="53">
        <f t="shared" si="5"/>
        <v>-25.301580000000005</v>
      </c>
      <c r="N18" s="228"/>
      <c r="O18" s="229"/>
      <c r="P18" s="230"/>
      <c r="Q18" s="47">
        <v>44587.506944444445</v>
      </c>
      <c r="R18" s="44">
        <f t="shared" si="0"/>
        <v>-10.971428568509163</v>
      </c>
      <c r="S18" s="44">
        <f t="shared" si="1"/>
        <v>-3.4114489887283472</v>
      </c>
    </row>
    <row r="19" spans="1:19" ht="12" customHeight="1" x14ac:dyDescent="0.2">
      <c r="A19" s="37"/>
      <c r="B19" s="48"/>
      <c r="C19" s="49">
        <v>4.37</v>
      </c>
      <c r="D19" s="54"/>
      <c r="E19" s="39">
        <v>0</v>
      </c>
      <c r="F19" s="40">
        <v>6.72</v>
      </c>
      <c r="G19" s="40"/>
      <c r="H19" s="44">
        <f t="shared" si="7"/>
        <v>0</v>
      </c>
      <c r="I19" s="52">
        <f t="shared" si="6"/>
        <v>-1.4400000000000004</v>
      </c>
      <c r="J19" s="44">
        <f t="shared" si="2"/>
        <v>-1.4400000000000004</v>
      </c>
      <c r="K19" s="44">
        <f t="shared" si="3"/>
        <v>-0.2884199999999999</v>
      </c>
      <c r="L19" s="44">
        <f t="shared" si="4"/>
        <v>-27.030000000000005</v>
      </c>
      <c r="M19" s="53">
        <f t="shared" si="5"/>
        <v>-26.741580000000006</v>
      </c>
      <c r="N19" s="228"/>
      <c r="O19" s="229"/>
      <c r="P19" s="230"/>
      <c r="Q19" s="47">
        <v>44587.522222222222</v>
      </c>
      <c r="R19" s="44">
        <f t="shared" si="0"/>
        <v>-3.9272727275636705</v>
      </c>
      <c r="S19" s="44">
        <f t="shared" si="1"/>
        <v>-3.4357490363803018</v>
      </c>
    </row>
    <row r="20" spans="1:19" ht="12" customHeight="1" x14ac:dyDescent="0.2">
      <c r="A20" s="37"/>
      <c r="B20" s="48"/>
      <c r="C20" s="49">
        <v>4.37</v>
      </c>
      <c r="D20" s="54"/>
      <c r="E20" s="39">
        <v>0</v>
      </c>
      <c r="F20" s="40">
        <v>3.71</v>
      </c>
      <c r="G20" s="40"/>
      <c r="H20" s="44">
        <f t="shared" si="7"/>
        <v>0</v>
      </c>
      <c r="I20" s="52">
        <f t="shared" si="6"/>
        <v>-3.01</v>
      </c>
      <c r="J20" s="44">
        <f t="shared" si="2"/>
        <v>-3.01</v>
      </c>
      <c r="K20" s="44">
        <f t="shared" si="3"/>
        <v>-0.2884199999999999</v>
      </c>
      <c r="L20" s="44">
        <f t="shared" si="4"/>
        <v>-30.040000000000006</v>
      </c>
      <c r="M20" s="53">
        <f t="shared" si="5"/>
        <v>-29.751580000000008</v>
      </c>
      <c r="N20" s="242"/>
      <c r="O20" s="229"/>
      <c r="P20" s="230"/>
      <c r="Q20" s="47">
        <v>44587.553472222222</v>
      </c>
      <c r="R20" s="44">
        <f t="shared" si="0"/>
        <v>-4.0133333333333328</v>
      </c>
      <c r="S20" s="44">
        <f t="shared" si="1"/>
        <v>-3.4865132812293895</v>
      </c>
    </row>
    <row r="21" spans="1:19" ht="12" customHeight="1" x14ac:dyDescent="0.2">
      <c r="A21" s="37"/>
      <c r="B21" s="48"/>
      <c r="C21" s="49">
        <v>4.37</v>
      </c>
      <c r="D21" s="54"/>
      <c r="E21" s="39">
        <v>0</v>
      </c>
      <c r="F21" s="40">
        <v>6.28</v>
      </c>
      <c r="G21" s="51">
        <v>3.77</v>
      </c>
      <c r="H21" s="44">
        <f t="shared" si="7"/>
        <v>0</v>
      </c>
      <c r="I21" s="52">
        <f t="shared" si="6"/>
        <v>-1.1999999999999997</v>
      </c>
      <c r="J21" s="44">
        <f t="shared" si="2"/>
        <v>-1.1999999999999997</v>
      </c>
      <c r="K21" s="44">
        <f t="shared" si="3"/>
        <v>-0.2884199999999999</v>
      </c>
      <c r="L21" s="44">
        <f t="shared" si="4"/>
        <v>-31.240000000000006</v>
      </c>
      <c r="M21" s="53">
        <f t="shared" si="5"/>
        <v>-30.951580000000007</v>
      </c>
      <c r="N21" s="228"/>
      <c r="O21" s="229"/>
      <c r="P21" s="230"/>
      <c r="Q21" s="47">
        <v>44587.571527777778</v>
      </c>
      <c r="R21" s="44">
        <f t="shared" si="0"/>
        <v>-2.7692307691315743</v>
      </c>
      <c r="S21" s="44">
        <f t="shared" si="1"/>
        <v>-3.4518490706065754</v>
      </c>
    </row>
    <row r="22" spans="1:19" ht="12" customHeight="1" x14ac:dyDescent="0.2">
      <c r="A22" s="37"/>
      <c r="B22" s="48"/>
      <c r="C22" s="49">
        <v>4.37</v>
      </c>
      <c r="D22" s="54"/>
      <c r="E22" s="39">
        <v>0</v>
      </c>
      <c r="F22" s="40">
        <v>2.4</v>
      </c>
      <c r="G22" s="51"/>
      <c r="H22" s="44">
        <f t="shared" si="7"/>
        <v>0</v>
      </c>
      <c r="I22" s="52">
        <f t="shared" si="6"/>
        <v>-3.8800000000000003</v>
      </c>
      <c r="J22" s="44">
        <f t="shared" si="2"/>
        <v>-3.8800000000000003</v>
      </c>
      <c r="K22" s="44">
        <f t="shared" si="3"/>
        <v>-0.2884199999999999</v>
      </c>
      <c r="L22" s="44">
        <f t="shared" si="4"/>
        <v>-35.120000000000005</v>
      </c>
      <c r="M22" s="53">
        <f t="shared" si="5"/>
        <v>-34.831580000000002</v>
      </c>
      <c r="N22" s="228"/>
      <c r="O22" s="229"/>
      <c r="P22" s="230"/>
      <c r="Q22" s="47">
        <v>44587.607638888891</v>
      </c>
      <c r="R22" s="44">
        <f t="shared" si="0"/>
        <v>-4.4769230767627137</v>
      </c>
      <c r="S22" s="44">
        <f t="shared" si="1"/>
        <v>-3.5421945762362403</v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09"/>
      <c r="O34" s="110"/>
      <c r="P34" s="11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06"/>
      <c r="O76" s="107"/>
      <c r="P76" s="10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06"/>
      <c r="O77" s="107"/>
      <c r="P77" s="10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06"/>
      <c r="O78" s="107"/>
      <c r="P78" s="10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06"/>
      <c r="O79" s="107"/>
      <c r="P79" s="10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U112"/>
  <sheetViews>
    <sheetView zoomScaleNormal="100" workbookViewId="0">
      <selection activeCell="F16" sqref="F1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1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1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13" t="s">
        <v>20</v>
      </c>
      <c r="I5" s="11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1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14" t="s">
        <v>28</v>
      </c>
      <c r="E6" s="39">
        <v>2343</v>
      </c>
      <c r="F6" s="40">
        <v>7.89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44586.679166666669</v>
      </c>
      <c r="R6" s="11"/>
      <c r="S6" s="11"/>
    </row>
    <row r="7" spans="1:20" ht="12" customHeight="1" x14ac:dyDescent="0.2">
      <c r="A7" s="37"/>
      <c r="B7" s="48" t="s">
        <v>131</v>
      </c>
      <c r="C7" s="49">
        <v>4.37</v>
      </c>
      <c r="D7" s="39"/>
      <c r="E7" s="39">
        <v>2124</v>
      </c>
      <c r="F7" s="40">
        <v>6.58</v>
      </c>
      <c r="G7" s="51"/>
      <c r="H7" s="44">
        <f>IF(E7="","",((E7-E6)*C7)/1000)</f>
        <v>-0.95702999999999994</v>
      </c>
      <c r="I7" s="52">
        <f>IF(F7="","",F7-F6-G7)</f>
        <v>-1.3099999999999996</v>
      </c>
      <c r="J7" s="44">
        <f>IF(F7="","",I7-H7)</f>
        <v>-0.35296999999999967</v>
      </c>
      <c r="K7" s="44">
        <f>IF(F7="","",K6+H7)</f>
        <v>-0.95702999999999994</v>
      </c>
      <c r="L7" s="44">
        <f>IF(F7="","",L6+I7)</f>
        <v>-1.3099999999999996</v>
      </c>
      <c r="M7" s="53">
        <f>IF(F7="","",L7-K7)</f>
        <v>-0.35296999999999967</v>
      </c>
      <c r="N7" s="231"/>
      <c r="O7" s="229"/>
      <c r="P7" s="230"/>
      <c r="Q7" s="47">
        <v>44586.693749999999</v>
      </c>
      <c r="R7" s="44">
        <f t="shared" ref="R7:R70" si="0">IF(Q7="","",J7/((Q7-Q6)*24))</f>
        <v>-1.0084857145205197</v>
      </c>
      <c r="S7" s="44">
        <f t="shared" ref="S7:S70" si="1">IF(Q7="","",M7/((Q7-$Q$6)*24))</f>
        <v>-1.0084857145205197</v>
      </c>
    </row>
    <row r="8" spans="1:20" ht="12" customHeight="1" x14ac:dyDescent="0.2">
      <c r="A8" s="37"/>
      <c r="B8" s="48" t="s">
        <v>130</v>
      </c>
      <c r="C8" s="49">
        <v>10.58</v>
      </c>
      <c r="D8" s="54"/>
      <c r="E8" s="39">
        <v>1873</v>
      </c>
      <c r="F8" s="40">
        <v>8.83</v>
      </c>
      <c r="G8" s="51">
        <v>7.94</v>
      </c>
      <c r="H8" s="44">
        <f>IF(E8="","",((E8-E7)*C8)/1000)</f>
        <v>-2.6555800000000001</v>
      </c>
      <c r="I8" s="52">
        <f>IF(F8="","",F8-F7-G8)</f>
        <v>-5.69</v>
      </c>
      <c r="J8" s="44">
        <f>IF(F8="","",I8-H8)</f>
        <v>-3.0344200000000003</v>
      </c>
      <c r="K8" s="44">
        <f>IF(F8="","",K7+H8)</f>
        <v>-3.6126100000000001</v>
      </c>
      <c r="L8" s="44">
        <f>IF(F8="","",L7+I8)</f>
        <v>-7</v>
      </c>
      <c r="M8" s="53">
        <f>IF(F8="","",L8-K8)</f>
        <v>-3.3873899999999999</v>
      </c>
      <c r="N8" s="231"/>
      <c r="O8" s="229"/>
      <c r="P8" s="230"/>
      <c r="Q8" s="47">
        <v>44586.719444444447</v>
      </c>
      <c r="R8" s="44">
        <f t="shared" si="0"/>
        <v>-4.9206810803688992</v>
      </c>
      <c r="S8" s="44">
        <f t="shared" si="1"/>
        <v>-3.5041965516960039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1611</v>
      </c>
      <c r="F9" s="40">
        <v>4.41</v>
      </c>
      <c r="G9" s="51"/>
      <c r="H9" s="44">
        <f>IF(E9="","",((E9-E8)*C9)/1000)</f>
        <v>-2.77196</v>
      </c>
      <c r="I9" s="52">
        <f>IF(F9="","",F9-F8-G9)</f>
        <v>-4.42</v>
      </c>
      <c r="J9" s="44">
        <f>IF(F9="","",I9-H9)</f>
        <v>-1.6480399999999999</v>
      </c>
      <c r="K9" s="44">
        <f>IF(F9="","",K8+H9)</f>
        <v>-6.3845700000000001</v>
      </c>
      <c r="L9" s="44">
        <f>IF(F9="","",L8+I9)</f>
        <v>-11.42</v>
      </c>
      <c r="M9" s="53">
        <f>IF(F9="","",L9-K9)</f>
        <v>-5.0354299999999999</v>
      </c>
      <c r="N9" s="228"/>
      <c r="O9" s="229"/>
      <c r="P9" s="230"/>
      <c r="Q9" s="47">
        <v>44586.734027777777</v>
      </c>
      <c r="R9" s="44">
        <f t="shared" si="0"/>
        <v>-4.7086857153820407</v>
      </c>
      <c r="S9" s="44">
        <f t="shared" si="1"/>
        <v>-3.8243772154040281</v>
      </c>
    </row>
    <row r="10" spans="1:20" ht="12" customHeight="1" x14ac:dyDescent="0.2">
      <c r="A10" s="37"/>
      <c r="B10" s="48"/>
      <c r="C10" s="49">
        <v>10.58</v>
      </c>
      <c r="D10" s="54"/>
      <c r="E10" s="39">
        <v>1323</v>
      </c>
      <c r="F10" s="40">
        <v>6.65</v>
      </c>
      <c r="G10" s="51">
        <v>7.53</v>
      </c>
      <c r="H10" s="44">
        <f>IF(E10="","",((E10-E9)*C10)/1000)</f>
        <v>-3.04704</v>
      </c>
      <c r="I10" s="52">
        <f>IF(F10="","",F10-F9-G10)</f>
        <v>-5.29</v>
      </c>
      <c r="J10" s="44">
        <f t="shared" ref="J10:J73" si="2">IF(F10="","",I10-H10)</f>
        <v>-2.2429600000000001</v>
      </c>
      <c r="K10" s="44">
        <f t="shared" ref="K10:K73" si="3">IF(F10="","",K9+H10)</f>
        <v>-9.4316099999999992</v>
      </c>
      <c r="L10" s="44">
        <f t="shared" ref="L10:L73" si="4">IF(F10="","",L9+I10)</f>
        <v>-16.71</v>
      </c>
      <c r="M10" s="53">
        <f t="shared" ref="M10:M73" si="5">IF(F10="","",L10-K10)</f>
        <v>-7.2783900000000017</v>
      </c>
      <c r="N10" s="249"/>
      <c r="O10" s="250"/>
      <c r="P10" s="251"/>
      <c r="Q10" s="47">
        <v>44586.754166666666</v>
      </c>
      <c r="R10" s="44">
        <f t="shared" si="0"/>
        <v>-4.6406068965144662</v>
      </c>
      <c r="S10" s="44">
        <f t="shared" si="1"/>
        <v>-4.0435500001569116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983</v>
      </c>
      <c r="F11" s="56">
        <v>7.6</v>
      </c>
      <c r="G11" s="51">
        <v>6.67</v>
      </c>
      <c r="H11" s="44">
        <f>IF(E11="","",((E11-E10)*C11)/1000)</f>
        <v>-3.5972</v>
      </c>
      <c r="I11" s="52">
        <f t="shared" ref="I11:I74" si="6">IF(F11="","",F11-F10-G11)</f>
        <v>-5.7200000000000006</v>
      </c>
      <c r="J11" s="44">
        <f t="shared" si="2"/>
        <v>-2.1228000000000007</v>
      </c>
      <c r="K11" s="44">
        <f t="shared" si="3"/>
        <v>-13.02881</v>
      </c>
      <c r="L11" s="44">
        <f t="shared" si="4"/>
        <v>-22.43</v>
      </c>
      <c r="M11" s="53">
        <f t="shared" si="5"/>
        <v>-9.4011899999999997</v>
      </c>
      <c r="N11" s="228"/>
      <c r="O11" s="229"/>
      <c r="P11" s="230"/>
      <c r="Q11" s="47">
        <v>44586.770138888889</v>
      </c>
      <c r="R11" s="44">
        <f t="shared" si="0"/>
        <v>-5.5377391300423717</v>
      </c>
      <c r="S11" s="44">
        <f t="shared" si="1"/>
        <v>-4.3058885497025035</v>
      </c>
    </row>
    <row r="12" spans="1:20" ht="12" customHeight="1" x14ac:dyDescent="0.2">
      <c r="A12" s="37"/>
      <c r="B12" s="48"/>
      <c r="C12" s="49">
        <v>10.58</v>
      </c>
      <c r="D12" s="54"/>
      <c r="E12" s="39">
        <v>693</v>
      </c>
      <c r="F12" s="56">
        <v>2.41</v>
      </c>
      <c r="G12" s="51"/>
      <c r="H12" s="44">
        <f t="shared" ref="H12:H74" si="7">IF(E12="","",((E12-E11)*C12)/1000)</f>
        <v>-3.0682</v>
      </c>
      <c r="I12" s="52">
        <f t="shared" si="6"/>
        <v>-5.1899999999999995</v>
      </c>
      <c r="J12" s="44">
        <f t="shared" si="2"/>
        <v>-2.1217999999999995</v>
      </c>
      <c r="K12" s="44">
        <f t="shared" si="3"/>
        <v>-16.097010000000001</v>
      </c>
      <c r="L12" s="44">
        <f t="shared" si="4"/>
        <v>-27.619999999999997</v>
      </c>
      <c r="M12" s="53">
        <f t="shared" si="5"/>
        <v>-11.522989999999997</v>
      </c>
      <c r="N12" s="228"/>
      <c r="O12" s="229"/>
      <c r="P12" s="230"/>
      <c r="Q12" s="47">
        <v>44586.785416666666</v>
      </c>
      <c r="R12" s="44">
        <f t="shared" si="0"/>
        <v>-5.7867272731559662</v>
      </c>
      <c r="S12" s="44">
        <f t="shared" si="1"/>
        <v>-4.5188196079669147</v>
      </c>
    </row>
    <row r="13" spans="1:20" ht="12" customHeight="1" x14ac:dyDescent="0.2">
      <c r="A13" s="37"/>
      <c r="B13" s="48"/>
      <c r="C13" s="49">
        <v>10.58</v>
      </c>
      <c r="D13" s="54"/>
      <c r="E13" s="39">
        <v>693</v>
      </c>
      <c r="F13" s="56">
        <v>1.64</v>
      </c>
      <c r="G13" s="51"/>
      <c r="H13" s="44">
        <f>IF(E13="","",((E13-E12)*C13)/1000)</f>
        <v>0</v>
      </c>
      <c r="I13" s="52">
        <f t="shared" si="6"/>
        <v>-0.77000000000000024</v>
      </c>
      <c r="J13" s="44">
        <f t="shared" si="2"/>
        <v>-0.77000000000000024</v>
      </c>
      <c r="K13" s="44">
        <f t="shared" si="3"/>
        <v>-16.097010000000001</v>
      </c>
      <c r="L13" s="44">
        <f t="shared" si="4"/>
        <v>-28.389999999999997</v>
      </c>
      <c r="M13" s="53">
        <f t="shared" si="5"/>
        <v>-12.292989999999996</v>
      </c>
      <c r="N13" s="231"/>
      <c r="O13" s="229"/>
      <c r="P13" s="230"/>
      <c r="Q13" s="47">
        <v>44586.791666666664</v>
      </c>
      <c r="R13" s="44">
        <f t="shared" si="0"/>
        <v>-5.1333333345285324</v>
      </c>
      <c r="S13" s="44">
        <f t="shared" si="1"/>
        <v>-4.5529592594359363</v>
      </c>
    </row>
    <row r="14" spans="1:20" ht="12" customHeight="1" x14ac:dyDescent="0.2">
      <c r="A14" s="37"/>
      <c r="B14" s="48"/>
      <c r="C14" s="49">
        <v>10.58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10.58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 t="s">
        <v>131</v>
      </c>
      <c r="C16" s="49">
        <v>4.37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4.37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09"/>
      <c r="O34" s="110"/>
      <c r="P34" s="11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06"/>
      <c r="O76" s="107"/>
      <c r="P76" s="10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06"/>
      <c r="O77" s="107"/>
      <c r="P77" s="10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06"/>
      <c r="O78" s="107"/>
      <c r="P78" s="10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06"/>
      <c r="O79" s="107"/>
      <c r="P79" s="10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U112"/>
  <sheetViews>
    <sheetView zoomScaleNormal="100" workbookViewId="0">
      <selection activeCell="N22" sqref="N22:P22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1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1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13" t="s">
        <v>20</v>
      </c>
      <c r="I5" s="11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1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14" t="s">
        <v>28</v>
      </c>
      <c r="E6" s="39">
        <v>40</v>
      </c>
      <c r="F6" s="40">
        <v>3.1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44586.34097222222</v>
      </c>
      <c r="R6" s="11"/>
      <c r="S6" s="11"/>
    </row>
    <row r="7" spans="1:20" ht="12" customHeight="1" x14ac:dyDescent="0.2">
      <c r="A7" s="37"/>
      <c r="B7" s="48" t="s">
        <v>131</v>
      </c>
      <c r="C7" s="49">
        <v>4.37</v>
      </c>
      <c r="D7" s="39"/>
      <c r="E7" s="39">
        <v>122</v>
      </c>
      <c r="F7" s="40">
        <v>3.22</v>
      </c>
      <c r="G7" s="51"/>
      <c r="H7" s="44">
        <f>IF(E7="","",((E7-E6)*C7)/1000)</f>
        <v>0.35834000000000005</v>
      </c>
      <c r="I7" s="52">
        <f>IF(F7="","",F7-F6-G7)</f>
        <v>0.12000000000000011</v>
      </c>
      <c r="J7" s="44">
        <f>IF(F7="","",I7-H7)</f>
        <v>-0.23833999999999994</v>
      </c>
      <c r="K7" s="44">
        <f>IF(F7="","",K6+H7)</f>
        <v>0.35834000000000005</v>
      </c>
      <c r="L7" s="44">
        <f>IF(F7="","",L6+I7)</f>
        <v>0.12000000000000011</v>
      </c>
      <c r="M7" s="53">
        <f>IF(F7="","",L7-K7)</f>
        <v>-0.23833999999999994</v>
      </c>
      <c r="N7" s="231"/>
      <c r="O7" s="229"/>
      <c r="P7" s="230"/>
      <c r="Q7" s="47">
        <v>44586.344444444447</v>
      </c>
      <c r="R7" s="44">
        <f t="shared" ref="R7:R70" si="0">IF(Q7="","",J7/((Q7-Q6)*24))</f>
        <v>-2.8600799966704278</v>
      </c>
      <c r="S7" s="44">
        <f t="shared" ref="S7:S70" si="1">IF(Q7="","",M7/((Q7-$Q$6)*24))</f>
        <v>-2.8600799966704278</v>
      </c>
    </row>
    <row r="8" spans="1:20" ht="12" customHeight="1" x14ac:dyDescent="0.2">
      <c r="A8" s="37"/>
      <c r="B8" s="48"/>
      <c r="C8" s="49">
        <v>4.37</v>
      </c>
      <c r="D8" s="54"/>
      <c r="E8" s="39">
        <v>242</v>
      </c>
      <c r="F8" s="40">
        <v>2.09</v>
      </c>
      <c r="G8" s="51"/>
      <c r="H8" s="44">
        <f>IF(E8="","",((E8-E7)*C8)/1000)</f>
        <v>0.52439999999999998</v>
      </c>
      <c r="I8" s="52">
        <f>IF(F8="","",F8-F7-G8)</f>
        <v>-1.1300000000000003</v>
      </c>
      <c r="J8" s="44">
        <f>IF(F8="","",I8-H8)</f>
        <v>-1.6544000000000003</v>
      </c>
      <c r="K8" s="44">
        <f>IF(F8="","",K7+H8)</f>
        <v>0.88274000000000008</v>
      </c>
      <c r="L8" s="44">
        <f>IF(F8="","",L7+I8)</f>
        <v>-1.0100000000000002</v>
      </c>
      <c r="M8" s="53">
        <f>IF(F8="","",L8-K8)</f>
        <v>-1.8927400000000003</v>
      </c>
      <c r="N8" s="231"/>
      <c r="O8" s="229"/>
      <c r="P8" s="230"/>
      <c r="Q8" s="47">
        <v>44586.365972222222</v>
      </c>
      <c r="R8" s="44">
        <f t="shared" si="0"/>
        <v>-3.2020645165138268</v>
      </c>
      <c r="S8" s="44">
        <f t="shared" si="1"/>
        <v>-3.1545666664830474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406</v>
      </c>
      <c r="F9" s="40">
        <v>1.94</v>
      </c>
      <c r="G9" s="51"/>
      <c r="H9" s="44">
        <f>IF(E9="","",((E9-E8)*C9)/1000)</f>
        <v>0.71668000000000009</v>
      </c>
      <c r="I9" s="52">
        <f>IF(F9="","",F9-F8-G9)</f>
        <v>-0.14999999999999991</v>
      </c>
      <c r="J9" s="44">
        <f>IF(F9="","",I9-H9)</f>
        <v>-0.86668000000000001</v>
      </c>
      <c r="K9" s="44">
        <f>IF(F9="","",K8+H9)</f>
        <v>1.5994200000000003</v>
      </c>
      <c r="L9" s="44">
        <f>IF(F9="","",L8+I9)</f>
        <v>-1.1600000000000001</v>
      </c>
      <c r="M9" s="53">
        <f>IF(F9="","",L9-K9)</f>
        <v>-2.7594200000000004</v>
      </c>
      <c r="N9" s="228"/>
      <c r="O9" s="229"/>
      <c r="P9" s="230"/>
      <c r="Q9" s="47">
        <v>44586.375</v>
      </c>
      <c r="R9" s="44">
        <f t="shared" si="0"/>
        <v>-4.0000615383182563</v>
      </c>
      <c r="S9" s="44">
        <f t="shared" si="1"/>
        <v>-3.3788816324764541</v>
      </c>
    </row>
    <row r="10" spans="1:20" ht="12" customHeight="1" x14ac:dyDescent="0.2">
      <c r="A10" s="37"/>
      <c r="B10" s="48" t="s">
        <v>130</v>
      </c>
      <c r="C10" s="49">
        <v>10.58</v>
      </c>
      <c r="D10" s="54"/>
      <c r="E10" s="39">
        <v>512</v>
      </c>
      <c r="F10" s="40">
        <v>1.84</v>
      </c>
      <c r="G10" s="51"/>
      <c r="H10" s="44">
        <f>IF(E10="","",((E10-E9)*C10)/1000)</f>
        <v>1.12148</v>
      </c>
      <c r="I10" s="52">
        <f>IF(F10="","",F10-F9-G10)</f>
        <v>-9.9999999999999867E-2</v>
      </c>
      <c r="J10" s="44">
        <f t="shared" ref="J10:J73" si="2">IF(F10="","",I10-H10)</f>
        <v>-1.2214799999999999</v>
      </c>
      <c r="K10" s="44">
        <f t="shared" ref="K10:K73" si="3">IF(F10="","",K9+H10)</f>
        <v>2.7209000000000003</v>
      </c>
      <c r="L10" s="44">
        <f t="shared" ref="L10:L73" si="4">IF(F10="","",L9+I10)</f>
        <v>-1.26</v>
      </c>
      <c r="M10" s="53">
        <f t="shared" ref="M10:M73" si="5">IF(F10="","",L10-K10)</f>
        <v>-3.9809000000000001</v>
      </c>
      <c r="N10" s="249"/>
      <c r="O10" s="250"/>
      <c r="P10" s="251"/>
      <c r="Q10" s="47">
        <v>44586.384027777778</v>
      </c>
      <c r="R10" s="44">
        <f t="shared" si="0"/>
        <v>-5.6375999997980601</v>
      </c>
      <c r="S10" s="44">
        <f t="shared" si="1"/>
        <v>-3.8524838707796665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721</v>
      </c>
      <c r="F11" s="56">
        <v>3.31</v>
      </c>
      <c r="G11" s="51"/>
      <c r="H11" s="44">
        <f>IF(E11="","",((E11-E10)*C11)/1000)</f>
        <v>2.21122</v>
      </c>
      <c r="I11" s="52">
        <f t="shared" ref="I11:I74" si="6">IF(F11="","",F11-F10-G11)</f>
        <v>1.47</v>
      </c>
      <c r="J11" s="44">
        <f t="shared" si="2"/>
        <v>-0.74121999999999999</v>
      </c>
      <c r="K11" s="44">
        <f t="shared" si="3"/>
        <v>4.9321200000000003</v>
      </c>
      <c r="L11" s="44">
        <f t="shared" si="4"/>
        <v>0.20999999999999996</v>
      </c>
      <c r="M11" s="53">
        <f t="shared" si="5"/>
        <v>-4.7221200000000003</v>
      </c>
      <c r="N11" s="228"/>
      <c r="O11" s="229"/>
      <c r="P11" s="230"/>
      <c r="Q11" s="47">
        <v>44586.392361111109</v>
      </c>
      <c r="R11" s="44">
        <f t="shared" si="0"/>
        <v>-3.7061000008628935</v>
      </c>
      <c r="S11" s="44">
        <f t="shared" si="1"/>
        <v>-3.8287459459338997</v>
      </c>
    </row>
    <row r="12" spans="1:20" ht="12" customHeight="1" x14ac:dyDescent="0.2">
      <c r="A12" s="37"/>
      <c r="B12" s="48"/>
      <c r="C12" s="49">
        <v>10.58</v>
      </c>
      <c r="D12" s="54"/>
      <c r="E12" s="39">
        <v>1431</v>
      </c>
      <c r="F12" s="56">
        <v>8.11</v>
      </c>
      <c r="G12" s="51"/>
      <c r="H12" s="44">
        <f t="shared" ref="H12:H74" si="7">IF(E12="","",((E12-E11)*C12)/1000)</f>
        <v>7.5118</v>
      </c>
      <c r="I12" s="52">
        <f t="shared" si="6"/>
        <v>4.7999999999999989</v>
      </c>
      <c r="J12" s="44">
        <f t="shared" si="2"/>
        <v>-2.7118000000000011</v>
      </c>
      <c r="K12" s="44">
        <f t="shared" si="3"/>
        <v>12.44392</v>
      </c>
      <c r="L12" s="44">
        <f t="shared" si="4"/>
        <v>5.0099999999999989</v>
      </c>
      <c r="M12" s="53">
        <f t="shared" si="5"/>
        <v>-7.4339200000000014</v>
      </c>
      <c r="N12" s="228"/>
      <c r="O12" s="229"/>
      <c r="P12" s="230"/>
      <c r="Q12" s="47">
        <v>44586.421527777777</v>
      </c>
      <c r="R12" s="44">
        <f t="shared" si="0"/>
        <v>-3.8739999999355739</v>
      </c>
      <c r="S12" s="44">
        <f t="shared" si="1"/>
        <v>-3.8451310344518883</v>
      </c>
    </row>
    <row r="13" spans="1:20" ht="12" customHeight="1" x14ac:dyDescent="0.2">
      <c r="A13" s="37"/>
      <c r="B13" s="48"/>
      <c r="C13" s="49">
        <v>10.58</v>
      </c>
      <c r="D13" s="54"/>
      <c r="E13" s="39">
        <v>1533</v>
      </c>
      <c r="F13" s="56">
        <v>3.85</v>
      </c>
      <c r="G13" s="51">
        <v>-5.18</v>
      </c>
      <c r="H13" s="44">
        <f>IF(E13="","",((E13-E12)*C13)/1000)</f>
        <v>1.0791600000000001</v>
      </c>
      <c r="I13" s="52">
        <f t="shared" si="6"/>
        <v>0.91999999999999993</v>
      </c>
      <c r="J13" s="44">
        <f t="shared" si="2"/>
        <v>-0.15916000000000019</v>
      </c>
      <c r="K13" s="44">
        <f t="shared" si="3"/>
        <v>13.52308</v>
      </c>
      <c r="L13" s="44">
        <f t="shared" si="4"/>
        <v>5.9299999999999988</v>
      </c>
      <c r="M13" s="53">
        <f t="shared" si="5"/>
        <v>-7.5930800000000014</v>
      </c>
      <c r="N13" s="231"/>
      <c r="O13" s="229"/>
      <c r="P13" s="230"/>
      <c r="Q13" s="47">
        <v>44586.425000000003</v>
      </c>
      <c r="R13" s="44">
        <f t="shared" si="0"/>
        <v>-1.9099199977765628</v>
      </c>
      <c r="S13" s="44">
        <f t="shared" si="1"/>
        <v>-3.7651636361535319</v>
      </c>
    </row>
    <row r="14" spans="1:20" ht="12" customHeight="1" x14ac:dyDescent="0.2">
      <c r="A14" s="37"/>
      <c r="B14" s="48"/>
      <c r="C14" s="49">
        <v>10.58</v>
      </c>
      <c r="D14" s="54"/>
      <c r="E14" s="39">
        <v>1761</v>
      </c>
      <c r="F14" s="56">
        <v>5.44</v>
      </c>
      <c r="G14" s="51"/>
      <c r="H14" s="44">
        <f t="shared" si="7"/>
        <v>2.4122400000000002</v>
      </c>
      <c r="I14" s="52">
        <f t="shared" si="6"/>
        <v>1.5900000000000003</v>
      </c>
      <c r="J14" s="44">
        <f t="shared" si="2"/>
        <v>-0.82223999999999986</v>
      </c>
      <c r="K14" s="44">
        <f t="shared" si="3"/>
        <v>15.935320000000001</v>
      </c>
      <c r="L14" s="44">
        <f t="shared" si="4"/>
        <v>7.52</v>
      </c>
      <c r="M14" s="53">
        <f t="shared" si="5"/>
        <v>-8.4153200000000012</v>
      </c>
      <c r="N14" s="231"/>
      <c r="O14" s="229"/>
      <c r="P14" s="230"/>
      <c r="Q14" s="47">
        <v>44586.435416666667</v>
      </c>
      <c r="R14" s="44">
        <f t="shared" si="0"/>
        <v>-3.28896000076577</v>
      </c>
      <c r="S14" s="44">
        <f t="shared" si="1"/>
        <v>-3.7126411763816045</v>
      </c>
    </row>
    <row r="15" spans="1:20" ht="12" customHeight="1" x14ac:dyDescent="0.2">
      <c r="A15" s="37"/>
      <c r="B15" s="48"/>
      <c r="C15" s="49">
        <v>10.58</v>
      </c>
      <c r="D15" s="54"/>
      <c r="E15" s="39">
        <v>1761</v>
      </c>
      <c r="F15" s="40">
        <v>4.7300000000000004</v>
      </c>
      <c r="G15" s="51"/>
      <c r="H15" s="44">
        <f t="shared" si="7"/>
        <v>0</v>
      </c>
      <c r="I15" s="52">
        <f t="shared" si="6"/>
        <v>-0.71</v>
      </c>
      <c r="J15" s="44">
        <f t="shared" si="2"/>
        <v>-0.71</v>
      </c>
      <c r="K15" s="44">
        <f t="shared" si="3"/>
        <v>15.935320000000001</v>
      </c>
      <c r="L15" s="44">
        <f t="shared" si="4"/>
        <v>6.81</v>
      </c>
      <c r="M15" s="53">
        <f t="shared" si="5"/>
        <v>-9.1253200000000021</v>
      </c>
      <c r="N15" s="231"/>
      <c r="O15" s="229"/>
      <c r="P15" s="230"/>
      <c r="Q15" s="47">
        <v>44586.442361111112</v>
      </c>
      <c r="R15" s="44">
        <f t="shared" si="0"/>
        <v>-4.2599999995040703</v>
      </c>
      <c r="S15" s="44">
        <f t="shared" si="1"/>
        <v>-3.7501315067356873</v>
      </c>
    </row>
    <row r="16" spans="1:20" ht="12" customHeight="1" x14ac:dyDescent="0.2">
      <c r="A16" s="37"/>
      <c r="B16" s="48" t="s">
        <v>131</v>
      </c>
      <c r="C16" s="49">
        <v>4.37</v>
      </c>
      <c r="D16" s="57"/>
      <c r="E16" s="39">
        <v>2072</v>
      </c>
      <c r="F16" s="40">
        <v>4.88</v>
      </c>
      <c r="G16" s="51"/>
      <c r="H16" s="44">
        <f t="shared" si="7"/>
        <v>1.35907</v>
      </c>
      <c r="I16" s="52">
        <f t="shared" si="6"/>
        <v>0.14999999999999947</v>
      </c>
      <c r="J16" s="44">
        <f t="shared" si="2"/>
        <v>-1.2090700000000005</v>
      </c>
      <c r="K16" s="44">
        <f t="shared" si="3"/>
        <v>17.29439</v>
      </c>
      <c r="L16" s="44">
        <f t="shared" si="4"/>
        <v>6.9599999999999991</v>
      </c>
      <c r="M16" s="53">
        <f t="shared" si="5"/>
        <v>-10.334390000000001</v>
      </c>
      <c r="N16" s="228"/>
      <c r="O16" s="229"/>
      <c r="P16" s="230"/>
      <c r="Q16" s="47">
        <v>44586.470833333333</v>
      </c>
      <c r="R16" s="44">
        <f t="shared" si="0"/>
        <v>-1.7693707318178447</v>
      </c>
      <c r="S16" s="44">
        <f t="shared" si="1"/>
        <v>-3.3158470587905016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2371</v>
      </c>
      <c r="F17" s="40">
        <v>4.6100000000000003</v>
      </c>
      <c r="G17" s="51"/>
      <c r="H17" s="44">
        <f t="shared" si="7"/>
        <v>1.3066300000000002</v>
      </c>
      <c r="I17" s="52">
        <f t="shared" si="6"/>
        <v>-0.26999999999999957</v>
      </c>
      <c r="J17" s="44">
        <f t="shared" si="2"/>
        <v>-1.5766299999999998</v>
      </c>
      <c r="K17" s="44">
        <f t="shared" si="3"/>
        <v>18.601019999999998</v>
      </c>
      <c r="L17" s="44">
        <f t="shared" si="4"/>
        <v>6.6899999999999995</v>
      </c>
      <c r="M17" s="53">
        <f t="shared" si="5"/>
        <v>-11.911019999999999</v>
      </c>
      <c r="N17" s="231"/>
      <c r="O17" s="229"/>
      <c r="P17" s="230"/>
      <c r="Q17" s="47">
        <v>44586.486111111109</v>
      </c>
      <c r="R17" s="44">
        <f t="shared" si="0"/>
        <v>-4.2999000003185461</v>
      </c>
      <c r="S17" s="44">
        <f t="shared" si="1"/>
        <v>-3.4194315789435588</v>
      </c>
    </row>
    <row r="18" spans="1:19" ht="12" customHeight="1" x14ac:dyDescent="0.2">
      <c r="A18" s="37"/>
      <c r="B18" s="48"/>
      <c r="C18" s="49">
        <v>4.37</v>
      </c>
      <c r="D18" s="54"/>
      <c r="E18" s="39">
        <v>2405.46</v>
      </c>
      <c r="F18" s="40">
        <v>79.84</v>
      </c>
      <c r="G18" s="40"/>
      <c r="H18" s="44">
        <f t="shared" si="7"/>
        <v>0.15059020000000015</v>
      </c>
      <c r="I18" s="52">
        <f t="shared" si="6"/>
        <v>75.23</v>
      </c>
      <c r="J18" s="44">
        <f t="shared" si="2"/>
        <v>75.079409800000008</v>
      </c>
      <c r="K18" s="44">
        <f t="shared" si="3"/>
        <v>18.751610199999998</v>
      </c>
      <c r="L18" s="44">
        <f t="shared" si="4"/>
        <v>81.92</v>
      </c>
      <c r="M18" s="53">
        <f t="shared" si="5"/>
        <v>63.1683898</v>
      </c>
      <c r="N18" s="228"/>
      <c r="O18" s="229"/>
      <c r="P18" s="230"/>
      <c r="Q18" s="47">
        <v>44586.513888888891</v>
      </c>
      <c r="R18" s="44">
        <f t="shared" si="0"/>
        <v>112.61911468688942</v>
      </c>
      <c r="S18" s="44">
        <f t="shared" si="1"/>
        <v>15.221298746689062</v>
      </c>
    </row>
    <row r="19" spans="1:19" ht="12" customHeight="1" x14ac:dyDescent="0.2">
      <c r="A19" s="37"/>
      <c r="B19" s="48"/>
      <c r="C19" s="49">
        <v>4.37</v>
      </c>
      <c r="D19" s="54"/>
      <c r="E19" s="39">
        <v>2407.1</v>
      </c>
      <c r="F19" s="40">
        <v>73.55</v>
      </c>
      <c r="G19" s="40"/>
      <c r="H19" s="44">
        <f t="shared" si="7"/>
        <v>7.1667999999994432E-3</v>
      </c>
      <c r="I19" s="52">
        <f t="shared" si="6"/>
        <v>-6.2900000000000063</v>
      </c>
      <c r="J19" s="44">
        <f t="shared" si="2"/>
        <v>-6.2971668000000056</v>
      </c>
      <c r="K19" s="44">
        <f t="shared" si="3"/>
        <v>18.758776999999998</v>
      </c>
      <c r="L19" s="44">
        <f t="shared" si="4"/>
        <v>75.63</v>
      </c>
      <c r="M19" s="53">
        <f t="shared" si="5"/>
        <v>56.871223000000001</v>
      </c>
      <c r="N19" s="228"/>
      <c r="O19" s="229"/>
      <c r="P19" s="230"/>
      <c r="Q19" s="47">
        <v>44586.548611111109</v>
      </c>
      <c r="R19" s="44">
        <f t="shared" si="0"/>
        <v>-7.5566001607037698</v>
      </c>
      <c r="S19" s="44">
        <f t="shared" si="1"/>
        <v>11.412285551830578</v>
      </c>
    </row>
    <row r="20" spans="1:19" ht="12" customHeight="1" x14ac:dyDescent="0.2">
      <c r="A20" s="37"/>
      <c r="B20" s="48"/>
      <c r="C20" s="49">
        <v>4.37</v>
      </c>
      <c r="D20" s="54"/>
      <c r="E20" s="39">
        <v>2407.08</v>
      </c>
      <c r="F20" s="40">
        <v>116.81</v>
      </c>
      <c r="G20" s="40">
        <v>44.16</v>
      </c>
      <c r="H20" s="44">
        <f t="shared" si="7"/>
        <v>-8.7399999999920511E-5</v>
      </c>
      <c r="I20" s="52">
        <f t="shared" si="6"/>
        <v>-0.89999999999999147</v>
      </c>
      <c r="J20" s="44">
        <f t="shared" si="2"/>
        <v>-0.89991259999999151</v>
      </c>
      <c r="K20" s="44">
        <f t="shared" si="3"/>
        <v>18.7586896</v>
      </c>
      <c r="L20" s="44">
        <f t="shared" si="4"/>
        <v>74.73</v>
      </c>
      <c r="M20" s="53">
        <f t="shared" si="5"/>
        <v>55.971310400000007</v>
      </c>
      <c r="N20" s="242" t="s">
        <v>133</v>
      </c>
      <c r="O20" s="229"/>
      <c r="P20" s="230"/>
      <c r="Q20" s="47">
        <v>44586.555555555555</v>
      </c>
      <c r="R20" s="44">
        <f t="shared" si="0"/>
        <v>-5.3994755993713675</v>
      </c>
      <c r="S20" s="44">
        <f t="shared" si="1"/>
        <v>10.868215611601352</v>
      </c>
    </row>
    <row r="21" spans="1:19" ht="12" customHeight="1" x14ac:dyDescent="0.2">
      <c r="A21" s="37"/>
      <c r="B21" s="48"/>
      <c r="C21" s="49">
        <v>4.37</v>
      </c>
      <c r="D21" s="54"/>
      <c r="E21" s="39">
        <v>2406.89</v>
      </c>
      <c r="F21" s="40">
        <v>110.92</v>
      </c>
      <c r="G21" s="51"/>
      <c r="H21" s="44">
        <f t="shared" si="7"/>
        <v>-8.3030000000023849E-4</v>
      </c>
      <c r="I21" s="52">
        <f t="shared" si="6"/>
        <v>-5.8900000000000006</v>
      </c>
      <c r="J21" s="44">
        <f t="shared" si="2"/>
        <v>-5.8891697000000001</v>
      </c>
      <c r="K21" s="44">
        <f t="shared" si="3"/>
        <v>18.7578593</v>
      </c>
      <c r="L21" s="44">
        <f t="shared" si="4"/>
        <v>68.84</v>
      </c>
      <c r="M21" s="53">
        <f t="shared" si="5"/>
        <v>50.082140700000004</v>
      </c>
      <c r="N21" s="228"/>
      <c r="O21" s="229"/>
      <c r="P21" s="230"/>
      <c r="Q21" s="47">
        <v>44586.595138888886</v>
      </c>
      <c r="R21" s="44">
        <f t="shared" si="0"/>
        <v>-6.1991260003038624</v>
      </c>
      <c r="S21" s="44">
        <f t="shared" si="1"/>
        <v>8.2101870000313379</v>
      </c>
    </row>
    <row r="22" spans="1:19" ht="12" customHeight="1" x14ac:dyDescent="0.2">
      <c r="A22" s="37"/>
      <c r="B22" s="48"/>
      <c r="C22" s="49">
        <v>4.37</v>
      </c>
      <c r="D22" s="54"/>
      <c r="E22" s="39">
        <v>2397.27</v>
      </c>
      <c r="F22" s="40">
        <v>6.86</v>
      </c>
      <c r="G22" s="51"/>
      <c r="H22" s="44">
        <f t="shared" si="7"/>
        <v>-4.2039399999999526E-2</v>
      </c>
      <c r="I22" s="52">
        <f t="shared" si="6"/>
        <v>-104.06</v>
      </c>
      <c r="J22" s="44">
        <f t="shared" si="2"/>
        <v>-104.01796060000001</v>
      </c>
      <c r="K22" s="44">
        <f t="shared" si="3"/>
        <v>18.7158199</v>
      </c>
      <c r="L22" s="44">
        <f t="shared" si="4"/>
        <v>-35.22</v>
      </c>
      <c r="M22" s="53">
        <f t="shared" si="5"/>
        <v>-53.935819899999998</v>
      </c>
      <c r="N22" s="228" t="s">
        <v>66</v>
      </c>
      <c r="O22" s="229"/>
      <c r="P22" s="230"/>
      <c r="Q22" s="47">
        <v>44586.661805555559</v>
      </c>
      <c r="R22" s="44">
        <f t="shared" si="0"/>
        <v>-65.011225368850759</v>
      </c>
      <c r="S22" s="44">
        <f t="shared" si="1"/>
        <v>-7.0046519349484422</v>
      </c>
    </row>
    <row r="23" spans="1:19" ht="12" customHeight="1" x14ac:dyDescent="0.2">
      <c r="A23" s="37"/>
      <c r="B23" s="48"/>
      <c r="C23" s="49">
        <v>4.37</v>
      </c>
      <c r="D23" s="54"/>
      <c r="E23" s="39">
        <v>2397</v>
      </c>
      <c r="F23" s="40"/>
      <c r="G23" s="51"/>
      <c r="H23" s="44">
        <f t="shared" si="7"/>
        <v>-1.1798999999999204E-3</v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09"/>
      <c r="O34" s="110"/>
      <c r="P34" s="11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06"/>
      <c r="O76" s="107"/>
      <c r="P76" s="10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06"/>
      <c r="O77" s="107"/>
      <c r="P77" s="10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06"/>
      <c r="O78" s="107"/>
      <c r="P78" s="10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06"/>
      <c r="O79" s="107"/>
      <c r="P79" s="10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U112"/>
  <sheetViews>
    <sheetView topLeftCell="A13" zoomScaleNormal="100" workbookViewId="0">
      <selection activeCell="C50" sqref="C50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1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1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13" t="s">
        <v>20</v>
      </c>
      <c r="I5" s="11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1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14" t="s">
        <v>28</v>
      </c>
      <c r="E6" s="39">
        <v>2342</v>
      </c>
      <c r="F6" s="40">
        <v>7.87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44586.165277777778</v>
      </c>
      <c r="R6" s="11"/>
      <c r="S6" s="11"/>
    </row>
    <row r="7" spans="1:20" ht="12" customHeight="1" x14ac:dyDescent="0.2">
      <c r="A7" s="37"/>
      <c r="B7" s="48" t="s">
        <v>131</v>
      </c>
      <c r="C7" s="49">
        <v>4.37</v>
      </c>
      <c r="D7" s="39"/>
      <c r="E7" s="39">
        <v>2015</v>
      </c>
      <c r="F7" s="40">
        <v>4.66</v>
      </c>
      <c r="G7" s="51"/>
      <c r="H7" s="44">
        <f>IF(E7="","",((E7-E6)*C7)/1000)</f>
        <v>-1.42899</v>
      </c>
      <c r="I7" s="52">
        <f>IF(F7="","",F7-F6-G7)</f>
        <v>-3.21</v>
      </c>
      <c r="J7" s="44">
        <f>IF(F7="","",I7-H7)</f>
        <v>-1.78101</v>
      </c>
      <c r="K7" s="44">
        <f>IF(F7="","",K6+H7)</f>
        <v>-1.42899</v>
      </c>
      <c r="L7" s="44">
        <f>IF(F7="","",L6+I7)</f>
        <v>-3.21</v>
      </c>
      <c r="M7" s="53">
        <f>IF(F7="","",L7-K7)</f>
        <v>-1.78101</v>
      </c>
      <c r="N7" s="231"/>
      <c r="O7" s="229"/>
      <c r="P7" s="230"/>
      <c r="Q7" s="47">
        <v>44586.185416666667</v>
      </c>
      <c r="R7" s="44">
        <f t="shared" ref="R7:R70" si="0">IF(Q7="","",J7/((Q7-Q6)*24))</f>
        <v>-3.6848482758324845</v>
      </c>
      <c r="S7" s="44">
        <f t="shared" ref="S7:S70" si="1">IF(Q7="","",M7/((Q7-$Q$6)*24))</f>
        <v>-3.6848482758324845</v>
      </c>
    </row>
    <row r="8" spans="1:20" ht="12" customHeight="1" x14ac:dyDescent="0.2">
      <c r="A8" s="37"/>
      <c r="B8" s="48" t="s">
        <v>130</v>
      </c>
      <c r="C8" s="49">
        <v>10.58</v>
      </c>
      <c r="D8" s="54"/>
      <c r="E8" s="39">
        <v>1892</v>
      </c>
      <c r="F8" s="40">
        <v>2.27</v>
      </c>
      <c r="G8" s="51"/>
      <c r="H8" s="44">
        <f>IF(E8="","",((E8-E7)*C8)/1000)</f>
        <v>-1.3013399999999999</v>
      </c>
      <c r="I8" s="52">
        <f>IF(F8="","",F8-F7-G8)</f>
        <v>-2.39</v>
      </c>
      <c r="J8" s="44">
        <f>IF(F8="","",I8-H8)</f>
        <v>-1.0886600000000002</v>
      </c>
      <c r="K8" s="44">
        <f>IF(F8="","",K7+H8)</f>
        <v>-2.7303299999999999</v>
      </c>
      <c r="L8" s="44">
        <f>IF(F8="","",L7+I8)</f>
        <v>-5.6</v>
      </c>
      <c r="M8" s="53">
        <f>IF(F8="","",L8-K8)</f>
        <v>-2.8696699999999997</v>
      </c>
      <c r="N8" s="231"/>
      <c r="O8" s="229"/>
      <c r="P8" s="230"/>
      <c r="Q8" s="47">
        <v>44586.193749999999</v>
      </c>
      <c r="R8" s="44">
        <f t="shared" si="0"/>
        <v>-5.4433000012673682</v>
      </c>
      <c r="S8" s="44">
        <f t="shared" si="1"/>
        <v>-4.1995170734330616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1839</v>
      </c>
      <c r="F9" s="40">
        <v>8.4</v>
      </c>
      <c r="G9" s="51">
        <v>6.8</v>
      </c>
      <c r="H9" s="44">
        <f>IF(E9="","",((E9-E8)*C9)/1000)</f>
        <v>-0.56074000000000002</v>
      </c>
      <c r="I9" s="52">
        <f>IF(F9="","",F9-F8-G9)</f>
        <v>-0.66999999999999904</v>
      </c>
      <c r="J9" s="44">
        <f>IF(F9="","",I9-H9)</f>
        <v>-0.10925999999999902</v>
      </c>
      <c r="K9" s="44">
        <f>IF(F9="","",K8+H9)</f>
        <v>-3.2910699999999999</v>
      </c>
      <c r="L9" s="44">
        <f>IF(F9="","",L8+I9)</f>
        <v>-6.2699999999999987</v>
      </c>
      <c r="M9" s="53">
        <f>IF(F9="","",L9-K9)</f>
        <v>-2.9789299999999987</v>
      </c>
      <c r="N9" s="228"/>
      <c r="O9" s="229"/>
      <c r="P9" s="230"/>
      <c r="Q9" s="47">
        <v>44586.197916666664</v>
      </c>
      <c r="R9" s="44">
        <f t="shared" si="0"/>
        <v>-1.092600000254381</v>
      </c>
      <c r="S9" s="44">
        <f t="shared" si="1"/>
        <v>-3.8028893620223876</v>
      </c>
    </row>
    <row r="10" spans="1:20" ht="12" customHeight="1" x14ac:dyDescent="0.2">
      <c r="A10" s="37"/>
      <c r="B10" s="48"/>
      <c r="C10" s="49">
        <v>10.58</v>
      </c>
      <c r="D10" s="54"/>
      <c r="E10" s="39">
        <v>1493</v>
      </c>
      <c r="F10" s="40">
        <v>2.3199999999999998</v>
      </c>
      <c r="G10" s="51"/>
      <c r="H10" s="44">
        <f>IF(E10="","",((E10-E9)*C10)/1000)</f>
        <v>-3.6606799999999997</v>
      </c>
      <c r="I10" s="52">
        <f>IF(F10="","",F10-F9-G10)</f>
        <v>-6.08</v>
      </c>
      <c r="J10" s="44">
        <f t="shared" ref="J10:J73" si="2">IF(F10="","",I10-H10)</f>
        <v>-2.4193200000000004</v>
      </c>
      <c r="K10" s="44">
        <f t="shared" ref="K10:K73" si="3">IF(F10="","",K9+H10)</f>
        <v>-6.9517499999999997</v>
      </c>
      <c r="L10" s="44">
        <f t="shared" ref="L10:L73" si="4">IF(F10="","",L9+I10)</f>
        <v>-12.349999999999998</v>
      </c>
      <c r="M10" s="53">
        <f t="shared" ref="M10:M73" si="5">IF(F10="","",L10-K10)</f>
        <v>-5.3982499999999982</v>
      </c>
      <c r="N10" s="249"/>
      <c r="O10" s="250"/>
      <c r="P10" s="251"/>
      <c r="Q10" s="47">
        <v>44586.21597222222</v>
      </c>
      <c r="R10" s="44">
        <f t="shared" si="0"/>
        <v>-5.5830461536461691</v>
      </c>
      <c r="S10" s="44">
        <f t="shared" si="1"/>
        <v>-4.4369178084031446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1414</v>
      </c>
      <c r="F11" s="56">
        <v>8.41</v>
      </c>
      <c r="G11" s="51">
        <v>7</v>
      </c>
      <c r="H11" s="44">
        <f>IF(E11="","",((E11-E10)*C11)/1000)</f>
        <v>-0.83582000000000001</v>
      </c>
      <c r="I11" s="52">
        <f t="shared" ref="I11:I74" si="6">IF(F11="","",F11-F10-G11)</f>
        <v>-0.91000000000000014</v>
      </c>
      <c r="J11" s="44">
        <f t="shared" si="2"/>
        <v>-7.4180000000000135E-2</v>
      </c>
      <c r="K11" s="44">
        <f t="shared" si="3"/>
        <v>-7.7875699999999997</v>
      </c>
      <c r="L11" s="44">
        <f t="shared" si="4"/>
        <v>-13.259999999999998</v>
      </c>
      <c r="M11" s="53">
        <f t="shared" si="5"/>
        <v>-5.4724299999999984</v>
      </c>
      <c r="N11" s="228"/>
      <c r="O11" s="229"/>
      <c r="P11" s="230"/>
      <c r="Q11" s="47">
        <v>44586.219444444447</v>
      </c>
      <c r="R11" s="44">
        <f t="shared" si="0"/>
        <v>-0.890159998963719</v>
      </c>
      <c r="S11" s="44">
        <f t="shared" si="1"/>
        <v>-4.2095615383107505</v>
      </c>
    </row>
    <row r="12" spans="1:20" ht="12" customHeight="1" x14ac:dyDescent="0.2">
      <c r="A12" s="37"/>
      <c r="B12" s="48"/>
      <c r="C12" s="49">
        <v>10.58</v>
      </c>
      <c r="D12" s="54"/>
      <c r="E12" s="39">
        <v>970</v>
      </c>
      <c r="F12" s="56">
        <v>8.34</v>
      </c>
      <c r="G12" s="51">
        <v>6.5</v>
      </c>
      <c r="H12" s="44">
        <f t="shared" ref="H12:H74" si="7">IF(E12="","",((E12-E11)*C12)/1000)</f>
        <v>-4.6975200000000008</v>
      </c>
      <c r="I12" s="52">
        <f t="shared" si="6"/>
        <v>-6.57</v>
      </c>
      <c r="J12" s="44">
        <f t="shared" si="2"/>
        <v>-1.8724799999999995</v>
      </c>
      <c r="K12" s="44">
        <f t="shared" si="3"/>
        <v>-12.48509</v>
      </c>
      <c r="L12" s="44">
        <f t="shared" si="4"/>
        <v>-19.829999999999998</v>
      </c>
      <c r="M12" s="53">
        <f t="shared" si="5"/>
        <v>-7.3449099999999987</v>
      </c>
      <c r="N12" s="228"/>
      <c r="O12" s="229"/>
      <c r="P12" s="230"/>
      <c r="Q12" s="47">
        <v>44586.240972222222</v>
      </c>
      <c r="R12" s="44">
        <f t="shared" si="0"/>
        <v>-3.6241548391451937</v>
      </c>
      <c r="S12" s="44">
        <f t="shared" si="1"/>
        <v>-4.0430697248051866</v>
      </c>
    </row>
    <row r="13" spans="1:20" ht="12" customHeight="1" x14ac:dyDescent="0.2">
      <c r="A13" s="37"/>
      <c r="B13" s="48"/>
      <c r="C13" s="49">
        <v>10.58</v>
      </c>
      <c r="D13" s="54"/>
      <c r="E13" s="39">
        <v>605</v>
      </c>
      <c r="F13" s="56">
        <v>1.9</v>
      </c>
      <c r="G13" s="51"/>
      <c r="H13" s="44">
        <f>IF(E13="","",((E13-E12)*C13)/1000)</f>
        <v>-3.8616999999999999</v>
      </c>
      <c r="I13" s="52">
        <f t="shared" si="6"/>
        <v>-6.4399999999999995</v>
      </c>
      <c r="J13" s="44">
        <f t="shared" si="2"/>
        <v>-2.5782999999999996</v>
      </c>
      <c r="K13" s="44">
        <f t="shared" si="3"/>
        <v>-16.346789999999999</v>
      </c>
      <c r="L13" s="44">
        <f t="shared" si="4"/>
        <v>-26.269999999999996</v>
      </c>
      <c r="M13" s="53">
        <f t="shared" si="5"/>
        <v>-9.9232099999999974</v>
      </c>
      <c r="N13" s="231"/>
      <c r="O13" s="229"/>
      <c r="P13" s="230"/>
      <c r="Q13" s="47">
        <v>44586.257638888892</v>
      </c>
      <c r="R13" s="44">
        <f t="shared" si="0"/>
        <v>-6.4457499986868267</v>
      </c>
      <c r="S13" s="44">
        <f t="shared" si="1"/>
        <v>-4.4766360900923363</v>
      </c>
    </row>
    <row r="14" spans="1:20" ht="12" customHeight="1" x14ac:dyDescent="0.2">
      <c r="A14" s="37"/>
      <c r="B14" s="48"/>
      <c r="C14" s="49">
        <v>10.58</v>
      </c>
      <c r="D14" s="54"/>
      <c r="E14" s="39">
        <v>500</v>
      </c>
      <c r="F14" s="56">
        <v>8.16</v>
      </c>
      <c r="G14" s="51">
        <v>7.5</v>
      </c>
      <c r="H14" s="44">
        <f t="shared" si="7"/>
        <v>-1.1109</v>
      </c>
      <c r="I14" s="52">
        <f t="shared" si="6"/>
        <v>-1.2400000000000002</v>
      </c>
      <c r="J14" s="44">
        <f t="shared" si="2"/>
        <v>-0.12910000000000021</v>
      </c>
      <c r="K14" s="44">
        <f t="shared" si="3"/>
        <v>-17.457689999999999</v>
      </c>
      <c r="L14" s="44">
        <f t="shared" si="4"/>
        <v>-27.509999999999998</v>
      </c>
      <c r="M14" s="53">
        <f t="shared" si="5"/>
        <v>-10.052309999999999</v>
      </c>
      <c r="N14" s="231"/>
      <c r="O14" s="229"/>
      <c r="P14" s="230"/>
      <c r="Q14" s="47">
        <v>44586.262499999997</v>
      </c>
      <c r="R14" s="44">
        <f t="shared" si="0"/>
        <v>-1.1065714299332616</v>
      </c>
      <c r="S14" s="44">
        <f t="shared" si="1"/>
        <v>-4.3081328572861519</v>
      </c>
    </row>
    <row r="15" spans="1:20" ht="12" customHeight="1" x14ac:dyDescent="0.2">
      <c r="A15" s="37"/>
      <c r="B15" s="48"/>
      <c r="C15" s="49">
        <v>10.58</v>
      </c>
      <c r="D15" s="54"/>
      <c r="E15" s="39">
        <v>500</v>
      </c>
      <c r="F15" s="40">
        <v>7.58</v>
      </c>
      <c r="G15" s="51"/>
      <c r="H15" s="44">
        <f t="shared" si="7"/>
        <v>0</v>
      </c>
      <c r="I15" s="52">
        <f t="shared" si="6"/>
        <v>-0.58000000000000007</v>
      </c>
      <c r="J15" s="44">
        <f t="shared" si="2"/>
        <v>-0.58000000000000007</v>
      </c>
      <c r="K15" s="44">
        <f t="shared" si="3"/>
        <v>-17.457689999999999</v>
      </c>
      <c r="L15" s="44">
        <f t="shared" si="4"/>
        <v>-28.089999999999996</v>
      </c>
      <c r="M15" s="53">
        <f t="shared" si="5"/>
        <v>-10.632309999999997</v>
      </c>
      <c r="N15" s="231"/>
      <c r="O15" s="229"/>
      <c r="P15" s="230"/>
      <c r="Q15" s="47">
        <v>44586.269444444442</v>
      </c>
      <c r="R15" s="44">
        <f t="shared" si="0"/>
        <v>-3.4799999995948752</v>
      </c>
      <c r="S15" s="44">
        <f t="shared" si="1"/>
        <v>-4.2529240000990196</v>
      </c>
    </row>
    <row r="16" spans="1:20" ht="12" customHeight="1" x14ac:dyDescent="0.2">
      <c r="A16" s="37"/>
      <c r="B16" s="48"/>
      <c r="C16" s="49">
        <v>10.58</v>
      </c>
      <c r="D16" s="57"/>
      <c r="E16" s="39">
        <v>381</v>
      </c>
      <c r="F16" s="40">
        <v>5.8</v>
      </c>
      <c r="G16" s="51"/>
      <c r="H16" s="44">
        <f t="shared" si="7"/>
        <v>-1.25902</v>
      </c>
      <c r="I16" s="52">
        <f t="shared" si="6"/>
        <v>-1.7800000000000002</v>
      </c>
      <c r="J16" s="44">
        <f t="shared" si="2"/>
        <v>-0.52098000000000022</v>
      </c>
      <c r="K16" s="44">
        <f t="shared" si="3"/>
        <v>-18.716709999999999</v>
      </c>
      <c r="L16" s="44">
        <f t="shared" si="4"/>
        <v>-29.869999999999997</v>
      </c>
      <c r="M16" s="53">
        <f t="shared" si="5"/>
        <v>-11.153289999999998</v>
      </c>
      <c r="N16" s="228"/>
      <c r="O16" s="229"/>
      <c r="P16" s="230"/>
      <c r="Q16" s="47">
        <v>44586.270833333336</v>
      </c>
      <c r="R16" s="44">
        <f t="shared" si="0"/>
        <v>-15.629399949053962</v>
      </c>
      <c r="S16" s="44">
        <f t="shared" si="1"/>
        <v>-4.4026144735965396</v>
      </c>
      <c r="T16" s="55"/>
    </row>
    <row r="17" spans="1:19" ht="12" customHeight="1" x14ac:dyDescent="0.2">
      <c r="A17" s="37"/>
      <c r="B17" s="48" t="s">
        <v>131</v>
      </c>
      <c r="C17" s="49">
        <v>4.37</v>
      </c>
      <c r="D17" s="54"/>
      <c r="E17" s="39">
        <v>184</v>
      </c>
      <c r="F17" s="40">
        <v>8.74</v>
      </c>
      <c r="G17" s="51">
        <v>7.5</v>
      </c>
      <c r="H17" s="44">
        <f t="shared" si="7"/>
        <v>-0.86088999999999993</v>
      </c>
      <c r="I17" s="52">
        <f t="shared" si="6"/>
        <v>-4.5599999999999996</v>
      </c>
      <c r="J17" s="44">
        <f t="shared" si="2"/>
        <v>-3.6991099999999997</v>
      </c>
      <c r="K17" s="44">
        <f t="shared" si="3"/>
        <v>-19.5776</v>
      </c>
      <c r="L17" s="44">
        <f t="shared" si="4"/>
        <v>-34.43</v>
      </c>
      <c r="M17" s="53">
        <f t="shared" si="5"/>
        <v>-14.852399999999999</v>
      </c>
      <c r="N17" s="231"/>
      <c r="O17" s="229"/>
      <c r="P17" s="230"/>
      <c r="Q17" s="47">
        <v>44586.295138888891</v>
      </c>
      <c r="R17" s="44">
        <f t="shared" si="0"/>
        <v>-6.3413314287823503</v>
      </c>
      <c r="S17" s="44">
        <f t="shared" si="1"/>
        <v>-4.7654759357814092</v>
      </c>
    </row>
    <row r="18" spans="1:19" ht="12" customHeight="1" x14ac:dyDescent="0.2">
      <c r="A18" s="37"/>
      <c r="B18" s="48"/>
      <c r="C18" s="49">
        <v>4.37</v>
      </c>
      <c r="D18" s="54"/>
      <c r="E18" s="39">
        <v>52</v>
      </c>
      <c r="F18" s="40">
        <v>7.29</v>
      </c>
      <c r="G18" s="40"/>
      <c r="H18" s="44">
        <f t="shared" si="7"/>
        <v>-0.57684000000000002</v>
      </c>
      <c r="I18" s="52">
        <f t="shared" si="6"/>
        <v>-1.4500000000000002</v>
      </c>
      <c r="J18" s="44">
        <f t="shared" si="2"/>
        <v>-0.87316000000000016</v>
      </c>
      <c r="K18" s="44">
        <f t="shared" si="3"/>
        <v>-20.154440000000001</v>
      </c>
      <c r="L18" s="44">
        <f t="shared" si="4"/>
        <v>-35.880000000000003</v>
      </c>
      <c r="M18" s="53">
        <f t="shared" si="5"/>
        <v>-15.725560000000002</v>
      </c>
      <c r="N18" s="228"/>
      <c r="O18" s="229"/>
      <c r="P18" s="230"/>
      <c r="Q18" s="47">
        <v>44586.305555555555</v>
      </c>
      <c r="R18" s="44">
        <f t="shared" si="0"/>
        <v>-3.4926400008131941</v>
      </c>
      <c r="S18" s="44">
        <f t="shared" si="1"/>
        <v>-4.6709584158792721</v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09"/>
      <c r="O34" s="110"/>
      <c r="P34" s="11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06"/>
      <c r="O76" s="107"/>
      <c r="P76" s="10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06"/>
      <c r="O77" s="107"/>
      <c r="P77" s="10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06"/>
      <c r="O78" s="107"/>
      <c r="P78" s="10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06"/>
      <c r="O79" s="107"/>
      <c r="P79" s="10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U112"/>
  <sheetViews>
    <sheetView zoomScaleNormal="100" workbookViewId="0">
      <selection activeCell="E11" sqref="E11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1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1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13" t="s">
        <v>20</v>
      </c>
      <c r="I5" s="11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1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14" t="s">
        <v>28</v>
      </c>
      <c r="E6" s="39">
        <v>251</v>
      </c>
      <c r="F6" s="40">
        <v>6.99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44585.859722222223</v>
      </c>
      <c r="R6" s="11"/>
      <c r="S6" s="11"/>
    </row>
    <row r="7" spans="1:20" ht="12" customHeight="1" x14ac:dyDescent="0.2">
      <c r="A7" s="37"/>
      <c r="B7" s="48" t="s">
        <v>131</v>
      </c>
      <c r="C7" s="49">
        <v>4.37</v>
      </c>
      <c r="D7" s="39"/>
      <c r="E7" s="39">
        <v>454</v>
      </c>
      <c r="F7" s="40">
        <v>6.37</v>
      </c>
      <c r="G7" s="51"/>
      <c r="H7" s="44">
        <f>IF(E7="","",((E7-E6)*C7)/1000)</f>
        <v>0.88711000000000007</v>
      </c>
      <c r="I7" s="52">
        <f>IF(F7="","",F7-F6-G7)</f>
        <v>-0.62000000000000011</v>
      </c>
      <c r="J7" s="44">
        <f>IF(F7="","",I7-H7)</f>
        <v>-1.5071100000000002</v>
      </c>
      <c r="K7" s="44">
        <f>IF(F7="","",K6+H7)</f>
        <v>0.88711000000000007</v>
      </c>
      <c r="L7" s="44">
        <f>IF(F7="","",L6+I7)</f>
        <v>-0.62000000000000011</v>
      </c>
      <c r="M7" s="53">
        <f>IF(F7="","",L7-K7)</f>
        <v>-1.5071100000000002</v>
      </c>
      <c r="N7" s="231"/>
      <c r="O7" s="229"/>
      <c r="P7" s="230"/>
      <c r="Q7" s="47">
        <v>44585.871527777781</v>
      </c>
      <c r="R7" s="44">
        <f t="shared" ref="R7:R70" si="0">IF(Q7="","",J7/((Q7-Q6)*24))</f>
        <v>-5.3192117637588137</v>
      </c>
      <c r="S7" s="44">
        <f t="shared" ref="S7:S70" si="1">IF(Q7="","",M7/((Q7-$Q$6)*24))</f>
        <v>-5.3192117637588137</v>
      </c>
    </row>
    <row r="8" spans="1:20" ht="12" customHeight="1" x14ac:dyDescent="0.2">
      <c r="A8" s="37"/>
      <c r="B8" s="48" t="s">
        <v>130</v>
      </c>
      <c r="C8" s="49">
        <v>10.58</v>
      </c>
      <c r="D8" s="54"/>
      <c r="E8" s="39">
        <v>1266</v>
      </c>
      <c r="F8" s="40">
        <v>3.72</v>
      </c>
      <c r="G8" s="51">
        <v>-5.7</v>
      </c>
      <c r="H8" s="44">
        <f>IF(E8="","",((E8-E7)*C8)/1000)</f>
        <v>8.5909600000000008</v>
      </c>
      <c r="I8" s="52">
        <f>IF(F8="","",F8-F7-G8)</f>
        <v>3.0500000000000003</v>
      </c>
      <c r="J8" s="44">
        <f>IF(F8="","",I8-H8)</f>
        <v>-5.5409600000000001</v>
      </c>
      <c r="K8" s="44">
        <f>IF(F8="","",K7+H8)</f>
        <v>9.4780700000000007</v>
      </c>
      <c r="L8" s="44">
        <f>IF(F8="","",L7+I8)</f>
        <v>2.4300000000000002</v>
      </c>
      <c r="M8" s="53">
        <f>IF(F8="","",L8-K8)</f>
        <v>-7.0480700000000009</v>
      </c>
      <c r="N8" s="231"/>
      <c r="O8" s="229"/>
      <c r="P8" s="230"/>
      <c r="Q8" s="47">
        <v>44585.911111111112</v>
      </c>
      <c r="R8" s="44">
        <f t="shared" si="0"/>
        <v>-5.8325894739701063</v>
      </c>
      <c r="S8" s="44">
        <f t="shared" si="1"/>
        <v>-5.7146513513333721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1684</v>
      </c>
      <c r="F9" s="40">
        <v>5.6</v>
      </c>
      <c r="G9" s="51"/>
      <c r="H9" s="44">
        <f>IF(E9="","",((E9-E8)*C9)/1000)</f>
        <v>4.4224399999999999</v>
      </c>
      <c r="I9" s="52">
        <f>IF(F9="","",F9-F8-G9)</f>
        <v>1.8799999999999994</v>
      </c>
      <c r="J9" s="44">
        <f>IF(F9="","",I9-H9)</f>
        <v>-2.5424400000000005</v>
      </c>
      <c r="K9" s="44">
        <f>IF(F9="","",K8+H9)</f>
        <v>13.900510000000001</v>
      </c>
      <c r="L9" s="44">
        <f>IF(F9="","",L8+I9)</f>
        <v>4.3099999999999996</v>
      </c>
      <c r="M9" s="53">
        <f>IF(F9="","",L9-K9)</f>
        <v>-9.5905100000000019</v>
      </c>
      <c r="N9" s="228"/>
      <c r="O9" s="229"/>
      <c r="P9" s="230"/>
      <c r="Q9" s="47">
        <v>44585.931250000001</v>
      </c>
      <c r="R9" s="44">
        <f t="shared" si="0"/>
        <v>-5.2602206896129413</v>
      </c>
      <c r="S9" s="44">
        <f t="shared" si="1"/>
        <v>-5.5867048543436759</v>
      </c>
    </row>
    <row r="10" spans="1:20" ht="12" customHeight="1" x14ac:dyDescent="0.2">
      <c r="A10" s="37"/>
      <c r="B10" s="48" t="s">
        <v>132</v>
      </c>
      <c r="C10" s="49">
        <v>8.5</v>
      </c>
      <c r="D10" s="54"/>
      <c r="E10" s="39">
        <v>2395</v>
      </c>
      <c r="F10" s="40">
        <v>6.1</v>
      </c>
      <c r="G10" s="51"/>
      <c r="H10" s="44">
        <f>IF(E10="","",((E10-E9)*C10)/1000)</f>
        <v>6.0434999999999999</v>
      </c>
      <c r="I10" s="52">
        <f>IF(F10="","",F10-F9-G10)</f>
        <v>0.5</v>
      </c>
      <c r="J10" s="44">
        <f t="shared" ref="J10:J73" si="2">IF(F10="","",I10-H10)</f>
        <v>-5.5434999999999999</v>
      </c>
      <c r="K10" s="44">
        <f t="shared" ref="K10:K73" si="3">IF(F10="","",K9+H10)</f>
        <v>19.944009999999999</v>
      </c>
      <c r="L10" s="44">
        <f t="shared" ref="L10:L73" si="4">IF(F10="","",L9+I10)</f>
        <v>4.8099999999999996</v>
      </c>
      <c r="M10" s="53">
        <f t="shared" ref="M10:M73" si="5">IF(F10="","",L10-K10)</f>
        <v>-15.13401</v>
      </c>
      <c r="N10" s="249"/>
      <c r="O10" s="250"/>
      <c r="P10" s="251"/>
      <c r="Q10" s="47">
        <v>44585.977083333331</v>
      </c>
      <c r="R10" s="44">
        <f t="shared" si="0"/>
        <v>-5.0395454549187964</v>
      </c>
      <c r="S10" s="44">
        <f t="shared" si="1"/>
        <v>-5.3730213019157933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/>
      <c r="F11" s="56"/>
      <c r="G11" s="51"/>
      <c r="H11" s="44" t="str">
        <f>IF(E11="","",((E11-E10)*C11)/1000)</f>
        <v/>
      </c>
      <c r="I11" s="52" t="str">
        <f t="shared" ref="I11:I74" si="6">IF(F11="","",F11-F10-G11)</f>
        <v/>
      </c>
      <c r="J11" s="44" t="str">
        <f t="shared" si="2"/>
        <v/>
      </c>
      <c r="K11" s="44" t="str">
        <f t="shared" si="3"/>
        <v/>
      </c>
      <c r="L11" s="44" t="str">
        <f t="shared" si="4"/>
        <v/>
      </c>
      <c r="M11" s="53" t="str">
        <f t="shared" si="5"/>
        <v/>
      </c>
      <c r="N11" s="228"/>
      <c r="O11" s="229"/>
      <c r="P11" s="230"/>
      <c r="Q11" s="47"/>
      <c r="R11" s="44" t="str">
        <f t="shared" si="0"/>
        <v/>
      </c>
      <c r="S11" s="44" t="str">
        <f t="shared" si="1"/>
        <v/>
      </c>
    </row>
    <row r="12" spans="1:20" ht="12" customHeight="1" x14ac:dyDescent="0.2">
      <c r="A12" s="37"/>
      <c r="B12" s="48"/>
      <c r="C12" s="49">
        <v>10.58</v>
      </c>
      <c r="D12" s="54"/>
      <c r="E12" s="39"/>
      <c r="F12" s="56"/>
      <c r="G12" s="51"/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10.58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10.58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10.58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10.58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10.58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10.58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10.58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10.58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10.58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10.58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10.58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10.58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10.58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10.58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10.58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10.58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10.58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10.58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 t="s">
        <v>131</v>
      </c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09"/>
      <c r="O34" s="110"/>
      <c r="P34" s="11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06"/>
      <c r="O76" s="107"/>
      <c r="P76" s="10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06"/>
      <c r="O77" s="107"/>
      <c r="P77" s="10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06"/>
      <c r="O78" s="107"/>
      <c r="P78" s="10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06"/>
      <c r="O79" s="107"/>
      <c r="P79" s="10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U112"/>
  <sheetViews>
    <sheetView zoomScaleNormal="100" workbookViewId="0">
      <selection activeCell="Q15" sqref="Q1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1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1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13" t="s">
        <v>20</v>
      </c>
      <c r="I5" s="11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1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14" t="s">
        <v>28</v>
      </c>
      <c r="E6" s="39">
        <v>2386</v>
      </c>
      <c r="F6" s="40">
        <v>8.98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44585.498611111114</v>
      </c>
      <c r="R6" s="11"/>
      <c r="S6" s="11"/>
    </row>
    <row r="7" spans="1:20" ht="12" customHeight="1" x14ac:dyDescent="0.2">
      <c r="A7" s="37"/>
      <c r="B7" s="48" t="s">
        <v>130</v>
      </c>
      <c r="C7" s="49">
        <v>10.58</v>
      </c>
      <c r="D7" s="39"/>
      <c r="E7" s="39">
        <v>2242</v>
      </c>
      <c r="F7" s="40">
        <v>3.96</v>
      </c>
      <c r="G7" s="51"/>
      <c r="H7" s="44">
        <f>IF(E7="","",((E7-E6)*C7)/1000)</f>
        <v>-1.52352</v>
      </c>
      <c r="I7" s="52">
        <f>IF(F7="","",F7-F6-G7)</f>
        <v>-5.0200000000000005</v>
      </c>
      <c r="J7" s="44">
        <f>IF(F7="","",I7-H7)</f>
        <v>-3.4964800000000005</v>
      </c>
      <c r="K7" s="44">
        <f>IF(F7="","",K6+H7)</f>
        <v>-1.52352</v>
      </c>
      <c r="L7" s="44">
        <f>IF(F7="","",L6+I7)</f>
        <v>-5.0200000000000005</v>
      </c>
      <c r="M7" s="53">
        <f>IF(F7="","",L7-K7)</f>
        <v>-3.4964800000000005</v>
      </c>
      <c r="N7" s="231"/>
      <c r="O7" s="229"/>
      <c r="P7" s="230"/>
      <c r="Q7" s="47">
        <v>44585.527777777781</v>
      </c>
      <c r="R7" s="44">
        <f t="shared" ref="R7:R70" si="0">IF(Q7="","",J7/((Q7-Q6)*24))</f>
        <v>-4.9949714284883591</v>
      </c>
      <c r="S7" s="44">
        <f t="shared" ref="S7:S70" si="1">IF(Q7="","",M7/((Q7-$Q$6)*24))</f>
        <v>-4.9949714284883591</v>
      </c>
    </row>
    <row r="8" spans="1:20" ht="12" customHeight="1" x14ac:dyDescent="0.2">
      <c r="A8" s="37"/>
      <c r="B8" s="48"/>
      <c r="C8" s="49">
        <v>10.58</v>
      </c>
      <c r="D8" s="54"/>
      <c r="E8" s="39">
        <v>2085</v>
      </c>
      <c r="F8" s="40">
        <v>6.76</v>
      </c>
      <c r="G8" s="51">
        <v>6.38</v>
      </c>
      <c r="H8" s="44">
        <f>IF(E8="","",((E8-E7)*C8)/1000)</f>
        <v>-1.66106</v>
      </c>
      <c r="I8" s="52">
        <f>IF(F8="","",F8-F7-G8)</f>
        <v>-3.58</v>
      </c>
      <c r="J8" s="44">
        <f>IF(F8="","",I8-H8)</f>
        <v>-1.9189400000000001</v>
      </c>
      <c r="K8" s="44">
        <f>IF(F8="","",K7+H8)</f>
        <v>-3.18458</v>
      </c>
      <c r="L8" s="44">
        <f>IF(F8="","",L7+I8)</f>
        <v>-8.6000000000000014</v>
      </c>
      <c r="M8" s="53">
        <f>IF(F8="","",L8-K8)</f>
        <v>-5.415420000000001</v>
      </c>
      <c r="N8" s="231"/>
      <c r="O8" s="229"/>
      <c r="P8" s="230"/>
      <c r="Q8" s="47">
        <v>44585.540972222225</v>
      </c>
      <c r="R8" s="44">
        <f t="shared" si="0"/>
        <v>-6.0598105266128233</v>
      </c>
      <c r="S8" s="44">
        <f t="shared" si="1"/>
        <v>-5.3266426229711517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1955</v>
      </c>
      <c r="F9" s="40">
        <v>3.84</v>
      </c>
      <c r="G9" s="51"/>
      <c r="H9" s="44">
        <f>IF(E9="","",((E9-E8)*C9)/1000)</f>
        <v>-1.3754000000000002</v>
      </c>
      <c r="I9" s="52">
        <f>IF(F9="","",F9-F8-G9)</f>
        <v>-2.92</v>
      </c>
      <c r="J9" s="44">
        <f>IF(F9="","",I9-H9)</f>
        <v>-1.5445999999999998</v>
      </c>
      <c r="K9" s="44">
        <f>IF(F9="","",K8+H9)</f>
        <v>-4.5599800000000004</v>
      </c>
      <c r="L9" s="44">
        <f>IF(F9="","",L8+I9)</f>
        <v>-11.520000000000001</v>
      </c>
      <c r="M9" s="53">
        <f>IF(F9="","",L9-K9)</f>
        <v>-6.960020000000001</v>
      </c>
      <c r="N9" s="228"/>
      <c r="O9" s="229"/>
      <c r="P9" s="230"/>
      <c r="Q9" s="47">
        <v>44585.548611111109</v>
      </c>
      <c r="R9" s="44">
        <f t="shared" si="0"/>
        <v>-8.4250909137274625</v>
      </c>
      <c r="S9" s="44">
        <f t="shared" si="1"/>
        <v>-5.8000166671730753</v>
      </c>
    </row>
    <row r="10" spans="1:20" ht="12" customHeight="1" x14ac:dyDescent="0.2">
      <c r="A10" s="37"/>
      <c r="B10" s="48"/>
      <c r="C10" s="49">
        <v>10.58</v>
      </c>
      <c r="D10" s="54"/>
      <c r="E10" s="39">
        <v>1772</v>
      </c>
      <c r="F10" s="40">
        <v>5.98</v>
      </c>
      <c r="G10" s="51">
        <v>6.3</v>
      </c>
      <c r="H10" s="44">
        <f>IF(E10="","",((E10-E9)*C10)/1000)</f>
        <v>-1.9361400000000002</v>
      </c>
      <c r="I10" s="52">
        <f>IF(F10="","",F10-F9-G10)</f>
        <v>-4.1599999999999993</v>
      </c>
      <c r="J10" s="44">
        <f t="shared" ref="J10:J73" si="2">IF(F10="","",I10-H10)</f>
        <v>-2.2238599999999993</v>
      </c>
      <c r="K10" s="44">
        <f t="shared" ref="K10:K73" si="3">IF(F10="","",K9+H10)</f>
        <v>-6.4961200000000003</v>
      </c>
      <c r="L10" s="44">
        <f t="shared" ref="L10:L73" si="4">IF(F10="","",L9+I10)</f>
        <v>-15.68</v>
      </c>
      <c r="M10" s="53">
        <f t="shared" ref="M10:M73" si="5">IF(F10="","",L10-K10)</f>
        <v>-9.1838799999999985</v>
      </c>
      <c r="N10" s="249"/>
      <c r="O10" s="250"/>
      <c r="P10" s="251"/>
      <c r="Q10" s="47">
        <v>44585.5625</v>
      </c>
      <c r="R10" s="44">
        <f t="shared" si="0"/>
        <v>-6.671579999223324</v>
      </c>
      <c r="S10" s="44">
        <f t="shared" si="1"/>
        <v>-5.989486956779424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1615</v>
      </c>
      <c r="F11" s="56">
        <v>7.88</v>
      </c>
      <c r="G11" s="51">
        <v>5.97</v>
      </c>
      <c r="H11" s="44">
        <f>IF(E11="","",((E11-E10)*C11)/1000)</f>
        <v>-1.66106</v>
      </c>
      <c r="I11" s="52">
        <f t="shared" ref="I11:I74" si="6">IF(F11="","",F11-F10-G11)</f>
        <v>-4.07</v>
      </c>
      <c r="J11" s="44">
        <f t="shared" si="2"/>
        <v>-2.4089400000000003</v>
      </c>
      <c r="K11" s="44">
        <f t="shared" si="3"/>
        <v>-8.1571800000000003</v>
      </c>
      <c r="L11" s="44">
        <f t="shared" si="4"/>
        <v>-19.75</v>
      </c>
      <c r="M11" s="53">
        <f t="shared" si="5"/>
        <v>-11.59282</v>
      </c>
      <c r="N11" s="228"/>
      <c r="O11" s="229"/>
      <c r="P11" s="230"/>
      <c r="Q11" s="47">
        <v>44585.573611111111</v>
      </c>
      <c r="R11" s="44">
        <f t="shared" si="0"/>
        <v>-9.0335250001314567</v>
      </c>
      <c r="S11" s="44">
        <f t="shared" si="1"/>
        <v>-6.4404555558054781</v>
      </c>
    </row>
    <row r="12" spans="1:20" ht="12" customHeight="1" x14ac:dyDescent="0.2">
      <c r="A12" s="37"/>
      <c r="B12" s="48"/>
      <c r="C12" s="49">
        <v>10.58</v>
      </c>
      <c r="D12" s="54"/>
      <c r="E12" s="39">
        <v>1380</v>
      </c>
      <c r="F12" s="56">
        <v>8.49</v>
      </c>
      <c r="G12" s="51">
        <v>5.8</v>
      </c>
      <c r="H12" s="44">
        <f t="shared" ref="H12:H74" si="7">IF(E12="","",((E12-E11)*C12)/1000)</f>
        <v>-2.4863000000000004</v>
      </c>
      <c r="I12" s="52">
        <f t="shared" si="6"/>
        <v>-5.1899999999999995</v>
      </c>
      <c r="J12" s="44">
        <f t="shared" si="2"/>
        <v>-2.7036999999999991</v>
      </c>
      <c r="K12" s="44">
        <f t="shared" si="3"/>
        <v>-10.64348</v>
      </c>
      <c r="L12" s="44">
        <f t="shared" si="4"/>
        <v>-24.939999999999998</v>
      </c>
      <c r="M12" s="53">
        <f t="shared" si="5"/>
        <v>-14.296519999999997</v>
      </c>
      <c r="N12" s="228"/>
      <c r="O12" s="229"/>
      <c r="P12" s="230"/>
      <c r="Q12" s="47">
        <v>44585.588888888888</v>
      </c>
      <c r="R12" s="44">
        <f t="shared" si="0"/>
        <v>-7.3737272732735342</v>
      </c>
      <c r="S12" s="44">
        <f t="shared" si="1"/>
        <v>-6.5983938464492891</v>
      </c>
    </row>
    <row r="13" spans="1:20" ht="12" customHeight="1" x14ac:dyDescent="0.2">
      <c r="A13" s="37"/>
      <c r="B13" s="48"/>
      <c r="C13" s="49">
        <v>10.58</v>
      </c>
      <c r="D13" s="54"/>
      <c r="E13" s="39">
        <v>1197</v>
      </c>
      <c r="F13" s="56">
        <v>5.24</v>
      </c>
      <c r="G13" s="51"/>
      <c r="H13" s="44">
        <f>IF(E13="","",((E13-E12)*C13)/1000)</f>
        <v>-1.9361400000000002</v>
      </c>
      <c r="I13" s="52">
        <f t="shared" si="6"/>
        <v>-3.25</v>
      </c>
      <c r="J13" s="44">
        <f t="shared" si="2"/>
        <v>-1.3138599999999998</v>
      </c>
      <c r="K13" s="44">
        <f t="shared" si="3"/>
        <v>-12.57962</v>
      </c>
      <c r="L13" s="44">
        <f t="shared" si="4"/>
        <v>-28.189999999999998</v>
      </c>
      <c r="M13" s="53">
        <f t="shared" si="5"/>
        <v>-15.610379999999997</v>
      </c>
      <c r="N13" s="231"/>
      <c r="O13" s="229"/>
      <c r="P13" s="230"/>
      <c r="Q13" s="47">
        <v>44585.598611111112</v>
      </c>
      <c r="R13" s="44">
        <f t="shared" si="0"/>
        <v>-5.6308285699302516</v>
      </c>
      <c r="S13" s="44">
        <f t="shared" si="1"/>
        <v>-6.5043250000946493</v>
      </c>
    </row>
    <row r="14" spans="1:20" ht="12" customHeight="1" x14ac:dyDescent="0.2">
      <c r="A14" s="37"/>
      <c r="B14" s="48"/>
      <c r="C14" s="49">
        <v>10.58</v>
      </c>
      <c r="D14" s="54"/>
      <c r="E14" s="39">
        <v>988</v>
      </c>
      <c r="F14" s="56">
        <v>8.43</v>
      </c>
      <c r="G14" s="51">
        <v>7.62</v>
      </c>
      <c r="H14" s="44">
        <f t="shared" si="7"/>
        <v>-2.21122</v>
      </c>
      <c r="I14" s="52">
        <f t="shared" si="6"/>
        <v>-4.4300000000000006</v>
      </c>
      <c r="J14" s="44">
        <f t="shared" si="2"/>
        <v>-2.2187800000000006</v>
      </c>
      <c r="K14" s="44">
        <f t="shared" si="3"/>
        <v>-14.790839999999999</v>
      </c>
      <c r="L14" s="44">
        <f t="shared" si="4"/>
        <v>-32.619999999999997</v>
      </c>
      <c r="M14" s="53">
        <f t="shared" si="5"/>
        <v>-17.829159999999998</v>
      </c>
      <c r="N14" s="231"/>
      <c r="O14" s="229"/>
      <c r="P14" s="230"/>
      <c r="Q14" s="47">
        <v>44585.60833333333</v>
      </c>
      <c r="R14" s="44">
        <f t="shared" si="0"/>
        <v>-9.5090571474432881</v>
      </c>
      <c r="S14" s="44">
        <f t="shared" si="1"/>
        <v>-6.7705670889867271</v>
      </c>
    </row>
    <row r="15" spans="1:20" ht="12" customHeight="1" x14ac:dyDescent="0.2">
      <c r="A15" s="37"/>
      <c r="B15" s="48"/>
      <c r="C15" s="49">
        <v>10.58</v>
      </c>
      <c r="D15" s="54"/>
      <c r="E15" s="39">
        <v>648</v>
      </c>
      <c r="F15" s="40">
        <v>1.85</v>
      </c>
      <c r="G15" s="51"/>
      <c r="H15" s="44">
        <f t="shared" si="7"/>
        <v>-3.5972</v>
      </c>
      <c r="I15" s="52">
        <f t="shared" si="6"/>
        <v>-6.58</v>
      </c>
      <c r="J15" s="44">
        <f t="shared" si="2"/>
        <v>-2.9828000000000001</v>
      </c>
      <c r="K15" s="44">
        <f t="shared" si="3"/>
        <v>-18.38804</v>
      </c>
      <c r="L15" s="44">
        <f t="shared" si="4"/>
        <v>-39.199999999999996</v>
      </c>
      <c r="M15" s="53">
        <f t="shared" si="5"/>
        <v>-20.811959999999996</v>
      </c>
      <c r="N15" s="231"/>
      <c r="O15" s="229"/>
      <c r="P15" s="230"/>
      <c r="Q15" s="47">
        <v>44585.625</v>
      </c>
      <c r="R15" s="44">
        <f t="shared" si="0"/>
        <v>-7.4569999984808097</v>
      </c>
      <c r="S15" s="44">
        <f t="shared" si="1"/>
        <v>-6.8610857144349273</v>
      </c>
    </row>
    <row r="16" spans="1:20" ht="12" customHeight="1" x14ac:dyDescent="0.2">
      <c r="A16" s="37"/>
      <c r="B16" s="48"/>
      <c r="C16" s="49">
        <v>10.58</v>
      </c>
      <c r="D16" s="57"/>
      <c r="E16" s="39">
        <v>517</v>
      </c>
      <c r="F16" s="40">
        <v>7.32</v>
      </c>
      <c r="G16" s="51">
        <v>8.0299999999999994</v>
      </c>
      <c r="H16" s="44">
        <f t="shared" si="7"/>
        <v>-1.38598</v>
      </c>
      <c r="I16" s="52">
        <f t="shared" si="6"/>
        <v>-2.5599999999999987</v>
      </c>
      <c r="J16" s="44">
        <f t="shared" si="2"/>
        <v>-1.1740199999999987</v>
      </c>
      <c r="K16" s="44">
        <f t="shared" si="3"/>
        <v>-19.77402</v>
      </c>
      <c r="L16" s="44">
        <f t="shared" si="4"/>
        <v>-41.759999999999991</v>
      </c>
      <c r="M16" s="53">
        <f t="shared" si="5"/>
        <v>-21.985979999999991</v>
      </c>
      <c r="N16" s="228"/>
      <c r="O16" s="229"/>
      <c r="P16" s="230"/>
      <c r="Q16" s="47">
        <v>44585.631249999999</v>
      </c>
      <c r="R16" s="44">
        <f t="shared" si="0"/>
        <v>-7.8268000018223107</v>
      </c>
      <c r="S16" s="44">
        <f t="shared" si="1"/>
        <v>-6.9065905761351267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491</v>
      </c>
      <c r="F17" s="40">
        <v>6.84</v>
      </c>
      <c r="G17" s="51"/>
      <c r="H17" s="44">
        <f t="shared" si="7"/>
        <v>-0.27507999999999999</v>
      </c>
      <c r="I17" s="52">
        <f t="shared" si="6"/>
        <v>-0.48000000000000043</v>
      </c>
      <c r="J17" s="44">
        <f t="shared" si="2"/>
        <v>-0.20492000000000044</v>
      </c>
      <c r="K17" s="44">
        <f t="shared" si="3"/>
        <v>-20.049099999999999</v>
      </c>
      <c r="L17" s="44">
        <f t="shared" si="4"/>
        <v>-42.239999999999995</v>
      </c>
      <c r="M17" s="53">
        <f t="shared" si="5"/>
        <v>-22.190899999999996</v>
      </c>
      <c r="N17" s="231"/>
      <c r="O17" s="229"/>
      <c r="P17" s="230"/>
      <c r="Q17" s="47">
        <v>44585.632638888892</v>
      </c>
      <c r="R17" s="44">
        <f t="shared" si="0"/>
        <v>-6.1475999799611181</v>
      </c>
      <c r="S17" s="44">
        <f t="shared" si="1"/>
        <v>-6.8987253885843902</v>
      </c>
    </row>
    <row r="18" spans="1:19" ht="12" customHeight="1" x14ac:dyDescent="0.2">
      <c r="A18" s="37"/>
      <c r="B18" s="48"/>
      <c r="C18" s="49">
        <v>10.58</v>
      </c>
      <c r="D18" s="54"/>
      <c r="E18" s="39">
        <v>491</v>
      </c>
      <c r="F18" s="40">
        <v>5.76</v>
      </c>
      <c r="G18" s="40"/>
      <c r="H18" s="44">
        <f t="shared" si="7"/>
        <v>0</v>
      </c>
      <c r="I18" s="52">
        <f t="shared" si="6"/>
        <v>-1.08</v>
      </c>
      <c r="J18" s="44">
        <f t="shared" si="2"/>
        <v>-1.08</v>
      </c>
      <c r="K18" s="44">
        <f t="shared" si="3"/>
        <v>-20.049099999999999</v>
      </c>
      <c r="L18" s="44">
        <f t="shared" si="4"/>
        <v>-43.319999999999993</v>
      </c>
      <c r="M18" s="53">
        <f t="shared" si="5"/>
        <v>-23.270899999999994</v>
      </c>
      <c r="N18" s="228"/>
      <c r="O18" s="229"/>
      <c r="P18" s="230"/>
      <c r="Q18" s="47">
        <v>44585.63958333333</v>
      </c>
      <c r="R18" s="44">
        <f t="shared" si="0"/>
        <v>-6.4800000060349703</v>
      </c>
      <c r="S18" s="44">
        <f t="shared" si="1"/>
        <v>-6.8780985224672611</v>
      </c>
    </row>
    <row r="19" spans="1:19" ht="12" customHeight="1" x14ac:dyDescent="0.2">
      <c r="A19" s="37"/>
      <c r="B19" s="48"/>
      <c r="C19" s="49">
        <v>10.58</v>
      </c>
      <c r="D19" s="54"/>
      <c r="E19" s="39">
        <v>228</v>
      </c>
      <c r="F19" s="40">
        <v>6.22</v>
      </c>
      <c r="G19" s="40">
        <v>6.62</v>
      </c>
      <c r="H19" s="44">
        <f t="shared" si="7"/>
        <v>-2.78254</v>
      </c>
      <c r="I19" s="52">
        <f t="shared" si="6"/>
        <v>-6.16</v>
      </c>
      <c r="J19" s="44">
        <f t="shared" si="2"/>
        <v>-3.3774600000000001</v>
      </c>
      <c r="K19" s="44">
        <f t="shared" si="3"/>
        <v>-22.83164</v>
      </c>
      <c r="L19" s="44">
        <f t="shared" si="4"/>
        <v>-49.47999999999999</v>
      </c>
      <c r="M19" s="53">
        <f t="shared" si="5"/>
        <v>-26.64835999999999</v>
      </c>
      <c r="N19" s="228"/>
      <c r="O19" s="229"/>
      <c r="P19" s="230"/>
      <c r="Q19" s="47">
        <v>44585.657638888886</v>
      </c>
      <c r="R19" s="44">
        <f t="shared" si="0"/>
        <v>-7.7941384612592755</v>
      </c>
      <c r="S19" s="44">
        <f t="shared" si="1"/>
        <v>-6.982103057009919</v>
      </c>
    </row>
    <row r="20" spans="1:19" ht="12" customHeight="1" x14ac:dyDescent="0.2">
      <c r="A20" s="37"/>
      <c r="B20" s="48" t="s">
        <v>131</v>
      </c>
      <c r="C20" s="49">
        <v>4.37</v>
      </c>
      <c r="D20" s="54"/>
      <c r="E20" s="39">
        <v>24</v>
      </c>
      <c r="F20" s="40">
        <v>8.6</v>
      </c>
      <c r="G20" s="40"/>
      <c r="H20" s="44">
        <f t="shared" si="7"/>
        <v>-0.89148000000000005</v>
      </c>
      <c r="I20" s="52">
        <f t="shared" si="6"/>
        <v>2.38</v>
      </c>
      <c r="J20" s="44">
        <f t="shared" si="2"/>
        <v>3.2714799999999999</v>
      </c>
      <c r="K20" s="44">
        <f t="shared" si="3"/>
        <v>-23.723120000000002</v>
      </c>
      <c r="L20" s="44">
        <f t="shared" si="4"/>
        <v>-47.099999999999987</v>
      </c>
      <c r="M20" s="53">
        <f t="shared" si="5"/>
        <v>-23.376879999999986</v>
      </c>
      <c r="N20" s="242"/>
      <c r="O20" s="229"/>
      <c r="P20" s="230"/>
      <c r="Q20" s="47">
        <v>44585.673611111109</v>
      </c>
      <c r="R20" s="44">
        <f t="shared" si="0"/>
        <v>8.5342956515691597</v>
      </c>
      <c r="S20" s="44">
        <f t="shared" si="1"/>
        <v>-5.565923809662654</v>
      </c>
    </row>
    <row r="21" spans="1:19" ht="12" customHeight="1" x14ac:dyDescent="0.2">
      <c r="A21" s="37"/>
      <c r="B21" s="48"/>
      <c r="C21" s="49">
        <v>4.37</v>
      </c>
      <c r="D21" s="54"/>
      <c r="E21" s="39">
        <v>24</v>
      </c>
      <c r="F21" s="40">
        <v>8.0299999999999994</v>
      </c>
      <c r="G21" s="51"/>
      <c r="H21" s="44">
        <f t="shared" si="7"/>
        <v>0</v>
      </c>
      <c r="I21" s="52">
        <f t="shared" si="6"/>
        <v>-0.57000000000000028</v>
      </c>
      <c r="J21" s="44">
        <f t="shared" si="2"/>
        <v>-0.57000000000000028</v>
      </c>
      <c r="K21" s="44">
        <f t="shared" si="3"/>
        <v>-23.723120000000002</v>
      </c>
      <c r="L21" s="44">
        <f t="shared" si="4"/>
        <v>-47.669999999999987</v>
      </c>
      <c r="M21" s="53">
        <f t="shared" si="5"/>
        <v>-23.946879999999986</v>
      </c>
      <c r="N21" s="228"/>
      <c r="O21" s="229"/>
      <c r="P21" s="230"/>
      <c r="Q21" s="47">
        <v>44585.680555555555</v>
      </c>
      <c r="R21" s="44">
        <f t="shared" si="0"/>
        <v>-3.4199999996018615</v>
      </c>
      <c r="S21" s="44">
        <f t="shared" si="1"/>
        <v>-5.4840183207179001</v>
      </c>
    </row>
    <row r="22" spans="1:19" ht="12" customHeight="1" x14ac:dyDescent="0.2">
      <c r="A22" s="37"/>
      <c r="B22" s="48"/>
      <c r="C22" s="49">
        <v>4.37</v>
      </c>
      <c r="D22" s="54"/>
      <c r="E22" s="39">
        <v>0</v>
      </c>
      <c r="F22" s="40">
        <v>8.34</v>
      </c>
      <c r="G22" s="51"/>
      <c r="H22" s="44">
        <f t="shared" si="7"/>
        <v>-0.10488</v>
      </c>
      <c r="I22" s="52">
        <f t="shared" si="6"/>
        <v>0.3100000000000005</v>
      </c>
      <c r="J22" s="44">
        <f t="shared" si="2"/>
        <v>0.41488000000000047</v>
      </c>
      <c r="K22" s="44">
        <f t="shared" si="3"/>
        <v>-23.828000000000003</v>
      </c>
      <c r="L22" s="44">
        <f t="shared" si="4"/>
        <v>-47.359999999999985</v>
      </c>
      <c r="M22" s="53">
        <f t="shared" si="5"/>
        <v>-23.531999999999982</v>
      </c>
      <c r="N22" s="228"/>
      <c r="O22" s="229"/>
      <c r="P22" s="230"/>
      <c r="Q22" s="47">
        <v>44585.71875</v>
      </c>
      <c r="R22" s="44">
        <f t="shared" si="0"/>
        <v>0.45259636362678429</v>
      </c>
      <c r="S22" s="44">
        <f t="shared" si="1"/>
        <v>-4.4540063092038755</v>
      </c>
    </row>
    <row r="23" spans="1:19" ht="12" customHeight="1" x14ac:dyDescent="0.2">
      <c r="A23" s="37"/>
      <c r="B23" s="48"/>
      <c r="C23" s="49">
        <v>4.37</v>
      </c>
      <c r="D23" s="54"/>
      <c r="E23" s="39">
        <v>0</v>
      </c>
      <c r="F23" s="40">
        <v>5.79</v>
      </c>
      <c r="G23" s="51"/>
      <c r="H23" s="44">
        <f t="shared" si="7"/>
        <v>0</v>
      </c>
      <c r="I23" s="52">
        <f t="shared" si="6"/>
        <v>-2.5499999999999998</v>
      </c>
      <c r="J23" s="44">
        <f t="shared" si="2"/>
        <v>-2.5499999999999998</v>
      </c>
      <c r="K23" s="44">
        <f t="shared" si="3"/>
        <v>-23.828000000000003</v>
      </c>
      <c r="L23" s="44">
        <f t="shared" si="4"/>
        <v>-49.909999999999982</v>
      </c>
      <c r="M23" s="53">
        <f t="shared" si="5"/>
        <v>-26.081999999999979</v>
      </c>
      <c r="N23" s="228"/>
      <c r="O23" s="229"/>
      <c r="P23" s="230"/>
      <c r="Q23" s="47">
        <v>44585.737500000003</v>
      </c>
      <c r="R23" s="44">
        <f t="shared" si="0"/>
        <v>-5.6666666657870834</v>
      </c>
      <c r="S23" s="44">
        <f t="shared" si="1"/>
        <v>-4.5491860465085452</v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109"/>
      <c r="O34" s="110"/>
      <c r="P34" s="11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106"/>
      <c r="O76" s="107"/>
      <c r="P76" s="10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106"/>
      <c r="O77" s="107"/>
      <c r="P77" s="10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106"/>
      <c r="O78" s="107"/>
      <c r="P78" s="10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106"/>
      <c r="O79" s="107"/>
      <c r="P79" s="10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U112"/>
  <sheetViews>
    <sheetView zoomScaleNormal="100" workbookViewId="0">
      <selection activeCell="F44" sqref="F4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0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0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03" t="s">
        <v>20</v>
      </c>
      <c r="I5" s="10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0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04" t="s">
        <v>28</v>
      </c>
      <c r="E6" s="39">
        <v>24</v>
      </c>
      <c r="F6" s="40">
        <v>6.56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44584.651388888888</v>
      </c>
      <c r="R6" s="11"/>
      <c r="S6" s="11"/>
    </row>
    <row r="7" spans="1:20" ht="12" customHeight="1" x14ac:dyDescent="0.2">
      <c r="A7" s="37"/>
      <c r="B7" s="48" t="s">
        <v>43</v>
      </c>
      <c r="C7" s="49">
        <v>5.05</v>
      </c>
      <c r="D7" s="39"/>
      <c r="E7" s="39">
        <v>58</v>
      </c>
      <c r="F7" s="40">
        <v>5.76</v>
      </c>
      <c r="G7" s="51"/>
      <c r="H7" s="44">
        <f>IF(E7="","",((E7-E6)*C7)/1000)</f>
        <v>0.17169999999999999</v>
      </c>
      <c r="I7" s="52">
        <f>IF(F7="","",F7-F6-G7)</f>
        <v>-0.79999999999999982</v>
      </c>
      <c r="J7" s="44">
        <f>IF(F7="","",I7-H7)</f>
        <v>-0.97169999999999979</v>
      </c>
      <c r="K7" s="44">
        <f>IF(F7="","",K6+H7)</f>
        <v>0.17169999999999999</v>
      </c>
      <c r="L7" s="44">
        <f>IF(F7="","",L6+I7)</f>
        <v>-0.79999999999999982</v>
      </c>
      <c r="M7" s="53">
        <f>IF(F7="","",L7-K7)</f>
        <v>-0.97169999999999979</v>
      </c>
      <c r="N7" s="231"/>
      <c r="O7" s="229"/>
      <c r="P7" s="230"/>
      <c r="Q7" s="47">
        <v>44584.659722222219</v>
      </c>
      <c r="R7" s="44">
        <f t="shared" ref="R7:R70" si="0">IF(Q7="","",J7/((Q7-Q6)*24))</f>
        <v>-4.8585000011312065</v>
      </c>
      <c r="S7" s="44">
        <f t="shared" ref="S7:S70" si="1">IF(Q7="","",M7/((Q7-$Q$6)*24))</f>
        <v>-4.8585000011312065</v>
      </c>
    </row>
    <row r="8" spans="1:20" ht="12" customHeight="1" x14ac:dyDescent="0.2">
      <c r="A8" s="37"/>
      <c r="B8" s="48"/>
      <c r="C8" s="49">
        <v>5.05</v>
      </c>
      <c r="D8" s="54"/>
      <c r="E8" s="39">
        <v>165</v>
      </c>
      <c r="F8" s="40">
        <v>3.22</v>
      </c>
      <c r="G8" s="51"/>
      <c r="H8" s="44">
        <f>IF(E8="","",((E8-E7)*C8)/1000)</f>
        <v>0.54035</v>
      </c>
      <c r="I8" s="52">
        <f>IF(F8="","",F8-F7-G8)</f>
        <v>-2.5399999999999996</v>
      </c>
      <c r="J8" s="44">
        <f>IF(F8="","",I8-H8)</f>
        <v>-3.0803499999999997</v>
      </c>
      <c r="K8" s="44">
        <f>IF(F8="","",K7+H8)</f>
        <v>0.71204999999999996</v>
      </c>
      <c r="L8" s="44">
        <f>IF(F8="","",L7+I8)</f>
        <v>-3.3399999999999994</v>
      </c>
      <c r="M8" s="53">
        <f>IF(F8="","",L8-K8)</f>
        <v>-4.0520499999999995</v>
      </c>
      <c r="N8" s="231"/>
      <c r="O8" s="229"/>
      <c r="P8" s="230"/>
      <c r="Q8" s="47">
        <v>44584.688888888886</v>
      </c>
      <c r="R8" s="44">
        <f t="shared" si="0"/>
        <v>-4.400499999926816</v>
      </c>
      <c r="S8" s="44">
        <f t="shared" si="1"/>
        <v>-4.5022777779524885</v>
      </c>
      <c r="T8" s="55"/>
    </row>
    <row r="9" spans="1:20" ht="12" customHeight="1" x14ac:dyDescent="0.2">
      <c r="A9" s="37"/>
      <c r="B9" s="48"/>
      <c r="C9" s="49">
        <v>5.05</v>
      </c>
      <c r="D9" s="54"/>
      <c r="E9" s="39">
        <v>188</v>
      </c>
      <c r="F9" s="40">
        <v>8.0399999999999991</v>
      </c>
      <c r="G9" s="51">
        <v>5.88</v>
      </c>
      <c r="H9" s="44">
        <f>IF(E9="","",((E9-E8)*C9)/1000)</f>
        <v>0.11614999999999999</v>
      </c>
      <c r="I9" s="52">
        <f>IF(F9="","",F9-F8-G9)</f>
        <v>-1.0600000000000014</v>
      </c>
      <c r="J9" s="44">
        <f>IF(F9="","",I9-H9)</f>
        <v>-1.1761500000000014</v>
      </c>
      <c r="K9" s="44">
        <f>IF(F9="","",K8+H9)</f>
        <v>0.82819999999999994</v>
      </c>
      <c r="L9" s="44">
        <f>IF(F9="","",L8+I9)</f>
        <v>-4.4000000000000004</v>
      </c>
      <c r="M9" s="53">
        <f>IF(F9="","",L9-K9)</f>
        <v>-5.2282000000000002</v>
      </c>
      <c r="N9" s="228"/>
      <c r="O9" s="229"/>
      <c r="P9" s="230"/>
      <c r="Q9" s="47">
        <v>44584.692361111112</v>
      </c>
      <c r="R9" s="44">
        <f t="shared" si="0"/>
        <v>-14.113799983569391</v>
      </c>
      <c r="S9" s="44">
        <f t="shared" si="1"/>
        <v>-5.3168135589863281</v>
      </c>
    </row>
    <row r="10" spans="1:20" ht="12" customHeight="1" x14ac:dyDescent="0.2">
      <c r="A10" s="37"/>
      <c r="B10" s="48"/>
      <c r="C10" s="49">
        <v>5.05</v>
      </c>
      <c r="D10" s="54"/>
      <c r="E10" s="39">
        <v>248</v>
      </c>
      <c r="F10" s="40">
        <v>6.95</v>
      </c>
      <c r="G10" s="51"/>
      <c r="H10" s="44">
        <f>IF(E10="","",((E10-E9)*C10)/1000)</f>
        <v>0.30299999999999999</v>
      </c>
      <c r="I10" s="52">
        <f>IF(F10="","",F10-F9-G10)</f>
        <v>-1.089999999999999</v>
      </c>
      <c r="J10" s="44">
        <f t="shared" ref="J10:J73" si="2">IF(F10="","",I10-H10)</f>
        <v>-1.3929999999999989</v>
      </c>
      <c r="K10" s="44">
        <f t="shared" ref="K10:K73" si="3">IF(F10="","",K9+H10)</f>
        <v>1.1312</v>
      </c>
      <c r="L10" s="44">
        <f t="shared" ref="L10:L73" si="4">IF(F10="","",L9+I10)</f>
        <v>-5.4899999999999993</v>
      </c>
      <c r="M10" s="53">
        <f t="shared" ref="M10:M73" si="5">IF(F10="","",L10-K10)</f>
        <v>-6.6211999999999991</v>
      </c>
      <c r="N10" s="249"/>
      <c r="O10" s="250"/>
      <c r="P10" s="251"/>
      <c r="Q10" s="47">
        <v>44584.702777777777</v>
      </c>
      <c r="R10" s="44">
        <f t="shared" si="0"/>
        <v>-5.5720000012973276</v>
      </c>
      <c r="S10" s="44">
        <f t="shared" si="1"/>
        <v>-5.3685405405236484</v>
      </c>
      <c r="T10" s="55"/>
    </row>
    <row r="11" spans="1:20" ht="12" customHeight="1" x14ac:dyDescent="0.2">
      <c r="A11" s="37"/>
      <c r="B11" s="48"/>
      <c r="C11" s="49">
        <v>5.05</v>
      </c>
      <c r="D11" s="54"/>
      <c r="E11" s="39">
        <v>355</v>
      </c>
      <c r="F11" s="56">
        <v>4.1500000000000004</v>
      </c>
      <c r="G11" s="51"/>
      <c r="H11" s="44">
        <f>IF(E11="","",((E11-E10)*C11)/1000)</f>
        <v>0.54035</v>
      </c>
      <c r="I11" s="52">
        <f t="shared" ref="I11:I74" si="6">IF(F11="","",F11-F10-G11)</f>
        <v>-2.8</v>
      </c>
      <c r="J11" s="44">
        <f t="shared" si="2"/>
        <v>-3.3403499999999999</v>
      </c>
      <c r="K11" s="44">
        <f t="shared" si="3"/>
        <v>1.6715499999999999</v>
      </c>
      <c r="L11" s="44">
        <f t="shared" si="4"/>
        <v>-8.2899999999999991</v>
      </c>
      <c r="M11" s="53">
        <f t="shared" si="5"/>
        <v>-9.961549999999999</v>
      </c>
      <c r="N11" s="228"/>
      <c r="O11" s="229"/>
      <c r="P11" s="230"/>
      <c r="Q11" s="47">
        <v>44584.719444444447</v>
      </c>
      <c r="R11" s="44">
        <f t="shared" si="0"/>
        <v>-8.3508749982987034</v>
      </c>
      <c r="S11" s="44">
        <f t="shared" si="1"/>
        <v>-6.0989081629465272</v>
      </c>
    </row>
    <row r="12" spans="1:20" ht="12" customHeight="1" x14ac:dyDescent="0.2">
      <c r="A12" s="37"/>
      <c r="B12" s="48"/>
      <c r="C12" s="49">
        <v>5.05</v>
      </c>
      <c r="D12" s="54"/>
      <c r="E12" s="39">
        <v>426</v>
      </c>
      <c r="F12" s="56">
        <v>8.48</v>
      </c>
      <c r="G12" s="51">
        <v>5.97</v>
      </c>
      <c r="H12" s="44">
        <f t="shared" ref="H12:H74" si="7">IF(E12="","",((E12-E11)*C12)/1000)</f>
        <v>0.35855000000000004</v>
      </c>
      <c r="I12" s="52">
        <f t="shared" si="6"/>
        <v>-1.6399999999999997</v>
      </c>
      <c r="J12" s="44">
        <f t="shared" si="2"/>
        <v>-1.9985499999999998</v>
      </c>
      <c r="K12" s="44">
        <f t="shared" si="3"/>
        <v>2.0301</v>
      </c>
      <c r="L12" s="44">
        <f t="shared" si="4"/>
        <v>-9.93</v>
      </c>
      <c r="M12" s="53">
        <f t="shared" si="5"/>
        <v>-11.960100000000001</v>
      </c>
      <c r="N12" s="228"/>
      <c r="O12" s="229"/>
      <c r="P12" s="230"/>
      <c r="Q12" s="47">
        <v>44584.730555555558</v>
      </c>
      <c r="R12" s="44">
        <f t="shared" si="0"/>
        <v>-7.4945625001090592</v>
      </c>
      <c r="S12" s="44">
        <f t="shared" si="1"/>
        <v>-6.2947894734142285</v>
      </c>
    </row>
    <row r="13" spans="1:20" ht="12" customHeight="1" x14ac:dyDescent="0.2">
      <c r="A13" s="37"/>
      <c r="B13" s="48"/>
      <c r="C13" s="49">
        <v>5.05</v>
      </c>
      <c r="D13" s="54"/>
      <c r="E13" s="39">
        <v>637</v>
      </c>
      <c r="F13" s="56">
        <v>2.98</v>
      </c>
      <c r="G13" s="51"/>
      <c r="H13" s="44">
        <f>IF(E13="","",((E13-E12)*C13)/1000)</f>
        <v>1.06555</v>
      </c>
      <c r="I13" s="52">
        <f t="shared" si="6"/>
        <v>-5.5</v>
      </c>
      <c r="J13" s="44">
        <f t="shared" si="2"/>
        <v>-6.56555</v>
      </c>
      <c r="K13" s="44">
        <f t="shared" si="3"/>
        <v>3.09565</v>
      </c>
      <c r="L13" s="44">
        <f t="shared" si="4"/>
        <v>-15.43</v>
      </c>
      <c r="M13" s="53">
        <f t="shared" si="5"/>
        <v>-18.525649999999999</v>
      </c>
      <c r="N13" s="231"/>
      <c r="O13" s="229"/>
      <c r="P13" s="230"/>
      <c r="Q13" s="47">
        <v>44584.760416666664</v>
      </c>
      <c r="R13" s="44">
        <f t="shared" si="0"/>
        <v>-9.1612325595284752</v>
      </c>
      <c r="S13" s="44">
        <f t="shared" si="1"/>
        <v>-7.079866242111712</v>
      </c>
    </row>
    <row r="14" spans="1:20" ht="12" customHeight="1" x14ac:dyDescent="0.2">
      <c r="A14" s="37"/>
      <c r="B14" s="48"/>
      <c r="C14" s="49">
        <v>5.05</v>
      </c>
      <c r="D14" s="54"/>
      <c r="E14" s="39">
        <v>943</v>
      </c>
      <c r="F14" s="56">
        <v>2.71</v>
      </c>
      <c r="G14" s="51">
        <v>5.42</v>
      </c>
      <c r="H14" s="44">
        <f t="shared" si="7"/>
        <v>1.5452999999999999</v>
      </c>
      <c r="I14" s="52">
        <f t="shared" si="6"/>
        <v>-5.6899999999999995</v>
      </c>
      <c r="J14" s="44">
        <f t="shared" si="2"/>
        <v>-7.2352999999999996</v>
      </c>
      <c r="K14" s="44">
        <f t="shared" si="3"/>
        <v>4.6409500000000001</v>
      </c>
      <c r="L14" s="44">
        <f t="shared" si="4"/>
        <v>-21.119999999999997</v>
      </c>
      <c r="M14" s="53">
        <f t="shared" si="5"/>
        <v>-25.760949999999998</v>
      </c>
      <c r="N14" s="231"/>
      <c r="O14" s="229"/>
      <c r="P14" s="230"/>
      <c r="Q14" s="47">
        <v>44584.805555555555</v>
      </c>
      <c r="R14" s="44">
        <f t="shared" si="0"/>
        <v>-6.6787384612992282</v>
      </c>
      <c r="S14" s="44">
        <f t="shared" si="1"/>
        <v>-6.9624189188970123</v>
      </c>
    </row>
    <row r="15" spans="1:20" ht="12" customHeight="1" x14ac:dyDescent="0.2">
      <c r="A15" s="37"/>
      <c r="B15" s="48"/>
      <c r="C15" s="49">
        <v>5.05</v>
      </c>
      <c r="D15" s="54"/>
      <c r="E15" s="39">
        <v>967</v>
      </c>
      <c r="F15" s="40">
        <v>8.7799999999999994</v>
      </c>
      <c r="G15" s="51">
        <v>6.5</v>
      </c>
      <c r="H15" s="44">
        <f t="shared" si="7"/>
        <v>0.12119999999999999</v>
      </c>
      <c r="I15" s="52">
        <f t="shared" si="6"/>
        <v>-0.4300000000000006</v>
      </c>
      <c r="J15" s="44">
        <f t="shared" si="2"/>
        <v>-0.55120000000000058</v>
      </c>
      <c r="K15" s="44">
        <f t="shared" si="3"/>
        <v>4.7621500000000001</v>
      </c>
      <c r="L15" s="44">
        <f t="shared" si="4"/>
        <v>-21.549999999999997</v>
      </c>
      <c r="M15" s="53">
        <f t="shared" si="5"/>
        <v>-26.312149999999995</v>
      </c>
      <c r="N15" s="231"/>
      <c r="O15" s="229"/>
      <c r="P15" s="230"/>
      <c r="Q15" s="47">
        <v>44584.809027777781</v>
      </c>
      <c r="R15" s="44">
        <f t="shared" si="0"/>
        <v>-6.6143999922998322</v>
      </c>
      <c r="S15" s="44">
        <f t="shared" si="1"/>
        <v>-6.9547533037650213</v>
      </c>
    </row>
    <row r="16" spans="1:20" ht="12" customHeight="1" x14ac:dyDescent="0.2">
      <c r="A16" s="37"/>
      <c r="B16" s="48"/>
      <c r="C16" s="49">
        <v>5.05</v>
      </c>
      <c r="D16" s="57"/>
      <c r="E16" s="39">
        <v>1192</v>
      </c>
      <c r="F16" s="40">
        <v>4.5999999999999996</v>
      </c>
      <c r="G16" s="51"/>
      <c r="H16" s="44">
        <f t="shared" si="7"/>
        <v>1.13625</v>
      </c>
      <c r="I16" s="52">
        <f t="shared" si="6"/>
        <v>-4.18</v>
      </c>
      <c r="J16" s="44">
        <f t="shared" si="2"/>
        <v>-5.3162500000000001</v>
      </c>
      <c r="K16" s="44">
        <f t="shared" si="3"/>
        <v>5.8984000000000005</v>
      </c>
      <c r="L16" s="44">
        <f t="shared" si="4"/>
        <v>-25.729999999999997</v>
      </c>
      <c r="M16" s="53">
        <f t="shared" si="5"/>
        <v>-31.628399999999999</v>
      </c>
      <c r="N16" s="228"/>
      <c r="O16" s="229"/>
      <c r="P16" s="230"/>
      <c r="Q16" s="47">
        <v>44584.844444444447</v>
      </c>
      <c r="R16" s="44">
        <f t="shared" si="0"/>
        <v>-6.2544117648772026</v>
      </c>
      <c r="S16" s="44">
        <f t="shared" si="1"/>
        <v>-6.8262733811691865</v>
      </c>
      <c r="T16" s="55"/>
    </row>
    <row r="17" spans="1:19" ht="12" customHeight="1" x14ac:dyDescent="0.2">
      <c r="A17" s="37"/>
      <c r="B17" s="48"/>
      <c r="C17" s="49">
        <v>5.05</v>
      </c>
      <c r="D17" s="54"/>
      <c r="E17" s="39">
        <v>1262</v>
      </c>
      <c r="F17" s="40">
        <v>8.43</v>
      </c>
      <c r="G17" s="51">
        <v>6.5</v>
      </c>
      <c r="H17" s="44">
        <f t="shared" si="7"/>
        <v>0.35349999999999998</v>
      </c>
      <c r="I17" s="52">
        <f t="shared" si="6"/>
        <v>-2.67</v>
      </c>
      <c r="J17" s="44">
        <f t="shared" si="2"/>
        <v>-3.0234999999999999</v>
      </c>
      <c r="K17" s="44">
        <f t="shared" si="3"/>
        <v>6.2519000000000009</v>
      </c>
      <c r="L17" s="44">
        <f t="shared" si="4"/>
        <v>-28.4</v>
      </c>
      <c r="M17" s="53">
        <f t="shared" si="5"/>
        <v>-34.651899999999998</v>
      </c>
      <c r="N17" s="231"/>
      <c r="O17" s="229"/>
      <c r="P17" s="230"/>
      <c r="Q17" s="47">
        <v>44584.865277777775</v>
      </c>
      <c r="R17" s="44">
        <f t="shared" si="0"/>
        <v>-6.0470000014079268</v>
      </c>
      <c r="S17" s="44">
        <f t="shared" si="1"/>
        <v>-6.7503701299109524</v>
      </c>
    </row>
    <row r="18" spans="1:19" ht="12" customHeight="1" x14ac:dyDescent="0.2">
      <c r="A18" s="37"/>
      <c r="B18" s="48"/>
      <c r="C18" s="49">
        <v>5.05</v>
      </c>
      <c r="D18" s="54"/>
      <c r="E18" s="39">
        <v>1262</v>
      </c>
      <c r="F18" s="40">
        <v>5.13</v>
      </c>
      <c r="G18" s="40"/>
      <c r="H18" s="44">
        <f t="shared" si="7"/>
        <v>0</v>
      </c>
      <c r="I18" s="52">
        <f t="shared" si="6"/>
        <v>-3.3</v>
      </c>
      <c r="J18" s="44">
        <f t="shared" si="2"/>
        <v>-3.3</v>
      </c>
      <c r="K18" s="44">
        <f t="shared" si="3"/>
        <v>6.2519000000000009</v>
      </c>
      <c r="L18" s="44">
        <f t="shared" si="4"/>
        <v>-31.7</v>
      </c>
      <c r="M18" s="53">
        <f t="shared" si="5"/>
        <v>-37.951900000000002</v>
      </c>
      <c r="N18" s="228"/>
      <c r="O18" s="229"/>
      <c r="P18" s="230"/>
      <c r="Q18" s="47">
        <v>44584.887499999997</v>
      </c>
      <c r="R18" s="44">
        <f t="shared" si="0"/>
        <v>-6.18750000009004</v>
      </c>
      <c r="S18" s="44">
        <f t="shared" si="1"/>
        <v>-6.697394117692923</v>
      </c>
    </row>
    <row r="19" spans="1:19" ht="12" customHeight="1" x14ac:dyDescent="0.2">
      <c r="A19" s="37"/>
      <c r="B19" s="48"/>
      <c r="C19" s="49">
        <v>5.05</v>
      </c>
      <c r="D19" s="54"/>
      <c r="E19" s="39">
        <v>1366</v>
      </c>
      <c r="F19" s="40">
        <v>8.61</v>
      </c>
      <c r="G19" s="40">
        <v>7</v>
      </c>
      <c r="H19" s="44">
        <f t="shared" si="7"/>
        <v>0.52519999999999989</v>
      </c>
      <c r="I19" s="52">
        <f t="shared" si="6"/>
        <v>-3.5200000000000005</v>
      </c>
      <c r="J19" s="44">
        <f t="shared" si="2"/>
        <v>-4.0452000000000004</v>
      </c>
      <c r="K19" s="44">
        <f t="shared" si="3"/>
        <v>6.7771000000000008</v>
      </c>
      <c r="L19" s="44">
        <f t="shared" si="4"/>
        <v>-35.22</v>
      </c>
      <c r="M19" s="53">
        <f t="shared" si="5"/>
        <v>-41.997100000000003</v>
      </c>
      <c r="N19" s="228"/>
      <c r="O19" s="229"/>
      <c r="P19" s="230"/>
      <c r="Q19" s="47">
        <v>44584.912499999999</v>
      </c>
      <c r="R19" s="44">
        <f t="shared" si="0"/>
        <v>-6.7419999996075646</v>
      </c>
      <c r="S19" s="44">
        <f t="shared" si="1"/>
        <v>-6.7016648936211718</v>
      </c>
    </row>
    <row r="20" spans="1:19" ht="12" customHeight="1" x14ac:dyDescent="0.2">
      <c r="A20" s="37"/>
      <c r="B20" s="48"/>
      <c r="C20" s="49">
        <v>5.05</v>
      </c>
      <c r="D20" s="54"/>
      <c r="E20" s="39">
        <v>1685</v>
      </c>
      <c r="F20" s="40">
        <v>2.69</v>
      </c>
      <c r="G20" s="40"/>
      <c r="H20" s="44">
        <f t="shared" si="7"/>
        <v>1.6109500000000001</v>
      </c>
      <c r="I20" s="52">
        <f t="shared" si="6"/>
        <v>-5.92</v>
      </c>
      <c r="J20" s="44">
        <f t="shared" si="2"/>
        <v>-7.5309499999999998</v>
      </c>
      <c r="K20" s="44">
        <f t="shared" si="3"/>
        <v>8.3880500000000016</v>
      </c>
      <c r="L20" s="44">
        <f t="shared" si="4"/>
        <v>-41.14</v>
      </c>
      <c r="M20" s="53">
        <f t="shared" si="5"/>
        <v>-49.52805</v>
      </c>
      <c r="N20" s="242"/>
      <c r="O20" s="229"/>
      <c r="P20" s="230"/>
      <c r="Q20" s="47">
        <v>44584.961805555555</v>
      </c>
      <c r="R20" s="44">
        <f t="shared" si="0"/>
        <v>-6.364183098508069</v>
      </c>
      <c r="S20" s="44">
        <f t="shared" si="1"/>
        <v>-6.648060402674175</v>
      </c>
    </row>
    <row r="21" spans="1:19" ht="12" customHeight="1" x14ac:dyDescent="0.2">
      <c r="A21" s="37"/>
      <c r="B21" s="48"/>
      <c r="C21" s="49">
        <v>5.05</v>
      </c>
      <c r="D21" s="54"/>
      <c r="E21" s="39">
        <v>1744</v>
      </c>
      <c r="F21" s="40">
        <v>8.2899999999999991</v>
      </c>
      <c r="G21" s="51"/>
      <c r="H21" s="44">
        <f t="shared" si="7"/>
        <v>0.29794999999999999</v>
      </c>
      <c r="I21" s="52">
        <f t="shared" si="6"/>
        <v>5.6</v>
      </c>
      <c r="J21" s="44">
        <f t="shared" si="2"/>
        <v>5.3020499999999995</v>
      </c>
      <c r="K21" s="44">
        <f t="shared" si="3"/>
        <v>8.6860000000000017</v>
      </c>
      <c r="L21" s="44">
        <f t="shared" si="4"/>
        <v>-35.54</v>
      </c>
      <c r="M21" s="53">
        <f t="shared" si="5"/>
        <v>-44.225999999999999</v>
      </c>
      <c r="N21" s="228"/>
      <c r="O21" s="229"/>
      <c r="P21" s="230"/>
      <c r="Q21" s="47">
        <v>44584.97152777778</v>
      </c>
      <c r="R21" s="44">
        <f t="shared" si="0"/>
        <v>22.723071422524995</v>
      </c>
      <c r="S21" s="44">
        <f t="shared" si="1"/>
        <v>-5.7560954446302306</v>
      </c>
    </row>
    <row r="22" spans="1:19" ht="12" customHeight="1" x14ac:dyDescent="0.2">
      <c r="A22" s="37"/>
      <c r="B22" s="48"/>
      <c r="C22" s="49">
        <v>5.05</v>
      </c>
      <c r="D22" s="54"/>
      <c r="E22" s="39">
        <v>2001</v>
      </c>
      <c r="F22" s="40">
        <v>2.94</v>
      </c>
      <c r="G22" s="51"/>
      <c r="H22" s="44">
        <f t="shared" si="7"/>
        <v>1.2978499999999999</v>
      </c>
      <c r="I22" s="52">
        <f t="shared" si="6"/>
        <v>-5.35</v>
      </c>
      <c r="J22" s="44">
        <f t="shared" si="2"/>
        <v>-6.64785</v>
      </c>
      <c r="K22" s="44">
        <f t="shared" si="3"/>
        <v>9.9838500000000021</v>
      </c>
      <c r="L22" s="44">
        <f t="shared" si="4"/>
        <v>-40.89</v>
      </c>
      <c r="M22" s="53">
        <f t="shared" si="5"/>
        <v>-50.873850000000004</v>
      </c>
      <c r="N22" s="228"/>
      <c r="O22" s="229"/>
      <c r="P22" s="230"/>
      <c r="Q22" s="47">
        <v>44585.010416666664</v>
      </c>
      <c r="R22" s="44">
        <f t="shared" si="0"/>
        <v>-7.1226964293413912</v>
      </c>
      <c r="S22" s="44">
        <f t="shared" si="1"/>
        <v>-5.9041218568851503</v>
      </c>
    </row>
    <row r="23" spans="1:19" ht="12" customHeight="1" x14ac:dyDescent="0.2">
      <c r="A23" s="37"/>
      <c r="B23" s="48"/>
      <c r="C23" s="49">
        <v>5.05</v>
      </c>
      <c r="D23" s="54"/>
      <c r="E23" s="39">
        <v>2084</v>
      </c>
      <c r="F23" s="40">
        <v>8.6300000000000008</v>
      </c>
      <c r="G23" s="51">
        <v>7.9</v>
      </c>
      <c r="H23" s="44">
        <f t="shared" si="7"/>
        <v>0.41914999999999997</v>
      </c>
      <c r="I23" s="52">
        <f t="shared" si="6"/>
        <v>-2.2099999999999991</v>
      </c>
      <c r="J23" s="44">
        <f t="shared" si="2"/>
        <v>-2.6291499999999992</v>
      </c>
      <c r="K23" s="44">
        <f t="shared" si="3"/>
        <v>10.403000000000002</v>
      </c>
      <c r="L23" s="44">
        <f t="shared" si="4"/>
        <v>-43.1</v>
      </c>
      <c r="M23" s="53">
        <f t="shared" si="5"/>
        <v>-53.503</v>
      </c>
      <c r="N23" s="228"/>
      <c r="O23" s="229"/>
      <c r="P23" s="230"/>
      <c r="Q23" s="47">
        <v>44585.020833333336</v>
      </c>
      <c r="R23" s="44">
        <f t="shared" si="0"/>
        <v>-10.516599995102823</v>
      </c>
      <c r="S23" s="44">
        <f t="shared" si="1"/>
        <v>-6.0341729322700868</v>
      </c>
    </row>
    <row r="24" spans="1:19" ht="12" customHeight="1" x14ac:dyDescent="0.2">
      <c r="A24" s="37"/>
      <c r="B24" s="48"/>
      <c r="C24" s="49">
        <v>5.05</v>
      </c>
      <c r="D24" s="54"/>
      <c r="E24" s="39">
        <v>2373</v>
      </c>
      <c r="F24" s="40">
        <v>2.4300000000000002</v>
      </c>
      <c r="G24" s="51"/>
      <c r="H24" s="44">
        <f t="shared" si="7"/>
        <v>1.4594500000000001</v>
      </c>
      <c r="I24" s="52">
        <f t="shared" si="6"/>
        <v>-6.2000000000000011</v>
      </c>
      <c r="J24" s="44">
        <f t="shared" si="2"/>
        <v>-7.6594500000000014</v>
      </c>
      <c r="K24" s="44">
        <f t="shared" si="3"/>
        <v>11.862450000000003</v>
      </c>
      <c r="L24" s="44">
        <f t="shared" si="4"/>
        <v>-49.300000000000004</v>
      </c>
      <c r="M24" s="53">
        <f t="shared" si="5"/>
        <v>-61.162450000000007</v>
      </c>
      <c r="N24" s="231"/>
      <c r="O24" s="229"/>
      <c r="P24" s="230"/>
      <c r="Q24" s="47">
        <v>44585.070138888892</v>
      </c>
      <c r="R24" s="44">
        <f t="shared" si="0"/>
        <v>-6.47277464780242</v>
      </c>
      <c r="S24" s="44">
        <f t="shared" si="1"/>
        <v>-6.0858159203345643</v>
      </c>
    </row>
    <row r="25" spans="1:19" ht="12" customHeight="1" x14ac:dyDescent="0.2">
      <c r="A25" s="37"/>
      <c r="B25" s="48"/>
      <c r="C25" s="49">
        <v>5.05</v>
      </c>
      <c r="D25" s="54"/>
      <c r="E25" s="39">
        <v>2432</v>
      </c>
      <c r="F25" s="40">
        <v>8.42</v>
      </c>
      <c r="G25" s="51">
        <v>6.8</v>
      </c>
      <c r="H25" s="44">
        <f t="shared" si="7"/>
        <v>0.29794999999999999</v>
      </c>
      <c r="I25" s="52">
        <f t="shared" si="6"/>
        <v>-0.80999999999999961</v>
      </c>
      <c r="J25" s="44">
        <f t="shared" si="2"/>
        <v>-1.1079499999999995</v>
      </c>
      <c r="K25" s="44">
        <f t="shared" si="3"/>
        <v>12.160400000000003</v>
      </c>
      <c r="L25" s="44">
        <f t="shared" si="4"/>
        <v>-50.110000000000007</v>
      </c>
      <c r="M25" s="53">
        <f t="shared" si="5"/>
        <v>-62.270400000000009</v>
      </c>
      <c r="N25" s="228"/>
      <c r="O25" s="229"/>
      <c r="P25" s="230"/>
      <c r="Q25" s="47">
        <v>44585.079861111109</v>
      </c>
      <c r="R25" s="44">
        <f t="shared" si="0"/>
        <v>-4.7483571451472359</v>
      </c>
      <c r="S25" s="44">
        <f t="shared" si="1"/>
        <v>-6.0554683954664839</v>
      </c>
    </row>
    <row r="26" spans="1:19" ht="12" customHeight="1" x14ac:dyDescent="0.2">
      <c r="A26" s="37">
        <v>176.43</v>
      </c>
      <c r="B26" s="48"/>
      <c r="C26" s="49">
        <v>5.05</v>
      </c>
      <c r="D26" s="54"/>
      <c r="E26" s="39">
        <v>2693</v>
      </c>
      <c r="F26" s="40">
        <v>3.52</v>
      </c>
      <c r="G26" s="51"/>
      <c r="H26" s="44">
        <f>IF(E26="","",((E26-E25)*C26)/1000)</f>
        <v>1.3180499999999999</v>
      </c>
      <c r="I26" s="52">
        <f>IF(F26="","",F26-F25-G26)</f>
        <v>-4.9000000000000004</v>
      </c>
      <c r="J26" s="44">
        <f t="shared" si="2"/>
        <v>-6.2180499999999999</v>
      </c>
      <c r="K26" s="44">
        <f t="shared" si="3"/>
        <v>13.478450000000002</v>
      </c>
      <c r="L26" s="44">
        <f t="shared" si="4"/>
        <v>-55.010000000000005</v>
      </c>
      <c r="M26" s="53">
        <f t="shared" si="5"/>
        <v>-68.48845</v>
      </c>
      <c r="N26" s="228"/>
      <c r="O26" s="229"/>
      <c r="P26" s="230"/>
      <c r="Q26" s="47">
        <v>44585.114583333336</v>
      </c>
      <c r="R26" s="44">
        <f t="shared" si="0"/>
        <v>-7.4616599991313484</v>
      </c>
      <c r="S26" s="44">
        <f t="shared" si="1"/>
        <v>-6.1608800599205518</v>
      </c>
    </row>
    <row r="27" spans="1:19" ht="12" customHeight="1" x14ac:dyDescent="0.2">
      <c r="A27" s="37"/>
      <c r="B27" s="48"/>
      <c r="C27" s="49">
        <v>5.05</v>
      </c>
      <c r="D27" s="58"/>
      <c r="E27" s="39">
        <v>2742</v>
      </c>
      <c r="F27" s="40">
        <v>5.89</v>
      </c>
      <c r="G27" s="51">
        <v>6.7</v>
      </c>
      <c r="H27" s="44">
        <f t="shared" si="7"/>
        <v>0.24744999999999998</v>
      </c>
      <c r="I27" s="52">
        <f>IF(F27="","",F27-F26-G27)</f>
        <v>-4.33</v>
      </c>
      <c r="J27" s="44">
        <f>IF(F27="","",I27-H27)</f>
        <v>-4.5774499999999998</v>
      </c>
      <c r="K27" s="44">
        <f>IF(F27="","",K26+H27)</f>
        <v>13.725900000000003</v>
      </c>
      <c r="L27" s="44">
        <f>IF(F27="","",L26+I27)</f>
        <v>-59.34</v>
      </c>
      <c r="M27" s="53">
        <f>IF(F27="","",L27-K27)</f>
        <v>-73.065899999999999</v>
      </c>
      <c r="N27" s="231"/>
      <c r="O27" s="229"/>
      <c r="P27" s="230"/>
      <c r="Q27" s="47">
        <v>44585.155555555553</v>
      </c>
      <c r="R27" s="44">
        <f t="shared" si="0"/>
        <v>-4.655033898837817</v>
      </c>
      <c r="S27" s="44">
        <f t="shared" si="1"/>
        <v>-6.0385041322430242</v>
      </c>
    </row>
    <row r="28" spans="1:19" ht="12" customHeight="1" x14ac:dyDescent="0.2">
      <c r="A28" s="37"/>
      <c r="B28" s="48"/>
      <c r="C28" s="49">
        <v>5.05</v>
      </c>
      <c r="D28" s="58"/>
      <c r="E28" s="39">
        <v>2749</v>
      </c>
      <c r="F28" s="40">
        <v>2.4700000000000002</v>
      </c>
      <c r="G28" s="51"/>
      <c r="H28" s="44">
        <f t="shared" si="7"/>
        <v>3.5349999999999999E-2</v>
      </c>
      <c r="I28" s="52">
        <f>IF(F28="","",F28-F27-G28)</f>
        <v>-3.4199999999999995</v>
      </c>
      <c r="J28" s="44">
        <f t="shared" si="2"/>
        <v>-3.4553499999999997</v>
      </c>
      <c r="K28" s="44">
        <f t="shared" si="3"/>
        <v>13.761250000000002</v>
      </c>
      <c r="L28" s="44">
        <f t="shared" si="4"/>
        <v>-62.760000000000005</v>
      </c>
      <c r="M28" s="53">
        <f t="shared" si="5"/>
        <v>-76.521250000000009</v>
      </c>
      <c r="N28" s="231"/>
      <c r="O28" s="229"/>
      <c r="P28" s="230"/>
      <c r="Q28" s="47">
        <v>44585.180555555555</v>
      </c>
      <c r="R28" s="44">
        <f t="shared" si="0"/>
        <v>-5.7589166663314533</v>
      </c>
      <c r="S28" s="44">
        <f t="shared" si="1"/>
        <v>-6.0252952755850284</v>
      </c>
    </row>
    <row r="29" spans="1:19" ht="12" customHeight="1" x14ac:dyDescent="0.2">
      <c r="A29" s="37"/>
      <c r="B29" s="48" t="s">
        <v>131</v>
      </c>
      <c r="C29" s="49">
        <v>4.37</v>
      </c>
      <c r="D29" s="58"/>
      <c r="E29" s="39">
        <v>3006</v>
      </c>
      <c r="F29" s="40">
        <v>6.18</v>
      </c>
      <c r="G29" s="51">
        <v>11</v>
      </c>
      <c r="H29" s="44">
        <f t="shared" si="7"/>
        <v>1.1230899999999999</v>
      </c>
      <c r="I29" s="52">
        <f t="shared" si="6"/>
        <v>-7.2900000000000009</v>
      </c>
      <c r="J29" s="44">
        <f t="shared" si="2"/>
        <v>-8.4130900000000004</v>
      </c>
      <c r="K29" s="44">
        <f t="shared" si="3"/>
        <v>14.884340000000002</v>
      </c>
      <c r="L29" s="44">
        <f t="shared" si="4"/>
        <v>-70.050000000000011</v>
      </c>
      <c r="M29" s="53">
        <f t="shared" si="5"/>
        <v>-84.93434000000002</v>
      </c>
      <c r="N29" s="228"/>
      <c r="O29" s="229"/>
      <c r="P29" s="230"/>
      <c r="Q29" s="47">
        <v>44585.236111111109</v>
      </c>
      <c r="R29" s="44">
        <f t="shared" si="0"/>
        <v>-6.3098175000918202</v>
      </c>
      <c r="S29" s="44">
        <f t="shared" si="1"/>
        <v>-6.0523282660366027</v>
      </c>
    </row>
    <row r="30" spans="1:19" ht="12" customHeight="1" x14ac:dyDescent="0.2">
      <c r="A30" s="37"/>
      <c r="B30" s="48" t="s">
        <v>130</v>
      </c>
      <c r="C30" s="49">
        <v>10.58</v>
      </c>
      <c r="D30" s="58"/>
      <c r="E30" s="39">
        <v>3242</v>
      </c>
      <c r="F30" s="40">
        <v>3.6</v>
      </c>
      <c r="G30" s="59"/>
      <c r="H30" s="44">
        <f t="shared" si="7"/>
        <v>2.49688</v>
      </c>
      <c r="I30" s="52">
        <f t="shared" si="6"/>
        <v>-2.5799999999999996</v>
      </c>
      <c r="J30" s="44">
        <f t="shared" si="2"/>
        <v>-5.0768799999999992</v>
      </c>
      <c r="K30" s="44">
        <f t="shared" si="3"/>
        <v>17.381220000000003</v>
      </c>
      <c r="L30" s="44">
        <f t="shared" si="4"/>
        <v>-72.63000000000001</v>
      </c>
      <c r="M30" s="53">
        <f t="shared" si="5"/>
        <v>-90.011220000000009</v>
      </c>
      <c r="N30" s="228"/>
      <c r="O30" s="229"/>
      <c r="P30" s="230"/>
      <c r="Q30" s="47">
        <v>44585.25277777778</v>
      </c>
      <c r="R30" s="44">
        <f t="shared" si="0"/>
        <v>-12.692199997414257</v>
      </c>
      <c r="S30" s="44">
        <f t="shared" si="1"/>
        <v>-6.2363431870351178</v>
      </c>
    </row>
    <row r="31" spans="1:19" ht="12" customHeight="1" x14ac:dyDescent="0.2">
      <c r="A31" s="37"/>
      <c r="B31" s="48"/>
      <c r="C31" s="49">
        <v>10.58</v>
      </c>
      <c r="D31" s="58"/>
      <c r="E31" s="39">
        <v>3374</v>
      </c>
      <c r="F31" s="40">
        <v>9.1199999999999992</v>
      </c>
      <c r="G31" s="51">
        <v>6.5</v>
      </c>
      <c r="H31" s="44">
        <f t="shared" si="7"/>
        <v>1.39656</v>
      </c>
      <c r="I31" s="52">
        <f t="shared" si="6"/>
        <v>-0.98000000000000043</v>
      </c>
      <c r="J31" s="44">
        <f t="shared" si="2"/>
        <v>-2.3765600000000004</v>
      </c>
      <c r="K31" s="44">
        <f t="shared" si="3"/>
        <v>18.777780000000003</v>
      </c>
      <c r="L31" s="44">
        <f t="shared" si="4"/>
        <v>-73.610000000000014</v>
      </c>
      <c r="M31" s="53">
        <f t="shared" si="5"/>
        <v>-92.387780000000021</v>
      </c>
      <c r="N31" s="231"/>
      <c r="O31" s="229"/>
      <c r="P31" s="230"/>
      <c r="Q31" s="47">
        <v>44585.263194444444</v>
      </c>
      <c r="R31" s="44">
        <f t="shared" si="0"/>
        <v>-9.506240002213346</v>
      </c>
      <c r="S31" s="44">
        <f t="shared" si="1"/>
        <v>-6.2920167990852907</v>
      </c>
    </row>
    <row r="32" spans="1:19" ht="12" customHeight="1" x14ac:dyDescent="0.2">
      <c r="A32" s="37"/>
      <c r="B32" s="48"/>
      <c r="C32" s="49">
        <v>10.58</v>
      </c>
      <c r="D32" s="58"/>
      <c r="E32" s="39">
        <v>3557</v>
      </c>
      <c r="F32" s="40">
        <v>8.27</v>
      </c>
      <c r="G32" s="51"/>
      <c r="H32" s="44">
        <f t="shared" si="7"/>
        <v>1.9361400000000002</v>
      </c>
      <c r="I32" s="52">
        <f t="shared" si="6"/>
        <v>-0.84999999999999964</v>
      </c>
      <c r="J32" s="44">
        <f t="shared" si="2"/>
        <v>-2.7861399999999996</v>
      </c>
      <c r="K32" s="44">
        <f t="shared" si="3"/>
        <v>20.713920000000005</v>
      </c>
      <c r="L32" s="44">
        <f t="shared" si="4"/>
        <v>-74.460000000000008</v>
      </c>
      <c r="M32" s="53">
        <f t="shared" si="5"/>
        <v>-95.17392000000001</v>
      </c>
      <c r="N32" s="228"/>
      <c r="O32" s="229"/>
      <c r="P32" s="230"/>
      <c r="Q32" s="47">
        <v>44585.277777777781</v>
      </c>
      <c r="R32" s="44">
        <f t="shared" si="0"/>
        <v>-7.9603999978817992</v>
      </c>
      <c r="S32" s="44">
        <f t="shared" si="1"/>
        <v>-6.3308594234575697</v>
      </c>
    </row>
    <row r="33" spans="1:19" ht="12" customHeight="1" x14ac:dyDescent="0.2">
      <c r="A33" s="37"/>
      <c r="B33" s="48"/>
      <c r="C33" s="49">
        <v>10.58</v>
      </c>
      <c r="D33" s="58"/>
      <c r="E33" s="39">
        <v>4107</v>
      </c>
      <c r="F33" s="40">
        <v>3.15</v>
      </c>
      <c r="G33" s="51"/>
      <c r="H33" s="44">
        <f t="shared" si="7"/>
        <v>5.819</v>
      </c>
      <c r="I33" s="52">
        <f t="shared" si="6"/>
        <v>-5.1199999999999992</v>
      </c>
      <c r="J33" s="44">
        <f t="shared" si="2"/>
        <v>-10.939</v>
      </c>
      <c r="K33" s="44">
        <f t="shared" si="3"/>
        <v>26.532920000000004</v>
      </c>
      <c r="L33" s="44">
        <f t="shared" si="4"/>
        <v>-79.580000000000013</v>
      </c>
      <c r="M33" s="53">
        <f t="shared" si="5"/>
        <v>-106.11292000000002</v>
      </c>
      <c r="N33" s="231"/>
      <c r="O33" s="229"/>
      <c r="P33" s="230"/>
      <c r="Q33" s="47">
        <v>44585.320138888892</v>
      </c>
      <c r="R33" s="44">
        <f t="shared" si="0"/>
        <v>-10.75967213118861</v>
      </c>
      <c r="S33" s="44">
        <f t="shared" si="1"/>
        <v>-6.611396884692045</v>
      </c>
    </row>
    <row r="34" spans="1:19" ht="12" customHeight="1" x14ac:dyDescent="0.2">
      <c r="A34" s="37"/>
      <c r="B34" s="48"/>
      <c r="C34" s="49">
        <v>10.58</v>
      </c>
      <c r="D34" s="58"/>
      <c r="E34" s="39">
        <v>4133</v>
      </c>
      <c r="F34" s="40">
        <v>8.9700000000000006</v>
      </c>
      <c r="G34" s="51">
        <v>6.5</v>
      </c>
      <c r="H34" s="44">
        <f t="shared" si="7"/>
        <v>0.27507999999999999</v>
      </c>
      <c r="I34" s="52">
        <f t="shared" si="6"/>
        <v>-0.67999999999999972</v>
      </c>
      <c r="J34" s="44">
        <f t="shared" si="2"/>
        <v>-0.95507999999999971</v>
      </c>
      <c r="K34" s="44">
        <f t="shared" si="3"/>
        <v>26.808000000000003</v>
      </c>
      <c r="L34" s="44">
        <f t="shared" si="4"/>
        <v>-80.260000000000019</v>
      </c>
      <c r="M34" s="53">
        <f t="shared" si="5"/>
        <v>-107.06800000000003</v>
      </c>
      <c r="N34" s="99"/>
      <c r="O34" s="100"/>
      <c r="P34" s="101"/>
      <c r="Q34" s="47">
        <v>44585.324999999997</v>
      </c>
      <c r="R34" s="44">
        <f t="shared" si="0"/>
        <v>-8.1864000100748058</v>
      </c>
      <c r="S34" s="44">
        <f t="shared" si="1"/>
        <v>-6.6227628866138364</v>
      </c>
    </row>
    <row r="35" spans="1:19" ht="12" customHeight="1" x14ac:dyDescent="0.2">
      <c r="A35" s="37"/>
      <c r="B35" s="48"/>
      <c r="C35" s="49">
        <v>10.58</v>
      </c>
      <c r="D35" s="58"/>
      <c r="E35" s="39">
        <v>4395</v>
      </c>
      <c r="F35" s="40">
        <v>6.42</v>
      </c>
      <c r="G35" s="51"/>
      <c r="H35" s="44">
        <f t="shared" si="7"/>
        <v>2.77196</v>
      </c>
      <c r="I35" s="52">
        <f t="shared" si="6"/>
        <v>-2.5500000000000007</v>
      </c>
      <c r="J35" s="44">
        <f t="shared" si="2"/>
        <v>-5.3219600000000007</v>
      </c>
      <c r="K35" s="44">
        <f t="shared" si="3"/>
        <v>29.579960000000003</v>
      </c>
      <c r="L35" s="44">
        <f t="shared" si="4"/>
        <v>-82.810000000000016</v>
      </c>
      <c r="M35" s="53">
        <f t="shared" si="5"/>
        <v>-112.38996000000002</v>
      </c>
      <c r="N35" s="228"/>
      <c r="O35" s="229"/>
      <c r="P35" s="230"/>
      <c r="Q35" s="47">
        <v>44585.345833333333</v>
      </c>
      <c r="R35" s="44">
        <f t="shared" si="0"/>
        <v>-10.643919998760886</v>
      </c>
      <c r="S35" s="44">
        <f t="shared" si="1"/>
        <v>-6.7433975999921509</v>
      </c>
    </row>
    <row r="36" spans="1:19" ht="12" customHeight="1" x14ac:dyDescent="0.2">
      <c r="A36" s="37"/>
      <c r="B36" s="48"/>
      <c r="C36" s="49">
        <v>10.58</v>
      </c>
      <c r="D36" s="58"/>
      <c r="E36" s="39">
        <v>4665</v>
      </c>
      <c r="F36" s="56">
        <v>2.62</v>
      </c>
      <c r="G36" s="51"/>
      <c r="H36" s="44">
        <f t="shared" si="7"/>
        <v>2.8565999999999998</v>
      </c>
      <c r="I36" s="52">
        <f t="shared" si="6"/>
        <v>-3.8</v>
      </c>
      <c r="J36" s="44">
        <f t="shared" si="2"/>
        <v>-6.6565999999999992</v>
      </c>
      <c r="K36" s="44">
        <f t="shared" si="3"/>
        <v>32.43656</v>
      </c>
      <c r="L36" s="44">
        <f t="shared" si="4"/>
        <v>-86.610000000000014</v>
      </c>
      <c r="M36" s="53">
        <f t="shared" si="5"/>
        <v>-119.04656000000001</v>
      </c>
      <c r="N36" s="231"/>
      <c r="O36" s="229"/>
      <c r="P36" s="230"/>
      <c r="Q36" s="47">
        <v>44585.369444444441</v>
      </c>
      <c r="R36" s="44">
        <f t="shared" si="0"/>
        <v>-11.746941177998997</v>
      </c>
      <c r="S36" s="44">
        <f t="shared" si="1"/>
        <v>-6.9079241779714877</v>
      </c>
    </row>
    <row r="37" spans="1:19" ht="12" customHeight="1" x14ac:dyDescent="0.2">
      <c r="A37" s="37"/>
      <c r="B37" s="48"/>
      <c r="C37" s="49">
        <v>10.58</v>
      </c>
      <c r="D37" s="58"/>
      <c r="E37" s="50">
        <v>4682</v>
      </c>
      <c r="F37" s="56">
        <v>8.42</v>
      </c>
      <c r="G37" s="51">
        <v>6.93</v>
      </c>
      <c r="H37" s="44">
        <f t="shared" si="7"/>
        <v>0.17986000000000002</v>
      </c>
      <c r="I37" s="52">
        <f t="shared" si="6"/>
        <v>-1.1299999999999999</v>
      </c>
      <c r="J37" s="44">
        <f t="shared" si="2"/>
        <v>-1.30986</v>
      </c>
      <c r="K37" s="44">
        <f t="shared" si="3"/>
        <v>32.616419999999998</v>
      </c>
      <c r="L37" s="44">
        <f t="shared" si="4"/>
        <v>-87.740000000000009</v>
      </c>
      <c r="M37" s="53">
        <f t="shared" si="5"/>
        <v>-120.35642000000001</v>
      </c>
      <c r="N37" s="228"/>
      <c r="O37" s="229"/>
      <c r="P37" s="230"/>
      <c r="Q37" s="47">
        <v>44585.37222222222</v>
      </c>
      <c r="R37" s="44">
        <f t="shared" si="0"/>
        <v>-19.647899987419759</v>
      </c>
      <c r="S37" s="44">
        <f t="shared" si="1"/>
        <v>-6.9570184971145093</v>
      </c>
    </row>
    <row r="38" spans="1:19" ht="12" customHeight="1" x14ac:dyDescent="0.2">
      <c r="A38" s="37"/>
      <c r="B38" s="48"/>
      <c r="C38" s="49">
        <v>10.58</v>
      </c>
      <c r="D38" s="58"/>
      <c r="E38" s="50">
        <v>5048</v>
      </c>
      <c r="F38" s="56">
        <v>3.31</v>
      </c>
      <c r="G38" s="51"/>
      <c r="H38" s="44">
        <f t="shared" si="7"/>
        <v>3.8722800000000004</v>
      </c>
      <c r="I38" s="52">
        <f t="shared" si="6"/>
        <v>-5.1099999999999994</v>
      </c>
      <c r="J38" s="44">
        <f t="shared" si="2"/>
        <v>-8.9822799999999994</v>
      </c>
      <c r="K38" s="44">
        <f t="shared" si="3"/>
        <v>36.488700000000001</v>
      </c>
      <c r="L38" s="44">
        <f t="shared" si="4"/>
        <v>-92.850000000000009</v>
      </c>
      <c r="M38" s="53">
        <f t="shared" si="5"/>
        <v>-129.33870000000002</v>
      </c>
      <c r="N38" s="228"/>
      <c r="O38" s="229"/>
      <c r="P38" s="230"/>
      <c r="Q38" s="47">
        <v>44585.397222222222</v>
      </c>
      <c r="R38" s="44">
        <f t="shared" si="0"/>
        <v>-14.97046666579527</v>
      </c>
      <c r="S38" s="44">
        <f t="shared" si="1"/>
        <v>-7.2256256983146248</v>
      </c>
    </row>
    <row r="39" spans="1:19" ht="12" customHeight="1" x14ac:dyDescent="0.2">
      <c r="A39" s="37"/>
      <c r="B39" s="48"/>
      <c r="C39" s="49">
        <v>10.58</v>
      </c>
      <c r="D39" s="58"/>
      <c r="E39" s="50">
        <v>5073</v>
      </c>
      <c r="F39" s="56">
        <v>7.77</v>
      </c>
      <c r="G39" s="51">
        <v>5.5</v>
      </c>
      <c r="H39" s="44">
        <f t="shared" si="7"/>
        <v>0.26450000000000001</v>
      </c>
      <c r="I39" s="52">
        <f t="shared" si="6"/>
        <v>-1.0400000000000009</v>
      </c>
      <c r="J39" s="44">
        <f t="shared" si="2"/>
        <v>-1.3045000000000009</v>
      </c>
      <c r="K39" s="44">
        <f t="shared" si="3"/>
        <v>36.7532</v>
      </c>
      <c r="L39" s="44">
        <f t="shared" si="4"/>
        <v>-93.890000000000015</v>
      </c>
      <c r="M39" s="53">
        <f t="shared" si="5"/>
        <v>-130.64320000000001</v>
      </c>
      <c r="N39" s="228"/>
      <c r="O39" s="229"/>
      <c r="P39" s="230"/>
      <c r="Q39" s="47">
        <v>44585.4</v>
      </c>
      <c r="R39" s="44">
        <f t="shared" si="0"/>
        <v>-19.567499987471251</v>
      </c>
      <c r="S39" s="44">
        <f t="shared" si="1"/>
        <v>-7.2714211502515953</v>
      </c>
    </row>
    <row r="40" spans="1:19" ht="12" customHeight="1" x14ac:dyDescent="0.2">
      <c r="A40" s="37"/>
      <c r="B40" s="48"/>
      <c r="C40" s="49">
        <v>10.58</v>
      </c>
      <c r="D40" s="58"/>
      <c r="E40" s="50">
        <v>5137</v>
      </c>
      <c r="F40" s="56">
        <v>8.3699999999999992</v>
      </c>
      <c r="G40" s="51"/>
      <c r="H40" s="44">
        <f t="shared" si="7"/>
        <v>0.67712000000000006</v>
      </c>
      <c r="I40" s="52">
        <f t="shared" si="6"/>
        <v>0.59999999999999964</v>
      </c>
      <c r="J40" s="44">
        <f t="shared" si="2"/>
        <v>-7.712000000000041E-2</v>
      </c>
      <c r="K40" s="44">
        <f t="shared" si="3"/>
        <v>37.430320000000002</v>
      </c>
      <c r="L40" s="44">
        <f t="shared" si="4"/>
        <v>-93.29000000000002</v>
      </c>
      <c r="M40" s="53">
        <f t="shared" si="5"/>
        <v>-130.72032000000002</v>
      </c>
      <c r="N40" s="231"/>
      <c r="O40" s="229"/>
      <c r="P40" s="230"/>
      <c r="Q40" s="47">
        <v>44585.475694444445</v>
      </c>
      <c r="R40" s="44">
        <f t="shared" si="0"/>
        <v>-4.2451376147151929E-2</v>
      </c>
      <c r="S40" s="44">
        <f t="shared" si="1"/>
        <v>-6.6075983150631856</v>
      </c>
    </row>
    <row r="41" spans="1:19" ht="12" customHeight="1" x14ac:dyDescent="0.2">
      <c r="A41" s="37"/>
      <c r="B41" s="48"/>
      <c r="C41" s="49">
        <v>10.58</v>
      </c>
      <c r="D41" s="58"/>
      <c r="E41" s="50">
        <v>5137</v>
      </c>
      <c r="F41" s="40">
        <v>7.57</v>
      </c>
      <c r="G41" s="51"/>
      <c r="H41" s="44">
        <f t="shared" si="7"/>
        <v>0</v>
      </c>
      <c r="I41" s="52">
        <f t="shared" si="6"/>
        <v>-0.79999999999999893</v>
      </c>
      <c r="J41" s="44">
        <f t="shared" si="2"/>
        <v>-0.79999999999999893</v>
      </c>
      <c r="K41" s="44">
        <f t="shared" si="3"/>
        <v>37.430320000000002</v>
      </c>
      <c r="L41" s="44">
        <f t="shared" si="4"/>
        <v>-94.090000000000018</v>
      </c>
      <c r="M41" s="53">
        <f t="shared" si="5"/>
        <v>-131.52032000000003</v>
      </c>
      <c r="N41" s="228"/>
      <c r="O41" s="229"/>
      <c r="P41" s="230"/>
      <c r="Q41" s="47">
        <v>44585.482638888891</v>
      </c>
      <c r="R41" s="44">
        <f t="shared" si="0"/>
        <v>-4.7999999994411997</v>
      </c>
      <c r="S41" s="44">
        <f t="shared" si="1"/>
        <v>-6.5924972430846891</v>
      </c>
    </row>
    <row r="42" spans="1:19" ht="12" customHeight="1" x14ac:dyDescent="0.2">
      <c r="A42" s="37"/>
      <c r="B42" s="48"/>
      <c r="C42" s="49">
        <v>10.58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10.58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10.58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10.58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10.58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10.58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10.58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10.58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96"/>
      <c r="O76" s="97"/>
      <c r="P76" s="9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96"/>
      <c r="O77" s="97"/>
      <c r="P77" s="9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96"/>
      <c r="O78" s="97"/>
      <c r="P78" s="9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96"/>
      <c r="O79" s="97"/>
      <c r="P79" s="9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U112"/>
  <sheetViews>
    <sheetView zoomScaleNormal="100" workbookViewId="0">
      <selection activeCell="E55" sqref="E5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0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0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03" t="s">
        <v>20</v>
      </c>
      <c r="I5" s="10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0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04" t="s">
        <v>28</v>
      </c>
      <c r="E6" s="50">
        <v>3439</v>
      </c>
      <c r="F6" s="40">
        <v>77.97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44583.907638888886</v>
      </c>
      <c r="R6" s="11"/>
      <c r="S6" s="11"/>
    </row>
    <row r="7" spans="1:20" ht="12" customHeight="1" x14ac:dyDescent="0.2">
      <c r="A7" s="37"/>
      <c r="B7" s="48" t="s">
        <v>35</v>
      </c>
      <c r="C7" s="49">
        <v>4.41</v>
      </c>
      <c r="D7" s="39"/>
      <c r="E7" s="39">
        <v>3352</v>
      </c>
      <c r="F7" s="40">
        <v>76.569999999999993</v>
      </c>
      <c r="G7" s="51">
        <v>752</v>
      </c>
      <c r="H7" s="44">
        <f>IF(E7="","",((E7-E6)*C7)/1000)</f>
        <v>-0.38367000000000001</v>
      </c>
      <c r="I7" s="52">
        <f>IF(F7="","",F7-F6-G7)</f>
        <v>-753.4</v>
      </c>
      <c r="J7" s="44">
        <f>IF(F7="","",I7-H7)</f>
        <v>-753.01632999999993</v>
      </c>
      <c r="K7" s="44">
        <f>IF(F7="","",K6+H7)</f>
        <v>-0.38367000000000001</v>
      </c>
      <c r="L7" s="44">
        <f>IF(F7="","",L6+I7)</f>
        <v>-753.4</v>
      </c>
      <c r="M7" s="53">
        <f>IF(F7="","",L7-K7)</f>
        <v>-753.01632999999993</v>
      </c>
      <c r="N7" s="231" t="s">
        <v>120</v>
      </c>
      <c r="O7" s="229"/>
      <c r="P7" s="230"/>
      <c r="Q7" s="47">
        <v>44583.911805555559</v>
      </c>
      <c r="R7" s="44">
        <f t="shared" ref="R7:R70" si="0">IF(Q7="","",J7/((Q7-Q6)*24))</f>
        <v>-7530.163288603856</v>
      </c>
      <c r="S7" s="44">
        <f t="shared" ref="S7:S70" si="1">IF(Q7="","",M7/((Q7-$Q$6)*24))</f>
        <v>-7530.163288603856</v>
      </c>
    </row>
    <row r="8" spans="1:20" ht="12" customHeight="1" x14ac:dyDescent="0.2">
      <c r="A8" s="37"/>
      <c r="B8" s="48"/>
      <c r="C8" s="49">
        <v>4.41</v>
      </c>
      <c r="D8" s="54"/>
      <c r="E8" s="39">
        <v>3236</v>
      </c>
      <c r="F8" s="40">
        <v>74.180000000000007</v>
      </c>
      <c r="G8" s="51"/>
      <c r="H8" s="44">
        <f>IF(E8="","",((E8-E7)*C8)/1000)</f>
        <v>-0.51156000000000001</v>
      </c>
      <c r="I8" s="52">
        <f>IF(F8="","",F8-F7-G8)</f>
        <v>-2.3899999999999864</v>
      </c>
      <c r="J8" s="44">
        <f>IF(F8="","",I8-H8)</f>
        <v>-1.8784399999999863</v>
      </c>
      <c r="K8" s="44">
        <f>IF(F8="","",K7+H8)</f>
        <v>-0.89522999999999997</v>
      </c>
      <c r="L8" s="44">
        <f>IF(F8="","",L7+I8)</f>
        <v>-755.79</v>
      </c>
      <c r="M8" s="53">
        <f>IF(F8="","",L8-K8)</f>
        <v>-754.89476999999999</v>
      </c>
      <c r="N8" s="231"/>
      <c r="O8" s="229"/>
      <c r="P8" s="230"/>
      <c r="Q8" s="47">
        <v>44583.917361111111</v>
      </c>
      <c r="R8" s="44">
        <f t="shared" si="0"/>
        <v>-14.088300009430437</v>
      </c>
      <c r="S8" s="44">
        <f t="shared" si="1"/>
        <v>-3235.263299139122</v>
      </c>
      <c r="T8" s="55"/>
    </row>
    <row r="9" spans="1:20" ht="12" customHeight="1" x14ac:dyDescent="0.2">
      <c r="A9" s="37"/>
      <c r="B9" s="48"/>
      <c r="C9" s="49">
        <v>4.41</v>
      </c>
      <c r="D9" s="54"/>
      <c r="E9" s="39">
        <v>2964</v>
      </c>
      <c r="F9" s="40">
        <v>74.77</v>
      </c>
      <c r="G9" s="51">
        <v>7.6</v>
      </c>
      <c r="H9" s="44">
        <f>IF(E9="","",((E9-E8)*C9)/1000)</f>
        <v>-1.1995199999999999</v>
      </c>
      <c r="I9" s="52">
        <f>IF(F9="","",F9-F8-G9)</f>
        <v>-7.0100000000000104</v>
      </c>
      <c r="J9" s="44">
        <f>IF(F9="","",I9-H9)</f>
        <v>-5.8104800000000107</v>
      </c>
      <c r="K9" s="44">
        <f>IF(F9="","",K8+H9)</f>
        <v>-2.0947499999999999</v>
      </c>
      <c r="L9" s="44">
        <f>IF(F9="","",L8+I9)</f>
        <v>-762.8</v>
      </c>
      <c r="M9" s="53">
        <f>IF(F9="","",L9-K9)</f>
        <v>-760.70524999999998</v>
      </c>
      <c r="N9" s="228"/>
      <c r="O9" s="229"/>
      <c r="P9" s="230"/>
      <c r="Q9" s="47">
        <v>44583.936111111114</v>
      </c>
      <c r="R9" s="44">
        <f t="shared" si="0"/>
        <v>-12.912177775773568</v>
      </c>
      <c r="S9" s="44">
        <f t="shared" si="1"/>
        <v>-1113.2271949070102</v>
      </c>
    </row>
    <row r="10" spans="1:20" ht="12" customHeight="1" x14ac:dyDescent="0.2">
      <c r="A10" s="37"/>
      <c r="B10" s="48"/>
      <c r="C10" s="49">
        <v>4.41</v>
      </c>
      <c r="D10" s="54"/>
      <c r="E10" s="39">
        <v>2950</v>
      </c>
      <c r="F10" s="40">
        <v>118.4</v>
      </c>
      <c r="G10" s="51">
        <v>66.5</v>
      </c>
      <c r="H10" s="44">
        <f>IF(E10="","",((E10-E9)*C10)/1000)</f>
        <v>-6.1740000000000003E-2</v>
      </c>
      <c r="I10" s="52">
        <f>IF(F10="","",F10-F9-G10)</f>
        <v>-22.86999999999999</v>
      </c>
      <c r="J10" s="44">
        <f t="shared" ref="J10:J73" si="2">IF(F10="","",I10-H10)</f>
        <v>-22.80825999999999</v>
      </c>
      <c r="K10" s="44">
        <f t="shared" ref="K10:K73" si="3">IF(F10="","",K9+H10)</f>
        <v>-2.1564899999999998</v>
      </c>
      <c r="L10" s="44">
        <f t="shared" ref="L10:L73" si="4">IF(F10="","",L9+I10)</f>
        <v>-785.67</v>
      </c>
      <c r="M10" s="53">
        <f t="shared" ref="M10:M73" si="5">IF(F10="","",L10-K10)</f>
        <v>-783.51351</v>
      </c>
      <c r="N10" s="249" t="s">
        <v>122</v>
      </c>
      <c r="O10" s="250"/>
      <c r="P10" s="251"/>
      <c r="Q10" s="47">
        <v>44583.974999999999</v>
      </c>
      <c r="R10" s="44">
        <f t="shared" si="0"/>
        <v>-24.437421431213103</v>
      </c>
      <c r="S10" s="44">
        <f t="shared" si="1"/>
        <v>-484.64753194945644</v>
      </c>
      <c r="T10" s="55"/>
    </row>
    <row r="11" spans="1:20" ht="12" customHeight="1" x14ac:dyDescent="0.2">
      <c r="A11" s="37"/>
      <c r="B11" s="48"/>
      <c r="C11" s="49">
        <v>4.41</v>
      </c>
      <c r="D11" s="54"/>
      <c r="E11" s="39">
        <v>2949</v>
      </c>
      <c r="F11" s="56">
        <v>117.1</v>
      </c>
      <c r="G11" s="51"/>
      <c r="H11" s="44">
        <f>IF(E11="","",((E11-E10)*C11)/1000)</f>
        <v>-4.4099999999999999E-3</v>
      </c>
      <c r="I11" s="52">
        <f t="shared" ref="I11:I74" si="6">IF(F11="","",F11-F10-G11)</f>
        <v>-1.3000000000000114</v>
      </c>
      <c r="J11" s="44">
        <f t="shared" si="2"/>
        <v>-1.2955900000000113</v>
      </c>
      <c r="K11" s="44">
        <f t="shared" si="3"/>
        <v>-2.1608999999999998</v>
      </c>
      <c r="L11" s="44">
        <f t="shared" si="4"/>
        <v>-786.97</v>
      </c>
      <c r="M11" s="53">
        <f t="shared" si="5"/>
        <v>-784.80910000000006</v>
      </c>
      <c r="N11" s="228"/>
      <c r="O11" s="229"/>
      <c r="P11" s="230"/>
      <c r="Q11" s="47">
        <v>44583.979166666664</v>
      </c>
      <c r="R11" s="44">
        <f t="shared" si="0"/>
        <v>-12.955900003016644</v>
      </c>
      <c r="S11" s="44">
        <f t="shared" si="1"/>
        <v>-457.17034951249627</v>
      </c>
    </row>
    <row r="12" spans="1:20" ht="12" customHeight="1" x14ac:dyDescent="0.2">
      <c r="A12" s="37"/>
      <c r="B12" s="48"/>
      <c r="C12" s="49">
        <v>4.41</v>
      </c>
      <c r="D12" s="54"/>
      <c r="E12" s="39">
        <v>2948</v>
      </c>
      <c r="F12" s="56">
        <v>114.63</v>
      </c>
      <c r="G12" s="51"/>
      <c r="H12" s="44">
        <f t="shared" ref="H12:H74" si="7">IF(E12="","",((E12-E11)*C12)/1000)</f>
        <v>-4.4099999999999999E-3</v>
      </c>
      <c r="I12" s="52">
        <f t="shared" si="6"/>
        <v>-2.4699999999999989</v>
      </c>
      <c r="J12" s="44">
        <f t="shared" si="2"/>
        <v>-2.4655899999999988</v>
      </c>
      <c r="K12" s="44">
        <f t="shared" si="3"/>
        <v>-2.1653099999999998</v>
      </c>
      <c r="L12" s="44">
        <f t="shared" si="4"/>
        <v>-789.44</v>
      </c>
      <c r="M12" s="53">
        <f t="shared" si="5"/>
        <v>-787.27469000000008</v>
      </c>
      <c r="N12" s="228" t="s">
        <v>123</v>
      </c>
      <c r="O12" s="229"/>
      <c r="P12" s="230"/>
      <c r="Q12" s="47">
        <v>44583.98333333333</v>
      </c>
      <c r="R12" s="44">
        <f t="shared" si="0"/>
        <v>-24.655900005740637</v>
      </c>
      <c r="S12" s="44">
        <f t="shared" si="1"/>
        <v>-433.36221468260186</v>
      </c>
    </row>
    <row r="13" spans="1:20" ht="12" customHeight="1" x14ac:dyDescent="0.2">
      <c r="A13" s="37"/>
      <c r="B13" s="48"/>
      <c r="C13" s="49">
        <v>4.41</v>
      </c>
      <c r="D13" s="54"/>
      <c r="E13" s="39">
        <v>2947</v>
      </c>
      <c r="F13" s="56">
        <v>112.78</v>
      </c>
      <c r="G13" s="51"/>
      <c r="H13" s="44">
        <f>IF(E13="","",((E13-E12)*C13)/1000)</f>
        <v>-4.4099999999999999E-3</v>
      </c>
      <c r="I13" s="52">
        <f t="shared" si="6"/>
        <v>-1.8499999999999943</v>
      </c>
      <c r="J13" s="44">
        <f t="shared" si="2"/>
        <v>-1.8455899999999943</v>
      </c>
      <c r="K13" s="44">
        <f t="shared" si="3"/>
        <v>-2.1697199999999999</v>
      </c>
      <c r="L13" s="44">
        <f t="shared" si="4"/>
        <v>-791.29000000000008</v>
      </c>
      <c r="M13" s="53">
        <f t="shared" si="5"/>
        <v>-789.12028000000009</v>
      </c>
      <c r="N13" s="231" t="s">
        <v>124</v>
      </c>
      <c r="O13" s="229"/>
      <c r="P13" s="230"/>
      <c r="Q13" s="47">
        <v>44583.986111111109</v>
      </c>
      <c r="R13" s="44">
        <f t="shared" si="0"/>
        <v>-27.683849982274381</v>
      </c>
      <c r="S13" s="44">
        <f t="shared" si="1"/>
        <v>-419.00191857802753</v>
      </c>
    </row>
    <row r="14" spans="1:20" ht="12" customHeight="1" x14ac:dyDescent="0.2">
      <c r="A14" s="37"/>
      <c r="B14" s="48"/>
      <c r="C14" s="49">
        <v>4.41</v>
      </c>
      <c r="D14" s="54"/>
      <c r="E14" s="39">
        <v>2949</v>
      </c>
      <c r="F14" s="56">
        <v>109.94</v>
      </c>
      <c r="G14" s="51"/>
      <c r="H14" s="44">
        <f t="shared" si="7"/>
        <v>8.8199999999999997E-3</v>
      </c>
      <c r="I14" s="52">
        <f t="shared" si="6"/>
        <v>-2.8400000000000034</v>
      </c>
      <c r="J14" s="44">
        <f t="shared" si="2"/>
        <v>-2.8488200000000035</v>
      </c>
      <c r="K14" s="44">
        <f t="shared" si="3"/>
        <v>-2.1608999999999998</v>
      </c>
      <c r="L14" s="44">
        <f t="shared" si="4"/>
        <v>-794.13000000000011</v>
      </c>
      <c r="M14" s="53">
        <f t="shared" si="5"/>
        <v>-791.96910000000014</v>
      </c>
      <c r="N14" s="231"/>
      <c r="O14" s="229"/>
      <c r="P14" s="230"/>
      <c r="Q14" s="47">
        <v>44583.989583333336</v>
      </c>
      <c r="R14" s="44">
        <f t="shared" si="0"/>
        <v>-34.185839960202486</v>
      </c>
      <c r="S14" s="44">
        <f t="shared" si="1"/>
        <v>-402.69615251694648</v>
      </c>
    </row>
    <row r="15" spans="1:20" ht="12" customHeight="1" x14ac:dyDescent="0.2">
      <c r="A15" s="37"/>
      <c r="B15" s="48"/>
      <c r="C15" s="49">
        <v>4.41</v>
      </c>
      <c r="D15" s="54"/>
      <c r="E15" s="39">
        <v>2951</v>
      </c>
      <c r="F15" s="40">
        <v>106.17</v>
      </c>
      <c r="G15" s="51"/>
      <c r="H15" s="44">
        <f t="shared" si="7"/>
        <v>8.8199999999999997E-3</v>
      </c>
      <c r="I15" s="52">
        <f t="shared" si="6"/>
        <v>-3.769999999999996</v>
      </c>
      <c r="J15" s="44">
        <f t="shared" si="2"/>
        <v>-3.7788199999999961</v>
      </c>
      <c r="K15" s="44">
        <f t="shared" si="3"/>
        <v>-2.1520799999999998</v>
      </c>
      <c r="L15" s="44">
        <f t="shared" si="4"/>
        <v>-797.90000000000009</v>
      </c>
      <c r="M15" s="53">
        <f t="shared" si="5"/>
        <v>-795.74792000000014</v>
      </c>
      <c r="N15" s="231"/>
      <c r="O15" s="229"/>
      <c r="P15" s="230"/>
      <c r="Q15" s="47">
        <v>44583.996527777781</v>
      </c>
      <c r="R15" s="44">
        <f t="shared" si="0"/>
        <v>-22.672919997360502</v>
      </c>
      <c r="S15" s="44">
        <f t="shared" si="1"/>
        <v>-373.00683747489575</v>
      </c>
    </row>
    <row r="16" spans="1:20" ht="12" customHeight="1" x14ac:dyDescent="0.2">
      <c r="A16" s="37"/>
      <c r="B16" s="48"/>
      <c r="C16" s="49">
        <v>4.41</v>
      </c>
      <c r="D16" s="57"/>
      <c r="E16" s="39">
        <v>2952</v>
      </c>
      <c r="F16" s="40">
        <v>104.46</v>
      </c>
      <c r="G16" s="51"/>
      <c r="H16" s="44">
        <f t="shared" si="7"/>
        <v>4.4099999999999999E-3</v>
      </c>
      <c r="I16" s="52">
        <f t="shared" si="6"/>
        <v>-1.710000000000008</v>
      </c>
      <c r="J16" s="44">
        <f t="shared" si="2"/>
        <v>-1.714410000000008</v>
      </c>
      <c r="K16" s="44">
        <f t="shared" si="3"/>
        <v>-2.1476699999999997</v>
      </c>
      <c r="L16" s="44">
        <f t="shared" si="4"/>
        <v>-799.61000000000013</v>
      </c>
      <c r="M16" s="53">
        <f t="shared" si="5"/>
        <v>-797.46233000000018</v>
      </c>
      <c r="N16" s="228"/>
      <c r="O16" s="229"/>
      <c r="P16" s="230"/>
      <c r="Q16" s="47">
        <v>44584</v>
      </c>
      <c r="R16" s="44">
        <f t="shared" si="0"/>
        <v>-20.572920019160122</v>
      </c>
      <c r="S16" s="44">
        <f t="shared" si="1"/>
        <v>-359.75744209455672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>
        <v>2953</v>
      </c>
      <c r="F17" s="40">
        <v>102.88</v>
      </c>
      <c r="G17" s="51"/>
      <c r="H17" s="44">
        <f t="shared" si="7"/>
        <v>4.4099999999999999E-3</v>
      </c>
      <c r="I17" s="52">
        <f t="shared" si="6"/>
        <v>-1.5799999999999983</v>
      </c>
      <c r="J17" s="44">
        <f t="shared" si="2"/>
        <v>-1.5844099999999983</v>
      </c>
      <c r="K17" s="44">
        <f t="shared" si="3"/>
        <v>-2.1432599999999997</v>
      </c>
      <c r="L17" s="44">
        <f t="shared" si="4"/>
        <v>-801.19000000000017</v>
      </c>
      <c r="M17" s="53">
        <f t="shared" si="5"/>
        <v>-799.04674000000011</v>
      </c>
      <c r="N17" s="231"/>
      <c r="O17" s="229"/>
      <c r="P17" s="230"/>
      <c r="Q17" s="47">
        <v>44584.004861111112</v>
      </c>
      <c r="R17" s="44">
        <f t="shared" si="0"/>
        <v>-13.580657139243423</v>
      </c>
      <c r="S17" s="44">
        <f t="shared" si="1"/>
        <v>-342.44860284290496</v>
      </c>
    </row>
    <row r="18" spans="1:19" ht="12" customHeight="1" x14ac:dyDescent="0.2">
      <c r="A18" s="37"/>
      <c r="B18" s="48"/>
      <c r="C18" s="49">
        <v>4.41</v>
      </c>
      <c r="D18" s="54"/>
      <c r="E18" s="39">
        <v>2960</v>
      </c>
      <c r="F18" s="40">
        <v>101.44</v>
      </c>
      <c r="G18" s="51"/>
      <c r="H18" s="44">
        <f t="shared" si="7"/>
        <v>3.0870000000000002E-2</v>
      </c>
      <c r="I18" s="52">
        <f t="shared" si="6"/>
        <v>-1.4399999999999977</v>
      </c>
      <c r="J18" s="44">
        <f t="shared" si="2"/>
        <v>-1.4708699999999977</v>
      </c>
      <c r="K18" s="44">
        <f t="shared" si="3"/>
        <v>-2.1123899999999995</v>
      </c>
      <c r="L18" s="44">
        <f t="shared" si="4"/>
        <v>-802.63000000000011</v>
      </c>
      <c r="M18" s="53">
        <f t="shared" si="5"/>
        <v>-800.5176100000001</v>
      </c>
      <c r="N18" s="231"/>
      <c r="O18" s="229"/>
      <c r="P18" s="230"/>
      <c r="Q18" s="47">
        <v>44584.012499999997</v>
      </c>
      <c r="R18" s="44">
        <f t="shared" si="0"/>
        <v>-8.0229272771424931</v>
      </c>
      <c r="S18" s="44">
        <f t="shared" si="1"/>
        <v>-318.0864675501594</v>
      </c>
    </row>
    <row r="19" spans="1:19" ht="12" customHeight="1" x14ac:dyDescent="0.2">
      <c r="A19" s="37"/>
      <c r="B19" s="48"/>
      <c r="C19" s="49">
        <v>4.41</v>
      </c>
      <c r="D19" s="54"/>
      <c r="E19" s="39">
        <v>2974</v>
      </c>
      <c r="F19" s="40">
        <v>95.3</v>
      </c>
      <c r="G19" s="51"/>
      <c r="H19" s="44">
        <f t="shared" si="7"/>
        <v>6.1740000000000003E-2</v>
      </c>
      <c r="I19" s="52">
        <f t="shared" si="6"/>
        <v>-6.1400000000000006</v>
      </c>
      <c r="J19" s="44">
        <f t="shared" si="2"/>
        <v>-6.2017400000000009</v>
      </c>
      <c r="K19" s="44">
        <f t="shared" si="3"/>
        <v>-2.0506499999999996</v>
      </c>
      <c r="L19" s="44">
        <f t="shared" si="4"/>
        <v>-808.7700000000001</v>
      </c>
      <c r="M19" s="53">
        <f t="shared" si="5"/>
        <v>-806.71935000000008</v>
      </c>
      <c r="N19" s="228"/>
      <c r="O19" s="229"/>
      <c r="P19" s="230"/>
      <c r="Q19" s="47">
        <v>44584.030555555553</v>
      </c>
      <c r="R19" s="44">
        <f t="shared" si="0"/>
        <v>-14.311707691795048</v>
      </c>
      <c r="S19" s="44">
        <f t="shared" si="1"/>
        <v>-273.46418643959885</v>
      </c>
    </row>
    <row r="20" spans="1:19" ht="12" customHeight="1" x14ac:dyDescent="0.2">
      <c r="A20" s="37"/>
      <c r="B20" s="48"/>
      <c r="C20" s="49">
        <v>4.41</v>
      </c>
      <c r="D20" s="54"/>
      <c r="E20" s="39">
        <v>2971</v>
      </c>
      <c r="F20" s="40">
        <v>87.52</v>
      </c>
      <c r="G20" s="40"/>
      <c r="H20" s="44">
        <f>IF(E20="","",((E20-E19)*C20)/1000)</f>
        <v>-1.323E-2</v>
      </c>
      <c r="I20" s="52">
        <f t="shared" si="6"/>
        <v>-7.7800000000000011</v>
      </c>
      <c r="J20" s="44">
        <f t="shared" si="2"/>
        <v>-7.7667700000000011</v>
      </c>
      <c r="K20" s="44">
        <f t="shared" si="3"/>
        <v>-2.0638799999999997</v>
      </c>
      <c r="L20" s="44">
        <f t="shared" si="4"/>
        <v>-816.55000000000007</v>
      </c>
      <c r="M20" s="53">
        <f t="shared" si="5"/>
        <v>-814.48612000000003</v>
      </c>
      <c r="N20" s="242" t="s">
        <v>125</v>
      </c>
      <c r="O20" s="229"/>
      <c r="P20" s="230"/>
      <c r="Q20" s="47">
        <v>44584.043055555558</v>
      </c>
      <c r="R20" s="44">
        <f t="shared" si="0"/>
        <v>-25.889233324291627</v>
      </c>
      <c r="S20" s="44">
        <f t="shared" si="1"/>
        <v>-250.61111383717693</v>
      </c>
    </row>
    <row r="21" spans="1:19" ht="12" customHeight="1" x14ac:dyDescent="0.2">
      <c r="A21" s="37"/>
      <c r="B21" s="48"/>
      <c r="C21" s="49">
        <v>4.41</v>
      </c>
      <c r="D21" s="54"/>
      <c r="E21" s="39">
        <v>2970</v>
      </c>
      <c r="F21" s="40">
        <v>86.28</v>
      </c>
      <c r="G21" s="51"/>
      <c r="H21" s="44">
        <f>IF(E21="","",((E21-E20)*C21)/1000)</f>
        <v>-4.4099999999999999E-3</v>
      </c>
      <c r="I21" s="52">
        <f>IF(F21="","",F21-F20-G21)</f>
        <v>-1.2399999999999949</v>
      </c>
      <c r="J21" s="44">
        <f>IF(F21="","",I21-H21)</f>
        <v>-1.2355899999999949</v>
      </c>
      <c r="K21" s="44">
        <f>IF(F21="","",K20+H21)</f>
        <v>-2.0682899999999997</v>
      </c>
      <c r="L21" s="44">
        <f>IF(F21="","",L20+I21)</f>
        <v>-817.79000000000008</v>
      </c>
      <c r="M21" s="53">
        <f>IF(F21="","",L21-K21)</f>
        <v>-815.72171000000003</v>
      </c>
      <c r="N21" s="228"/>
      <c r="O21" s="229"/>
      <c r="P21" s="230"/>
      <c r="Q21" s="47">
        <v>44584.047222222223</v>
      </c>
      <c r="R21" s="44">
        <f t="shared" si="0"/>
        <v>-12.355900002876782</v>
      </c>
      <c r="S21" s="44">
        <f t="shared" si="1"/>
        <v>-243.49901790367832</v>
      </c>
    </row>
    <row r="22" spans="1:19" ht="12" customHeight="1" x14ac:dyDescent="0.2">
      <c r="A22" s="37"/>
      <c r="B22" s="48"/>
      <c r="C22" s="49">
        <v>4.41</v>
      </c>
      <c r="D22" s="54"/>
      <c r="E22" s="39">
        <v>2967</v>
      </c>
      <c r="F22" s="40">
        <v>80.05</v>
      </c>
      <c r="G22" s="51">
        <v>-4</v>
      </c>
      <c r="H22" s="44">
        <f t="shared" si="7"/>
        <v>-1.323E-2</v>
      </c>
      <c r="I22" s="52">
        <f>IF(F22="","",F22-F21-G22)</f>
        <v>-2.230000000000004</v>
      </c>
      <c r="J22" s="44">
        <f t="shared" si="2"/>
        <v>-2.2167700000000039</v>
      </c>
      <c r="K22" s="44">
        <f t="shared" si="3"/>
        <v>-2.0815199999999998</v>
      </c>
      <c r="L22" s="44">
        <f t="shared" si="4"/>
        <v>-820.0200000000001</v>
      </c>
      <c r="M22" s="53">
        <f t="shared" si="5"/>
        <v>-817.93848000000014</v>
      </c>
      <c r="N22" s="228" t="s">
        <v>126</v>
      </c>
      <c r="O22" s="229"/>
      <c r="P22" s="230"/>
      <c r="Q22" s="47">
        <v>44584.055555555555</v>
      </c>
      <c r="R22" s="44">
        <f t="shared" si="0"/>
        <v>-11.083850002580679</v>
      </c>
      <c r="S22" s="44">
        <f t="shared" si="1"/>
        <v>-230.40520563078059</v>
      </c>
    </row>
    <row r="23" spans="1:19" ht="12" customHeight="1" x14ac:dyDescent="0.2">
      <c r="A23" s="37"/>
      <c r="B23" s="48"/>
      <c r="C23" s="49">
        <v>4.41</v>
      </c>
      <c r="D23" s="54"/>
      <c r="E23" s="39">
        <v>2965</v>
      </c>
      <c r="F23" s="40">
        <v>77.239999999999995</v>
      </c>
      <c r="G23" s="51"/>
      <c r="H23" s="44">
        <f t="shared" si="7"/>
        <v>-8.8199999999999997E-3</v>
      </c>
      <c r="I23" s="52">
        <f t="shared" si="6"/>
        <v>-2.8100000000000023</v>
      </c>
      <c r="J23" s="44">
        <f t="shared" si="2"/>
        <v>-2.8011800000000022</v>
      </c>
      <c r="K23" s="44">
        <f t="shared" si="3"/>
        <v>-2.0903399999999999</v>
      </c>
      <c r="L23" s="44">
        <f t="shared" si="4"/>
        <v>-822.83000000000015</v>
      </c>
      <c r="M23" s="53">
        <f t="shared" si="5"/>
        <v>-820.73966000000019</v>
      </c>
      <c r="N23" s="228"/>
      <c r="O23" s="229"/>
      <c r="P23" s="230"/>
      <c r="Q23" s="47">
        <v>44584.063194444447</v>
      </c>
      <c r="R23" s="44">
        <f t="shared" si="0"/>
        <v>-15.27916363021895</v>
      </c>
      <c r="S23" s="44">
        <f t="shared" si="1"/>
        <v>-219.84098035005917</v>
      </c>
    </row>
    <row r="24" spans="1:19" ht="12" customHeight="1" x14ac:dyDescent="0.2">
      <c r="A24" s="37"/>
      <c r="B24" s="48"/>
      <c r="C24" s="49">
        <v>4.41</v>
      </c>
      <c r="D24" s="54"/>
      <c r="E24" s="39">
        <v>2961</v>
      </c>
      <c r="F24" s="40">
        <v>72.510000000000005</v>
      </c>
      <c r="G24" s="51"/>
      <c r="H24" s="44">
        <f t="shared" si="7"/>
        <v>-1.7639999999999999E-2</v>
      </c>
      <c r="I24" s="52">
        <f t="shared" si="6"/>
        <v>-4.7299999999999898</v>
      </c>
      <c r="J24" s="44">
        <f t="shared" si="2"/>
        <v>-4.7123599999999897</v>
      </c>
      <c r="K24" s="44">
        <f t="shared" si="3"/>
        <v>-2.10798</v>
      </c>
      <c r="L24" s="44">
        <f t="shared" si="4"/>
        <v>-827.56000000000017</v>
      </c>
      <c r="M24" s="53">
        <f t="shared" si="5"/>
        <v>-825.45202000000018</v>
      </c>
      <c r="N24" s="231"/>
      <c r="O24" s="229"/>
      <c r="P24" s="230"/>
      <c r="Q24" s="47">
        <v>44584.075694444444</v>
      </c>
      <c r="R24" s="44">
        <f t="shared" si="0"/>
        <v>-15.707866670323906</v>
      </c>
      <c r="S24" s="44">
        <f t="shared" si="1"/>
        <v>-204.65752561727501</v>
      </c>
    </row>
    <row r="25" spans="1:19" ht="12" customHeight="1" x14ac:dyDescent="0.2">
      <c r="A25" s="37"/>
      <c r="B25" s="48"/>
      <c r="C25" s="49">
        <v>4.41</v>
      </c>
      <c r="D25" s="54"/>
      <c r="E25" s="39">
        <v>2959</v>
      </c>
      <c r="F25" s="40">
        <v>99.81</v>
      </c>
      <c r="G25" s="51">
        <v>29.3</v>
      </c>
      <c r="H25" s="44">
        <f t="shared" si="7"/>
        <v>-8.8199999999999997E-3</v>
      </c>
      <c r="I25" s="52">
        <f t="shared" si="6"/>
        <v>-2.0000000000000036</v>
      </c>
      <c r="J25" s="44">
        <f t="shared" si="2"/>
        <v>-1.9911800000000035</v>
      </c>
      <c r="K25" s="44">
        <f t="shared" si="3"/>
        <v>-2.1168</v>
      </c>
      <c r="L25" s="44">
        <f t="shared" si="4"/>
        <v>-829.56000000000017</v>
      </c>
      <c r="M25" s="53">
        <f t="shared" si="5"/>
        <v>-827.44320000000016</v>
      </c>
      <c r="N25" s="231" t="s">
        <v>121</v>
      </c>
      <c r="O25" s="229"/>
      <c r="P25" s="230"/>
      <c r="Q25" s="47">
        <v>44584.081944444442</v>
      </c>
      <c r="R25" s="44">
        <f t="shared" si="0"/>
        <v>-13.274533336424074</v>
      </c>
      <c r="S25" s="44">
        <f t="shared" si="1"/>
        <v>-197.79518725026213</v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>
        <v>2956</v>
      </c>
      <c r="F26" s="40">
        <v>95.7</v>
      </c>
      <c r="G26" s="51"/>
      <c r="H26" s="44">
        <f>IF(E26="","",((E26-E25)*C26)/1000)</f>
        <v>-1.323E-2</v>
      </c>
      <c r="I26" s="52">
        <f>IF(F26="","",F26-F25-G26)</f>
        <v>-4.1099999999999994</v>
      </c>
      <c r="J26" s="44">
        <f t="shared" si="2"/>
        <v>-4.0967699999999994</v>
      </c>
      <c r="K26" s="44">
        <f t="shared" si="3"/>
        <v>-2.1300300000000001</v>
      </c>
      <c r="L26" s="44">
        <f t="shared" si="4"/>
        <v>-833.67000000000019</v>
      </c>
      <c r="M26" s="53">
        <f t="shared" si="5"/>
        <v>-831.53997000000015</v>
      </c>
      <c r="N26" s="228"/>
      <c r="O26" s="229"/>
      <c r="P26" s="230"/>
      <c r="Q26" s="47">
        <v>44584.093055555553</v>
      </c>
      <c r="R26" s="44">
        <f t="shared" si="0"/>
        <v>-15.362887500223557</v>
      </c>
      <c r="S26" s="44">
        <f t="shared" si="1"/>
        <v>-186.86291460625276</v>
      </c>
    </row>
    <row r="27" spans="1:19" ht="12" customHeight="1" x14ac:dyDescent="0.2">
      <c r="A27" s="37"/>
      <c r="B27" s="48"/>
      <c r="C27" s="49">
        <v>4.41</v>
      </c>
      <c r="D27" s="58"/>
      <c r="E27" s="39">
        <v>2952</v>
      </c>
      <c r="F27" s="40">
        <v>89.28</v>
      </c>
      <c r="G27" s="51"/>
      <c r="H27" s="44">
        <f t="shared" si="7"/>
        <v>-1.7639999999999999E-2</v>
      </c>
      <c r="I27" s="52">
        <f>IF(F27="","",F27-F26-G27)</f>
        <v>-6.4200000000000017</v>
      </c>
      <c r="J27" s="44">
        <f>IF(F27="","",I27-H27)</f>
        <v>-6.4023600000000016</v>
      </c>
      <c r="K27" s="44">
        <f>IF(F27="","",K26+H27)</f>
        <v>-2.1476700000000002</v>
      </c>
      <c r="L27" s="44">
        <f>IF(F27="","",L26+I27)</f>
        <v>-840.09000000000015</v>
      </c>
      <c r="M27" s="53">
        <f>IF(F27="","",L27-K27)</f>
        <v>-837.9423300000002</v>
      </c>
      <c r="N27" s="231"/>
      <c r="O27" s="229"/>
      <c r="P27" s="230"/>
      <c r="Q27" s="47">
        <v>44584.111111111109</v>
      </c>
      <c r="R27" s="44">
        <f t="shared" si="0"/>
        <v>-14.774676922547696</v>
      </c>
      <c r="S27" s="44">
        <f t="shared" si="1"/>
        <v>-171.5922860058715</v>
      </c>
    </row>
    <row r="28" spans="1:19" ht="12" customHeight="1" x14ac:dyDescent="0.2">
      <c r="A28" s="37"/>
      <c r="B28" s="48"/>
      <c r="C28" s="49">
        <v>4.41</v>
      </c>
      <c r="D28" s="58"/>
      <c r="E28" s="39">
        <v>2951</v>
      </c>
      <c r="F28" s="40">
        <v>84.14</v>
      </c>
      <c r="G28" s="51">
        <v>-3.2</v>
      </c>
      <c r="H28" s="44">
        <f t="shared" si="7"/>
        <v>-4.4099999999999999E-3</v>
      </c>
      <c r="I28" s="52">
        <f>IF(F28="","",F28-F27-G28)</f>
        <v>-1.9400000000000004</v>
      </c>
      <c r="J28" s="44">
        <f t="shared" si="2"/>
        <v>-1.9355900000000004</v>
      </c>
      <c r="K28" s="44">
        <f t="shared" si="3"/>
        <v>-2.1520800000000002</v>
      </c>
      <c r="L28" s="44">
        <f t="shared" si="4"/>
        <v>-842.0300000000002</v>
      </c>
      <c r="M28" s="53">
        <f t="shared" si="5"/>
        <v>-839.87792000000024</v>
      </c>
      <c r="N28" s="231" t="s">
        <v>127</v>
      </c>
      <c r="O28" s="229"/>
      <c r="P28" s="230"/>
      <c r="Q28" s="47">
        <v>44584.117361111108</v>
      </c>
      <c r="R28" s="44">
        <f t="shared" si="0"/>
        <v>-12.903933336337767</v>
      </c>
      <c r="S28" s="44">
        <f t="shared" si="1"/>
        <v>-166.86316291416463</v>
      </c>
    </row>
    <row r="29" spans="1:19" ht="12" customHeight="1" x14ac:dyDescent="0.2">
      <c r="A29" s="37"/>
      <c r="B29" s="48"/>
      <c r="C29" s="49">
        <v>4.41</v>
      </c>
      <c r="D29" s="58"/>
      <c r="E29" s="39">
        <v>2949</v>
      </c>
      <c r="F29" s="40">
        <v>81.349999999999994</v>
      </c>
      <c r="G29" s="51"/>
      <c r="H29" s="44">
        <f t="shared" si="7"/>
        <v>-8.8199999999999997E-3</v>
      </c>
      <c r="I29" s="52">
        <f t="shared" si="6"/>
        <v>-2.7900000000000063</v>
      </c>
      <c r="J29" s="44">
        <f t="shared" si="2"/>
        <v>-2.7811800000000062</v>
      </c>
      <c r="K29" s="44">
        <f t="shared" si="3"/>
        <v>-2.1609000000000003</v>
      </c>
      <c r="L29" s="44">
        <f t="shared" si="4"/>
        <v>-844.82000000000016</v>
      </c>
      <c r="M29" s="53">
        <f t="shared" si="5"/>
        <v>-842.65910000000019</v>
      </c>
      <c r="N29" s="228"/>
      <c r="O29" s="229"/>
      <c r="P29" s="230"/>
      <c r="Q29" s="47">
        <v>44584.125694444447</v>
      </c>
      <c r="R29" s="44">
        <f t="shared" si="0"/>
        <v>-13.905899991096302</v>
      </c>
      <c r="S29" s="44">
        <f t="shared" si="1"/>
        <v>-161.01766241668096</v>
      </c>
    </row>
    <row r="30" spans="1:19" ht="12" customHeight="1" x14ac:dyDescent="0.2">
      <c r="A30" s="37"/>
      <c r="B30" s="48"/>
      <c r="C30" s="49">
        <v>4.41</v>
      </c>
      <c r="D30" s="58"/>
      <c r="E30" s="39">
        <v>2972</v>
      </c>
      <c r="F30" s="40">
        <v>73.45</v>
      </c>
      <c r="G30" s="59"/>
      <c r="H30" s="44">
        <f t="shared" si="7"/>
        <v>0.10143000000000001</v>
      </c>
      <c r="I30" s="52">
        <f t="shared" si="6"/>
        <v>-7.8999999999999915</v>
      </c>
      <c r="J30" s="44">
        <f t="shared" si="2"/>
        <v>-8.001429999999992</v>
      </c>
      <c r="K30" s="44">
        <f t="shared" si="3"/>
        <v>-2.0594700000000001</v>
      </c>
      <c r="L30" s="44">
        <f t="shared" si="4"/>
        <v>-852.72000000000014</v>
      </c>
      <c r="M30" s="53">
        <f t="shared" si="5"/>
        <v>-850.66053000000011</v>
      </c>
      <c r="N30" s="228"/>
      <c r="O30" s="229"/>
      <c r="P30" s="230"/>
      <c r="Q30" s="47">
        <v>44584.150694444441</v>
      </c>
      <c r="R30" s="44">
        <f t="shared" si="0"/>
        <v>-13.335716669771617</v>
      </c>
      <c r="S30" s="44">
        <f t="shared" si="1"/>
        <v>-145.82751942905648</v>
      </c>
    </row>
    <row r="31" spans="1:19" ht="12" customHeight="1" x14ac:dyDescent="0.2">
      <c r="A31" s="37"/>
      <c r="B31" s="48"/>
      <c r="C31" s="49">
        <v>4.41</v>
      </c>
      <c r="D31" s="58"/>
      <c r="E31" s="39">
        <v>2968</v>
      </c>
      <c r="F31" s="40">
        <v>65.819999999999993</v>
      </c>
      <c r="G31" s="51"/>
      <c r="H31" s="44">
        <f t="shared" si="7"/>
        <v>-1.7639999999999999E-2</v>
      </c>
      <c r="I31" s="52">
        <f t="shared" si="6"/>
        <v>-7.6300000000000097</v>
      </c>
      <c r="J31" s="44">
        <f t="shared" si="2"/>
        <v>-7.6123600000000096</v>
      </c>
      <c r="K31" s="44">
        <f t="shared" si="3"/>
        <v>-2.0771100000000002</v>
      </c>
      <c r="L31" s="44">
        <f t="shared" si="4"/>
        <v>-860.35000000000014</v>
      </c>
      <c r="M31" s="53">
        <f t="shared" si="5"/>
        <v>-858.27289000000019</v>
      </c>
      <c r="N31" s="231"/>
      <c r="O31" s="229"/>
      <c r="P31" s="230"/>
      <c r="Q31" s="47">
        <v>44584.175694444442</v>
      </c>
      <c r="R31" s="44">
        <f t="shared" si="0"/>
        <v>-12.687266665928187</v>
      </c>
      <c r="S31" s="44">
        <f t="shared" si="1"/>
        <v>-133.41029378206156</v>
      </c>
    </row>
    <row r="32" spans="1:19" ht="12" customHeight="1" x14ac:dyDescent="0.2">
      <c r="A32" s="37"/>
      <c r="B32" s="48"/>
      <c r="C32" s="49">
        <v>4.41</v>
      </c>
      <c r="D32" s="58"/>
      <c r="E32" s="39">
        <v>2967</v>
      </c>
      <c r="F32" s="40">
        <v>67.06</v>
      </c>
      <c r="G32" s="51">
        <v>1.7</v>
      </c>
      <c r="H32" s="44">
        <f t="shared" si="7"/>
        <v>-4.4099999999999999E-3</v>
      </c>
      <c r="I32" s="52">
        <f t="shared" si="6"/>
        <v>-0.45999999999999086</v>
      </c>
      <c r="J32" s="44">
        <f t="shared" si="2"/>
        <v>-0.45558999999999084</v>
      </c>
      <c r="K32" s="44">
        <f t="shared" si="3"/>
        <v>-2.0815200000000003</v>
      </c>
      <c r="L32" s="44">
        <f t="shared" si="4"/>
        <v>-860.81000000000017</v>
      </c>
      <c r="M32" s="53">
        <f t="shared" si="5"/>
        <v>-858.72848000000022</v>
      </c>
      <c r="N32" s="228"/>
      <c r="O32" s="229"/>
      <c r="P32" s="230"/>
      <c r="Q32" s="47">
        <v>44584.177777777775</v>
      </c>
      <c r="R32" s="44">
        <f t="shared" si="0"/>
        <v>-9.1118000021213224</v>
      </c>
      <c r="S32" s="44">
        <f t="shared" si="1"/>
        <v>-132.45169357318554</v>
      </c>
    </row>
    <row r="33" spans="1:19" ht="12" customHeight="1" x14ac:dyDescent="0.2">
      <c r="A33" s="37"/>
      <c r="B33" s="48"/>
      <c r="C33" s="49">
        <v>4.41</v>
      </c>
      <c r="D33" s="58"/>
      <c r="E33" s="39">
        <v>2956</v>
      </c>
      <c r="F33" s="40">
        <v>123.87</v>
      </c>
      <c r="G33" s="51">
        <v>80</v>
      </c>
      <c r="H33" s="44">
        <f t="shared" si="7"/>
        <v>-4.8510000000000005E-2</v>
      </c>
      <c r="I33" s="52">
        <f t="shared" si="6"/>
        <v>-23.189999999999998</v>
      </c>
      <c r="J33" s="44">
        <f t="shared" si="2"/>
        <v>-23.141489999999997</v>
      </c>
      <c r="K33" s="44">
        <f t="shared" si="3"/>
        <v>-2.1300300000000001</v>
      </c>
      <c r="L33" s="44">
        <f t="shared" si="4"/>
        <v>-884.00000000000023</v>
      </c>
      <c r="M33" s="53">
        <f t="shared" si="5"/>
        <v>-881.86997000000019</v>
      </c>
      <c r="N33" s="231" t="s">
        <v>128</v>
      </c>
      <c r="O33" s="229"/>
      <c r="P33" s="230"/>
      <c r="Q33" s="47">
        <v>44584.243750000001</v>
      </c>
      <c r="R33" s="44">
        <f t="shared" si="0"/>
        <v>-14.615677893841321</v>
      </c>
      <c r="S33" s="44">
        <f t="shared" si="1"/>
        <v>-109.32272355235169</v>
      </c>
    </row>
    <row r="34" spans="1:19" ht="12" customHeight="1" x14ac:dyDescent="0.2">
      <c r="A34" s="37"/>
      <c r="B34" s="48"/>
      <c r="C34" s="49">
        <v>4.41</v>
      </c>
      <c r="D34" s="58"/>
      <c r="E34" s="39">
        <v>2946</v>
      </c>
      <c r="F34" s="56">
        <v>6.13</v>
      </c>
      <c r="G34" s="51"/>
      <c r="H34" s="44">
        <f t="shared" si="7"/>
        <v>-4.41E-2</v>
      </c>
      <c r="I34" s="52">
        <f t="shared" si="6"/>
        <v>-117.74000000000001</v>
      </c>
      <c r="J34" s="44">
        <f t="shared" si="2"/>
        <v>-117.69590000000001</v>
      </c>
      <c r="K34" s="44">
        <f t="shared" si="3"/>
        <v>-2.1741299999999999</v>
      </c>
      <c r="L34" s="44">
        <f t="shared" si="4"/>
        <v>-1001.7400000000002</v>
      </c>
      <c r="M34" s="53">
        <f t="shared" si="5"/>
        <v>-999.56587000000025</v>
      </c>
      <c r="N34" s="231" t="s">
        <v>66</v>
      </c>
      <c r="O34" s="229"/>
      <c r="P34" s="230"/>
      <c r="Q34" s="47">
        <v>44584.289583333331</v>
      </c>
      <c r="R34" s="44">
        <f t="shared" si="0"/>
        <v>-106.99627273519928</v>
      </c>
      <c r="S34" s="44">
        <f t="shared" si="1"/>
        <v>-109.04354945431467</v>
      </c>
    </row>
    <row r="35" spans="1:19" ht="12" customHeight="1" x14ac:dyDescent="0.2">
      <c r="A35" s="37"/>
      <c r="B35" s="48"/>
      <c r="C35" s="49">
        <v>4.41</v>
      </c>
      <c r="D35" s="58"/>
      <c r="E35" s="39">
        <v>2946</v>
      </c>
      <c r="F35" s="56">
        <v>5.18</v>
      </c>
      <c r="G35" s="40"/>
      <c r="H35" s="44">
        <f t="shared" si="7"/>
        <v>0</v>
      </c>
      <c r="I35" s="52">
        <f t="shared" si="6"/>
        <v>-0.95000000000000018</v>
      </c>
      <c r="J35" s="44">
        <f t="shared" si="2"/>
        <v>-0.95000000000000018</v>
      </c>
      <c r="K35" s="44">
        <f t="shared" si="3"/>
        <v>-2.1741299999999999</v>
      </c>
      <c r="L35" s="44">
        <f t="shared" si="4"/>
        <v>-1002.6900000000003</v>
      </c>
      <c r="M35" s="53">
        <f t="shared" si="5"/>
        <v>-1000.5158700000003</v>
      </c>
      <c r="N35" s="231"/>
      <c r="O35" s="229"/>
      <c r="P35" s="230"/>
      <c r="Q35" s="47">
        <v>44584.296527777777</v>
      </c>
      <c r="R35" s="44">
        <f t="shared" si="0"/>
        <v>-5.6999999993364341</v>
      </c>
      <c r="S35" s="44">
        <f t="shared" si="1"/>
        <v>-107.19812892812577</v>
      </c>
    </row>
    <row r="36" spans="1:19" ht="12" customHeight="1" x14ac:dyDescent="0.2">
      <c r="A36" s="37"/>
      <c r="B36" s="48"/>
      <c r="C36" s="49">
        <v>4.41</v>
      </c>
      <c r="D36" s="58"/>
      <c r="E36" s="39">
        <v>2946</v>
      </c>
      <c r="F36" s="56">
        <v>6.91</v>
      </c>
      <c r="G36" s="51">
        <v>3.2</v>
      </c>
      <c r="H36" s="44">
        <f t="shared" si="7"/>
        <v>0</v>
      </c>
      <c r="I36" s="52">
        <f t="shared" si="6"/>
        <v>-1.4699999999999998</v>
      </c>
      <c r="J36" s="44">
        <f t="shared" si="2"/>
        <v>-1.4699999999999998</v>
      </c>
      <c r="K36" s="44">
        <f t="shared" si="3"/>
        <v>-2.1741299999999999</v>
      </c>
      <c r="L36" s="44">
        <f t="shared" si="4"/>
        <v>-1004.1600000000003</v>
      </c>
      <c r="M36" s="53">
        <f t="shared" si="5"/>
        <v>-1001.9858700000003</v>
      </c>
      <c r="N36" s="231" t="s">
        <v>129</v>
      </c>
      <c r="O36" s="229"/>
      <c r="P36" s="230"/>
      <c r="Q36" s="47">
        <v>44584.304166666669</v>
      </c>
      <c r="R36" s="44">
        <f t="shared" si="0"/>
        <v>-8.0181818149572095</v>
      </c>
      <c r="S36" s="44">
        <f t="shared" si="1"/>
        <v>-105.2874819602261</v>
      </c>
    </row>
    <row r="37" spans="1:19" ht="12" customHeight="1" x14ac:dyDescent="0.2">
      <c r="A37" s="37"/>
      <c r="B37" s="48"/>
      <c r="C37" s="49">
        <v>4.41</v>
      </c>
      <c r="D37" s="58"/>
      <c r="E37" s="39">
        <v>2801.65</v>
      </c>
      <c r="F37" s="56">
        <v>5.84</v>
      </c>
      <c r="G37" s="51"/>
      <c r="H37" s="44">
        <f t="shared" si="7"/>
        <v>-0.63658349999999964</v>
      </c>
      <c r="I37" s="52">
        <f t="shared" si="6"/>
        <v>-1.0700000000000003</v>
      </c>
      <c r="J37" s="44">
        <f t="shared" si="2"/>
        <v>-0.43341650000000065</v>
      </c>
      <c r="K37" s="44">
        <f t="shared" si="3"/>
        <v>-2.8107134999999994</v>
      </c>
      <c r="L37" s="44">
        <f t="shared" si="4"/>
        <v>-1005.2300000000004</v>
      </c>
      <c r="M37" s="53">
        <f t="shared" si="5"/>
        <v>-1002.4192865000003</v>
      </c>
      <c r="N37" s="228"/>
      <c r="O37" s="229"/>
      <c r="P37" s="230"/>
      <c r="Q37" s="47">
        <v>44584.31527777778</v>
      </c>
      <c r="R37" s="44">
        <f t="shared" si="0"/>
        <v>-1.6253118750236539</v>
      </c>
      <c r="S37" s="44">
        <f t="shared" si="1"/>
        <v>-102.46193729017384</v>
      </c>
    </row>
    <row r="38" spans="1:19" ht="12" customHeight="1" x14ac:dyDescent="0.2">
      <c r="A38" s="37"/>
      <c r="B38" s="48"/>
      <c r="C38" s="49">
        <v>4.41</v>
      </c>
      <c r="D38" s="58"/>
      <c r="E38" s="39">
        <v>2628</v>
      </c>
      <c r="F38" s="56">
        <v>3.04</v>
      </c>
      <c r="G38" s="51"/>
      <c r="H38" s="44">
        <f t="shared" si="7"/>
        <v>-0.76579650000000032</v>
      </c>
      <c r="I38" s="52">
        <f t="shared" si="6"/>
        <v>-2.8</v>
      </c>
      <c r="J38" s="44">
        <f t="shared" si="2"/>
        <v>-2.0342034999999994</v>
      </c>
      <c r="K38" s="44">
        <f t="shared" si="3"/>
        <v>-3.5765099999999999</v>
      </c>
      <c r="L38" s="44">
        <f t="shared" si="4"/>
        <v>-1008.0300000000003</v>
      </c>
      <c r="M38" s="53">
        <f t="shared" si="5"/>
        <v>-1004.4534900000003</v>
      </c>
      <c r="N38" s="228"/>
      <c r="O38" s="229"/>
      <c r="P38" s="230"/>
      <c r="Q38" s="47">
        <v>44584.323611111111</v>
      </c>
      <c r="R38" s="44">
        <f t="shared" si="0"/>
        <v>-10.171017502368121</v>
      </c>
      <c r="S38" s="44">
        <f t="shared" si="1"/>
        <v>-100.61303739503373</v>
      </c>
    </row>
    <row r="39" spans="1:19" ht="12" customHeight="1" x14ac:dyDescent="0.2">
      <c r="A39" s="37"/>
      <c r="B39" s="48"/>
      <c r="C39" s="49">
        <v>4.41</v>
      </c>
      <c r="D39" s="58"/>
      <c r="E39" s="39">
        <v>2421</v>
      </c>
      <c r="F39" s="56">
        <v>5.08</v>
      </c>
      <c r="G39" s="51"/>
      <c r="H39" s="44">
        <f t="shared" si="7"/>
        <v>-0.91286999999999996</v>
      </c>
      <c r="I39" s="52">
        <f t="shared" si="6"/>
        <v>2.04</v>
      </c>
      <c r="J39" s="44">
        <f t="shared" si="2"/>
        <v>2.9528699999999999</v>
      </c>
      <c r="K39" s="44">
        <f t="shared" si="3"/>
        <v>-4.4893799999999997</v>
      </c>
      <c r="L39" s="44">
        <f t="shared" si="4"/>
        <v>-1005.9900000000004</v>
      </c>
      <c r="M39" s="53">
        <f t="shared" si="5"/>
        <v>-1001.5006200000004</v>
      </c>
      <c r="N39" s="228"/>
      <c r="O39" s="229"/>
      <c r="P39" s="230"/>
      <c r="Q39" s="47">
        <v>44584.340277777781</v>
      </c>
      <c r="R39" s="44">
        <f t="shared" si="0"/>
        <v>7.382174998496053</v>
      </c>
      <c r="S39" s="44">
        <f t="shared" si="1"/>
        <v>-96.452708184862132</v>
      </c>
    </row>
    <row r="40" spans="1:19" ht="12" customHeight="1" x14ac:dyDescent="0.2">
      <c r="A40" s="37"/>
      <c r="B40" s="48"/>
      <c r="C40" s="49">
        <v>4.41</v>
      </c>
      <c r="D40" s="58"/>
      <c r="E40" s="39">
        <v>2421</v>
      </c>
      <c r="F40" s="56">
        <v>3.58</v>
      </c>
      <c r="G40" s="51"/>
      <c r="H40" s="44">
        <f t="shared" si="7"/>
        <v>0</v>
      </c>
      <c r="I40" s="52">
        <f t="shared" si="6"/>
        <v>-1.5</v>
      </c>
      <c r="J40" s="44">
        <f t="shared" si="2"/>
        <v>-1.5</v>
      </c>
      <c r="K40" s="44">
        <f t="shared" si="3"/>
        <v>-4.4893799999999997</v>
      </c>
      <c r="L40" s="44">
        <f t="shared" si="4"/>
        <v>-1007.4900000000004</v>
      </c>
      <c r="M40" s="53">
        <f t="shared" si="5"/>
        <v>-1003.0006200000004</v>
      </c>
      <c r="N40" s="231"/>
      <c r="O40" s="229"/>
      <c r="P40" s="230"/>
      <c r="Q40" s="47">
        <v>44584.347222222219</v>
      </c>
      <c r="R40" s="44">
        <f t="shared" si="0"/>
        <v>-9.0000000083819032</v>
      </c>
      <c r="S40" s="44">
        <f t="shared" si="1"/>
        <v>-95.071148815270817</v>
      </c>
    </row>
    <row r="41" spans="1:19" ht="12" customHeight="1" x14ac:dyDescent="0.2">
      <c r="A41" s="37"/>
      <c r="B41" s="48"/>
      <c r="C41" s="49">
        <v>4.41</v>
      </c>
      <c r="D41" s="58"/>
      <c r="E41" s="50">
        <v>2337</v>
      </c>
      <c r="F41" s="40">
        <v>8.16</v>
      </c>
      <c r="G41" s="51">
        <v>6.94</v>
      </c>
      <c r="H41" s="44">
        <f t="shared" si="7"/>
        <v>-0.37043999999999999</v>
      </c>
      <c r="I41" s="52">
        <f t="shared" si="6"/>
        <v>-2.3600000000000003</v>
      </c>
      <c r="J41" s="44">
        <f t="shared" si="2"/>
        <v>-1.9895600000000004</v>
      </c>
      <c r="K41" s="44">
        <f t="shared" si="3"/>
        <v>-4.85982</v>
      </c>
      <c r="L41" s="44">
        <f t="shared" si="4"/>
        <v>-1009.8500000000004</v>
      </c>
      <c r="M41" s="53">
        <f t="shared" si="5"/>
        <v>-1004.9901800000004</v>
      </c>
      <c r="N41" s="228"/>
      <c r="O41" s="229"/>
      <c r="P41" s="230"/>
      <c r="Q41" s="47">
        <v>44584.352777777778</v>
      </c>
      <c r="R41" s="44">
        <f t="shared" si="0"/>
        <v>-14.921699990445873</v>
      </c>
      <c r="S41" s="44">
        <f t="shared" si="1"/>
        <v>-94.070843681098083</v>
      </c>
    </row>
    <row r="42" spans="1:19" ht="12" customHeight="1" x14ac:dyDescent="0.2">
      <c r="A42" s="37"/>
      <c r="B42" s="48"/>
      <c r="C42" s="49">
        <v>4.41</v>
      </c>
      <c r="D42" s="58"/>
      <c r="E42" s="39">
        <v>2047</v>
      </c>
      <c r="F42" s="40">
        <v>2.84</v>
      </c>
      <c r="G42" s="51"/>
      <c r="H42" s="44">
        <f t="shared" si="7"/>
        <v>-1.2789000000000001</v>
      </c>
      <c r="I42" s="52">
        <f t="shared" si="6"/>
        <v>-5.32</v>
      </c>
      <c r="J42" s="44">
        <f t="shared" si="2"/>
        <v>-4.0411000000000001</v>
      </c>
      <c r="K42" s="44">
        <f t="shared" si="3"/>
        <v>-6.1387200000000002</v>
      </c>
      <c r="L42" s="44">
        <f t="shared" si="4"/>
        <v>-1015.1700000000004</v>
      </c>
      <c r="M42" s="53">
        <f t="shared" si="5"/>
        <v>-1009.0312800000004</v>
      </c>
      <c r="N42" s="228"/>
      <c r="O42" s="229"/>
      <c r="P42" s="230"/>
      <c r="Q42" s="47">
        <v>44584.369444444441</v>
      </c>
      <c r="R42" s="44">
        <f t="shared" si="0"/>
        <v>-10.102750002352231</v>
      </c>
      <c r="S42" s="44">
        <f t="shared" si="1"/>
        <v>-91.040416240760919</v>
      </c>
    </row>
    <row r="43" spans="1:19" ht="12" customHeight="1" x14ac:dyDescent="0.2">
      <c r="A43" s="37"/>
      <c r="B43" s="48"/>
      <c r="C43" s="49">
        <v>4.41</v>
      </c>
      <c r="D43" s="58"/>
      <c r="E43" s="50">
        <v>1786</v>
      </c>
      <c r="F43" s="40">
        <v>5.3</v>
      </c>
      <c r="G43" s="51">
        <v>6.07</v>
      </c>
      <c r="H43" s="44">
        <f t="shared" si="7"/>
        <v>-1.1510100000000001</v>
      </c>
      <c r="I43" s="52">
        <f t="shared" si="6"/>
        <v>-3.6100000000000003</v>
      </c>
      <c r="J43" s="44">
        <f t="shared" si="2"/>
        <v>-2.45899</v>
      </c>
      <c r="K43" s="44">
        <f t="shared" si="3"/>
        <v>-7.2897300000000005</v>
      </c>
      <c r="L43" s="44">
        <f t="shared" si="4"/>
        <v>-1018.7800000000004</v>
      </c>
      <c r="M43" s="53">
        <f t="shared" si="5"/>
        <v>-1011.4902700000005</v>
      </c>
      <c r="N43" s="228"/>
      <c r="O43" s="229"/>
      <c r="P43" s="230"/>
      <c r="Q43" s="47">
        <v>44584.382638888892</v>
      </c>
      <c r="R43" s="44">
        <f t="shared" si="0"/>
        <v>-7.76523157504593</v>
      </c>
      <c r="S43" s="44">
        <f t="shared" si="1"/>
        <v>-88.727216665579419</v>
      </c>
    </row>
    <row r="44" spans="1:19" ht="12" customHeight="1" x14ac:dyDescent="0.2">
      <c r="A44" s="37"/>
      <c r="B44" s="48"/>
      <c r="C44" s="49">
        <v>4.41</v>
      </c>
      <c r="D44" s="58"/>
      <c r="E44" s="50">
        <v>1553</v>
      </c>
      <c r="F44" s="56">
        <v>7.74</v>
      </c>
      <c r="G44" s="51">
        <v>7.5</v>
      </c>
      <c r="H44" s="44">
        <f t="shared" si="7"/>
        <v>-1.0275300000000001</v>
      </c>
      <c r="I44" s="52">
        <f t="shared" si="6"/>
        <v>-5.0599999999999996</v>
      </c>
      <c r="J44" s="44">
        <f t="shared" si="2"/>
        <v>-4.03247</v>
      </c>
      <c r="K44" s="44">
        <f t="shared" si="3"/>
        <v>-8.317260000000001</v>
      </c>
      <c r="L44" s="44">
        <f t="shared" si="4"/>
        <v>-1023.8400000000004</v>
      </c>
      <c r="M44" s="53">
        <f t="shared" si="5"/>
        <v>-1015.5227400000003</v>
      </c>
      <c r="N44" s="243"/>
      <c r="O44" s="244"/>
      <c r="P44" s="245"/>
      <c r="Q44" s="47">
        <v>44584.393750000003</v>
      </c>
      <c r="R44" s="44">
        <f t="shared" si="0"/>
        <v>-15.121762500220051</v>
      </c>
      <c r="S44" s="44">
        <f t="shared" si="1"/>
        <v>-87.044806284700982</v>
      </c>
    </row>
    <row r="45" spans="1:19" ht="12" customHeight="1" x14ac:dyDescent="0.2">
      <c r="A45" s="37"/>
      <c r="B45" s="48"/>
      <c r="C45" s="49">
        <v>4.41</v>
      </c>
      <c r="D45" s="58"/>
      <c r="E45" s="50">
        <v>1436</v>
      </c>
      <c r="F45" s="40">
        <v>7.2</v>
      </c>
      <c r="G45" s="51"/>
      <c r="H45" s="44">
        <f t="shared" si="7"/>
        <v>-0.51597000000000004</v>
      </c>
      <c r="I45" s="52">
        <f t="shared" si="6"/>
        <v>-0.54</v>
      </c>
      <c r="J45" s="44">
        <f t="shared" si="2"/>
        <v>-2.4029999999999996E-2</v>
      </c>
      <c r="K45" s="44">
        <f t="shared" si="3"/>
        <v>-8.8332300000000004</v>
      </c>
      <c r="L45" s="44">
        <f t="shared" si="4"/>
        <v>-1024.3800000000003</v>
      </c>
      <c r="M45" s="53">
        <f t="shared" si="5"/>
        <v>-1015.5467700000004</v>
      </c>
      <c r="N45" s="243"/>
      <c r="O45" s="244"/>
      <c r="P45" s="245"/>
      <c r="Q45" s="47">
        <v>44584.397916666669</v>
      </c>
      <c r="R45" s="44">
        <f t="shared" si="0"/>
        <v>-0.24030000005594918</v>
      </c>
      <c r="S45" s="44">
        <f t="shared" si="1"/>
        <v>-86.307090934018802</v>
      </c>
    </row>
    <row r="46" spans="1:19" ht="12" customHeight="1" x14ac:dyDescent="0.2">
      <c r="A46" s="37"/>
      <c r="B46" s="48"/>
      <c r="C46" s="49">
        <v>4.41</v>
      </c>
      <c r="D46" s="58"/>
      <c r="E46" s="50">
        <v>1206</v>
      </c>
      <c r="F46" s="40">
        <v>3.9</v>
      </c>
      <c r="G46" s="51"/>
      <c r="H46" s="44">
        <f t="shared" si="7"/>
        <v>-1.0143</v>
      </c>
      <c r="I46" s="52">
        <f t="shared" si="6"/>
        <v>-3.3000000000000003</v>
      </c>
      <c r="J46" s="44">
        <f t="shared" si="2"/>
        <v>-2.2857000000000003</v>
      </c>
      <c r="K46" s="44">
        <f t="shared" si="3"/>
        <v>-9.8475300000000008</v>
      </c>
      <c r="L46" s="44">
        <f t="shared" si="4"/>
        <v>-1027.6800000000003</v>
      </c>
      <c r="M46" s="53">
        <f t="shared" si="5"/>
        <v>-1017.8324700000003</v>
      </c>
      <c r="N46" s="243"/>
      <c r="O46" s="244"/>
      <c r="P46" s="245"/>
      <c r="Q46" s="47">
        <v>44584.406944444447</v>
      </c>
      <c r="R46" s="44">
        <f t="shared" si="0"/>
        <v>-10.549384615006737</v>
      </c>
      <c r="S46" s="44">
        <f t="shared" si="1"/>
        <v>-84.937341028354609</v>
      </c>
    </row>
    <row r="47" spans="1:19" ht="12" customHeight="1" x14ac:dyDescent="0.2">
      <c r="A47" s="37"/>
      <c r="B47" s="48"/>
      <c r="C47" s="49">
        <v>4.41</v>
      </c>
      <c r="D47" s="58"/>
      <c r="E47" s="50">
        <v>916</v>
      </c>
      <c r="F47" s="40">
        <v>5.81</v>
      </c>
      <c r="G47" s="51">
        <v>6.14</v>
      </c>
      <c r="H47" s="44">
        <f t="shared" si="7"/>
        <v>-1.2789000000000001</v>
      </c>
      <c r="I47" s="52">
        <f t="shared" si="6"/>
        <v>-4.2300000000000004</v>
      </c>
      <c r="J47" s="44">
        <f t="shared" si="2"/>
        <v>-2.9511000000000003</v>
      </c>
      <c r="K47" s="44">
        <f t="shared" si="3"/>
        <v>-11.126430000000001</v>
      </c>
      <c r="L47" s="44">
        <f t="shared" si="4"/>
        <v>-1031.9100000000003</v>
      </c>
      <c r="M47" s="53">
        <f t="shared" si="5"/>
        <v>-1020.7835700000003</v>
      </c>
      <c r="N47" s="243"/>
      <c r="O47" s="244"/>
      <c r="P47" s="245"/>
      <c r="Q47" s="47">
        <v>44584.421527777777</v>
      </c>
      <c r="R47" s="44">
        <f t="shared" si="0"/>
        <v>-8.4317142876774476</v>
      </c>
      <c r="S47" s="44">
        <f t="shared" si="1"/>
        <v>-82.766235405145011</v>
      </c>
    </row>
    <row r="48" spans="1:19" ht="12" customHeight="1" x14ac:dyDescent="0.2">
      <c r="A48" s="37"/>
      <c r="B48" s="48"/>
      <c r="C48" s="49">
        <v>4.41</v>
      </c>
      <c r="D48" s="58"/>
      <c r="E48" s="50">
        <v>655</v>
      </c>
      <c r="F48" s="40">
        <v>7.95</v>
      </c>
      <c r="G48" s="51">
        <v>7.34</v>
      </c>
      <c r="H48" s="44">
        <f t="shared" si="7"/>
        <v>-1.1510100000000001</v>
      </c>
      <c r="I48" s="52">
        <f t="shared" si="6"/>
        <v>-5.1999999999999993</v>
      </c>
      <c r="J48" s="44">
        <f t="shared" si="2"/>
        <v>-4.048989999999999</v>
      </c>
      <c r="K48" s="44">
        <f t="shared" si="3"/>
        <v>-12.27744</v>
      </c>
      <c r="L48" s="44">
        <f t="shared" si="4"/>
        <v>-1037.1100000000004</v>
      </c>
      <c r="M48" s="53">
        <f t="shared" si="5"/>
        <v>-1024.8325600000003</v>
      </c>
      <c r="N48" s="243"/>
      <c r="O48" s="244"/>
      <c r="P48" s="245"/>
      <c r="Q48" s="47">
        <v>44584.433333333334</v>
      </c>
      <c r="R48" s="44">
        <f t="shared" si="0"/>
        <v>-14.290552938632077</v>
      </c>
      <c r="S48" s="44">
        <f t="shared" si="1"/>
        <v>-81.228472390442576</v>
      </c>
    </row>
    <row r="49" spans="1:19" ht="12" customHeight="1" x14ac:dyDescent="0.2">
      <c r="A49" s="37"/>
      <c r="B49" s="48"/>
      <c r="C49" s="49">
        <v>4.41</v>
      </c>
      <c r="D49" s="58"/>
      <c r="E49" s="50">
        <v>509</v>
      </c>
      <c r="F49" s="40">
        <v>6.58</v>
      </c>
      <c r="G49" s="40"/>
      <c r="H49" s="44">
        <f>IF(E49="","",((E49-E48)*C49)/1000)</f>
        <v>-0.64385999999999999</v>
      </c>
      <c r="I49" s="52">
        <f t="shared" si="6"/>
        <v>-1.37</v>
      </c>
      <c r="J49" s="44">
        <f t="shared" si="2"/>
        <v>-0.72614000000000012</v>
      </c>
      <c r="K49" s="44">
        <f t="shared" si="3"/>
        <v>-12.9213</v>
      </c>
      <c r="L49" s="44">
        <f t="shared" si="4"/>
        <v>-1038.4800000000002</v>
      </c>
      <c r="M49" s="53">
        <f t="shared" si="5"/>
        <v>-1025.5587000000003</v>
      </c>
      <c r="N49" s="243" t="s">
        <v>66</v>
      </c>
      <c r="O49" s="244"/>
      <c r="P49" s="245"/>
      <c r="Q49" s="47">
        <v>44584.440972222219</v>
      </c>
      <c r="R49" s="44">
        <f t="shared" si="0"/>
        <v>-3.960763638543352</v>
      </c>
      <c r="S49" s="44">
        <f t="shared" si="1"/>
        <v>-80.121773437572898</v>
      </c>
    </row>
    <row r="50" spans="1:19" s="64" customFormat="1" ht="12" customHeight="1" x14ac:dyDescent="0.2">
      <c r="A50" s="63"/>
      <c r="B50" s="48"/>
      <c r="C50" s="49">
        <v>4.41</v>
      </c>
      <c r="D50" s="58"/>
      <c r="E50" s="50">
        <v>509</v>
      </c>
      <c r="F50" s="40">
        <v>5.2</v>
      </c>
      <c r="G50" s="40"/>
      <c r="H50" s="44">
        <f>IF(E50="","",((E50-E49)*C50)/1000)</f>
        <v>0</v>
      </c>
      <c r="I50" s="52">
        <f t="shared" si="6"/>
        <v>-1.38</v>
      </c>
      <c r="J50" s="44">
        <f t="shared" si="2"/>
        <v>-1.38</v>
      </c>
      <c r="K50" s="44">
        <f t="shared" si="3"/>
        <v>-12.9213</v>
      </c>
      <c r="L50" s="44">
        <f t="shared" si="4"/>
        <v>-1039.8600000000004</v>
      </c>
      <c r="M50" s="53">
        <f t="shared" si="5"/>
        <v>-1026.9387000000004</v>
      </c>
      <c r="N50" s="243"/>
      <c r="O50" s="244"/>
      <c r="P50" s="245"/>
      <c r="Q50" s="47">
        <v>44584.447222222225</v>
      </c>
      <c r="R50" s="44">
        <f t="shared" si="0"/>
        <v>-9.1999999914318309</v>
      </c>
      <c r="S50" s="44">
        <f t="shared" si="1"/>
        <v>-79.30028571350158</v>
      </c>
    </row>
    <row r="51" spans="1:19" s="64" customFormat="1" ht="12" customHeight="1" x14ac:dyDescent="0.2">
      <c r="A51" s="63" t="s">
        <v>30</v>
      </c>
      <c r="B51" s="48"/>
      <c r="C51" s="49">
        <v>4.41</v>
      </c>
      <c r="D51" s="58"/>
      <c r="E51" s="50">
        <v>216</v>
      </c>
      <c r="F51" s="40">
        <v>7.71</v>
      </c>
      <c r="G51" s="40">
        <v>7.72</v>
      </c>
      <c r="H51" s="44">
        <f>IF(E51="","",((E51-E50)*C51)/1000)</f>
        <v>-1.29213</v>
      </c>
      <c r="I51" s="52">
        <f t="shared" si="6"/>
        <v>-5.21</v>
      </c>
      <c r="J51" s="44">
        <f t="shared" si="2"/>
        <v>-3.9178699999999997</v>
      </c>
      <c r="K51" s="44">
        <f t="shared" si="3"/>
        <v>-14.213430000000001</v>
      </c>
      <c r="L51" s="44">
        <f t="shared" si="4"/>
        <v>-1045.0700000000004</v>
      </c>
      <c r="M51" s="53">
        <f t="shared" si="5"/>
        <v>-1030.8565700000004</v>
      </c>
      <c r="N51" s="243"/>
      <c r="O51" s="244"/>
      <c r="P51" s="245"/>
      <c r="Q51" s="65">
        <v>44584.461805555555</v>
      </c>
      <c r="R51" s="44">
        <f t="shared" si="0"/>
        <v>-11.19391428832057</v>
      </c>
      <c r="S51" s="44">
        <f t="shared" si="1"/>
        <v>-77.508012781683547</v>
      </c>
    </row>
    <row r="52" spans="1:19" s="64" customFormat="1" ht="12" customHeight="1" x14ac:dyDescent="0.2">
      <c r="A52" s="63"/>
      <c r="B52" s="48"/>
      <c r="C52" s="49">
        <v>4.41</v>
      </c>
      <c r="D52" s="58"/>
      <c r="E52" s="39">
        <v>81</v>
      </c>
      <c r="F52" s="40">
        <v>8.15</v>
      </c>
      <c r="G52" s="40">
        <v>6.93</v>
      </c>
      <c r="H52" s="44">
        <f t="shared" si="7"/>
        <v>-0.59535000000000005</v>
      </c>
      <c r="I52" s="52">
        <f t="shared" si="6"/>
        <v>-6.4899999999999993</v>
      </c>
      <c r="J52" s="44">
        <f t="shared" si="2"/>
        <v>-5.8946499999999995</v>
      </c>
      <c r="K52" s="44">
        <f t="shared" si="3"/>
        <v>-14.80878</v>
      </c>
      <c r="L52" s="44">
        <f t="shared" si="4"/>
        <v>-1051.5600000000004</v>
      </c>
      <c r="M52" s="53">
        <f t="shared" si="5"/>
        <v>-1036.7512200000003</v>
      </c>
      <c r="N52" s="243"/>
      <c r="O52" s="244"/>
      <c r="P52" s="245"/>
      <c r="Q52" s="47">
        <v>44584.48333333333</v>
      </c>
      <c r="R52" s="44">
        <f t="shared" si="0"/>
        <v>-11.409000001371027</v>
      </c>
      <c r="S52" s="44">
        <f t="shared" si="1"/>
        <v>-75.036276477768283</v>
      </c>
    </row>
    <row r="53" spans="1:19" s="67" customFormat="1" ht="12" customHeight="1" x14ac:dyDescent="0.2">
      <c r="A53" s="66"/>
      <c r="B53" s="48"/>
      <c r="C53" s="49">
        <v>4.41</v>
      </c>
      <c r="D53" s="58"/>
      <c r="E53" s="39">
        <v>81</v>
      </c>
      <c r="F53" s="40">
        <v>6.52</v>
      </c>
      <c r="G53" s="40"/>
      <c r="H53" s="44">
        <f t="shared" si="7"/>
        <v>0</v>
      </c>
      <c r="I53" s="52">
        <f t="shared" si="6"/>
        <v>-1.6300000000000008</v>
      </c>
      <c r="J53" s="44">
        <f t="shared" si="2"/>
        <v>-1.6300000000000008</v>
      </c>
      <c r="K53" s="44">
        <f t="shared" si="3"/>
        <v>-14.80878</v>
      </c>
      <c r="L53" s="44">
        <f t="shared" si="4"/>
        <v>-1053.1900000000005</v>
      </c>
      <c r="M53" s="53">
        <f t="shared" si="5"/>
        <v>-1038.3812200000004</v>
      </c>
      <c r="N53" s="243"/>
      <c r="O53" s="244"/>
      <c r="P53" s="245"/>
      <c r="Q53" s="47">
        <v>44584.491666666669</v>
      </c>
      <c r="R53" s="44">
        <f t="shared" si="0"/>
        <v>-8.1499999947816875</v>
      </c>
      <c r="S53" s="44">
        <f t="shared" si="1"/>
        <v>-74.08189441082024</v>
      </c>
    </row>
    <row r="54" spans="1:19" s="67" customFormat="1" ht="12" customHeight="1" x14ac:dyDescent="0.2">
      <c r="B54" s="48"/>
      <c r="C54" s="49">
        <v>4.41</v>
      </c>
      <c r="D54" s="39"/>
      <c r="E54" s="50">
        <v>42</v>
      </c>
      <c r="F54" s="40">
        <v>3.71</v>
      </c>
      <c r="G54" s="40">
        <v>6.62</v>
      </c>
      <c r="H54" s="44">
        <f t="shared" si="7"/>
        <v>-0.17199</v>
      </c>
      <c r="I54" s="52">
        <f t="shared" si="6"/>
        <v>-9.43</v>
      </c>
      <c r="J54" s="44">
        <f t="shared" si="2"/>
        <v>-9.2580100000000005</v>
      </c>
      <c r="K54" s="44">
        <f t="shared" si="3"/>
        <v>-14.98077</v>
      </c>
      <c r="L54" s="44">
        <f t="shared" si="4"/>
        <v>-1062.6200000000006</v>
      </c>
      <c r="M54" s="53">
        <f t="shared" si="5"/>
        <v>-1047.6392300000007</v>
      </c>
      <c r="N54" s="246"/>
      <c r="O54" s="244"/>
      <c r="P54" s="245"/>
      <c r="Q54" s="47">
        <v>44584.534722222219</v>
      </c>
      <c r="R54" s="44">
        <f t="shared" si="0"/>
        <v>-8.9593645172056853</v>
      </c>
      <c r="S54" s="44">
        <f t="shared" si="1"/>
        <v>-69.610580066499068</v>
      </c>
    </row>
    <row r="55" spans="1:19" s="67" customFormat="1" ht="12" customHeight="1" x14ac:dyDescent="0.2">
      <c r="B55" s="48"/>
      <c r="C55" s="49">
        <v>4.41</v>
      </c>
      <c r="D55" s="39"/>
      <c r="E55" s="39"/>
      <c r="F55" s="40"/>
      <c r="G55" s="40">
        <v>6.65</v>
      </c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>
        <v>4.41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4.41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4.41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4.41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4.41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>
        <v>4.41</v>
      </c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>
        <v>4.41</v>
      </c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>
        <v>4.41</v>
      </c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>
        <v>4.41</v>
      </c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>
        <v>4.41</v>
      </c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>
        <v>4.41</v>
      </c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>
        <v>4.41</v>
      </c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>
        <v>4.41</v>
      </c>
      <c r="D68" s="39"/>
      <c r="E68" s="39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47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>
        <v>4.41</v>
      </c>
      <c r="D69" s="39"/>
      <c r="E69" s="39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47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>
        <v>4.41</v>
      </c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>
        <v>4.41</v>
      </c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>
        <v>4.41</v>
      </c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>
        <v>4.41</v>
      </c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96"/>
      <c r="O76" s="97"/>
      <c r="P76" s="9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96"/>
      <c r="O77" s="97"/>
      <c r="P77" s="9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96"/>
      <c r="O78" s="97"/>
      <c r="P78" s="9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96"/>
      <c r="O79" s="97"/>
      <c r="P79" s="9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3">
    <mergeCell ref="N109:P109"/>
    <mergeCell ref="N110:P110"/>
    <mergeCell ref="N111:P111"/>
    <mergeCell ref="N112:P112"/>
    <mergeCell ref="N103:P103"/>
    <mergeCell ref="N104:P104"/>
    <mergeCell ref="N105:P105"/>
    <mergeCell ref="N106:P106"/>
    <mergeCell ref="N107:P107"/>
    <mergeCell ref="N108:P108"/>
    <mergeCell ref="N97:P97"/>
    <mergeCell ref="N98:P98"/>
    <mergeCell ref="N99:P99"/>
    <mergeCell ref="N100:P100"/>
    <mergeCell ref="N101:P101"/>
    <mergeCell ref="N102:P102"/>
    <mergeCell ref="N91:P91"/>
    <mergeCell ref="N92:P92"/>
    <mergeCell ref="N93:P93"/>
    <mergeCell ref="N94:P94"/>
    <mergeCell ref="N95:P95"/>
    <mergeCell ref="N96:P96"/>
    <mergeCell ref="N85:P85"/>
    <mergeCell ref="N86:P86"/>
    <mergeCell ref="N87:P87"/>
    <mergeCell ref="N88:P88"/>
    <mergeCell ref="N89:P89"/>
    <mergeCell ref="N90:P90"/>
    <mergeCell ref="N75:P75"/>
    <mergeCell ref="N80:P80"/>
    <mergeCell ref="N81:P81"/>
    <mergeCell ref="N82:P82"/>
    <mergeCell ref="N83:P83"/>
    <mergeCell ref="N84:P84"/>
    <mergeCell ref="N69:P69"/>
    <mergeCell ref="N70:P70"/>
    <mergeCell ref="N71:P71"/>
    <mergeCell ref="N72:P72"/>
    <mergeCell ref="N73:P73"/>
    <mergeCell ref="N74:P74"/>
    <mergeCell ref="N63:P63"/>
    <mergeCell ref="N64:P64"/>
    <mergeCell ref="N65:P65"/>
    <mergeCell ref="N66:P66"/>
    <mergeCell ref="N67:P67"/>
    <mergeCell ref="N68:P68"/>
    <mergeCell ref="N57:P57"/>
    <mergeCell ref="N58:P58"/>
    <mergeCell ref="N59:P59"/>
    <mergeCell ref="N60:P60"/>
    <mergeCell ref="N61:P61"/>
    <mergeCell ref="N62:P62"/>
    <mergeCell ref="N51:P51"/>
    <mergeCell ref="N52:P52"/>
    <mergeCell ref="N53:P53"/>
    <mergeCell ref="N54:P54"/>
    <mergeCell ref="N55:P55"/>
    <mergeCell ref="N56:P56"/>
    <mergeCell ref="N45:P45"/>
    <mergeCell ref="N46:P46"/>
    <mergeCell ref="N47:P47"/>
    <mergeCell ref="N48:P48"/>
    <mergeCell ref="N49:P49"/>
    <mergeCell ref="N50:P50"/>
    <mergeCell ref="N39:P39"/>
    <mergeCell ref="N40:P40"/>
    <mergeCell ref="N41:P41"/>
    <mergeCell ref="N42:P42"/>
    <mergeCell ref="N43:P43"/>
    <mergeCell ref="N44:P44"/>
    <mergeCell ref="N33:P33"/>
    <mergeCell ref="N34:P34"/>
    <mergeCell ref="N35:P35"/>
    <mergeCell ref="N36:P36"/>
    <mergeCell ref="N37:P37"/>
    <mergeCell ref="N38:P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U112"/>
  <sheetViews>
    <sheetView topLeftCell="A25" zoomScaleNormal="100" workbookViewId="0">
      <selection activeCell="Q55" sqref="Q5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10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10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103" t="s">
        <v>20</v>
      </c>
      <c r="I5" s="10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10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104" t="s">
        <v>28</v>
      </c>
      <c r="E6" s="39">
        <v>5264</v>
      </c>
      <c r="F6" s="40">
        <v>8.6300000000000008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44583.174305555556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5263</v>
      </c>
      <c r="F7" s="40">
        <v>8.09</v>
      </c>
      <c r="G7" s="51"/>
      <c r="H7" s="44">
        <f>IF(E7="","",((E7-E6)*C7)/1000)</f>
        <v>-4.3699999999999998E-3</v>
      </c>
      <c r="I7" s="52">
        <f>IF(F7="","",F7-F6-G7)</f>
        <v>-0.54000000000000092</v>
      </c>
      <c r="J7" s="44">
        <f>IF(F7="","",I7-H7)</f>
        <v>-0.53563000000000094</v>
      </c>
      <c r="K7" s="44">
        <f>IF(F7="","",K6+H7)</f>
        <v>-4.3699999999999998E-3</v>
      </c>
      <c r="L7" s="44">
        <f>IF(F7="","",L6+I7)</f>
        <v>-0.54000000000000092</v>
      </c>
      <c r="M7" s="53">
        <f>IF(F7="","",L7-K7)</f>
        <v>-0.53563000000000094</v>
      </c>
      <c r="N7" s="231"/>
      <c r="O7" s="229"/>
      <c r="P7" s="230"/>
      <c r="Q7" s="47">
        <v>44583.181250000001</v>
      </c>
      <c r="R7" s="44">
        <f t="shared" ref="R7:R70" si="0">IF(Q7="","",J7/((Q7-Q6)*24))</f>
        <v>-3.2137799996258725</v>
      </c>
      <c r="S7" s="44">
        <f t="shared" ref="S7:S70" si="1">IF(Q7="","",M7/((Q7-$Q$6)*24))</f>
        <v>-3.2137799996258725</v>
      </c>
    </row>
    <row r="8" spans="1:20" ht="12" customHeight="1" x14ac:dyDescent="0.2">
      <c r="A8" s="37"/>
      <c r="B8" s="48"/>
      <c r="C8" s="49">
        <v>4.37</v>
      </c>
      <c r="D8" s="54"/>
      <c r="E8" s="39">
        <v>5263</v>
      </c>
      <c r="F8" s="40">
        <v>7.19</v>
      </c>
      <c r="G8" s="51"/>
      <c r="H8" s="44">
        <f>IF(E8="","",((E8-E7)*C8)/1000)</f>
        <v>0</v>
      </c>
      <c r="I8" s="52">
        <f>IF(F8="","",F8-F7-G8)</f>
        <v>-0.89999999999999947</v>
      </c>
      <c r="J8" s="44">
        <f>IF(F8="","",I8-H8)</f>
        <v>-0.89999999999999947</v>
      </c>
      <c r="K8" s="44">
        <f>IF(F8="","",K7+H8)</f>
        <v>-4.3699999999999998E-3</v>
      </c>
      <c r="L8" s="44">
        <f>IF(F8="","",L7+I8)</f>
        <v>-1.4400000000000004</v>
      </c>
      <c r="M8" s="53">
        <f>IF(F8="","",L8-K8)</f>
        <v>-1.4356300000000004</v>
      </c>
      <c r="N8" s="231" t="s">
        <v>66</v>
      </c>
      <c r="O8" s="229"/>
      <c r="P8" s="230"/>
      <c r="Q8" s="47">
        <v>44583.186111111114</v>
      </c>
      <c r="R8" s="44">
        <f t="shared" si="0"/>
        <v>-7.7142857122329991</v>
      </c>
      <c r="S8" s="44">
        <f t="shared" si="1"/>
        <v>-5.0669294108625555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/>
      <c r="F9" s="40"/>
      <c r="G9" s="51"/>
      <c r="H9" s="44" t="str">
        <f>IF(E9="","",((E9-E8)*C9)/1000)</f>
        <v/>
      </c>
      <c r="I9" s="52" t="str">
        <f>IF(F9="","",F9-F8-G9)</f>
        <v/>
      </c>
      <c r="J9" s="44" t="str">
        <f>IF(F9="","",I9-H9)</f>
        <v/>
      </c>
      <c r="K9" s="44" t="str">
        <f>IF(F9="","",K8+H9)</f>
        <v/>
      </c>
      <c r="L9" s="44" t="str">
        <f>IF(F9="","",L8+I9)</f>
        <v/>
      </c>
      <c r="M9" s="53" t="str">
        <f>IF(F9="","",L9-K9)</f>
        <v/>
      </c>
      <c r="N9" s="228"/>
      <c r="O9" s="229"/>
      <c r="P9" s="230"/>
      <c r="Q9" s="47"/>
      <c r="R9" s="44" t="str">
        <f t="shared" si="0"/>
        <v/>
      </c>
      <c r="S9" s="44" t="str">
        <f t="shared" si="1"/>
        <v/>
      </c>
    </row>
    <row r="10" spans="1:20" ht="12" customHeight="1" x14ac:dyDescent="0.2">
      <c r="A10" s="37"/>
      <c r="B10" s="48"/>
      <c r="C10" s="49">
        <v>4.37</v>
      </c>
      <c r="D10" s="54"/>
      <c r="E10" s="39">
        <v>5244</v>
      </c>
      <c r="F10" s="40">
        <v>-7</v>
      </c>
      <c r="G10" s="51"/>
      <c r="H10" s="44">
        <f>IF(E10="","",((E10-E9)*C10)/1000)</f>
        <v>22.91628</v>
      </c>
      <c r="I10" s="52">
        <f>IF(F10="","",F10-F9-G10)</f>
        <v>-7</v>
      </c>
      <c r="J10" s="44">
        <f t="shared" ref="J10:J73" si="2">IF(F10="","",I10-H10)</f>
        <v>-29.91628</v>
      </c>
      <c r="K10" s="44" t="e">
        <f t="shared" ref="K10:K73" si="3">IF(F10="","",K9+H10)</f>
        <v>#VALUE!</v>
      </c>
      <c r="L10" s="44" t="e">
        <f t="shared" ref="L10:L73" si="4">IF(F10="","",L9+I10)</f>
        <v>#VALUE!</v>
      </c>
      <c r="M10" s="53" t="e">
        <f t="shared" ref="M10:M73" si="5">IF(F10="","",L10-K10)</f>
        <v>#VALUE!</v>
      </c>
      <c r="N10" s="249"/>
      <c r="O10" s="250"/>
      <c r="P10" s="251"/>
      <c r="Q10" s="47">
        <v>44583.274305555555</v>
      </c>
      <c r="R10" s="44">
        <f t="shared" si="0"/>
        <v>-2.795917720451811E-5</v>
      </c>
      <c r="S10" s="44" t="e">
        <f t="shared" si="1"/>
        <v>#VALUE!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5244</v>
      </c>
      <c r="F11" s="56">
        <v>-10.87</v>
      </c>
      <c r="G11" s="51"/>
      <c r="H11" s="44">
        <f>IF(E11="","",((E11-E10)*C11)/1000)</f>
        <v>0</v>
      </c>
      <c r="I11" s="52">
        <f t="shared" ref="I11:I74" si="6">IF(F11="","",F11-F10-G11)</f>
        <v>-3.8699999999999992</v>
      </c>
      <c r="J11" s="44">
        <f t="shared" si="2"/>
        <v>-3.8699999999999992</v>
      </c>
      <c r="K11" s="44" t="e">
        <f t="shared" si="3"/>
        <v>#VALUE!</v>
      </c>
      <c r="L11" s="44" t="e">
        <f t="shared" si="4"/>
        <v>#VALUE!</v>
      </c>
      <c r="M11" s="53" t="e">
        <f t="shared" si="5"/>
        <v>#VALUE!</v>
      </c>
      <c r="N11" s="228"/>
      <c r="O11" s="229"/>
      <c r="P11" s="230"/>
      <c r="Q11" s="47">
        <v>44583.280555555553</v>
      </c>
      <c r="R11" s="44">
        <f t="shared" si="0"/>
        <v>-25.800000006007025</v>
      </c>
      <c r="S11" s="44" t="e">
        <f t="shared" si="1"/>
        <v>#VALUE!</v>
      </c>
    </row>
    <row r="12" spans="1:20" ht="12" customHeight="1" x14ac:dyDescent="0.2">
      <c r="A12" s="37"/>
      <c r="B12" s="48"/>
      <c r="C12" s="49">
        <v>4.37</v>
      </c>
      <c r="D12" s="54"/>
      <c r="E12" s="39"/>
      <c r="F12" s="56"/>
      <c r="G12" s="51"/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4.37</v>
      </c>
      <c r="D13" s="54"/>
      <c r="E13" s="39">
        <v>5248</v>
      </c>
      <c r="F13" s="56">
        <v>127.25</v>
      </c>
      <c r="G13" s="51"/>
      <c r="H13" s="44">
        <f>IF(E13="","",((E13-E12)*C13)/1000)</f>
        <v>22.933760000000003</v>
      </c>
      <c r="I13" s="52">
        <f t="shared" si="6"/>
        <v>127.25</v>
      </c>
      <c r="J13" s="44">
        <f t="shared" si="2"/>
        <v>104.31623999999999</v>
      </c>
      <c r="K13" s="44" t="e">
        <f t="shared" si="3"/>
        <v>#VALUE!</v>
      </c>
      <c r="L13" s="44" t="e">
        <f t="shared" si="4"/>
        <v>#VALUE!</v>
      </c>
      <c r="M13" s="53" t="e">
        <f t="shared" si="5"/>
        <v>#VALUE!</v>
      </c>
      <c r="N13" s="231"/>
      <c r="O13" s="229"/>
      <c r="P13" s="230"/>
      <c r="Q13" s="47">
        <v>44583.290277777778</v>
      </c>
      <c r="R13" s="44">
        <f t="shared" si="0"/>
        <v>9.7491907235175188E-5</v>
      </c>
      <c r="S13" s="44" t="e">
        <f t="shared" si="1"/>
        <v>#VALUE!</v>
      </c>
    </row>
    <row r="14" spans="1:20" ht="12" customHeight="1" x14ac:dyDescent="0.2">
      <c r="A14" s="37"/>
      <c r="B14" s="48"/>
      <c r="C14" s="49">
        <v>4.37</v>
      </c>
      <c r="D14" s="54"/>
      <c r="E14" s="39">
        <v>5249.54</v>
      </c>
      <c r="F14" s="56">
        <v>124.1</v>
      </c>
      <c r="G14" s="51"/>
      <c r="H14" s="44">
        <f t="shared" si="7"/>
        <v>6.7297999999998406E-3</v>
      </c>
      <c r="I14" s="52">
        <f t="shared" si="6"/>
        <v>-3.1500000000000057</v>
      </c>
      <c r="J14" s="44">
        <f t="shared" si="2"/>
        <v>-3.1567298000000057</v>
      </c>
      <c r="K14" s="44" t="e">
        <f t="shared" si="3"/>
        <v>#VALUE!</v>
      </c>
      <c r="L14" s="44" t="e">
        <f t="shared" si="4"/>
        <v>#VALUE!</v>
      </c>
      <c r="M14" s="53" t="e">
        <f t="shared" si="5"/>
        <v>#VALUE!</v>
      </c>
      <c r="N14" s="231"/>
      <c r="O14" s="229"/>
      <c r="P14" s="230"/>
      <c r="Q14" s="47">
        <v>44583.29583333333</v>
      </c>
      <c r="R14" s="44">
        <f t="shared" si="0"/>
        <v>-23.675473515848122</v>
      </c>
      <c r="S14" s="44" t="e">
        <f t="shared" si="1"/>
        <v>#VALUE!</v>
      </c>
    </row>
    <row r="15" spans="1:20" ht="12" customHeight="1" x14ac:dyDescent="0.2">
      <c r="A15" s="37"/>
      <c r="B15" s="48"/>
      <c r="C15" s="49">
        <v>4.37</v>
      </c>
      <c r="D15" s="54"/>
      <c r="E15" s="39">
        <v>5253</v>
      </c>
      <c r="F15" s="40">
        <v>119.55</v>
      </c>
      <c r="G15" s="51"/>
      <c r="H15" s="44">
        <f t="shared" si="7"/>
        <v>1.5120200000000158E-2</v>
      </c>
      <c r="I15" s="52">
        <f t="shared" si="6"/>
        <v>-4.5499999999999972</v>
      </c>
      <c r="J15" s="44">
        <f t="shared" si="2"/>
        <v>-4.5651201999999973</v>
      </c>
      <c r="K15" s="44" t="e">
        <f t="shared" si="3"/>
        <v>#VALUE!</v>
      </c>
      <c r="L15" s="44" t="e">
        <f t="shared" si="4"/>
        <v>#VALUE!</v>
      </c>
      <c r="M15" s="53" t="e">
        <f t="shared" si="5"/>
        <v>#VALUE!</v>
      </c>
      <c r="N15" s="231"/>
      <c r="O15" s="229"/>
      <c r="P15" s="230"/>
      <c r="Q15" s="47">
        <v>44583.311805555553</v>
      </c>
      <c r="R15" s="44">
        <f t="shared" si="0"/>
        <v>-11.909009216547407</v>
      </c>
      <c r="S15" s="44" t="e">
        <f t="shared" si="1"/>
        <v>#VALUE!</v>
      </c>
    </row>
    <row r="16" spans="1:20" ht="12" customHeight="1" x14ac:dyDescent="0.2">
      <c r="A16" s="37"/>
      <c r="B16" s="48"/>
      <c r="C16" s="49">
        <v>4.37</v>
      </c>
      <c r="D16" s="57"/>
      <c r="E16" s="39">
        <v>5253</v>
      </c>
      <c r="F16" s="40">
        <v>119.38</v>
      </c>
      <c r="G16" s="51"/>
      <c r="H16" s="44">
        <f t="shared" si="7"/>
        <v>0</v>
      </c>
      <c r="I16" s="52">
        <f t="shared" si="6"/>
        <v>-0.17000000000000171</v>
      </c>
      <c r="J16" s="44">
        <f t="shared" si="2"/>
        <v>-0.17000000000000171</v>
      </c>
      <c r="K16" s="44" t="e">
        <f t="shared" si="3"/>
        <v>#VALUE!</v>
      </c>
      <c r="L16" s="44" t="e">
        <f t="shared" si="4"/>
        <v>#VALUE!</v>
      </c>
      <c r="M16" s="53" t="e">
        <f t="shared" si="5"/>
        <v>#VALUE!</v>
      </c>
      <c r="N16" s="228"/>
      <c r="O16" s="229"/>
      <c r="P16" s="230"/>
      <c r="Q16" s="47">
        <v>44583.325694444444</v>
      </c>
      <c r="R16" s="44">
        <f t="shared" si="0"/>
        <v>-0.50999999994063328</v>
      </c>
      <c r="S16" s="44" t="e">
        <f t="shared" si="1"/>
        <v>#VALUE!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5253</v>
      </c>
      <c r="F17" s="40"/>
      <c r="G17" s="51"/>
      <c r="H17" s="44">
        <f t="shared" si="7"/>
        <v>0</v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4.37</v>
      </c>
      <c r="D18" s="54"/>
      <c r="E18" s="39">
        <v>5253</v>
      </c>
      <c r="F18" s="40">
        <v>8.1199999999999992</v>
      </c>
      <c r="G18" s="40"/>
      <c r="H18" s="44">
        <f t="shared" si="7"/>
        <v>0</v>
      </c>
      <c r="I18" s="52">
        <f t="shared" si="6"/>
        <v>8.1199999999999992</v>
      </c>
      <c r="J18" s="44">
        <f t="shared" si="2"/>
        <v>8.1199999999999992</v>
      </c>
      <c r="K18" s="44" t="e">
        <f t="shared" si="3"/>
        <v>#VALUE!</v>
      </c>
      <c r="L18" s="44" t="e">
        <f t="shared" si="4"/>
        <v>#VALUE!</v>
      </c>
      <c r="M18" s="53" t="e">
        <f t="shared" si="5"/>
        <v>#VALUE!</v>
      </c>
      <c r="N18" s="231" t="s">
        <v>66</v>
      </c>
      <c r="O18" s="229"/>
      <c r="P18" s="230"/>
      <c r="Q18" s="47">
        <v>44583.318055555559</v>
      </c>
      <c r="R18" s="44">
        <f t="shared" si="0"/>
        <v>7.5887876472481026E-6</v>
      </c>
      <c r="S18" s="44" t="e">
        <f t="shared" si="1"/>
        <v>#VALUE!</v>
      </c>
    </row>
    <row r="19" spans="1:19" ht="12" customHeight="1" x14ac:dyDescent="0.2">
      <c r="A19" s="37"/>
      <c r="B19" s="48"/>
      <c r="C19" s="49">
        <v>4.37</v>
      </c>
      <c r="D19" s="54"/>
      <c r="E19" s="39">
        <v>5253</v>
      </c>
      <c r="F19" s="40">
        <v>8.0399999999999991</v>
      </c>
      <c r="G19" s="40"/>
      <c r="H19" s="44">
        <f t="shared" si="7"/>
        <v>0</v>
      </c>
      <c r="I19" s="52">
        <f t="shared" si="6"/>
        <v>-8.0000000000000071E-2</v>
      </c>
      <c r="J19" s="44">
        <f t="shared" si="2"/>
        <v>-8.0000000000000071E-2</v>
      </c>
      <c r="K19" s="44" t="e">
        <f t="shared" si="3"/>
        <v>#VALUE!</v>
      </c>
      <c r="L19" s="44" t="e">
        <f t="shared" si="4"/>
        <v>#VALUE!</v>
      </c>
      <c r="M19" s="53" t="e">
        <f t="shared" si="5"/>
        <v>#VALUE!</v>
      </c>
      <c r="N19" s="228"/>
      <c r="O19" s="229"/>
      <c r="P19" s="230"/>
      <c r="Q19" s="47">
        <v>44583.323611111111</v>
      </c>
      <c r="R19" s="44">
        <f t="shared" si="0"/>
        <v>-0.60000000040163337</v>
      </c>
      <c r="S19" s="44" t="e">
        <f t="shared" si="1"/>
        <v>#VALUE!</v>
      </c>
    </row>
    <row r="20" spans="1:19" ht="12" customHeight="1" x14ac:dyDescent="0.2">
      <c r="A20" s="37"/>
      <c r="B20" s="48"/>
      <c r="C20" s="49">
        <v>4.37</v>
      </c>
      <c r="D20" s="54"/>
      <c r="E20" s="39">
        <v>5253</v>
      </c>
      <c r="F20" s="40">
        <v>7.64</v>
      </c>
      <c r="G20" s="40"/>
      <c r="H20" s="44">
        <f t="shared" si="7"/>
        <v>0</v>
      </c>
      <c r="I20" s="52">
        <f t="shared" si="6"/>
        <v>-0.39999999999999947</v>
      </c>
      <c r="J20" s="44">
        <f t="shared" si="2"/>
        <v>-0.39999999999999947</v>
      </c>
      <c r="K20" s="44" t="e">
        <f t="shared" si="3"/>
        <v>#VALUE!</v>
      </c>
      <c r="L20" s="44" t="e">
        <f t="shared" si="4"/>
        <v>#VALUE!</v>
      </c>
      <c r="M20" s="53" t="e">
        <f t="shared" si="5"/>
        <v>#VALUE!</v>
      </c>
      <c r="N20" s="242"/>
      <c r="O20" s="229"/>
      <c r="P20" s="230"/>
      <c r="Q20" s="47">
        <v>44583.330555555556</v>
      </c>
      <c r="R20" s="44">
        <f t="shared" si="0"/>
        <v>-2.3999999997205999</v>
      </c>
      <c r="S20" s="44" t="e">
        <f t="shared" si="1"/>
        <v>#VALUE!</v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>
        <v>5269</v>
      </c>
      <c r="F22" s="40">
        <v>108.9</v>
      </c>
      <c r="G22" s="51"/>
      <c r="H22" s="44">
        <f t="shared" si="7"/>
        <v>23.02553</v>
      </c>
      <c r="I22" s="52">
        <f t="shared" si="6"/>
        <v>108.9</v>
      </c>
      <c r="J22" s="44">
        <f t="shared" si="2"/>
        <v>85.874470000000002</v>
      </c>
      <c r="K22" s="44" t="e">
        <f t="shared" si="3"/>
        <v>#VALUE!</v>
      </c>
      <c r="L22" s="44" t="e">
        <f t="shared" si="4"/>
        <v>#VALUE!</v>
      </c>
      <c r="M22" s="53" t="e">
        <f t="shared" si="5"/>
        <v>#VALUE!</v>
      </c>
      <c r="N22" s="228"/>
      <c r="O22" s="229"/>
      <c r="P22" s="230"/>
      <c r="Q22" s="47">
        <v>44583.347222222219</v>
      </c>
      <c r="R22" s="44">
        <f t="shared" si="0"/>
        <v>8.0256489016670093E-5</v>
      </c>
      <c r="S22" s="44" t="e">
        <f t="shared" si="1"/>
        <v>#VALUE!</v>
      </c>
    </row>
    <row r="23" spans="1:19" ht="12" customHeight="1" x14ac:dyDescent="0.2">
      <c r="A23" s="37"/>
      <c r="B23" s="48"/>
      <c r="C23" s="49">
        <v>4.37</v>
      </c>
      <c r="D23" s="54"/>
      <c r="E23" s="39">
        <v>5350</v>
      </c>
      <c r="F23" s="40">
        <v>95.84</v>
      </c>
      <c r="G23" s="51"/>
      <c r="H23" s="44">
        <f t="shared" si="7"/>
        <v>0.35397000000000001</v>
      </c>
      <c r="I23" s="52">
        <f t="shared" si="6"/>
        <v>-13.060000000000002</v>
      </c>
      <c r="J23" s="44">
        <f t="shared" si="2"/>
        <v>-13.413970000000003</v>
      </c>
      <c r="K23" s="44" t="e">
        <f t="shared" si="3"/>
        <v>#VALUE!</v>
      </c>
      <c r="L23" s="44" t="e">
        <f t="shared" si="4"/>
        <v>#VALUE!</v>
      </c>
      <c r="M23" s="53" t="e">
        <f t="shared" si="5"/>
        <v>#VALUE!</v>
      </c>
      <c r="N23" s="228"/>
      <c r="O23" s="229"/>
      <c r="P23" s="230"/>
      <c r="Q23" s="47">
        <v>44583.365972222222</v>
      </c>
      <c r="R23" s="44">
        <f t="shared" si="0"/>
        <v>-29.808822217595289</v>
      </c>
      <c r="S23" s="44" t="e">
        <f t="shared" si="1"/>
        <v>#VALUE!</v>
      </c>
    </row>
    <row r="24" spans="1:19" ht="12" customHeight="1" x14ac:dyDescent="0.2">
      <c r="A24" s="37"/>
      <c r="B24" s="48"/>
      <c r="C24" s="49">
        <v>4.37</v>
      </c>
      <c r="D24" s="54"/>
      <c r="E24" s="39">
        <v>5352</v>
      </c>
      <c r="F24" s="40">
        <v>2.46</v>
      </c>
      <c r="G24" s="51"/>
      <c r="H24" s="44">
        <f t="shared" si="7"/>
        <v>8.7399999999999995E-3</v>
      </c>
      <c r="I24" s="52">
        <f t="shared" si="6"/>
        <v>-93.38000000000001</v>
      </c>
      <c r="J24" s="44">
        <f t="shared" si="2"/>
        <v>-93.388740000000013</v>
      </c>
      <c r="K24" s="44" t="e">
        <f t="shared" si="3"/>
        <v>#VALUE!</v>
      </c>
      <c r="L24" s="44" t="e">
        <f t="shared" si="4"/>
        <v>#VALUE!</v>
      </c>
      <c r="M24" s="53" t="e">
        <f t="shared" si="5"/>
        <v>#VALUE!</v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>
        <v>5352</v>
      </c>
      <c r="F25" s="40"/>
      <c r="G25" s="51"/>
      <c r="H25" s="44">
        <f t="shared" si="7"/>
        <v>0</v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>
        <v>5352</v>
      </c>
      <c r="F29" s="40">
        <v>95.68</v>
      </c>
      <c r="G29" s="51"/>
      <c r="H29" s="44">
        <f t="shared" si="7"/>
        <v>23.388240000000003</v>
      </c>
      <c r="I29" s="52">
        <f t="shared" si="6"/>
        <v>95.68</v>
      </c>
      <c r="J29" s="44">
        <f t="shared" si="2"/>
        <v>72.291760000000011</v>
      </c>
      <c r="K29" s="44" t="e">
        <f t="shared" si="3"/>
        <v>#VALUE!</v>
      </c>
      <c r="L29" s="44" t="e">
        <f t="shared" si="4"/>
        <v>#VALUE!</v>
      </c>
      <c r="M29" s="53" t="e">
        <f t="shared" si="5"/>
        <v>#VALUE!</v>
      </c>
      <c r="N29" s="228"/>
      <c r="O29" s="229"/>
      <c r="P29" s="230"/>
      <c r="Q29" s="47">
        <v>44583.365972222222</v>
      </c>
      <c r="R29" s="44">
        <f t="shared" si="0"/>
        <v>6.7562343061836088E-5</v>
      </c>
      <c r="S29" s="44" t="e">
        <f t="shared" si="1"/>
        <v>#VALUE!</v>
      </c>
    </row>
    <row r="30" spans="1:19" ht="12" customHeight="1" x14ac:dyDescent="0.2">
      <c r="A30" s="37"/>
      <c r="B30" s="48"/>
      <c r="C30" s="49">
        <v>4.37</v>
      </c>
      <c r="D30" s="58"/>
      <c r="E30" s="39">
        <v>5352</v>
      </c>
      <c r="F30" s="40">
        <v>85.67</v>
      </c>
      <c r="G30" s="59"/>
      <c r="H30" s="44">
        <f t="shared" si="7"/>
        <v>0</v>
      </c>
      <c r="I30" s="52">
        <f t="shared" si="6"/>
        <v>-10.010000000000005</v>
      </c>
      <c r="J30" s="44">
        <f t="shared" si="2"/>
        <v>-10.010000000000005</v>
      </c>
      <c r="K30" s="44" t="e">
        <f t="shared" si="3"/>
        <v>#VALUE!</v>
      </c>
      <c r="L30" s="44" t="e">
        <f t="shared" si="4"/>
        <v>#VALUE!</v>
      </c>
      <c r="M30" s="53" t="e">
        <f t="shared" si="5"/>
        <v>#VALUE!</v>
      </c>
      <c r="N30" s="228"/>
      <c r="O30" s="229"/>
      <c r="P30" s="230"/>
      <c r="Q30" s="47">
        <v>44583.372916666667</v>
      </c>
      <c r="R30" s="44">
        <f t="shared" si="0"/>
        <v>-60.059999993008127</v>
      </c>
      <c r="S30" s="44" t="e">
        <f t="shared" si="1"/>
        <v>#VALUE!</v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>
        <v>5363.37</v>
      </c>
      <c r="F32" s="40">
        <v>99.1</v>
      </c>
      <c r="G32" s="51"/>
      <c r="H32" s="44">
        <f t="shared" si="7"/>
        <v>23.437926899999997</v>
      </c>
      <c r="I32" s="52">
        <f t="shared" si="6"/>
        <v>99.1</v>
      </c>
      <c r="J32" s="44">
        <f t="shared" si="2"/>
        <v>75.662073100000001</v>
      </c>
      <c r="K32" s="44" t="e">
        <f t="shared" si="3"/>
        <v>#VALUE!</v>
      </c>
      <c r="L32" s="44" t="e">
        <f t="shared" si="4"/>
        <v>#VALUE!</v>
      </c>
      <c r="M32" s="53" t="e">
        <f t="shared" si="5"/>
        <v>#VALUE!</v>
      </c>
      <c r="N32" s="228"/>
      <c r="O32" s="229"/>
      <c r="P32" s="230"/>
      <c r="Q32" s="47">
        <v>44583.388888888891</v>
      </c>
      <c r="R32" s="44">
        <f t="shared" si="0"/>
        <v>7.0712129735663872E-5</v>
      </c>
      <c r="S32" s="44" t="e">
        <f t="shared" si="1"/>
        <v>#VALUE!</v>
      </c>
    </row>
    <row r="33" spans="1:19" ht="12" customHeight="1" x14ac:dyDescent="0.2">
      <c r="A33" s="37"/>
      <c r="B33" s="48"/>
      <c r="C33" s="49">
        <v>4.37</v>
      </c>
      <c r="D33" s="58"/>
      <c r="E33" s="39">
        <v>5364.22</v>
      </c>
      <c r="F33" s="40">
        <v>95.91</v>
      </c>
      <c r="G33" s="51"/>
      <c r="H33" s="44">
        <f t="shared" si="7"/>
        <v>3.7145000000015898E-3</v>
      </c>
      <c r="I33" s="52">
        <f t="shared" si="6"/>
        <v>-3.1899999999999977</v>
      </c>
      <c r="J33" s="44">
        <f t="shared" si="2"/>
        <v>-3.1937144999999991</v>
      </c>
      <c r="K33" s="44" t="e">
        <f t="shared" si="3"/>
        <v>#VALUE!</v>
      </c>
      <c r="L33" s="44" t="e">
        <f t="shared" si="4"/>
        <v>#VALUE!</v>
      </c>
      <c r="M33" s="53" t="e">
        <f t="shared" si="5"/>
        <v>#VALUE!</v>
      </c>
      <c r="N33" s="231"/>
      <c r="O33" s="229"/>
      <c r="P33" s="230"/>
      <c r="Q33" s="47">
        <v>44583.39166666667</v>
      </c>
      <c r="R33" s="44">
        <f t="shared" si="0"/>
        <v>-47.90571746932671</v>
      </c>
      <c r="S33" s="44" t="e">
        <f t="shared" si="1"/>
        <v>#VALUE!</v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99"/>
      <c r="O34" s="100"/>
      <c r="P34" s="10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>
        <v>5367.43</v>
      </c>
      <c r="F35" s="40">
        <v>107.06</v>
      </c>
      <c r="G35" s="51"/>
      <c r="H35" s="44">
        <f t="shared" si="7"/>
        <v>23.455669100000001</v>
      </c>
      <c r="I35" s="52">
        <f t="shared" si="6"/>
        <v>107.06</v>
      </c>
      <c r="J35" s="44">
        <f t="shared" si="2"/>
        <v>83.604330900000008</v>
      </c>
      <c r="K35" s="44" t="e">
        <f t="shared" si="3"/>
        <v>#VALUE!</v>
      </c>
      <c r="L35" s="44" t="e">
        <f t="shared" si="4"/>
        <v>#VALUE!</v>
      </c>
      <c r="M35" s="53" t="e">
        <f t="shared" si="5"/>
        <v>#VALUE!</v>
      </c>
      <c r="N35" s="228"/>
      <c r="O35" s="229"/>
      <c r="P35" s="230"/>
      <c r="Q35" s="47">
        <v>44583.413194444445</v>
      </c>
      <c r="R35" s="44">
        <f t="shared" si="0"/>
        <v>7.8134748730590285E-5</v>
      </c>
      <c r="S35" s="44" t="e">
        <f t="shared" si="1"/>
        <v>#VALUE!</v>
      </c>
    </row>
    <row r="36" spans="1:19" ht="12" customHeight="1" x14ac:dyDescent="0.2">
      <c r="A36" s="37"/>
      <c r="B36" s="48"/>
      <c r="C36" s="49">
        <v>4.37</v>
      </c>
      <c r="D36" s="58"/>
      <c r="E36" s="39">
        <v>5367.43</v>
      </c>
      <c r="F36" s="56">
        <v>103.05</v>
      </c>
      <c r="G36" s="51"/>
      <c r="H36" s="44">
        <f t="shared" si="7"/>
        <v>0</v>
      </c>
      <c r="I36" s="52">
        <f t="shared" si="6"/>
        <v>-4.0100000000000051</v>
      </c>
      <c r="J36" s="44">
        <f t="shared" si="2"/>
        <v>-4.0100000000000051</v>
      </c>
      <c r="K36" s="44" t="e">
        <f t="shared" si="3"/>
        <v>#VALUE!</v>
      </c>
      <c r="L36" s="44" t="e">
        <f t="shared" si="4"/>
        <v>#VALUE!</v>
      </c>
      <c r="M36" s="53" t="e">
        <f t="shared" si="5"/>
        <v>#VALUE!</v>
      </c>
      <c r="N36" s="231"/>
      <c r="O36" s="229"/>
      <c r="P36" s="230"/>
      <c r="Q36" s="47">
        <v>44583.415972222225</v>
      </c>
      <c r="R36" s="44">
        <f t="shared" si="0"/>
        <v>-60.149999961486976</v>
      </c>
      <c r="S36" s="44" t="e">
        <f t="shared" si="1"/>
        <v>#VALUE!</v>
      </c>
    </row>
    <row r="37" spans="1:19" ht="12" customHeight="1" x14ac:dyDescent="0.2">
      <c r="A37" s="37"/>
      <c r="B37" s="48"/>
      <c r="C37" s="49">
        <v>4.37</v>
      </c>
      <c r="D37" s="58"/>
      <c r="E37" s="50">
        <v>5374.22</v>
      </c>
      <c r="F37" s="56">
        <v>84.34</v>
      </c>
      <c r="G37" s="51"/>
      <c r="H37" s="44">
        <f t="shared" si="7"/>
        <v>2.9672299999999839E-2</v>
      </c>
      <c r="I37" s="52">
        <f t="shared" si="6"/>
        <v>-18.709999999999994</v>
      </c>
      <c r="J37" s="44">
        <f t="shared" si="2"/>
        <v>-18.739672299999995</v>
      </c>
      <c r="K37" s="44" t="e">
        <f t="shared" si="3"/>
        <v>#VALUE!</v>
      </c>
      <c r="L37" s="44" t="e">
        <f t="shared" si="4"/>
        <v>#VALUE!</v>
      </c>
      <c r="M37" s="53" t="e">
        <f t="shared" si="5"/>
        <v>#VALUE!</v>
      </c>
      <c r="N37" s="228"/>
      <c r="O37" s="229"/>
      <c r="P37" s="230"/>
      <c r="Q37" s="47">
        <v>44583.427083333336</v>
      </c>
      <c r="R37" s="44">
        <f t="shared" si="0"/>
        <v>-70.273771126022595</v>
      </c>
      <c r="S37" s="44" t="e">
        <f t="shared" si="1"/>
        <v>#VALUE!</v>
      </c>
    </row>
    <row r="38" spans="1:19" ht="12" customHeight="1" x14ac:dyDescent="0.2">
      <c r="A38" s="37"/>
      <c r="B38" s="48"/>
      <c r="C38" s="49">
        <v>4.37</v>
      </c>
      <c r="D38" s="58"/>
      <c r="E38" s="50">
        <v>5376.41</v>
      </c>
      <c r="F38" s="56">
        <v>75.25</v>
      </c>
      <c r="G38" s="51"/>
      <c r="H38" s="44">
        <f t="shared" si="7"/>
        <v>9.5702999999982517E-3</v>
      </c>
      <c r="I38" s="52">
        <f t="shared" si="6"/>
        <v>-9.0900000000000034</v>
      </c>
      <c r="J38" s="44">
        <f t="shared" si="2"/>
        <v>-9.0995703000000017</v>
      </c>
      <c r="K38" s="44" t="e">
        <f t="shared" si="3"/>
        <v>#VALUE!</v>
      </c>
      <c r="L38" s="44" t="e">
        <f t="shared" si="4"/>
        <v>#VALUE!</v>
      </c>
      <c r="M38" s="53" t="e">
        <f t="shared" si="5"/>
        <v>#VALUE!</v>
      </c>
      <c r="N38" s="228"/>
      <c r="O38" s="229"/>
      <c r="P38" s="230"/>
      <c r="Q38" s="47">
        <v>44583.432638888888</v>
      </c>
      <c r="R38" s="44">
        <f t="shared" si="0"/>
        <v>-68.2467772956836</v>
      </c>
      <c r="S38" s="44" t="e">
        <f t="shared" si="1"/>
        <v>#VALUE!</v>
      </c>
    </row>
    <row r="39" spans="1:19" ht="12" customHeight="1" x14ac:dyDescent="0.2">
      <c r="A39" s="37"/>
      <c r="B39" s="48"/>
      <c r="C39" s="49">
        <v>4.37</v>
      </c>
      <c r="D39" s="58"/>
      <c r="E39" s="50">
        <v>5376.48</v>
      </c>
      <c r="F39" s="56">
        <v>126.36</v>
      </c>
      <c r="G39" s="51"/>
      <c r="H39" s="44">
        <f t="shared" si="7"/>
        <v>3.0589999999872819E-4</v>
      </c>
      <c r="I39" s="52">
        <f t="shared" si="6"/>
        <v>51.11</v>
      </c>
      <c r="J39" s="44">
        <f t="shared" si="2"/>
        <v>51.109694099999999</v>
      </c>
      <c r="K39" s="44" t="e">
        <f t="shared" si="3"/>
        <v>#VALUE!</v>
      </c>
      <c r="L39" s="44" t="e">
        <f t="shared" si="4"/>
        <v>#VALUE!</v>
      </c>
      <c r="M39" s="53" t="e">
        <f t="shared" si="5"/>
        <v>#VALUE!</v>
      </c>
      <c r="N39" s="228"/>
      <c r="O39" s="229"/>
      <c r="P39" s="230"/>
      <c r="Q39" s="47">
        <v>44583.440972222219</v>
      </c>
      <c r="R39" s="44">
        <f t="shared" si="0"/>
        <v>255.54847055949952</v>
      </c>
      <c r="S39" s="44" t="e">
        <f t="shared" si="1"/>
        <v>#VALUE!</v>
      </c>
    </row>
    <row r="40" spans="1:19" ht="12" customHeight="1" x14ac:dyDescent="0.2">
      <c r="A40" s="37"/>
      <c r="B40" s="48"/>
      <c r="C40" s="49">
        <v>4.37</v>
      </c>
      <c r="D40" s="58"/>
      <c r="E40" s="50">
        <v>5378.46</v>
      </c>
      <c r="F40" s="56">
        <v>114.93</v>
      </c>
      <c r="G40" s="51"/>
      <c r="H40" s="44">
        <f t="shared" si="7"/>
        <v>8.6526000000020677E-3</v>
      </c>
      <c r="I40" s="52">
        <f t="shared" si="6"/>
        <v>-11.429999999999993</v>
      </c>
      <c r="J40" s="44">
        <f t="shared" si="2"/>
        <v>-11.438652599999994</v>
      </c>
      <c r="K40" s="44" t="e">
        <f t="shared" si="3"/>
        <v>#VALUE!</v>
      </c>
      <c r="L40" s="44" t="e">
        <f t="shared" si="4"/>
        <v>#VALUE!</v>
      </c>
      <c r="M40" s="53" t="e">
        <f t="shared" si="5"/>
        <v>#VALUE!</v>
      </c>
      <c r="N40" s="231"/>
      <c r="O40" s="229"/>
      <c r="P40" s="230"/>
      <c r="Q40" s="47">
        <v>44583.449305555558</v>
      </c>
      <c r="R40" s="44">
        <f t="shared" si="0"/>
        <v>-57.193262963380022</v>
      </c>
      <c r="S40" s="44" t="e">
        <f t="shared" si="1"/>
        <v>#VALUE!</v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>
        <v>5381</v>
      </c>
      <c r="F42" s="40">
        <v>7.73</v>
      </c>
      <c r="G42" s="51"/>
      <c r="H42" s="44">
        <f t="shared" si="7"/>
        <v>23.514970000000002</v>
      </c>
      <c r="I42" s="52">
        <f t="shared" si="6"/>
        <v>7.73</v>
      </c>
      <c r="J42" s="44">
        <f t="shared" si="2"/>
        <v>-15.784970000000001</v>
      </c>
      <c r="K42" s="44" t="e">
        <f t="shared" si="3"/>
        <v>#VALUE!</v>
      </c>
      <c r="L42" s="44" t="e">
        <f t="shared" si="4"/>
        <v>#VALUE!</v>
      </c>
      <c r="M42" s="53" t="e">
        <f t="shared" si="5"/>
        <v>#VALUE!</v>
      </c>
      <c r="N42" s="228" t="s">
        <v>66</v>
      </c>
      <c r="O42" s="229"/>
      <c r="P42" s="230"/>
      <c r="Q42" s="47">
        <v>44583.46597222222</v>
      </c>
      <c r="R42" s="44">
        <f t="shared" si="0"/>
        <v>-1.4752264522079071E-5</v>
      </c>
      <c r="S42" s="44" t="e">
        <f t="shared" si="1"/>
        <v>#VALUE!</v>
      </c>
    </row>
    <row r="43" spans="1:19" ht="12" customHeight="1" x14ac:dyDescent="0.2">
      <c r="A43" s="37"/>
      <c r="B43" s="48"/>
      <c r="C43" s="49">
        <v>4.37</v>
      </c>
      <c r="D43" s="58"/>
      <c r="E43" s="50">
        <v>5381</v>
      </c>
      <c r="F43" s="40">
        <v>7.37</v>
      </c>
      <c r="G43" s="51"/>
      <c r="H43" s="44">
        <f t="shared" si="7"/>
        <v>0</v>
      </c>
      <c r="I43" s="52">
        <f t="shared" si="6"/>
        <v>-0.36000000000000032</v>
      </c>
      <c r="J43" s="44">
        <f t="shared" si="2"/>
        <v>-0.36000000000000032</v>
      </c>
      <c r="K43" s="44" t="e">
        <f t="shared" si="3"/>
        <v>#VALUE!</v>
      </c>
      <c r="L43" s="44" t="e">
        <f t="shared" si="4"/>
        <v>#VALUE!</v>
      </c>
      <c r="M43" s="53" t="e">
        <f t="shared" si="5"/>
        <v>#VALUE!</v>
      </c>
      <c r="N43" s="228"/>
      <c r="O43" s="229"/>
      <c r="P43" s="230"/>
      <c r="Q43" s="47">
        <v>44583.472916666666</v>
      </c>
      <c r="R43" s="44">
        <f t="shared" si="0"/>
        <v>-2.1599999997485448</v>
      </c>
      <c r="S43" s="44" t="e">
        <f t="shared" si="1"/>
        <v>#VALUE!</v>
      </c>
    </row>
    <row r="44" spans="1:19" ht="12" customHeight="1" x14ac:dyDescent="0.2">
      <c r="A44" s="37"/>
      <c r="B44" s="48"/>
      <c r="C44" s="49">
        <v>4.37</v>
      </c>
      <c r="D44" s="58"/>
      <c r="E44" s="50">
        <v>5322.4</v>
      </c>
      <c r="F44" s="56">
        <v>2.69</v>
      </c>
      <c r="G44" s="51"/>
      <c r="H44" s="44">
        <f t="shared" si="7"/>
        <v>-0.25608200000000159</v>
      </c>
      <c r="I44" s="52">
        <f t="shared" si="6"/>
        <v>-4.68</v>
      </c>
      <c r="J44" s="44">
        <f t="shared" si="2"/>
        <v>-4.4239179999999978</v>
      </c>
      <c r="K44" s="44" t="e">
        <f t="shared" si="3"/>
        <v>#VALUE!</v>
      </c>
      <c r="L44" s="44" t="e">
        <f t="shared" si="4"/>
        <v>#VALUE!</v>
      </c>
      <c r="M44" s="53" t="e">
        <f t="shared" si="5"/>
        <v>#VALUE!</v>
      </c>
      <c r="N44" s="243"/>
      <c r="O44" s="244"/>
      <c r="P44" s="245"/>
      <c r="Q44" s="47">
        <v>44583.482638888891</v>
      </c>
      <c r="R44" s="44">
        <f t="shared" si="0"/>
        <v>-18.959648566383549</v>
      </c>
      <c r="S44" s="44" t="e">
        <f t="shared" si="1"/>
        <v>#VALUE!</v>
      </c>
    </row>
    <row r="45" spans="1:19" ht="12" customHeight="1" x14ac:dyDescent="0.2">
      <c r="A45" s="37"/>
      <c r="B45" s="48"/>
      <c r="C45" s="49">
        <v>4.37</v>
      </c>
      <c r="D45" s="58"/>
      <c r="E45" s="50">
        <v>5295.06</v>
      </c>
      <c r="F45" s="40">
        <v>8.1199999999999992</v>
      </c>
      <c r="G45" s="51">
        <v>6.25</v>
      </c>
      <c r="H45" s="44">
        <f t="shared" si="7"/>
        <v>-0.11947579999999666</v>
      </c>
      <c r="I45" s="52">
        <f t="shared" si="6"/>
        <v>-0.82000000000000028</v>
      </c>
      <c r="J45" s="44">
        <f t="shared" si="2"/>
        <v>-0.70052420000000359</v>
      </c>
      <c r="K45" s="44" t="e">
        <f t="shared" si="3"/>
        <v>#VALUE!</v>
      </c>
      <c r="L45" s="44" t="e">
        <f t="shared" si="4"/>
        <v>#VALUE!</v>
      </c>
      <c r="M45" s="53" t="e">
        <f t="shared" si="5"/>
        <v>#VALUE!</v>
      </c>
      <c r="N45" s="243"/>
      <c r="O45" s="244"/>
      <c r="P45" s="245"/>
      <c r="Q45" s="47">
        <v>44583.484722222223</v>
      </c>
      <c r="R45" s="44">
        <f t="shared" si="0"/>
        <v>-14.010484003262142</v>
      </c>
      <c r="S45" s="44" t="e">
        <f t="shared" si="1"/>
        <v>#VALUE!</v>
      </c>
    </row>
    <row r="46" spans="1:19" ht="12" customHeight="1" x14ac:dyDescent="0.2">
      <c r="A46" s="37"/>
      <c r="B46" s="48"/>
      <c r="C46" s="49">
        <v>4.37</v>
      </c>
      <c r="D46" s="58"/>
      <c r="E46" s="50">
        <v>5268.24</v>
      </c>
      <c r="F46" s="40">
        <v>2.4700000000000002</v>
      </c>
      <c r="G46" s="51"/>
      <c r="H46" s="44">
        <f t="shared" si="7"/>
        <v>-0.11720340000000271</v>
      </c>
      <c r="I46" s="52">
        <f t="shared" si="6"/>
        <v>-5.6499999999999986</v>
      </c>
      <c r="J46" s="44">
        <f t="shared" si="2"/>
        <v>-5.5327965999999957</v>
      </c>
      <c r="K46" s="44" t="e">
        <f t="shared" si="3"/>
        <v>#VALUE!</v>
      </c>
      <c r="L46" s="44" t="e">
        <f t="shared" si="4"/>
        <v>#VALUE!</v>
      </c>
      <c r="M46" s="53" t="e">
        <f t="shared" si="5"/>
        <v>#VALUE!</v>
      </c>
      <c r="N46" s="243"/>
      <c r="O46" s="244"/>
      <c r="P46" s="245"/>
      <c r="Q46" s="47">
        <v>44583.492361111108</v>
      </c>
      <c r="R46" s="44">
        <f t="shared" si="0"/>
        <v>-30.178890562062779</v>
      </c>
      <c r="S46" s="44" t="e">
        <f t="shared" si="1"/>
        <v>#VALUE!</v>
      </c>
    </row>
    <row r="47" spans="1:19" ht="12" customHeight="1" x14ac:dyDescent="0.2">
      <c r="A47" s="37"/>
      <c r="B47" s="48"/>
      <c r="C47" s="49">
        <v>4.37</v>
      </c>
      <c r="D47" s="58"/>
      <c r="E47" s="50">
        <v>5268.24</v>
      </c>
      <c r="F47" s="40">
        <v>7.95</v>
      </c>
      <c r="G47" s="51">
        <v>6.15</v>
      </c>
      <c r="H47" s="44">
        <f t="shared" si="7"/>
        <v>0</v>
      </c>
      <c r="I47" s="52">
        <f t="shared" si="6"/>
        <v>-0.66999999999999993</v>
      </c>
      <c r="J47" s="44">
        <f t="shared" si="2"/>
        <v>-0.66999999999999993</v>
      </c>
      <c r="K47" s="44" t="e">
        <f t="shared" si="3"/>
        <v>#VALUE!</v>
      </c>
      <c r="L47" s="44" t="e">
        <f t="shared" si="4"/>
        <v>#VALUE!</v>
      </c>
      <c r="M47" s="53" t="e">
        <f t="shared" si="5"/>
        <v>#VALUE!</v>
      </c>
      <c r="N47" s="243"/>
      <c r="O47" s="244"/>
      <c r="P47" s="245"/>
      <c r="Q47" s="47">
        <v>44583.495833333334</v>
      </c>
      <c r="R47" s="44">
        <f t="shared" si="0"/>
        <v>-8.039999990640208</v>
      </c>
      <c r="S47" s="44" t="e">
        <f t="shared" si="1"/>
        <v>#VALUE!</v>
      </c>
    </row>
    <row r="48" spans="1:19" ht="12" customHeight="1" x14ac:dyDescent="0.2">
      <c r="A48" s="37"/>
      <c r="B48" s="48"/>
      <c r="C48" s="49">
        <v>4.37</v>
      </c>
      <c r="D48" s="58"/>
      <c r="E48" s="50">
        <v>5268.24</v>
      </c>
      <c r="F48" s="40">
        <v>6.97</v>
      </c>
      <c r="G48" s="51"/>
      <c r="H48" s="44">
        <f t="shared" si="7"/>
        <v>0</v>
      </c>
      <c r="I48" s="52">
        <f t="shared" si="6"/>
        <v>-0.98000000000000043</v>
      </c>
      <c r="J48" s="44">
        <f t="shared" si="2"/>
        <v>-0.98000000000000043</v>
      </c>
      <c r="K48" s="44" t="e">
        <f t="shared" si="3"/>
        <v>#VALUE!</v>
      </c>
      <c r="L48" s="44" t="e">
        <f t="shared" si="4"/>
        <v>#VALUE!</v>
      </c>
      <c r="M48" s="53" t="e">
        <f t="shared" si="5"/>
        <v>#VALUE!</v>
      </c>
      <c r="N48" s="243"/>
      <c r="O48" s="244"/>
      <c r="P48" s="245"/>
      <c r="Q48" s="47">
        <v>44583.507638888892</v>
      </c>
      <c r="R48" s="44">
        <f t="shared" si="0"/>
        <v>-3.458823528795933</v>
      </c>
      <c r="S48" s="44" t="e">
        <f t="shared" si="1"/>
        <v>#VALUE!</v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4.41</v>
      </c>
      <c r="D52" s="58"/>
      <c r="E52" s="50">
        <v>3446</v>
      </c>
      <c r="F52" s="40">
        <v>8.41</v>
      </c>
      <c r="G52" s="40"/>
      <c r="H52" s="44">
        <f t="shared" si="7"/>
        <v>15.196860000000001</v>
      </c>
      <c r="I52" s="52">
        <f t="shared" si="6"/>
        <v>8.41</v>
      </c>
      <c r="J52" s="44">
        <f t="shared" si="2"/>
        <v>-6.7868600000000008</v>
      </c>
      <c r="K52" s="44" t="e">
        <f t="shared" si="3"/>
        <v>#VALUE!</v>
      </c>
      <c r="L52" s="44" t="e">
        <f t="shared" si="4"/>
        <v>#VALUE!</v>
      </c>
      <c r="M52" s="53" t="e">
        <f t="shared" si="5"/>
        <v>#VALUE!</v>
      </c>
      <c r="N52" s="243"/>
      <c r="O52" s="244"/>
      <c r="P52" s="245"/>
      <c r="Q52" s="47">
        <v>44583.888888888891</v>
      </c>
      <c r="R52" s="44">
        <f t="shared" si="0"/>
        <v>-6.3427807753174416E-6</v>
      </c>
      <c r="S52" s="44" t="e">
        <f t="shared" si="1"/>
        <v>#VALUE!</v>
      </c>
    </row>
    <row r="53" spans="1:19" s="67" customFormat="1" ht="12" customHeight="1" x14ac:dyDescent="0.2">
      <c r="A53" s="66"/>
      <c r="B53" s="48"/>
      <c r="C53" s="49">
        <v>4.41</v>
      </c>
      <c r="D53" s="58"/>
      <c r="E53" s="50">
        <v>3447</v>
      </c>
      <c r="F53" s="40">
        <v>7.68</v>
      </c>
      <c r="G53" s="40"/>
      <c r="H53" s="44">
        <f t="shared" si="7"/>
        <v>4.4099999999999999E-3</v>
      </c>
      <c r="I53" s="52">
        <f t="shared" si="6"/>
        <v>-0.73000000000000043</v>
      </c>
      <c r="J53" s="44">
        <f t="shared" si="2"/>
        <v>-0.73441000000000045</v>
      </c>
      <c r="K53" s="44" t="e">
        <f t="shared" si="3"/>
        <v>#VALUE!</v>
      </c>
      <c r="L53" s="44" t="e">
        <f t="shared" si="4"/>
        <v>#VALUE!</v>
      </c>
      <c r="M53" s="53" t="e">
        <f t="shared" si="5"/>
        <v>#VALUE!</v>
      </c>
      <c r="N53" s="243"/>
      <c r="O53" s="244"/>
      <c r="P53" s="245"/>
      <c r="Q53" s="47">
        <v>44583.895833333336</v>
      </c>
      <c r="R53" s="44">
        <f t="shared" si="0"/>
        <v>-4.4064599994870228</v>
      </c>
      <c r="S53" s="44" t="e">
        <f t="shared" si="1"/>
        <v>#VALUE!</v>
      </c>
    </row>
    <row r="54" spans="1:19" s="67" customFormat="1" ht="12" customHeight="1" x14ac:dyDescent="0.2">
      <c r="B54" s="48"/>
      <c r="C54" s="49">
        <v>4.41</v>
      </c>
      <c r="D54" s="39"/>
      <c r="E54" s="50">
        <v>3449</v>
      </c>
      <c r="F54" s="40">
        <v>6.18</v>
      </c>
      <c r="G54" s="40"/>
      <c r="H54" s="44">
        <f t="shared" si="7"/>
        <v>8.8199999999999997E-3</v>
      </c>
      <c r="I54" s="52">
        <f t="shared" si="6"/>
        <v>-1.5</v>
      </c>
      <c r="J54" s="44">
        <f t="shared" si="2"/>
        <v>-1.5088200000000001</v>
      </c>
      <c r="K54" s="44" t="e">
        <f t="shared" si="3"/>
        <v>#VALUE!</v>
      </c>
      <c r="L54" s="44" t="e">
        <f t="shared" si="4"/>
        <v>#VALUE!</v>
      </c>
      <c r="M54" s="53" t="e">
        <f t="shared" si="5"/>
        <v>#VALUE!</v>
      </c>
      <c r="N54" s="246"/>
      <c r="O54" s="244"/>
      <c r="P54" s="245"/>
      <c r="Q54" s="47">
        <v>44583.901388888888</v>
      </c>
      <c r="R54" s="44">
        <f t="shared" si="0"/>
        <v>-11.316150007574896</v>
      </c>
      <c r="S54" s="44" t="e">
        <f t="shared" si="1"/>
        <v>#VALUE!</v>
      </c>
    </row>
    <row r="55" spans="1:19" s="67" customFormat="1" ht="12" customHeight="1" x14ac:dyDescent="0.2">
      <c r="B55" s="48"/>
      <c r="C55" s="49">
        <v>4.41</v>
      </c>
      <c r="D55" s="39"/>
      <c r="E55" s="39">
        <v>3450</v>
      </c>
      <c r="F55" s="40">
        <v>5.16</v>
      </c>
      <c r="G55" s="40"/>
      <c r="H55" s="44">
        <f t="shared" si="7"/>
        <v>4.4099999999999999E-3</v>
      </c>
      <c r="I55" s="52">
        <f t="shared" si="6"/>
        <v>-1.0199999999999996</v>
      </c>
      <c r="J55" s="44">
        <f t="shared" si="2"/>
        <v>-1.0244099999999996</v>
      </c>
      <c r="K55" s="44" t="e">
        <f t="shared" si="3"/>
        <v>#VALUE!</v>
      </c>
      <c r="L55" s="44" t="e">
        <f t="shared" si="4"/>
        <v>#VALUE!</v>
      </c>
      <c r="M55" s="53" t="e">
        <f t="shared" si="5"/>
        <v>#VALUE!</v>
      </c>
      <c r="N55" s="243"/>
      <c r="O55" s="244"/>
      <c r="P55" s="245"/>
      <c r="Q55" s="47">
        <v>44583.904861111114</v>
      </c>
      <c r="R55" s="44">
        <f t="shared" si="0"/>
        <v>-12.292919985689153</v>
      </c>
      <c r="S55" s="44" t="e">
        <f t="shared" si="1"/>
        <v>#VALUE!</v>
      </c>
    </row>
    <row r="56" spans="1:19" s="67" customFormat="1" ht="12" customHeight="1" x14ac:dyDescent="0.2">
      <c r="B56" s="48"/>
      <c r="C56" s="49">
        <v>4.41</v>
      </c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>
        <v>4.41</v>
      </c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>
        <v>4.41</v>
      </c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>
        <v>4.41</v>
      </c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>
        <v>4.41</v>
      </c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96"/>
      <c r="O76" s="97"/>
      <c r="P76" s="9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96"/>
      <c r="O77" s="97"/>
      <c r="P77" s="9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96"/>
      <c r="O78" s="97"/>
      <c r="P78" s="9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96"/>
      <c r="O79" s="97"/>
      <c r="P79" s="9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U112"/>
  <sheetViews>
    <sheetView zoomScaleNormal="100" workbookViewId="0">
      <selection activeCell="G16" sqref="G1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9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9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93" t="s">
        <v>20</v>
      </c>
      <c r="I5" s="9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9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94" t="s">
        <v>28</v>
      </c>
      <c r="E6" s="39">
        <v>131</v>
      </c>
      <c r="F6" s="40">
        <v>3.84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44581.788194444445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509</v>
      </c>
      <c r="F7" s="40">
        <v>8.41</v>
      </c>
      <c r="G7" s="51"/>
      <c r="H7" s="44">
        <f>IF(E7="","",((E7-E6)*C7)/1000)</f>
        <v>5.0387399999999998</v>
      </c>
      <c r="I7" s="52">
        <f>IF(F7="","",F7-F6-G7)</f>
        <v>4.57</v>
      </c>
      <c r="J7" s="44">
        <f>IF(F7="","",I7-H7)</f>
        <v>-0.46873999999999949</v>
      </c>
      <c r="K7" s="44">
        <f>IF(F7="","",K6+H7)</f>
        <v>5.0387399999999998</v>
      </c>
      <c r="L7" s="44">
        <f>IF(F7="","",L6+I7)</f>
        <v>4.57</v>
      </c>
      <c r="M7" s="53">
        <f>IF(F7="","",L7-K7)</f>
        <v>-0.46873999999999949</v>
      </c>
      <c r="N7" s="231"/>
      <c r="O7" s="229"/>
      <c r="P7" s="230"/>
      <c r="Q7" s="47">
        <v>44581.817361111112</v>
      </c>
      <c r="R7" s="44">
        <f t="shared" ref="R7:R70" si="0">IF(Q7="","",J7/((Q7-Q6)*24))</f>
        <v>-0.66962857141743426</v>
      </c>
      <c r="S7" s="44">
        <f t="shared" ref="S7:S70" si="1">IF(Q7="","",M7/((Q7-$Q$6)*24))</f>
        <v>-0.66962857141743426</v>
      </c>
    </row>
    <row r="8" spans="1:20" ht="12" customHeight="1" x14ac:dyDescent="0.2">
      <c r="A8" s="37"/>
      <c r="B8" s="48"/>
      <c r="C8" s="49">
        <v>13.33</v>
      </c>
      <c r="D8" s="54"/>
      <c r="E8" s="39">
        <v>1002</v>
      </c>
      <c r="F8" s="40">
        <v>3.68</v>
      </c>
      <c r="G8" s="51">
        <v>-11</v>
      </c>
      <c r="H8" s="44">
        <f>IF(E8="","",((E8-E7)*C8)/1000)</f>
        <v>6.5716899999999994</v>
      </c>
      <c r="I8" s="52">
        <f>IF(F8="","",F8-F7-G8)</f>
        <v>6.27</v>
      </c>
      <c r="J8" s="44">
        <f>IF(F8="","",I8-H8)</f>
        <v>-0.30168999999999979</v>
      </c>
      <c r="K8" s="44">
        <f>IF(F8="","",K7+H8)</f>
        <v>11.610429999999999</v>
      </c>
      <c r="L8" s="44">
        <f>IF(F8="","",L7+I8)</f>
        <v>10.84</v>
      </c>
      <c r="M8" s="53">
        <f>IF(F8="","",L8-K8)</f>
        <v>-0.77042999999999928</v>
      </c>
      <c r="N8" s="231"/>
      <c r="O8" s="229"/>
      <c r="P8" s="230"/>
      <c r="Q8" s="47">
        <v>44581.847222222219</v>
      </c>
      <c r="R8" s="44">
        <f t="shared" si="0"/>
        <v>-0.42096279076149656</v>
      </c>
      <c r="S8" s="44">
        <f t="shared" si="1"/>
        <v>-0.54383294121371151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1380</v>
      </c>
      <c r="F9" s="40">
        <v>8.32</v>
      </c>
      <c r="G9" s="51"/>
      <c r="H9" s="44">
        <f>IF(E9="","",((E9-E8)*C9)/1000)</f>
        <v>5.0387399999999998</v>
      </c>
      <c r="I9" s="52">
        <f>IF(F9="","",F9-F8-G9)</f>
        <v>4.6400000000000006</v>
      </c>
      <c r="J9" s="44">
        <f>IF(F9="","",I9-H9)</f>
        <v>-0.39873999999999921</v>
      </c>
      <c r="K9" s="44">
        <f>IF(F9="","",K8+H9)</f>
        <v>16.649169999999998</v>
      </c>
      <c r="L9" s="44">
        <f>IF(F9="","",L8+I9)</f>
        <v>15.48</v>
      </c>
      <c r="M9" s="53">
        <f>IF(F9="","",L9-K9)</f>
        <v>-1.1691699999999976</v>
      </c>
      <c r="N9" s="228"/>
      <c r="O9" s="229"/>
      <c r="P9" s="230"/>
      <c r="Q9" s="47">
        <v>44581.862500000003</v>
      </c>
      <c r="R9" s="44">
        <f t="shared" si="0"/>
        <v>-1.087472726835385</v>
      </c>
      <c r="S9" s="44">
        <f t="shared" si="1"/>
        <v>-0.6556093457758454</v>
      </c>
    </row>
    <row r="10" spans="1:20" ht="12" customHeight="1" x14ac:dyDescent="0.2">
      <c r="A10" s="37"/>
      <c r="B10" s="48"/>
      <c r="C10" s="49">
        <v>13.33</v>
      </c>
      <c r="D10" s="54"/>
      <c r="E10" s="39">
        <v>1901</v>
      </c>
      <c r="F10" s="40">
        <v>8.33</v>
      </c>
      <c r="G10" s="51">
        <v>-6.8</v>
      </c>
      <c r="H10" s="44">
        <f>IF(E10="","",((E10-E9)*C10)/1000)</f>
        <v>6.9449300000000003</v>
      </c>
      <c r="I10" s="52">
        <f>IF(F10="","",F10-F9-G10)</f>
        <v>6.81</v>
      </c>
      <c r="J10" s="44">
        <f t="shared" ref="J10:J73" si="2">IF(F10="","",I10-H10)</f>
        <v>-0.13493000000000066</v>
      </c>
      <c r="K10" s="44">
        <f t="shared" ref="K10:K73" si="3">IF(F10="","",K9+H10)</f>
        <v>23.594099999999997</v>
      </c>
      <c r="L10" s="44">
        <f t="shared" ref="L10:L73" si="4">IF(F10="","",L9+I10)</f>
        <v>22.29</v>
      </c>
      <c r="M10" s="53">
        <f t="shared" ref="M10:M73" si="5">IF(F10="","",L10-K10)</f>
        <v>-1.3040999999999983</v>
      </c>
      <c r="N10" s="249"/>
      <c r="O10" s="250"/>
      <c r="P10" s="251"/>
      <c r="Q10" s="47">
        <v>44581.883333333331</v>
      </c>
      <c r="R10" s="44">
        <f t="shared" si="0"/>
        <v>-0.26986000006283301</v>
      </c>
      <c r="S10" s="44">
        <f t="shared" si="1"/>
        <v>-0.5711386861478871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2413</v>
      </c>
      <c r="F11" s="56">
        <v>2.91</v>
      </c>
      <c r="G11" s="51">
        <v>-12.1</v>
      </c>
      <c r="H11" s="44">
        <f>IF(E11="","",((E11-E10)*C11)/1000)</f>
        <v>6.8249599999999999</v>
      </c>
      <c r="I11" s="52">
        <f t="shared" ref="I11:I74" si="6">IF(F11="","",F11-F10-G11)</f>
        <v>6.68</v>
      </c>
      <c r="J11" s="44">
        <f t="shared" si="2"/>
        <v>-0.1449600000000002</v>
      </c>
      <c r="K11" s="44">
        <f t="shared" si="3"/>
        <v>30.419059999999998</v>
      </c>
      <c r="L11" s="44">
        <f t="shared" si="4"/>
        <v>28.97</v>
      </c>
      <c r="M11" s="53">
        <f t="shared" si="5"/>
        <v>-1.4490599999999993</v>
      </c>
      <c r="N11" s="228"/>
      <c r="O11" s="229"/>
      <c r="P11" s="230"/>
      <c r="Q11" s="47">
        <v>44581.92083333333</v>
      </c>
      <c r="R11" s="44">
        <f t="shared" si="0"/>
        <v>-0.16106666667291711</v>
      </c>
      <c r="S11" s="44">
        <f t="shared" si="1"/>
        <v>-0.45520209425526476</v>
      </c>
    </row>
    <row r="12" spans="1:20" ht="12" customHeight="1" x14ac:dyDescent="0.2">
      <c r="A12" s="37"/>
      <c r="B12" s="48"/>
      <c r="C12" s="49">
        <v>13.33</v>
      </c>
      <c r="D12" s="54"/>
      <c r="E12" s="39">
        <v>2801</v>
      </c>
      <c r="F12" s="56">
        <v>7.27</v>
      </c>
      <c r="G12" s="51"/>
      <c r="H12" s="44">
        <f t="shared" ref="H12:H74" si="7">IF(E12="","",((E12-E11)*C12)/1000)</f>
        <v>5.17204</v>
      </c>
      <c r="I12" s="52">
        <f t="shared" si="6"/>
        <v>4.3599999999999994</v>
      </c>
      <c r="J12" s="44">
        <f t="shared" si="2"/>
        <v>-0.81204000000000054</v>
      </c>
      <c r="K12" s="44">
        <f t="shared" si="3"/>
        <v>35.591099999999997</v>
      </c>
      <c r="L12" s="44">
        <f t="shared" si="4"/>
        <v>33.33</v>
      </c>
      <c r="M12" s="53">
        <f t="shared" si="5"/>
        <v>-2.261099999999999</v>
      </c>
      <c r="N12" s="228"/>
      <c r="O12" s="229"/>
      <c r="P12" s="230"/>
      <c r="Q12" s="47">
        <v>44581.961111111108</v>
      </c>
      <c r="R12" s="44">
        <f t="shared" si="0"/>
        <v>-0.84004137930360101</v>
      </c>
      <c r="S12" s="44">
        <f t="shared" si="1"/>
        <v>-0.54484337350620282</v>
      </c>
    </row>
    <row r="13" spans="1:20" ht="12" customHeight="1" x14ac:dyDescent="0.2">
      <c r="A13" s="37"/>
      <c r="B13" s="48"/>
      <c r="C13" s="49">
        <v>13.33</v>
      </c>
      <c r="D13" s="54"/>
      <c r="E13" s="39">
        <v>3840</v>
      </c>
      <c r="F13" s="56">
        <v>8.17</v>
      </c>
      <c r="G13" s="51">
        <v>-12.3</v>
      </c>
      <c r="H13" s="44">
        <f>IF(E13="","",((E13-E12)*C13)/1000)</f>
        <v>13.849870000000001</v>
      </c>
      <c r="I13" s="52">
        <f t="shared" si="6"/>
        <v>13.200000000000001</v>
      </c>
      <c r="J13" s="44">
        <f t="shared" si="2"/>
        <v>-0.64986999999999995</v>
      </c>
      <c r="K13" s="44">
        <f t="shared" si="3"/>
        <v>49.44097</v>
      </c>
      <c r="L13" s="44">
        <f t="shared" si="4"/>
        <v>46.53</v>
      </c>
      <c r="M13" s="53">
        <f t="shared" si="5"/>
        <v>-2.9109699999999989</v>
      </c>
      <c r="N13" s="231"/>
      <c r="O13" s="229"/>
      <c r="P13" s="230"/>
      <c r="Q13" s="47">
        <v>44582.029861111114</v>
      </c>
      <c r="R13" s="44">
        <f t="shared" si="0"/>
        <v>-0.39386060602725953</v>
      </c>
      <c r="S13" s="44">
        <f t="shared" si="1"/>
        <v>-0.50189137930631511</v>
      </c>
    </row>
    <row r="14" spans="1:20" ht="12" customHeight="1" x14ac:dyDescent="0.2">
      <c r="A14" s="37"/>
      <c r="B14" s="48"/>
      <c r="C14" s="49">
        <v>13.33</v>
      </c>
      <c r="D14" s="54"/>
      <c r="E14" s="39">
        <v>4397</v>
      </c>
      <c r="F14" s="56">
        <v>8.42</v>
      </c>
      <c r="G14" s="51">
        <v>-5.8</v>
      </c>
      <c r="H14" s="44">
        <f t="shared" si="7"/>
        <v>7.4248100000000008</v>
      </c>
      <c r="I14" s="52">
        <f t="shared" si="6"/>
        <v>6.05</v>
      </c>
      <c r="J14" s="44">
        <f t="shared" si="2"/>
        <v>-1.374810000000001</v>
      </c>
      <c r="K14" s="44">
        <f t="shared" si="3"/>
        <v>56.865780000000001</v>
      </c>
      <c r="L14" s="44">
        <f t="shared" si="4"/>
        <v>52.58</v>
      </c>
      <c r="M14" s="53">
        <f t="shared" si="5"/>
        <v>-4.2857800000000026</v>
      </c>
      <c r="N14" s="231"/>
      <c r="O14" s="229"/>
      <c r="P14" s="230"/>
      <c r="Q14" s="47">
        <v>44582.075694444444</v>
      </c>
      <c r="R14" s="44">
        <f t="shared" si="0"/>
        <v>-1.2498272728198638</v>
      </c>
      <c r="S14" s="44">
        <f t="shared" si="1"/>
        <v>-0.62112753623502825</v>
      </c>
    </row>
    <row r="15" spans="1:20" ht="12" customHeight="1" x14ac:dyDescent="0.2">
      <c r="A15" s="37"/>
      <c r="B15" s="48"/>
      <c r="C15" s="49">
        <v>13.33</v>
      </c>
      <c r="D15" s="54"/>
      <c r="E15" s="39"/>
      <c r="F15" s="40"/>
      <c r="G15" s="51">
        <v>0.6</v>
      </c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13.33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13.33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13.33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13.33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13.33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13.33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13.33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 t="s">
        <v>116</v>
      </c>
      <c r="C29" s="49">
        <v>15.74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15.74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15.74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15.74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15.74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15.74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89"/>
      <c r="O34" s="90"/>
      <c r="P34" s="9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15.74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15.74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15.74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15.74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15.74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15.74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86"/>
      <c r="O76" s="87"/>
      <c r="P76" s="8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86"/>
      <c r="O77" s="87"/>
      <c r="P77" s="8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86"/>
      <c r="O78" s="87"/>
      <c r="P78" s="8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86"/>
      <c r="O79" s="87"/>
      <c r="P79" s="8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U112"/>
  <sheetViews>
    <sheetView topLeftCell="A4" zoomScaleNormal="100" workbookViewId="0">
      <selection activeCell="F26" sqref="F2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82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85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83" t="s">
        <v>20</v>
      </c>
      <c r="I5" s="84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83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84" t="s">
        <v>28</v>
      </c>
      <c r="E6" s="39">
        <v>4792</v>
      </c>
      <c r="F6" s="40">
        <v>9.27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44580.393055555556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15</v>
      </c>
      <c r="E7" s="39">
        <v>4792</v>
      </c>
      <c r="F7" s="40">
        <v>9.1300000000000008</v>
      </c>
      <c r="G7" s="51"/>
      <c r="H7" s="44">
        <f>IF(E7="","",((E7-E6)*C7)/1000)</f>
        <v>0</v>
      </c>
      <c r="I7" s="52">
        <f>IF(F7="","",F7-F6-G7)</f>
        <v>-0.13999999999999879</v>
      </c>
      <c r="J7" s="44">
        <f>IF(F7="","",I7-H7)</f>
        <v>-0.13999999999999879</v>
      </c>
      <c r="K7" s="44">
        <f>IF(F7="","",K6+H7)</f>
        <v>0</v>
      </c>
      <c r="L7" s="44">
        <f>IF(F7="","",L6+I7)</f>
        <v>-0.13999999999999879</v>
      </c>
      <c r="M7" s="53">
        <f>IF(F7="","",L7-K7)</f>
        <v>-0.13999999999999879</v>
      </c>
      <c r="N7" s="231"/>
      <c r="O7" s="229"/>
      <c r="P7" s="230"/>
      <c r="Q7" s="47">
        <v>44580.4</v>
      </c>
      <c r="R7" s="44">
        <f t="shared" ref="R7:R70" si="0">IF(Q7="","",J7/((Q7-Q6)*24))</f>
        <v>-0.83999999990220386</v>
      </c>
      <c r="S7" s="44">
        <f t="shared" ref="S7:S70" si="1">IF(Q7="","",M7/((Q7-$Q$6)*24))</f>
        <v>-0.83999999990220386</v>
      </c>
    </row>
    <row r="8" spans="1:20" ht="12" customHeight="1" x14ac:dyDescent="0.2">
      <c r="A8" s="37"/>
      <c r="B8" s="48"/>
      <c r="C8" s="49">
        <v>4.37</v>
      </c>
      <c r="D8" s="54">
        <v>8</v>
      </c>
      <c r="E8" s="39">
        <v>4615</v>
      </c>
      <c r="F8" s="40">
        <v>7.97</v>
      </c>
      <c r="G8" s="51"/>
      <c r="H8" s="44">
        <f>IF(E8="","",((E8-E7)*C8)/1000)</f>
        <v>-0.77349000000000001</v>
      </c>
      <c r="I8" s="52">
        <f>IF(F8="","",F8-F7-G8)</f>
        <v>-1.160000000000001</v>
      </c>
      <c r="J8" s="44">
        <f>IF(F8="","",I8-H8)</f>
        <v>-0.38651000000000102</v>
      </c>
      <c r="K8" s="44">
        <f>IF(F8="","",K7+H8)</f>
        <v>-0.77349000000000001</v>
      </c>
      <c r="L8" s="44">
        <f>IF(F8="","",L7+I8)</f>
        <v>-1.2999999999999998</v>
      </c>
      <c r="M8" s="53">
        <f>IF(F8="","",L8-K8)</f>
        <v>-0.52650999999999981</v>
      </c>
      <c r="N8" s="231" t="s">
        <v>113</v>
      </c>
      <c r="O8" s="229"/>
      <c r="P8" s="230"/>
      <c r="Q8" s="47">
        <v>44580.42083333333</v>
      </c>
      <c r="R8" s="44">
        <f t="shared" si="0"/>
        <v>-0.77302000017998473</v>
      </c>
      <c r="S8" s="44">
        <f t="shared" si="1"/>
        <v>-0.78976500011492567</v>
      </c>
      <c r="T8" s="55"/>
    </row>
    <row r="9" spans="1:20" ht="12" customHeight="1" x14ac:dyDescent="0.2">
      <c r="A9" s="37"/>
      <c r="B9" s="48"/>
      <c r="C9" s="49">
        <v>4.37</v>
      </c>
      <c r="D9" s="54">
        <v>0</v>
      </c>
      <c r="E9" s="39">
        <v>4397</v>
      </c>
      <c r="F9" s="40">
        <v>6.5</v>
      </c>
      <c r="G9" s="51"/>
      <c r="H9" s="44">
        <f>IF(E9="","",((E9-E8)*C9)/1000)</f>
        <v>-0.95265999999999995</v>
      </c>
      <c r="I9" s="52">
        <f>IF(F9="","",F9-F8-G9)</f>
        <v>-1.4699999999999998</v>
      </c>
      <c r="J9" s="44">
        <f>IF(F9="","",I9-H9)</f>
        <v>-0.5173399999999998</v>
      </c>
      <c r="K9" s="44">
        <f>IF(F9="","",K8+H9)</f>
        <v>-1.7261500000000001</v>
      </c>
      <c r="L9" s="44">
        <f>IF(F9="","",L8+I9)</f>
        <v>-2.7699999999999996</v>
      </c>
      <c r="M9" s="53">
        <f>IF(F9="","",L9-K9)</f>
        <v>-1.0438499999999995</v>
      </c>
      <c r="N9" s="228"/>
      <c r="O9" s="229"/>
      <c r="P9" s="230"/>
      <c r="Q9" s="47">
        <v>44580.431250000001</v>
      </c>
      <c r="R9" s="44">
        <f t="shared" si="0"/>
        <v>-2.0693599990363785</v>
      </c>
      <c r="S9" s="44">
        <f t="shared" si="1"/>
        <v>-1.1387454545213509</v>
      </c>
    </row>
    <row r="10" spans="1:20" ht="12" customHeight="1" x14ac:dyDescent="0.2">
      <c r="A10" s="37"/>
      <c r="B10" s="48" t="s">
        <v>35</v>
      </c>
      <c r="C10" s="49">
        <v>4.41</v>
      </c>
      <c r="D10" s="54">
        <v>148</v>
      </c>
      <c r="E10" s="39">
        <v>4397</v>
      </c>
      <c r="F10" s="40">
        <v>6.03</v>
      </c>
      <c r="G10" s="51"/>
      <c r="H10" s="44">
        <f>IF(E10="","",((E10-E9)*C10)/1000)</f>
        <v>0</v>
      </c>
      <c r="I10" s="52">
        <f>IF(F10="","",F10-F9-G10)</f>
        <v>-0.46999999999999975</v>
      </c>
      <c r="J10" s="44">
        <f t="shared" ref="J10:J73" si="2">IF(F10="","",I10-H10)</f>
        <v>-0.46999999999999975</v>
      </c>
      <c r="K10" s="44">
        <f t="shared" ref="K10:K73" si="3">IF(F10="","",K9+H10)</f>
        <v>-1.7261500000000001</v>
      </c>
      <c r="L10" s="44">
        <f t="shared" ref="L10:L73" si="4">IF(F10="","",L9+I10)</f>
        <v>-3.2399999999999993</v>
      </c>
      <c r="M10" s="53">
        <f t="shared" ref="M10:M73" si="5">IF(F10="","",L10-K10)</f>
        <v>-1.5138499999999993</v>
      </c>
      <c r="N10" s="249"/>
      <c r="O10" s="250"/>
      <c r="P10" s="251"/>
      <c r="Q10" s="47">
        <v>44580.454861111109</v>
      </c>
      <c r="R10" s="44">
        <f t="shared" si="0"/>
        <v>-0.82941176481379775</v>
      </c>
      <c r="S10" s="44">
        <f t="shared" si="1"/>
        <v>-1.0205730337452432</v>
      </c>
      <c r="T10" s="55"/>
    </row>
    <row r="11" spans="1:20" ht="12" customHeight="1" x14ac:dyDescent="0.2">
      <c r="A11" s="37"/>
      <c r="B11" s="48"/>
      <c r="C11" s="49">
        <v>4.41</v>
      </c>
      <c r="D11" s="54">
        <v>136</v>
      </c>
      <c r="E11" s="39">
        <v>4049</v>
      </c>
      <c r="F11" s="56">
        <v>2.9</v>
      </c>
      <c r="G11" s="51"/>
      <c r="H11" s="44">
        <f>IF(E11="","",((E11-E10)*C11)/1000)</f>
        <v>-1.53468</v>
      </c>
      <c r="I11" s="52">
        <f t="shared" ref="I11:I74" si="6">IF(F11="","",F11-F10-G11)</f>
        <v>-3.1300000000000003</v>
      </c>
      <c r="J11" s="44">
        <f t="shared" si="2"/>
        <v>-1.5953200000000003</v>
      </c>
      <c r="K11" s="44">
        <f t="shared" si="3"/>
        <v>-3.2608300000000003</v>
      </c>
      <c r="L11" s="44">
        <f t="shared" si="4"/>
        <v>-6.3699999999999992</v>
      </c>
      <c r="M11" s="53">
        <f t="shared" si="5"/>
        <v>-3.1091699999999989</v>
      </c>
      <c r="N11" s="228"/>
      <c r="O11" s="229"/>
      <c r="P11" s="230"/>
      <c r="Q11" s="47">
        <v>44580.493750000001</v>
      </c>
      <c r="R11" s="44">
        <f t="shared" si="0"/>
        <v>-1.709271428436403</v>
      </c>
      <c r="S11" s="44">
        <f t="shared" si="1"/>
        <v>-1.286553103437946</v>
      </c>
    </row>
    <row r="12" spans="1:20" ht="12" customHeight="1" x14ac:dyDescent="0.2">
      <c r="A12" s="37"/>
      <c r="B12" s="48"/>
      <c r="C12" s="49">
        <v>4.41</v>
      </c>
      <c r="D12" s="54">
        <v>130</v>
      </c>
      <c r="E12" s="39">
        <v>3875</v>
      </c>
      <c r="F12" s="56">
        <v>7.64</v>
      </c>
      <c r="G12" s="51">
        <f>-2.74+8.11</f>
        <v>5.3699999999999992</v>
      </c>
      <c r="H12" s="44">
        <f t="shared" ref="H12:H74" si="7">IF(E12="","",((E12-E11)*C12)/1000)</f>
        <v>-0.76734000000000002</v>
      </c>
      <c r="I12" s="52">
        <f t="shared" si="6"/>
        <v>-0.62999999999999901</v>
      </c>
      <c r="J12" s="44">
        <f t="shared" si="2"/>
        <v>0.13734000000000102</v>
      </c>
      <c r="K12" s="44">
        <f t="shared" si="3"/>
        <v>-4.0281700000000003</v>
      </c>
      <c r="L12" s="44">
        <f t="shared" si="4"/>
        <v>-6.9999999999999982</v>
      </c>
      <c r="M12" s="53">
        <f t="shared" si="5"/>
        <v>-2.971829999999998</v>
      </c>
      <c r="N12" s="228"/>
      <c r="O12" s="229"/>
      <c r="P12" s="230"/>
      <c r="Q12" s="47">
        <v>44580.50277777778</v>
      </c>
      <c r="R12" s="44">
        <f t="shared" si="0"/>
        <v>0.63387692305422227</v>
      </c>
      <c r="S12" s="44">
        <f t="shared" si="1"/>
        <v>-1.1285430379630415</v>
      </c>
    </row>
    <row r="13" spans="1:20" ht="12" customHeight="1" x14ac:dyDescent="0.2">
      <c r="A13" s="37"/>
      <c r="B13" s="48"/>
      <c r="C13" s="49">
        <v>4.41</v>
      </c>
      <c r="D13" s="54">
        <v>107</v>
      </c>
      <c r="E13" s="39">
        <v>3207</v>
      </c>
      <c r="F13" s="56">
        <v>2.86</v>
      </c>
      <c r="G13" s="51"/>
      <c r="H13" s="44">
        <f>IF(E13="","",((E13-E12)*C13)/1000)</f>
        <v>-2.9458800000000003</v>
      </c>
      <c r="I13" s="52">
        <f t="shared" si="6"/>
        <v>-4.7799999999999994</v>
      </c>
      <c r="J13" s="44">
        <f t="shared" si="2"/>
        <v>-1.8341199999999991</v>
      </c>
      <c r="K13" s="44">
        <f t="shared" si="3"/>
        <v>-6.9740500000000001</v>
      </c>
      <c r="L13" s="44">
        <f t="shared" si="4"/>
        <v>-11.779999999999998</v>
      </c>
      <c r="M13" s="53">
        <f t="shared" si="5"/>
        <v>-4.8059499999999975</v>
      </c>
      <c r="N13" s="231"/>
      <c r="O13" s="229"/>
      <c r="P13" s="230"/>
      <c r="Q13" s="47">
        <v>44580.538888888892</v>
      </c>
      <c r="R13" s="44">
        <f t="shared" si="0"/>
        <v>-2.1162923076165008</v>
      </c>
      <c r="S13" s="44">
        <f t="shared" si="1"/>
        <v>-1.3731285714057346</v>
      </c>
    </row>
    <row r="14" spans="1:20" ht="12" customHeight="1" x14ac:dyDescent="0.2">
      <c r="A14" s="37"/>
      <c r="B14" s="48"/>
      <c r="C14" s="49">
        <v>4.41</v>
      </c>
      <c r="D14" s="54">
        <v>80</v>
      </c>
      <c r="E14" s="39">
        <v>2424</v>
      </c>
      <c r="F14" s="56">
        <v>4.3</v>
      </c>
      <c r="G14" s="51">
        <f>-2.52+8.6</f>
        <v>6.08</v>
      </c>
      <c r="H14" s="44">
        <f t="shared" si="7"/>
        <v>-3.45303</v>
      </c>
      <c r="I14" s="52">
        <f t="shared" si="6"/>
        <v>-4.6400000000000006</v>
      </c>
      <c r="J14" s="44">
        <f t="shared" si="2"/>
        <v>-1.1869700000000005</v>
      </c>
      <c r="K14" s="44">
        <f t="shared" si="3"/>
        <v>-10.42708</v>
      </c>
      <c r="L14" s="44">
        <f t="shared" si="4"/>
        <v>-16.419999999999998</v>
      </c>
      <c r="M14" s="53">
        <f t="shared" si="5"/>
        <v>-5.992919999999998</v>
      </c>
      <c r="N14" s="231"/>
      <c r="O14" s="229"/>
      <c r="P14" s="230"/>
      <c r="Q14" s="47">
        <v>44580.586805555555</v>
      </c>
      <c r="R14" s="44">
        <f t="shared" si="0"/>
        <v>-1.032147826170545</v>
      </c>
      <c r="S14" s="44">
        <f t="shared" si="1"/>
        <v>-1.2888000000096793</v>
      </c>
    </row>
    <row r="15" spans="1:20" ht="12" customHeight="1" x14ac:dyDescent="0.2">
      <c r="A15" s="37"/>
      <c r="B15" s="48"/>
      <c r="C15" s="49">
        <v>4.41</v>
      </c>
      <c r="D15" s="54"/>
      <c r="E15" s="39">
        <v>2424</v>
      </c>
      <c r="F15" s="40">
        <v>4.16</v>
      </c>
      <c r="G15" s="51"/>
      <c r="H15" s="44">
        <f t="shared" si="7"/>
        <v>0</v>
      </c>
      <c r="I15" s="52">
        <f t="shared" si="6"/>
        <v>-0.13999999999999968</v>
      </c>
      <c r="J15" s="44">
        <f t="shared" si="2"/>
        <v>-0.13999999999999968</v>
      </c>
      <c r="K15" s="44">
        <f t="shared" si="3"/>
        <v>-10.42708</v>
      </c>
      <c r="L15" s="44">
        <f t="shared" si="4"/>
        <v>-16.559999999999999</v>
      </c>
      <c r="M15" s="53">
        <f t="shared" si="5"/>
        <v>-6.1329199999999986</v>
      </c>
      <c r="N15" s="231" t="s">
        <v>114</v>
      </c>
      <c r="O15" s="229"/>
      <c r="P15" s="230"/>
      <c r="Q15" s="47">
        <v>44580.59375</v>
      </c>
      <c r="R15" s="44">
        <f t="shared" si="0"/>
        <v>-0.83999999990220919</v>
      </c>
      <c r="S15" s="44">
        <f t="shared" si="1"/>
        <v>-1.2732705882393971</v>
      </c>
    </row>
    <row r="16" spans="1:20" ht="12" customHeight="1" x14ac:dyDescent="0.2">
      <c r="A16" s="37"/>
      <c r="B16" s="48"/>
      <c r="C16" s="49">
        <v>4.41</v>
      </c>
      <c r="D16" s="57"/>
      <c r="E16" s="39">
        <v>2047</v>
      </c>
      <c r="F16" s="40">
        <v>6.1</v>
      </c>
      <c r="G16" s="51">
        <f>-4.16+8.36</f>
        <v>4.1999999999999993</v>
      </c>
      <c r="H16" s="44">
        <f t="shared" si="7"/>
        <v>-1.6625700000000001</v>
      </c>
      <c r="I16" s="52">
        <f t="shared" si="6"/>
        <v>-2.2599999999999998</v>
      </c>
      <c r="J16" s="44">
        <f t="shared" si="2"/>
        <v>-0.59742999999999968</v>
      </c>
      <c r="K16" s="44">
        <f t="shared" si="3"/>
        <v>-12.089650000000001</v>
      </c>
      <c r="L16" s="44">
        <f t="shared" si="4"/>
        <v>-18.82</v>
      </c>
      <c r="M16" s="53">
        <f t="shared" si="5"/>
        <v>-6.7303499999999996</v>
      </c>
      <c r="N16" s="228"/>
      <c r="O16" s="229"/>
      <c r="P16" s="230"/>
      <c r="Q16" s="47">
        <v>44580.616666666669</v>
      </c>
      <c r="R16" s="44">
        <f t="shared" si="0"/>
        <v>-1.0862363635443961</v>
      </c>
      <c r="S16" s="44">
        <f t="shared" si="1"/>
        <v>-1.2541024844647952</v>
      </c>
      <c r="T16" s="55"/>
    </row>
    <row r="17" spans="1:19" ht="12" customHeight="1" x14ac:dyDescent="0.2">
      <c r="A17" s="37"/>
      <c r="B17" s="48"/>
      <c r="C17" s="49">
        <v>4.41</v>
      </c>
      <c r="D17" s="54"/>
      <c r="E17" s="39">
        <v>1815</v>
      </c>
      <c r="F17" s="40">
        <v>4.55</v>
      </c>
      <c r="G17" s="51"/>
      <c r="H17" s="44">
        <f t="shared" si="7"/>
        <v>-1.02312</v>
      </c>
      <c r="I17" s="52">
        <f t="shared" si="6"/>
        <v>-1.5499999999999998</v>
      </c>
      <c r="J17" s="44">
        <f t="shared" si="2"/>
        <v>-0.52687999999999979</v>
      </c>
      <c r="K17" s="44">
        <f t="shared" si="3"/>
        <v>-13.112770000000001</v>
      </c>
      <c r="L17" s="44">
        <f t="shared" si="4"/>
        <v>-20.37</v>
      </c>
      <c r="M17" s="53">
        <f t="shared" si="5"/>
        <v>-7.2572299999999998</v>
      </c>
      <c r="N17" s="231"/>
      <c r="O17" s="229"/>
      <c r="P17" s="230"/>
      <c r="Q17" s="47">
        <v>44580.632638888892</v>
      </c>
      <c r="R17" s="44">
        <f t="shared" si="0"/>
        <v>-1.3744695651199939</v>
      </c>
      <c r="S17" s="44">
        <f t="shared" si="1"/>
        <v>-1.2621269565089626</v>
      </c>
    </row>
    <row r="18" spans="1:19" ht="12" customHeight="1" x14ac:dyDescent="0.2">
      <c r="A18" s="37"/>
      <c r="B18" s="48"/>
      <c r="C18" s="49">
        <v>4.41</v>
      </c>
      <c r="D18" s="54"/>
      <c r="E18" s="39">
        <v>1554</v>
      </c>
      <c r="F18" s="40">
        <v>7.2</v>
      </c>
      <c r="G18" s="40">
        <v>4.0999999999999996</v>
      </c>
      <c r="H18" s="44">
        <f t="shared" si="7"/>
        <v>-1.1510100000000001</v>
      </c>
      <c r="I18" s="52">
        <f t="shared" si="6"/>
        <v>-1.4499999999999993</v>
      </c>
      <c r="J18" s="44">
        <f t="shared" si="2"/>
        <v>-0.2989899999999992</v>
      </c>
      <c r="K18" s="44">
        <f t="shared" si="3"/>
        <v>-14.263780000000001</v>
      </c>
      <c r="L18" s="44">
        <f t="shared" si="4"/>
        <v>-21.82</v>
      </c>
      <c r="M18" s="53">
        <f t="shared" si="5"/>
        <v>-7.5562199999999997</v>
      </c>
      <c r="N18" s="228"/>
      <c r="O18" s="229"/>
      <c r="P18" s="230"/>
      <c r="Q18" s="47">
        <v>44580.651388888888</v>
      </c>
      <c r="R18" s="44">
        <f t="shared" si="0"/>
        <v>-0.66442222237691828</v>
      </c>
      <c r="S18" s="44">
        <f t="shared" si="1"/>
        <v>-1.2187451612994762</v>
      </c>
    </row>
    <row r="19" spans="1:19" ht="12" customHeight="1" x14ac:dyDescent="0.2">
      <c r="A19" s="37"/>
      <c r="B19" s="48"/>
      <c r="C19" s="49">
        <v>4.41</v>
      </c>
      <c r="D19" s="54"/>
      <c r="E19" s="39">
        <v>1235</v>
      </c>
      <c r="F19" s="40">
        <v>5.35</v>
      </c>
      <c r="G19" s="40"/>
      <c r="H19" s="44">
        <f t="shared" si="7"/>
        <v>-1.40679</v>
      </c>
      <c r="I19" s="52">
        <f t="shared" si="6"/>
        <v>-1.8500000000000005</v>
      </c>
      <c r="J19" s="44">
        <f t="shared" si="2"/>
        <v>-0.44321000000000055</v>
      </c>
      <c r="K19" s="44">
        <f t="shared" si="3"/>
        <v>-15.670570000000001</v>
      </c>
      <c r="L19" s="44">
        <f t="shared" si="4"/>
        <v>-23.67</v>
      </c>
      <c r="M19" s="53">
        <f t="shared" si="5"/>
        <v>-7.9994300000000003</v>
      </c>
      <c r="N19" s="228"/>
      <c r="O19" s="229"/>
      <c r="P19" s="230"/>
      <c r="Q19" s="47">
        <v>44580.671527777777</v>
      </c>
      <c r="R19" s="44">
        <f t="shared" si="0"/>
        <v>-0.91698620688919075</v>
      </c>
      <c r="S19" s="44">
        <f t="shared" si="1"/>
        <v>-1.1969221945213604</v>
      </c>
    </row>
    <row r="20" spans="1:19" ht="12" customHeight="1" x14ac:dyDescent="0.2">
      <c r="A20" s="37"/>
      <c r="B20" s="48"/>
      <c r="C20" s="49">
        <v>4.41</v>
      </c>
      <c r="D20" s="54"/>
      <c r="E20" s="39">
        <v>771</v>
      </c>
      <c r="F20" s="40">
        <v>8.1199999999999992</v>
      </c>
      <c r="G20" s="40">
        <v>5.52</v>
      </c>
      <c r="H20" s="44">
        <f t="shared" si="7"/>
        <v>-2.0462400000000001</v>
      </c>
      <c r="I20" s="52">
        <f t="shared" si="6"/>
        <v>-2.75</v>
      </c>
      <c r="J20" s="44">
        <f t="shared" si="2"/>
        <v>-0.70375999999999994</v>
      </c>
      <c r="K20" s="44">
        <f t="shared" si="3"/>
        <v>-17.716810000000002</v>
      </c>
      <c r="L20" s="44">
        <f t="shared" si="4"/>
        <v>-26.42</v>
      </c>
      <c r="M20" s="53">
        <f t="shared" si="5"/>
        <v>-8.7031899999999993</v>
      </c>
      <c r="N20" s="242"/>
      <c r="O20" s="229"/>
      <c r="P20" s="230"/>
      <c r="Q20" s="47">
        <v>44580.697916666664</v>
      </c>
      <c r="R20" s="44">
        <f t="shared" si="0"/>
        <v>-1.1112000000544675</v>
      </c>
      <c r="S20" s="44">
        <f t="shared" si="1"/>
        <v>-1.1895020501258817</v>
      </c>
    </row>
    <row r="21" spans="1:19" ht="12" customHeight="1" x14ac:dyDescent="0.2">
      <c r="A21" s="37"/>
      <c r="B21" s="48"/>
      <c r="C21" s="49">
        <v>4.41</v>
      </c>
      <c r="D21" s="54"/>
      <c r="E21" s="39">
        <v>539</v>
      </c>
      <c r="F21" s="40">
        <v>6.75</v>
      </c>
      <c r="G21" s="51"/>
      <c r="H21" s="44">
        <f t="shared" si="7"/>
        <v>-1.02312</v>
      </c>
      <c r="I21" s="52">
        <f t="shared" si="6"/>
        <v>-1.3699999999999992</v>
      </c>
      <c r="J21" s="44">
        <f t="shared" si="2"/>
        <v>-0.34687999999999919</v>
      </c>
      <c r="K21" s="44">
        <f t="shared" si="3"/>
        <v>-18.739930000000001</v>
      </c>
      <c r="L21" s="44">
        <f t="shared" si="4"/>
        <v>-27.79</v>
      </c>
      <c r="M21" s="53">
        <f t="shared" si="5"/>
        <v>-9.0500699999999981</v>
      </c>
      <c r="N21" s="228" t="s">
        <v>115</v>
      </c>
      <c r="O21" s="229"/>
      <c r="P21" s="230"/>
      <c r="Q21" s="47">
        <v>44580.709722222222</v>
      </c>
      <c r="R21" s="44">
        <f t="shared" si="0"/>
        <v>-1.2242823527231939</v>
      </c>
      <c r="S21" s="44">
        <f t="shared" si="1"/>
        <v>-1.1907986842141742</v>
      </c>
    </row>
    <row r="22" spans="1:19" ht="12" customHeight="1" x14ac:dyDescent="0.2">
      <c r="A22" s="37"/>
      <c r="B22" s="48"/>
      <c r="C22" s="49">
        <v>4.41</v>
      </c>
      <c r="D22" s="54"/>
      <c r="E22" s="39">
        <v>539</v>
      </c>
      <c r="F22" s="40">
        <v>6.6</v>
      </c>
      <c r="G22" s="51"/>
      <c r="H22" s="44">
        <f t="shared" si="7"/>
        <v>0</v>
      </c>
      <c r="I22" s="52">
        <f t="shared" si="6"/>
        <v>-0.15000000000000036</v>
      </c>
      <c r="J22" s="44">
        <f t="shared" si="2"/>
        <v>-0.15000000000000036</v>
      </c>
      <c r="K22" s="44">
        <f t="shared" si="3"/>
        <v>-18.739930000000001</v>
      </c>
      <c r="L22" s="44">
        <f t="shared" si="4"/>
        <v>-27.939999999999998</v>
      </c>
      <c r="M22" s="53">
        <f t="shared" si="5"/>
        <v>-9.2000699999999966</v>
      </c>
      <c r="N22" s="228"/>
      <c r="O22" s="229"/>
      <c r="P22" s="230"/>
      <c r="Q22" s="47">
        <v>44580.716666666667</v>
      </c>
      <c r="R22" s="44">
        <f t="shared" si="0"/>
        <v>-0.89999999989522839</v>
      </c>
      <c r="S22" s="44">
        <f t="shared" si="1"/>
        <v>-1.1845583690993038</v>
      </c>
    </row>
    <row r="23" spans="1:19" ht="12" customHeight="1" x14ac:dyDescent="0.2">
      <c r="A23" s="37"/>
      <c r="B23" s="48"/>
      <c r="C23" s="49">
        <v>4.41</v>
      </c>
      <c r="D23" s="54"/>
      <c r="E23" s="39">
        <v>132</v>
      </c>
      <c r="F23" s="40">
        <v>3.31</v>
      </c>
      <c r="G23" s="51"/>
      <c r="H23" s="44">
        <f t="shared" si="7"/>
        <v>-1.7948700000000002</v>
      </c>
      <c r="I23" s="52">
        <f t="shared" si="6"/>
        <v>-3.2899999999999996</v>
      </c>
      <c r="J23" s="44">
        <f t="shared" si="2"/>
        <v>-1.4951299999999994</v>
      </c>
      <c r="K23" s="44">
        <f t="shared" si="3"/>
        <v>-20.534800000000001</v>
      </c>
      <c r="L23" s="44">
        <f t="shared" si="4"/>
        <v>-31.229999999999997</v>
      </c>
      <c r="M23" s="53">
        <f t="shared" si="5"/>
        <v>-10.695199999999996</v>
      </c>
      <c r="N23" s="228"/>
      <c r="O23" s="229"/>
      <c r="P23" s="230"/>
      <c r="Q23" s="47">
        <v>44580.739583333336</v>
      </c>
      <c r="R23" s="44">
        <f t="shared" si="0"/>
        <v>-2.718418181588024</v>
      </c>
      <c r="S23" s="44">
        <f t="shared" si="1"/>
        <v>-1.2859959919773671</v>
      </c>
    </row>
    <row r="24" spans="1:19" ht="12" customHeight="1" x14ac:dyDescent="0.2">
      <c r="A24" s="37"/>
      <c r="B24" s="48"/>
      <c r="C24" s="49">
        <v>4.41</v>
      </c>
      <c r="D24" s="54"/>
      <c r="E24" s="39">
        <v>75</v>
      </c>
      <c r="F24" s="40">
        <v>8.1300000000000008</v>
      </c>
      <c r="G24" s="51">
        <v>5.34</v>
      </c>
      <c r="H24" s="44">
        <f t="shared" si="7"/>
        <v>-0.25136999999999998</v>
      </c>
      <c r="I24" s="52">
        <f t="shared" si="6"/>
        <v>-0.51999999999999957</v>
      </c>
      <c r="J24" s="44">
        <f t="shared" si="2"/>
        <v>-0.26862999999999959</v>
      </c>
      <c r="K24" s="44">
        <f t="shared" si="3"/>
        <v>-20.786170000000002</v>
      </c>
      <c r="L24" s="44">
        <f t="shared" si="4"/>
        <v>-31.749999999999996</v>
      </c>
      <c r="M24" s="53">
        <f t="shared" si="5"/>
        <v>-10.963829999999994</v>
      </c>
      <c r="N24" s="231"/>
      <c r="O24" s="229"/>
      <c r="P24" s="230"/>
      <c r="Q24" s="47">
        <v>44580.74722222222</v>
      </c>
      <c r="R24" s="44">
        <f t="shared" si="0"/>
        <v>-1.4652545462609123</v>
      </c>
      <c r="S24" s="44">
        <f t="shared" si="1"/>
        <v>-1.2898623529500088</v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4.41</v>
      </c>
      <c r="D26" s="54"/>
      <c r="E26" s="39">
        <v>0</v>
      </c>
      <c r="F26" s="40"/>
      <c r="G26" s="51"/>
      <c r="H26" s="44">
        <f>IF(E26="","",((E26-E25)*C26)/1000)</f>
        <v>0</v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4.41</v>
      </c>
      <c r="D27" s="58"/>
      <c r="E27" s="39">
        <v>0</v>
      </c>
      <c r="F27" s="40">
        <v>7.82</v>
      </c>
      <c r="G27" s="51"/>
      <c r="H27" s="44">
        <f t="shared" si="7"/>
        <v>0</v>
      </c>
      <c r="I27" s="52">
        <f>IF(F27="","",F27-F26-G27)</f>
        <v>7.82</v>
      </c>
      <c r="J27" s="44">
        <f>IF(F27="","",I27-H27)</f>
        <v>7.82</v>
      </c>
      <c r="K27" s="44" t="e">
        <f>IF(F27="","",K26+H27)</f>
        <v>#VALUE!</v>
      </c>
      <c r="L27" s="44" t="e">
        <f>IF(F27="","",L26+I27)</f>
        <v>#VALUE!</v>
      </c>
      <c r="M27" s="53" t="e">
        <f>IF(F27="","",L27-K27)</f>
        <v>#VALUE!</v>
      </c>
      <c r="N27" s="231"/>
      <c r="O27" s="229"/>
      <c r="P27" s="230"/>
      <c r="Q27" s="47">
        <v>44581.412499999999</v>
      </c>
      <c r="R27" s="44">
        <f t="shared" si="0"/>
        <v>7.308726104928447E-6</v>
      </c>
      <c r="S27" s="44" t="e">
        <f t="shared" si="1"/>
        <v>#VALUE!</v>
      </c>
    </row>
    <row r="28" spans="1:19" ht="12" customHeight="1" x14ac:dyDescent="0.2">
      <c r="A28" s="37"/>
      <c r="B28" s="48"/>
      <c r="C28" s="49">
        <v>4.41</v>
      </c>
      <c r="D28" s="58"/>
      <c r="E28" s="39">
        <v>0</v>
      </c>
      <c r="F28" s="40">
        <v>6.41</v>
      </c>
      <c r="G28" s="51"/>
      <c r="H28" s="44">
        <f t="shared" si="7"/>
        <v>0</v>
      </c>
      <c r="I28" s="52">
        <f>IF(F28="","",F28-F27-G28)</f>
        <v>-1.4100000000000001</v>
      </c>
      <c r="J28" s="44">
        <f t="shared" si="2"/>
        <v>-1.4100000000000001</v>
      </c>
      <c r="K28" s="44" t="e">
        <f t="shared" si="3"/>
        <v>#VALUE!</v>
      </c>
      <c r="L28" s="44" t="e">
        <f t="shared" si="4"/>
        <v>#VALUE!</v>
      </c>
      <c r="M28" s="53" t="e">
        <f t="shared" si="5"/>
        <v>#VALUE!</v>
      </c>
      <c r="N28" s="231"/>
      <c r="O28" s="229"/>
      <c r="P28" s="230"/>
      <c r="Q28" s="47">
        <v>44581.455555555556</v>
      </c>
      <c r="R28" s="44">
        <f t="shared" si="0"/>
        <v>-1.3645161289656433</v>
      </c>
      <c r="S28" s="44" t="e">
        <f t="shared" si="1"/>
        <v>#VALUE!</v>
      </c>
    </row>
    <row r="29" spans="1:19" ht="12" customHeight="1" x14ac:dyDescent="0.2">
      <c r="A29" s="37"/>
      <c r="B29" s="48"/>
      <c r="C29" s="49">
        <v>4.41</v>
      </c>
      <c r="D29" s="58"/>
      <c r="E29" s="39">
        <v>0</v>
      </c>
      <c r="F29" s="40"/>
      <c r="G29" s="51"/>
      <c r="H29" s="44">
        <f t="shared" si="7"/>
        <v>0</v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4.41</v>
      </c>
      <c r="D30" s="58"/>
      <c r="E30" s="39">
        <v>0</v>
      </c>
      <c r="F30" s="40"/>
      <c r="G30" s="59"/>
      <c r="H30" s="44">
        <f t="shared" si="7"/>
        <v>0</v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4.41</v>
      </c>
      <c r="D31" s="58"/>
      <c r="E31" s="39">
        <v>0</v>
      </c>
      <c r="F31" s="40"/>
      <c r="G31" s="51"/>
      <c r="H31" s="44">
        <f t="shared" si="7"/>
        <v>0</v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4.41</v>
      </c>
      <c r="D32" s="58"/>
      <c r="E32" s="39">
        <v>0</v>
      </c>
      <c r="F32" s="40"/>
      <c r="G32" s="51"/>
      <c r="H32" s="44">
        <f t="shared" si="7"/>
        <v>0</v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79"/>
      <c r="O34" s="80"/>
      <c r="P34" s="81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76"/>
      <c r="O76" s="77"/>
      <c r="P76" s="78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76"/>
      <c r="O77" s="77"/>
      <c r="P77" s="78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76"/>
      <c r="O78" s="77"/>
      <c r="P78" s="78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76"/>
      <c r="O79" s="77"/>
      <c r="P79" s="78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U112"/>
  <sheetViews>
    <sheetView zoomScale="110" zoomScaleNormal="110" workbookViewId="0">
      <selection activeCell="B7" sqref="B7:C2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3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6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6" t="s">
        <v>28</v>
      </c>
      <c r="E6" s="39">
        <v>191</v>
      </c>
      <c r="F6" s="40">
        <v>5.19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44576.212500000001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/>
      <c r="E7" s="39">
        <v>335</v>
      </c>
      <c r="F7" s="40">
        <v>7.29</v>
      </c>
      <c r="G7" s="51"/>
      <c r="H7" s="44">
        <f>IF(E7="","",((E7-E6)*C7)/1000)</f>
        <v>1.9195199999999999</v>
      </c>
      <c r="I7" s="52">
        <f>IF(F7="","",F7-F6-G7)</f>
        <v>2.0999999999999996</v>
      </c>
      <c r="J7" s="44">
        <f>IF(F7="","",I7-H7)</f>
        <v>0.18047999999999975</v>
      </c>
      <c r="K7" s="44">
        <f>IF(F7="","",K6+H7)</f>
        <v>1.9195199999999999</v>
      </c>
      <c r="L7" s="44">
        <f>IF(F7="","",L6+I7)</f>
        <v>2.0999999999999996</v>
      </c>
      <c r="M7" s="53">
        <f>IF(F7="","",L7-K7)</f>
        <v>0.18047999999999975</v>
      </c>
      <c r="N7" s="231"/>
      <c r="O7" s="229"/>
      <c r="P7" s="230"/>
      <c r="Q7" s="47">
        <v>44576.21875</v>
      </c>
      <c r="R7" s="44">
        <f t="shared" ref="R7:R70" si="0">IF(Q7="","",J7/((Q7-Q6)*24))</f>
        <v>1.2032000002801402</v>
      </c>
      <c r="S7" s="44">
        <f t="shared" ref="S7:S70" si="1">IF(Q7="","",M7/((Q7-$Q$6)*24))</f>
        <v>1.2032000002801402</v>
      </c>
    </row>
    <row r="8" spans="1:20" ht="12" customHeight="1" x14ac:dyDescent="0.2">
      <c r="A8" s="37"/>
      <c r="B8" s="48"/>
      <c r="C8" s="49">
        <v>13.33</v>
      </c>
      <c r="D8" s="54"/>
      <c r="E8" s="39">
        <v>422.9</v>
      </c>
      <c r="F8" s="40">
        <v>3.51</v>
      </c>
      <c r="G8" s="51">
        <v>-5.5</v>
      </c>
      <c r="H8" s="44">
        <f>IF(E8="","",((E8-E7)*C8)/1000)</f>
        <v>1.1717069999999996</v>
      </c>
      <c r="I8" s="52">
        <f>IF(F8="","",F8-F7-G8)</f>
        <v>1.7199999999999998</v>
      </c>
      <c r="J8" s="44">
        <f>IF(F8="","",I8-H8)</f>
        <v>0.54829300000000014</v>
      </c>
      <c r="K8" s="44">
        <f>IF(F8="","",K7+H8)</f>
        <v>3.0912269999999995</v>
      </c>
      <c r="L8" s="44">
        <f>IF(F8="","",L7+I8)</f>
        <v>3.8199999999999994</v>
      </c>
      <c r="M8" s="53">
        <f>IF(F8="","",L8-K8)</f>
        <v>0.72877299999999989</v>
      </c>
      <c r="N8" s="231"/>
      <c r="O8" s="229"/>
      <c r="P8" s="230"/>
      <c r="Q8" s="47">
        <v>44576.224305555559</v>
      </c>
      <c r="R8" s="44">
        <f t="shared" si="0"/>
        <v>4.1121974973670259</v>
      </c>
      <c r="S8" s="44">
        <f t="shared" si="1"/>
        <v>2.572139999542038</v>
      </c>
      <c r="T8" s="55"/>
    </row>
    <row r="9" spans="1:20" ht="12" customHeight="1" x14ac:dyDescent="0.2">
      <c r="A9" s="37"/>
      <c r="B9" s="48"/>
      <c r="C9" s="49">
        <v>13.33</v>
      </c>
      <c r="D9" s="54"/>
      <c r="E9" s="39">
        <v>509</v>
      </c>
      <c r="F9" s="40">
        <v>4.62</v>
      </c>
      <c r="G9" s="51"/>
      <c r="H9" s="44">
        <f>IF(E9="","",((E9-E8)*C9)/1000)</f>
        <v>1.1477130000000004</v>
      </c>
      <c r="I9" s="52">
        <f>IF(F9="","",F9-F8-G9)</f>
        <v>1.1100000000000003</v>
      </c>
      <c r="J9" s="44">
        <f>IF(F9="","",I9-H9)</f>
        <v>-3.7713000000000108E-2</v>
      </c>
      <c r="K9" s="44">
        <f>IF(F9="","",K8+H9)</f>
        <v>4.2389399999999995</v>
      </c>
      <c r="L9" s="44">
        <f>IF(F9="","",L8+I9)</f>
        <v>4.93</v>
      </c>
      <c r="M9" s="53">
        <f>IF(F9="","",L9-K9)</f>
        <v>0.69106000000000023</v>
      </c>
      <c r="N9" s="228"/>
      <c r="O9" s="229"/>
      <c r="P9" s="230"/>
      <c r="Q9" s="47">
        <v>44576.228472222225</v>
      </c>
      <c r="R9" s="44">
        <f t="shared" si="0"/>
        <v>-0.3771300000878085</v>
      </c>
      <c r="S9" s="44">
        <f t="shared" si="1"/>
        <v>1.8027652172635582</v>
      </c>
    </row>
    <row r="10" spans="1:20" ht="12" customHeight="1" x14ac:dyDescent="0.2">
      <c r="A10" s="37"/>
      <c r="B10" s="48"/>
      <c r="C10" s="49">
        <v>13.33</v>
      </c>
      <c r="D10" s="54"/>
      <c r="E10" s="39">
        <v>725</v>
      </c>
      <c r="F10" s="40">
        <v>2.85</v>
      </c>
      <c r="G10" s="51">
        <v>-6.15</v>
      </c>
      <c r="H10" s="44">
        <f>IF(E10="","",((E10-E9)*C10)/1000)</f>
        <v>2.8792800000000001</v>
      </c>
      <c r="I10" s="52">
        <f>IF(F10="","",F10-F9-G10)</f>
        <v>4.3800000000000008</v>
      </c>
      <c r="J10" s="44">
        <f t="shared" ref="J10:J73" si="2">IF(F10="","",I10-H10)</f>
        <v>1.5007200000000007</v>
      </c>
      <c r="K10" s="44">
        <f t="shared" ref="K10:K73" si="3">IF(F10="","",K9+H10)</f>
        <v>7.1182199999999991</v>
      </c>
      <c r="L10" s="44">
        <f t="shared" ref="L10:L73" si="4">IF(F10="","",L9+I10)</f>
        <v>9.31</v>
      </c>
      <c r="M10" s="53">
        <f t="shared" ref="M10:M73" si="5">IF(F10="","",L10-K10)</f>
        <v>2.1917800000000014</v>
      </c>
      <c r="N10" s="249"/>
      <c r="O10" s="250"/>
      <c r="P10" s="251"/>
      <c r="Q10" s="47">
        <v>44576.242361111108</v>
      </c>
      <c r="R10" s="44">
        <f t="shared" si="0"/>
        <v>4.5021600018344232</v>
      </c>
      <c r="S10" s="44">
        <f t="shared" si="1"/>
        <v>3.0582976748822772</v>
      </c>
      <c r="T10" s="55"/>
    </row>
    <row r="11" spans="1:20" ht="12" customHeight="1" x14ac:dyDescent="0.2">
      <c r="A11" s="37"/>
      <c r="B11" s="48"/>
      <c r="C11" s="49">
        <v>13.33</v>
      </c>
      <c r="D11" s="54"/>
      <c r="E11" s="39">
        <v>961</v>
      </c>
      <c r="F11" s="56">
        <v>4.93</v>
      </c>
      <c r="G11" s="51"/>
      <c r="H11" s="44">
        <f>IF(E11="","",((E11-E10)*C11)/1000)</f>
        <v>3.14588</v>
      </c>
      <c r="I11" s="52">
        <f t="shared" ref="I11:I74" si="6">IF(F11="","",F11-F10-G11)</f>
        <v>2.0799999999999996</v>
      </c>
      <c r="J11" s="44">
        <f t="shared" si="2"/>
        <v>-1.0658800000000004</v>
      </c>
      <c r="K11" s="44">
        <f t="shared" si="3"/>
        <v>10.264099999999999</v>
      </c>
      <c r="L11" s="44">
        <f t="shared" si="4"/>
        <v>11.39</v>
      </c>
      <c r="M11" s="53">
        <f t="shared" si="5"/>
        <v>1.1259000000000015</v>
      </c>
      <c r="N11" s="228"/>
      <c r="O11" s="229"/>
      <c r="P11" s="230"/>
      <c r="Q11" s="47">
        <v>44576.248611111114</v>
      </c>
      <c r="R11" s="44">
        <f t="shared" si="0"/>
        <v>-7.1058666600488154</v>
      </c>
      <c r="S11" s="44">
        <f t="shared" si="1"/>
        <v>1.2991153845688519</v>
      </c>
    </row>
    <row r="12" spans="1:20" ht="12" customHeight="1" x14ac:dyDescent="0.2">
      <c r="A12" s="37"/>
      <c r="B12" s="48"/>
      <c r="C12" s="49">
        <v>13.33</v>
      </c>
      <c r="D12" s="54"/>
      <c r="E12" s="39">
        <v>961</v>
      </c>
      <c r="F12" s="56">
        <v>6.15</v>
      </c>
      <c r="G12" s="51">
        <v>1.22</v>
      </c>
      <c r="H12" s="44">
        <f t="shared" ref="H12:H74" si="7">IF(E12="","",((E12-E11)*C12)/1000)</f>
        <v>0</v>
      </c>
      <c r="I12" s="52">
        <f t="shared" si="6"/>
        <v>6.6613381477509392E-16</v>
      </c>
      <c r="J12" s="44">
        <f t="shared" si="2"/>
        <v>6.6613381477509392E-16</v>
      </c>
      <c r="K12" s="44">
        <f t="shared" si="3"/>
        <v>10.264099999999999</v>
      </c>
      <c r="L12" s="44">
        <f t="shared" si="4"/>
        <v>11.39</v>
      </c>
      <c r="M12" s="53">
        <f t="shared" si="5"/>
        <v>1.1259000000000015</v>
      </c>
      <c r="N12" s="228"/>
      <c r="O12" s="229"/>
      <c r="P12" s="230"/>
      <c r="Q12" s="47">
        <v>44576.261111111111</v>
      </c>
      <c r="R12" s="44">
        <f t="shared" si="0"/>
        <v>2.220446049767301E-15</v>
      </c>
      <c r="S12" s="44">
        <f t="shared" si="1"/>
        <v>0.96505714288924338</v>
      </c>
    </row>
    <row r="13" spans="1:20" ht="12" customHeight="1" x14ac:dyDescent="0.2">
      <c r="A13" s="37"/>
      <c r="B13" s="48"/>
      <c r="C13" s="49">
        <v>13.33</v>
      </c>
      <c r="D13" s="54">
        <v>30</v>
      </c>
      <c r="E13" s="39">
        <v>973</v>
      </c>
      <c r="F13" s="56">
        <v>3.54</v>
      </c>
      <c r="G13" s="51">
        <f>-6.76+2.9</f>
        <v>-3.86</v>
      </c>
      <c r="H13" s="44">
        <f>IF(E13="","",((E13-E12)*C13)/1000)</f>
        <v>0.15996000000000002</v>
      </c>
      <c r="I13" s="52">
        <f t="shared" si="6"/>
        <v>1.2499999999999996</v>
      </c>
      <c r="J13" s="44">
        <f t="shared" si="2"/>
        <v>1.0900399999999995</v>
      </c>
      <c r="K13" s="44">
        <f t="shared" si="3"/>
        <v>10.424059999999999</v>
      </c>
      <c r="L13" s="44">
        <f t="shared" si="4"/>
        <v>12.64</v>
      </c>
      <c r="M13" s="53">
        <f t="shared" si="5"/>
        <v>2.2159400000000016</v>
      </c>
      <c r="N13" s="231"/>
      <c r="O13" s="229"/>
      <c r="P13" s="230"/>
      <c r="Q13" s="47">
        <v>44576.32708333333</v>
      </c>
      <c r="R13" s="44">
        <f t="shared" si="0"/>
        <v>0.68844631582321891</v>
      </c>
      <c r="S13" s="44">
        <f t="shared" si="1"/>
        <v>0.80579636367047591</v>
      </c>
    </row>
    <row r="14" spans="1:20" ht="12" customHeight="1" x14ac:dyDescent="0.2">
      <c r="A14" s="37"/>
      <c r="B14" s="48"/>
      <c r="C14" s="49">
        <v>13.33</v>
      </c>
      <c r="D14" s="54">
        <v>40</v>
      </c>
      <c r="E14" s="39">
        <v>1264</v>
      </c>
      <c r="F14" s="56">
        <v>7.39</v>
      </c>
      <c r="G14" s="51"/>
      <c r="H14" s="44">
        <f t="shared" si="7"/>
        <v>3.8790300000000002</v>
      </c>
      <c r="I14" s="52">
        <f t="shared" si="6"/>
        <v>3.8499999999999996</v>
      </c>
      <c r="J14" s="44">
        <f t="shared" si="2"/>
        <v>-2.9030000000000555E-2</v>
      </c>
      <c r="K14" s="44">
        <f t="shared" si="3"/>
        <v>14.303089999999999</v>
      </c>
      <c r="L14" s="44">
        <f t="shared" si="4"/>
        <v>16.490000000000002</v>
      </c>
      <c r="M14" s="53">
        <f t="shared" si="5"/>
        <v>2.1869100000000028</v>
      </c>
      <c r="N14" s="231"/>
      <c r="O14" s="229"/>
      <c r="P14" s="230"/>
      <c r="Q14" s="47">
        <v>44576.35</v>
      </c>
      <c r="R14" s="44">
        <f t="shared" si="0"/>
        <v>-5.2781818177350386E-2</v>
      </c>
      <c r="S14" s="44">
        <f t="shared" si="1"/>
        <v>0.66270000001402785</v>
      </c>
    </row>
    <row r="15" spans="1:20" ht="12" customHeight="1" x14ac:dyDescent="0.2">
      <c r="A15" s="37"/>
      <c r="B15" s="48"/>
      <c r="C15" s="49">
        <v>13.33</v>
      </c>
      <c r="D15" s="54">
        <v>61</v>
      </c>
      <c r="E15" s="39">
        <v>1873</v>
      </c>
      <c r="F15" s="40">
        <v>3.55</v>
      </c>
      <c r="G15" s="51">
        <f>-8.67+3.84-9.48+3.55</f>
        <v>-10.760000000000002</v>
      </c>
      <c r="H15" s="44">
        <f t="shared" si="7"/>
        <v>8.1179699999999997</v>
      </c>
      <c r="I15" s="52">
        <f t="shared" si="6"/>
        <v>6.9200000000000017</v>
      </c>
      <c r="J15" s="44">
        <f t="shared" si="2"/>
        <v>-1.197969999999998</v>
      </c>
      <c r="K15" s="44">
        <f t="shared" si="3"/>
        <v>22.421059999999997</v>
      </c>
      <c r="L15" s="44">
        <f t="shared" si="4"/>
        <v>23.410000000000004</v>
      </c>
      <c r="M15" s="53">
        <f t="shared" si="5"/>
        <v>0.98894000000000659</v>
      </c>
      <c r="N15" s="231"/>
      <c r="O15" s="229"/>
      <c r="P15" s="230"/>
      <c r="Q15" s="47">
        <v>44576.380555555559</v>
      </c>
      <c r="R15" s="44">
        <f t="shared" si="0"/>
        <v>-1.6335954542774771</v>
      </c>
      <c r="S15" s="44">
        <f t="shared" si="1"/>
        <v>0.24519173553412499</v>
      </c>
    </row>
    <row r="16" spans="1:20" ht="12" customHeight="1" x14ac:dyDescent="0.2">
      <c r="A16" s="37"/>
      <c r="B16" s="48"/>
      <c r="C16" s="49">
        <v>13.33</v>
      </c>
      <c r="D16" s="57">
        <v>68</v>
      </c>
      <c r="E16" s="39">
        <v>2076</v>
      </c>
      <c r="F16" s="40">
        <v>6.35</v>
      </c>
      <c r="G16" s="51"/>
      <c r="H16" s="44">
        <f t="shared" si="7"/>
        <v>2.7059900000000003</v>
      </c>
      <c r="I16" s="52">
        <f t="shared" si="6"/>
        <v>2.8</v>
      </c>
      <c r="J16" s="44">
        <f t="shared" si="2"/>
        <v>9.4009999999999483E-2</v>
      </c>
      <c r="K16" s="44">
        <f t="shared" si="3"/>
        <v>25.127049999999997</v>
      </c>
      <c r="L16" s="44">
        <f t="shared" si="4"/>
        <v>26.210000000000004</v>
      </c>
      <c r="M16" s="53">
        <f t="shared" si="5"/>
        <v>1.0829500000000074</v>
      </c>
      <c r="N16" s="228"/>
      <c r="O16" s="229"/>
      <c r="P16" s="230"/>
      <c r="Q16" s="47">
        <v>44576.39166666667</v>
      </c>
      <c r="R16" s="44">
        <f t="shared" si="0"/>
        <v>0.35253750000512818</v>
      </c>
      <c r="S16" s="44">
        <f t="shared" si="1"/>
        <v>0.25184883720657669</v>
      </c>
      <c r="T16" s="55"/>
    </row>
    <row r="17" spans="1:19" ht="12" customHeight="1" x14ac:dyDescent="0.2">
      <c r="A17" s="37"/>
      <c r="B17" s="48"/>
      <c r="C17" s="49">
        <v>13.33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13.33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13.33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13.33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13.33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13.33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13.33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13.33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13.33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>
        <v>176.43</v>
      </c>
      <c r="B26" s="48"/>
      <c r="C26" s="49">
        <v>13.33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13.33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13.33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13.33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13.33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13.33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U112"/>
  <sheetViews>
    <sheetView zoomScale="110" zoomScaleNormal="110" workbookViewId="0">
      <selection activeCell="G35" sqref="G3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3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6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6" t="s">
        <v>28</v>
      </c>
      <c r="E6" s="39">
        <v>2295</v>
      </c>
      <c r="F6" s="40">
        <v>3.8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44574.989583333336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/>
      <c r="E7" s="39">
        <v>2268</v>
      </c>
      <c r="F7" s="40">
        <v>4.3899999999999997</v>
      </c>
      <c r="G7" s="51"/>
      <c r="H7" s="44">
        <f>IF(E7="","",((E7-E6)*C7)/1000)</f>
        <v>-0.11799000000000001</v>
      </c>
      <c r="I7" s="52">
        <f>IF(F7="","",F7-F6-G7)</f>
        <v>0.58999999999999986</v>
      </c>
      <c r="J7" s="44">
        <f>IF(F7="","",I7-H7)</f>
        <v>0.7079899999999999</v>
      </c>
      <c r="K7" s="44">
        <f>IF(F7="","",K6+H7)</f>
        <v>-0.11799000000000001</v>
      </c>
      <c r="L7" s="44">
        <f>IF(F7="","",L6+I7)</f>
        <v>0.58999999999999986</v>
      </c>
      <c r="M7" s="53">
        <f>IF(F7="","",L7-K7)</f>
        <v>0.7079899999999999</v>
      </c>
      <c r="N7" s="231"/>
      <c r="O7" s="229"/>
      <c r="P7" s="230"/>
      <c r="Q7" s="47">
        <v>44575.000694444447</v>
      </c>
      <c r="R7" s="44">
        <f t="shared" ref="R7:R70" si="0">IF(Q7="","",J7/((Q7-Q6)*24))</f>
        <v>2.6549625000386343</v>
      </c>
      <c r="S7" s="44">
        <f t="shared" ref="S7:S70" si="1">IF(Q7="","",M7/((Q7-$Q$6)*24))</f>
        <v>2.6549625000386343</v>
      </c>
    </row>
    <row r="8" spans="1:20" ht="12" customHeight="1" x14ac:dyDescent="0.2">
      <c r="A8" s="37"/>
      <c r="B8" s="48"/>
      <c r="C8" s="49">
        <v>4.37</v>
      </c>
      <c r="D8" s="54"/>
      <c r="E8" s="39">
        <v>2186</v>
      </c>
      <c r="F8" s="40">
        <v>5.96</v>
      </c>
      <c r="G8" s="51"/>
      <c r="H8" s="44">
        <f>IF(E8="","",((E8-E7)*C8)/1000)</f>
        <v>-0.35834000000000005</v>
      </c>
      <c r="I8" s="52">
        <f>IF(F8="","",F8-F7-G8)</f>
        <v>1.5700000000000003</v>
      </c>
      <c r="J8" s="44">
        <f>IF(F8="","",I8-H8)</f>
        <v>1.9283400000000004</v>
      </c>
      <c r="K8" s="44">
        <f>IF(F8="","",K7+H8)</f>
        <v>-0.47633000000000003</v>
      </c>
      <c r="L8" s="44">
        <f>IF(F8="","",L7+I8)</f>
        <v>2.16</v>
      </c>
      <c r="M8" s="53">
        <f>IF(F8="","",L8-K8)</f>
        <v>2.6363300000000001</v>
      </c>
      <c r="N8" s="231"/>
      <c r="O8" s="229"/>
      <c r="P8" s="230"/>
      <c r="Q8" s="47">
        <v>44575.026388888888</v>
      </c>
      <c r="R8" s="44">
        <f t="shared" si="0"/>
        <v>3.1270378382707449</v>
      </c>
      <c r="S8" s="44">
        <f t="shared" si="1"/>
        <v>2.9845245286034423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2105</v>
      </c>
      <c r="F9" s="40">
        <v>8.0399999999999991</v>
      </c>
      <c r="G9" s="51"/>
      <c r="H9" s="44">
        <f>IF(E9="","",((E9-E8)*C9)/1000)</f>
        <v>-0.35397000000000001</v>
      </c>
      <c r="I9" s="52">
        <f>IF(F9="","",F9-F8-G9)</f>
        <v>2.0799999999999992</v>
      </c>
      <c r="J9" s="44">
        <f>IF(F9="","",I9-H9)</f>
        <v>2.4339699999999991</v>
      </c>
      <c r="K9" s="44">
        <f>IF(F9="","",K8+H9)</f>
        <v>-0.83030000000000004</v>
      </c>
      <c r="L9" s="44">
        <f>IF(F9="","",L8+I9)</f>
        <v>4.2399999999999993</v>
      </c>
      <c r="M9" s="53">
        <f>IF(F9="","",L9-K9)</f>
        <v>5.0702999999999996</v>
      </c>
      <c r="N9" s="228"/>
      <c r="O9" s="229"/>
      <c r="P9" s="230"/>
      <c r="Q9" s="47">
        <v>44575.052083333336</v>
      </c>
      <c r="R9" s="44">
        <f t="shared" si="0"/>
        <v>3.9469783778071208</v>
      </c>
      <c r="S9" s="44">
        <f t="shared" si="1"/>
        <v>3.3801999999999999</v>
      </c>
    </row>
    <row r="10" spans="1:20" ht="12" customHeight="1" x14ac:dyDescent="0.2">
      <c r="A10" s="37"/>
      <c r="B10" s="48"/>
      <c r="C10" s="49">
        <v>4.37</v>
      </c>
      <c r="D10" s="54"/>
      <c r="E10" s="39">
        <v>2050</v>
      </c>
      <c r="F10" s="40">
        <v>3.86</v>
      </c>
      <c r="G10" s="51">
        <v>-5.51</v>
      </c>
      <c r="H10" s="44">
        <f>IF(E10="","",((E10-E9)*C10)/1000)</f>
        <v>-0.24035000000000001</v>
      </c>
      <c r="I10" s="52">
        <f>IF(F10="","",F10-F9-G10)</f>
        <v>1.33</v>
      </c>
      <c r="J10" s="44">
        <f t="shared" ref="J10:J73" si="2">IF(F10="","",I10-H10)</f>
        <v>1.5703500000000001</v>
      </c>
      <c r="K10" s="44">
        <f t="shared" ref="K10:K73" si="3">IF(F10="","",K9+H10)</f>
        <v>-1.0706500000000001</v>
      </c>
      <c r="L10" s="44">
        <f t="shared" ref="L10:L73" si="4">IF(F10="","",L9+I10)</f>
        <v>5.5699999999999994</v>
      </c>
      <c r="M10" s="53">
        <f t="shared" ref="M10:M73" si="5">IF(F10="","",L10-K10)</f>
        <v>6.6406499999999991</v>
      </c>
      <c r="N10" s="249"/>
      <c r="O10" s="250"/>
      <c r="P10" s="251"/>
      <c r="Q10" s="47">
        <v>44575.069444444445</v>
      </c>
      <c r="R10" s="44">
        <f t="shared" si="0"/>
        <v>3.768840000351001</v>
      </c>
      <c r="S10" s="44">
        <f t="shared" si="1"/>
        <v>3.4646869565918852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1670</v>
      </c>
      <c r="F11" s="56">
        <v>7.2</v>
      </c>
      <c r="G11" s="51"/>
      <c r="H11" s="44">
        <f>IF(E11="","",((E11-E10)*C11)/1000)</f>
        <v>-1.6606000000000001</v>
      </c>
      <c r="I11" s="52">
        <f t="shared" ref="I11:I74" si="6">IF(F11="","",F11-F10-G11)</f>
        <v>3.3400000000000003</v>
      </c>
      <c r="J11" s="44">
        <f t="shared" si="2"/>
        <v>5.0006000000000004</v>
      </c>
      <c r="K11" s="44">
        <f t="shared" si="3"/>
        <v>-2.7312500000000002</v>
      </c>
      <c r="L11" s="44">
        <f t="shared" si="4"/>
        <v>8.91</v>
      </c>
      <c r="M11" s="53">
        <f t="shared" si="5"/>
        <v>11.641249999999999</v>
      </c>
      <c r="N11" s="228"/>
      <c r="O11" s="229"/>
      <c r="P11" s="230"/>
      <c r="Q11" s="47">
        <v>44575.205555555556</v>
      </c>
      <c r="R11" s="44">
        <f t="shared" si="0"/>
        <v>1.5307959183691655</v>
      </c>
      <c r="S11" s="44">
        <f t="shared" si="1"/>
        <v>2.2459003215619036</v>
      </c>
    </row>
    <row r="12" spans="1:20" ht="12" customHeight="1" x14ac:dyDescent="0.2">
      <c r="A12" s="37"/>
      <c r="B12" s="48"/>
      <c r="C12" s="49">
        <v>4.37</v>
      </c>
      <c r="D12" s="54"/>
      <c r="E12" s="39">
        <v>1588</v>
      </c>
      <c r="F12" s="56">
        <v>6.65</v>
      </c>
      <c r="G12" s="51"/>
      <c r="H12" s="44">
        <f t="shared" ref="H12:H74" si="7">IF(E12="","",((E12-E11)*C12)/1000)</f>
        <v>-0.35834000000000005</v>
      </c>
      <c r="I12" s="52">
        <f t="shared" si="6"/>
        <v>-0.54999999999999982</v>
      </c>
      <c r="J12" s="44">
        <f t="shared" si="2"/>
        <v>-0.19165999999999977</v>
      </c>
      <c r="K12" s="44">
        <f t="shared" si="3"/>
        <v>-3.0895900000000003</v>
      </c>
      <c r="L12" s="44">
        <f t="shared" si="4"/>
        <v>8.36</v>
      </c>
      <c r="M12" s="53">
        <f t="shared" si="5"/>
        <v>11.449590000000001</v>
      </c>
      <c r="N12" s="228"/>
      <c r="O12" s="229"/>
      <c r="P12" s="230"/>
      <c r="Q12" s="47">
        <v>44575.208333333336</v>
      </c>
      <c r="R12" s="44">
        <f t="shared" si="0"/>
        <v>-2.8748999981592434</v>
      </c>
      <c r="S12" s="44">
        <f t="shared" si="1"/>
        <v>2.1808742857142858</v>
      </c>
    </row>
    <row r="13" spans="1:20" ht="12" customHeight="1" x14ac:dyDescent="0.2">
      <c r="A13" s="37"/>
      <c r="B13" s="48"/>
      <c r="C13" s="49">
        <v>4.37</v>
      </c>
      <c r="D13" s="54">
        <v>90</v>
      </c>
      <c r="E13" s="39">
        <v>1509</v>
      </c>
      <c r="F13" s="56">
        <v>7.87</v>
      </c>
      <c r="G13" s="51"/>
      <c r="H13" s="44">
        <f>IF(E13="","",((E13-E12)*C13)/1000)</f>
        <v>-0.34523000000000004</v>
      </c>
      <c r="I13" s="52">
        <f t="shared" si="6"/>
        <v>1.2199999999999998</v>
      </c>
      <c r="J13" s="44">
        <f t="shared" si="2"/>
        <v>1.5652299999999997</v>
      </c>
      <c r="K13" s="44">
        <f t="shared" si="3"/>
        <v>-3.4348200000000002</v>
      </c>
      <c r="L13" s="44">
        <f t="shared" si="4"/>
        <v>9.5799999999999983</v>
      </c>
      <c r="M13" s="53">
        <f t="shared" si="5"/>
        <v>13.014819999999999</v>
      </c>
      <c r="N13" s="231"/>
      <c r="O13" s="229"/>
      <c r="P13" s="230"/>
      <c r="Q13" s="47">
        <v>44575.531944444447</v>
      </c>
      <c r="R13" s="44">
        <f t="shared" si="0"/>
        <v>0.20153175965675302</v>
      </c>
      <c r="S13" s="44">
        <f t="shared" si="1"/>
        <v>0.9998581306020905</v>
      </c>
    </row>
    <row r="14" spans="1:20" ht="12" customHeight="1" x14ac:dyDescent="0.2">
      <c r="A14" s="37"/>
      <c r="B14" s="48" t="s">
        <v>29</v>
      </c>
      <c r="C14" s="49">
        <v>10.58</v>
      </c>
      <c r="D14" s="54">
        <v>88</v>
      </c>
      <c r="E14" s="39">
        <v>1456</v>
      </c>
      <c r="F14" s="56">
        <v>7.34</v>
      </c>
      <c r="G14" s="51"/>
      <c r="H14" s="44">
        <f t="shared" si="7"/>
        <v>-0.56074000000000002</v>
      </c>
      <c r="I14" s="52">
        <f t="shared" si="6"/>
        <v>-0.53000000000000025</v>
      </c>
      <c r="J14" s="44">
        <f t="shared" si="2"/>
        <v>3.0739999999999768E-2</v>
      </c>
      <c r="K14" s="44">
        <f t="shared" si="3"/>
        <v>-3.9955600000000002</v>
      </c>
      <c r="L14" s="44">
        <f t="shared" si="4"/>
        <v>9.0499999999999972</v>
      </c>
      <c r="M14" s="53">
        <f t="shared" si="5"/>
        <v>13.045559999999998</v>
      </c>
      <c r="N14" s="231"/>
      <c r="O14" s="229"/>
      <c r="P14" s="230"/>
      <c r="Q14" s="47">
        <v>44575.567361111112</v>
      </c>
      <c r="R14" s="44">
        <f t="shared" si="0"/>
        <v>3.6164705883343286E-2</v>
      </c>
      <c r="S14" s="44">
        <f t="shared" si="1"/>
        <v>0.94078557692491971</v>
      </c>
    </row>
    <row r="15" spans="1:20" ht="12" customHeight="1" x14ac:dyDescent="0.2">
      <c r="A15" s="37"/>
      <c r="B15" s="48"/>
      <c r="C15" s="49">
        <v>10.58</v>
      </c>
      <c r="D15" s="54">
        <v>70</v>
      </c>
      <c r="E15" s="39">
        <v>985</v>
      </c>
      <c r="F15" s="40">
        <v>1.9</v>
      </c>
      <c r="G15" s="51"/>
      <c r="H15" s="44">
        <f t="shared" si="7"/>
        <v>-4.9831799999999999</v>
      </c>
      <c r="I15" s="52">
        <f t="shared" si="6"/>
        <v>-5.4399999999999995</v>
      </c>
      <c r="J15" s="44">
        <f t="shared" si="2"/>
        <v>-0.45681999999999956</v>
      </c>
      <c r="K15" s="44">
        <f t="shared" si="3"/>
        <v>-8.9787400000000002</v>
      </c>
      <c r="L15" s="44">
        <f t="shared" si="4"/>
        <v>3.6099999999999977</v>
      </c>
      <c r="M15" s="53">
        <f t="shared" si="5"/>
        <v>12.588739999999998</v>
      </c>
      <c r="N15" s="231"/>
      <c r="O15" s="229"/>
      <c r="P15" s="230"/>
      <c r="Q15" s="47">
        <v>44575.600694444445</v>
      </c>
      <c r="R15" s="44">
        <f t="shared" si="0"/>
        <v>-0.57102500000830891</v>
      </c>
      <c r="S15" s="44">
        <f t="shared" si="1"/>
        <v>0.85832318182045264</v>
      </c>
    </row>
    <row r="16" spans="1:20" ht="12" customHeight="1" x14ac:dyDescent="0.2">
      <c r="A16" s="37"/>
      <c r="B16" s="48"/>
      <c r="C16" s="49">
        <v>10.58</v>
      </c>
      <c r="D16" s="57">
        <v>55</v>
      </c>
      <c r="E16" s="39">
        <v>592</v>
      </c>
      <c r="F16" s="40">
        <v>3.43</v>
      </c>
      <c r="G16" s="51">
        <f>-1.28+7.73</f>
        <v>6.45</v>
      </c>
      <c r="H16" s="44">
        <f t="shared" si="7"/>
        <v>-4.15794</v>
      </c>
      <c r="I16" s="52">
        <f t="shared" si="6"/>
        <v>-4.92</v>
      </c>
      <c r="J16" s="44">
        <f t="shared" si="2"/>
        <v>-0.76205999999999996</v>
      </c>
      <c r="K16" s="44">
        <f t="shared" si="3"/>
        <v>-13.13668</v>
      </c>
      <c r="L16" s="44">
        <f t="shared" si="4"/>
        <v>-1.3100000000000023</v>
      </c>
      <c r="M16" s="53">
        <f t="shared" si="5"/>
        <v>11.826679999999998</v>
      </c>
      <c r="N16" s="228"/>
      <c r="O16" s="229"/>
      <c r="P16" s="230"/>
      <c r="Q16" s="47">
        <v>44575.621527777781</v>
      </c>
      <c r="R16" s="44">
        <f t="shared" si="0"/>
        <v>-1.524119999822569</v>
      </c>
      <c r="S16" s="44">
        <f t="shared" si="1"/>
        <v>0.77978109890010117</v>
      </c>
      <c r="T16" s="55"/>
    </row>
    <row r="17" spans="1:19" ht="12" customHeight="1" x14ac:dyDescent="0.2">
      <c r="A17" s="37"/>
      <c r="B17" s="48" t="s">
        <v>35</v>
      </c>
      <c r="C17" s="49">
        <v>4.41</v>
      </c>
      <c r="D17" s="54"/>
      <c r="E17" s="39">
        <v>555</v>
      </c>
      <c r="F17" s="40">
        <v>3.77</v>
      </c>
      <c r="G17" s="51"/>
      <c r="H17" s="44">
        <f t="shared" si="7"/>
        <v>-0.16317000000000001</v>
      </c>
      <c r="I17" s="52">
        <f t="shared" si="6"/>
        <v>0.33999999999999986</v>
      </c>
      <c r="J17" s="44">
        <f t="shared" si="2"/>
        <v>0.5031699999999999</v>
      </c>
      <c r="K17" s="44">
        <f t="shared" si="3"/>
        <v>-13.299849999999999</v>
      </c>
      <c r="L17" s="44">
        <f t="shared" si="4"/>
        <v>-0.97000000000000242</v>
      </c>
      <c r="M17" s="53">
        <f t="shared" si="5"/>
        <v>12.329849999999997</v>
      </c>
      <c r="N17" s="231" t="s">
        <v>112</v>
      </c>
      <c r="O17" s="229"/>
      <c r="P17" s="230"/>
      <c r="Q17" s="47">
        <v>44575.65902777778</v>
      </c>
      <c r="R17" s="44">
        <f t="shared" si="0"/>
        <v>0.55907777779947276</v>
      </c>
      <c r="S17" s="44">
        <f t="shared" si="1"/>
        <v>0.76741804979327233</v>
      </c>
    </row>
    <row r="18" spans="1:19" ht="12" customHeight="1" x14ac:dyDescent="0.2">
      <c r="A18" s="37"/>
      <c r="B18" s="48"/>
      <c r="C18" s="49">
        <v>4.41</v>
      </c>
      <c r="D18" s="54">
        <v>10</v>
      </c>
      <c r="E18" s="39">
        <v>265</v>
      </c>
      <c r="F18" s="40">
        <v>3.36</v>
      </c>
      <c r="G18" s="40"/>
      <c r="H18" s="44">
        <f t="shared" si="7"/>
        <v>-1.2789000000000001</v>
      </c>
      <c r="I18" s="52">
        <f t="shared" si="6"/>
        <v>-0.41000000000000014</v>
      </c>
      <c r="J18" s="44">
        <f t="shared" si="2"/>
        <v>0.86890000000000001</v>
      </c>
      <c r="K18" s="44">
        <f t="shared" si="3"/>
        <v>-14.578749999999999</v>
      </c>
      <c r="L18" s="44">
        <f t="shared" si="4"/>
        <v>-1.3800000000000026</v>
      </c>
      <c r="M18" s="53">
        <f t="shared" si="5"/>
        <v>13.198749999999997</v>
      </c>
      <c r="N18" s="228"/>
      <c r="O18" s="229"/>
      <c r="P18" s="230"/>
      <c r="Q18" s="47">
        <v>44575.674305555556</v>
      </c>
      <c r="R18" s="44">
        <f t="shared" si="0"/>
        <v>2.369727272902828</v>
      </c>
      <c r="S18" s="44">
        <f t="shared" si="1"/>
        <v>0.80316937119884058</v>
      </c>
    </row>
    <row r="19" spans="1:19" ht="12" customHeight="1" x14ac:dyDescent="0.2">
      <c r="A19" s="37"/>
      <c r="B19" s="48"/>
      <c r="C19" s="49">
        <v>4.41</v>
      </c>
      <c r="D19" s="54">
        <v>0</v>
      </c>
      <c r="E19" s="39">
        <v>0</v>
      </c>
      <c r="F19" s="40">
        <v>2.67</v>
      </c>
      <c r="G19" s="40"/>
      <c r="H19" s="44">
        <f t="shared" si="7"/>
        <v>-1.1686500000000002</v>
      </c>
      <c r="I19" s="52">
        <f t="shared" si="6"/>
        <v>-0.69</v>
      </c>
      <c r="J19" s="44">
        <f t="shared" si="2"/>
        <v>0.47865000000000024</v>
      </c>
      <c r="K19" s="44">
        <f t="shared" si="3"/>
        <v>-15.747399999999999</v>
      </c>
      <c r="L19" s="44">
        <f t="shared" si="4"/>
        <v>-2.0700000000000025</v>
      </c>
      <c r="M19" s="53">
        <f t="shared" si="5"/>
        <v>13.677399999999997</v>
      </c>
      <c r="N19" s="228"/>
      <c r="O19" s="229"/>
      <c r="P19" s="230"/>
      <c r="Q19" s="47">
        <v>44575.693749999999</v>
      </c>
      <c r="R19" s="44">
        <f t="shared" si="0"/>
        <v>1.0256785715394476</v>
      </c>
      <c r="S19" s="44">
        <f t="shared" si="1"/>
        <v>0.80931360947191544</v>
      </c>
    </row>
    <row r="20" spans="1:19" ht="12" customHeight="1" x14ac:dyDescent="0.2">
      <c r="A20" s="37"/>
      <c r="B20" s="48"/>
      <c r="C20" s="49">
        <v>4.41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4.41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>
        <v>2439</v>
      </c>
      <c r="F22" s="40">
        <v>179.19</v>
      </c>
      <c r="G22" s="51"/>
      <c r="H22" s="44">
        <f t="shared" si="7"/>
        <v>10.658430000000001</v>
      </c>
      <c r="I22" s="52">
        <f t="shared" si="6"/>
        <v>179.19</v>
      </c>
      <c r="J22" s="44">
        <f t="shared" si="2"/>
        <v>168.53156999999999</v>
      </c>
      <c r="K22" s="44" t="e">
        <f t="shared" si="3"/>
        <v>#VALUE!</v>
      </c>
      <c r="L22" s="44" t="e">
        <f t="shared" si="4"/>
        <v>#VALUE!</v>
      </c>
      <c r="M22" s="53" t="e">
        <f t="shared" si="5"/>
        <v>#VALUE!</v>
      </c>
      <c r="N22" s="228"/>
      <c r="O22" s="229"/>
      <c r="P22" s="230"/>
      <c r="Q22" s="47">
        <v>44574.819444444445</v>
      </c>
      <c r="R22" s="44">
        <f t="shared" si="0"/>
        <v>1.5753622420730187E-4</v>
      </c>
      <c r="S22" s="44" t="e">
        <f t="shared" si="1"/>
        <v>#VALUE!</v>
      </c>
    </row>
    <row r="23" spans="1:19" ht="12" customHeight="1" x14ac:dyDescent="0.2">
      <c r="A23" s="37"/>
      <c r="B23" s="48"/>
      <c r="C23" s="49">
        <v>4.37</v>
      </c>
      <c r="D23" s="54"/>
      <c r="E23" s="39">
        <v>2436</v>
      </c>
      <c r="F23" s="40">
        <v>182.16</v>
      </c>
      <c r="G23" s="51"/>
      <c r="H23" s="44">
        <f t="shared" si="7"/>
        <v>-1.311E-2</v>
      </c>
      <c r="I23" s="52">
        <f t="shared" si="6"/>
        <v>2.9699999999999989</v>
      </c>
      <c r="J23" s="44">
        <f t="shared" si="2"/>
        <v>2.983109999999999</v>
      </c>
      <c r="K23" s="44" t="e">
        <f t="shared" si="3"/>
        <v>#VALUE!</v>
      </c>
      <c r="L23" s="44" t="e">
        <f t="shared" si="4"/>
        <v>#VALUE!</v>
      </c>
      <c r="M23" s="53" t="e">
        <f t="shared" si="5"/>
        <v>#VALUE!</v>
      </c>
      <c r="N23" s="228"/>
      <c r="O23" s="229"/>
      <c r="P23" s="230"/>
      <c r="Q23" s="47">
        <v>44574.834722222222</v>
      </c>
      <c r="R23" s="44">
        <f t="shared" si="0"/>
        <v>8.1357545460572602</v>
      </c>
      <c r="S23" s="44" t="e">
        <f t="shared" si="1"/>
        <v>#VALUE!</v>
      </c>
    </row>
    <row r="24" spans="1:19" ht="12" customHeight="1" x14ac:dyDescent="0.2">
      <c r="A24" s="37"/>
      <c r="B24" s="48"/>
      <c r="C24" s="49">
        <v>4.37</v>
      </c>
      <c r="D24" s="54"/>
      <c r="E24" s="39">
        <v>2436</v>
      </c>
      <c r="F24" s="40">
        <v>183.6</v>
      </c>
      <c r="G24" s="51"/>
      <c r="H24" s="44">
        <f t="shared" si="7"/>
        <v>0</v>
      </c>
      <c r="I24" s="52">
        <f t="shared" si="6"/>
        <v>1.4399999999999977</v>
      </c>
      <c r="J24" s="44">
        <f t="shared" si="2"/>
        <v>1.4399999999999977</v>
      </c>
      <c r="K24" s="44" t="e">
        <f t="shared" si="3"/>
        <v>#VALUE!</v>
      </c>
      <c r="L24" s="44" t="e">
        <f t="shared" si="4"/>
        <v>#VALUE!</v>
      </c>
      <c r="M24" s="53" t="e">
        <f t="shared" si="5"/>
        <v>#VALUE!</v>
      </c>
      <c r="N24" s="231"/>
      <c r="O24" s="229"/>
      <c r="P24" s="230"/>
      <c r="Q24" s="47">
        <v>44574.854166666664</v>
      </c>
      <c r="R24" s="44">
        <f t="shared" si="0"/>
        <v>3.0857142860478466</v>
      </c>
      <c r="S24" s="44" t="e">
        <f t="shared" si="1"/>
        <v>#VALUE!</v>
      </c>
    </row>
    <row r="25" spans="1:19" ht="12" customHeight="1" x14ac:dyDescent="0.2">
      <c r="A25" s="37"/>
      <c r="B25" s="48"/>
      <c r="C25" s="49">
        <v>4.37</v>
      </c>
      <c r="D25" s="54"/>
      <c r="E25" s="39">
        <v>2404</v>
      </c>
      <c r="F25" s="40">
        <v>176.87</v>
      </c>
      <c r="G25" s="51"/>
      <c r="H25" s="44">
        <f t="shared" si="7"/>
        <v>-0.13983999999999999</v>
      </c>
      <c r="I25" s="52">
        <f t="shared" si="6"/>
        <v>-6.7299999999999898</v>
      </c>
      <c r="J25" s="44">
        <f t="shared" si="2"/>
        <v>-6.5901599999999894</v>
      </c>
      <c r="K25" s="44" t="e">
        <f t="shared" si="3"/>
        <v>#VALUE!</v>
      </c>
      <c r="L25" s="44" t="e">
        <f t="shared" si="4"/>
        <v>#VALUE!</v>
      </c>
      <c r="M25" s="53" t="e">
        <f t="shared" si="5"/>
        <v>#VALUE!</v>
      </c>
      <c r="N25" s="228"/>
      <c r="O25" s="229"/>
      <c r="P25" s="230"/>
      <c r="Q25" s="47">
        <v>44574.876388888886</v>
      </c>
      <c r="R25" s="44">
        <f t="shared" si="0"/>
        <v>-12.356550000179791</v>
      </c>
      <c r="S25" s="44" t="e">
        <f t="shared" si="1"/>
        <v>#VALUE!</v>
      </c>
    </row>
    <row r="26" spans="1:19" ht="12" customHeight="1" x14ac:dyDescent="0.2">
      <c r="A26" s="37">
        <v>176.43</v>
      </c>
      <c r="B26" s="48"/>
      <c r="C26" s="49">
        <v>4.37</v>
      </c>
      <c r="D26" s="54"/>
      <c r="E26" s="39">
        <v>2404</v>
      </c>
      <c r="F26" s="40">
        <v>176.43</v>
      </c>
      <c r="G26" s="51"/>
      <c r="H26" s="44">
        <f>IF(E26="","",((E26-E25)*C26)/1000)</f>
        <v>0</v>
      </c>
      <c r="I26" s="52">
        <f>IF(F26="","",F26-F25-G26)</f>
        <v>-0.43999999999999773</v>
      </c>
      <c r="J26" s="44">
        <f t="shared" si="2"/>
        <v>-0.43999999999999773</v>
      </c>
      <c r="K26" s="44" t="e">
        <f t="shared" si="3"/>
        <v>#VALUE!</v>
      </c>
      <c r="L26" s="44" t="e">
        <f t="shared" si="4"/>
        <v>#VALUE!</v>
      </c>
      <c r="M26" s="53" t="e">
        <f t="shared" si="5"/>
        <v>#VALUE!</v>
      </c>
      <c r="N26" s="228"/>
      <c r="O26" s="229"/>
      <c r="P26" s="230"/>
      <c r="Q26" s="47">
        <v>44574.895833333336</v>
      </c>
      <c r="R26" s="44">
        <f t="shared" si="0"/>
        <v>-0.94285714260625109</v>
      </c>
      <c r="S26" s="44" t="e">
        <f t="shared" si="1"/>
        <v>#VALUE!</v>
      </c>
    </row>
    <row r="27" spans="1:19" ht="12" customHeight="1" x14ac:dyDescent="0.2">
      <c r="A27" s="37"/>
      <c r="B27" s="48"/>
      <c r="C27" s="49">
        <v>4.37</v>
      </c>
      <c r="D27" s="58"/>
      <c r="E27" s="39">
        <v>2406</v>
      </c>
      <c r="F27" s="40">
        <v>175.26</v>
      </c>
      <c r="G27" s="51"/>
      <c r="H27" s="44">
        <f t="shared" si="7"/>
        <v>8.7399999999999995E-3</v>
      </c>
      <c r="I27" s="52">
        <f>IF(F27="","",F27-F26-G27)</f>
        <v>-1.1700000000000159</v>
      </c>
      <c r="J27" s="44">
        <f>IF(F27="","",I27-H27)</f>
        <v>-1.1787400000000159</v>
      </c>
      <c r="K27" s="44" t="e">
        <f>IF(F27="","",K26+H27)</f>
        <v>#VALUE!</v>
      </c>
      <c r="L27" s="44" t="e">
        <f>IF(F27="","",L26+I27)</f>
        <v>#VALUE!</v>
      </c>
      <c r="M27" s="53" t="e">
        <f>IF(F27="","",L27-K27)</f>
        <v>#VALUE!</v>
      </c>
      <c r="N27" s="231"/>
      <c r="O27" s="229"/>
      <c r="P27" s="230"/>
      <c r="Q27" s="47">
        <v>44574.918055555558</v>
      </c>
      <c r="R27" s="44">
        <f t="shared" si="0"/>
        <v>-2.2101375000321917</v>
      </c>
      <c r="S27" s="44" t="e">
        <f t="shared" si="1"/>
        <v>#VALUE!</v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>
        <v>44574.9375</v>
      </c>
      <c r="R28" s="44" t="e">
        <f t="shared" si="0"/>
        <v>#VALUE!</v>
      </c>
      <c r="S28" s="44" t="e">
        <f t="shared" si="1"/>
        <v>#VALUE!</v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U112"/>
  <sheetViews>
    <sheetView topLeftCell="A10" zoomScale="110" zoomScaleNormal="110" workbookViewId="0">
      <selection activeCell="C41" sqref="C41:C42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3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6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6" t="s">
        <v>28</v>
      </c>
      <c r="E6" s="39">
        <v>0</v>
      </c>
      <c r="F6" s="40">
        <v>7.79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44573.708333333336</v>
      </c>
      <c r="R6" s="11"/>
      <c r="S6" s="11"/>
    </row>
    <row r="7" spans="1:20" ht="12" customHeight="1" x14ac:dyDescent="0.2">
      <c r="A7" s="37"/>
      <c r="B7" s="48" t="s">
        <v>111</v>
      </c>
      <c r="C7" s="49">
        <v>37.695</v>
      </c>
      <c r="D7" s="39"/>
      <c r="E7" s="39">
        <v>0</v>
      </c>
      <c r="F7" s="40">
        <v>7.52</v>
      </c>
      <c r="G7" s="51"/>
      <c r="H7" s="44">
        <f>IF(E7="","",((E7-E6)*C7)/1000)</f>
        <v>0</v>
      </c>
      <c r="I7" s="52">
        <f>IF(F7="","",F7-F6-G7)</f>
        <v>-0.27000000000000046</v>
      </c>
      <c r="J7" s="44">
        <f>IF(F7="","",I7-H7)</f>
        <v>-0.27000000000000046</v>
      </c>
      <c r="K7" s="44">
        <f>IF(F7="","",K6+H7)</f>
        <v>0</v>
      </c>
      <c r="L7" s="44">
        <f>IF(F7="","",L6+I7)</f>
        <v>-0.27000000000000046</v>
      </c>
      <c r="M7" s="53">
        <f>IF(F7="","",L7-K7)</f>
        <v>-0.27000000000000046</v>
      </c>
      <c r="N7" s="231"/>
      <c r="O7" s="229"/>
      <c r="P7" s="230"/>
      <c r="Q7" s="47">
        <v>44573.75</v>
      </c>
      <c r="R7" s="44">
        <f t="shared" ref="R7:R70" si="0">IF(Q7="","",J7/((Q7-Q6)*24))</f>
        <v>-0.27000000001571656</v>
      </c>
      <c r="S7" s="44">
        <f t="shared" ref="S7:S70" si="1">IF(Q7="","",M7/((Q7-$Q$6)*24))</f>
        <v>-0.27000000001571656</v>
      </c>
    </row>
    <row r="8" spans="1:20" ht="12" customHeight="1" x14ac:dyDescent="0.2">
      <c r="A8" s="37"/>
      <c r="B8" s="48"/>
      <c r="C8" s="49">
        <v>37.695</v>
      </c>
      <c r="D8" s="54"/>
      <c r="E8" s="39">
        <v>0</v>
      </c>
      <c r="F8" s="40">
        <v>6.84</v>
      </c>
      <c r="G8" s="51"/>
      <c r="H8" s="44">
        <f>IF(E8="","",((E8-E7)*C8)/1000)</f>
        <v>0</v>
      </c>
      <c r="I8" s="52">
        <f>IF(F8="","",F8-F7-G8)</f>
        <v>-0.67999999999999972</v>
      </c>
      <c r="J8" s="44">
        <f>IF(F8="","",I8-H8)</f>
        <v>-0.67999999999999972</v>
      </c>
      <c r="K8" s="44">
        <f>IF(F8="","",K7+H8)</f>
        <v>0</v>
      </c>
      <c r="L8" s="44">
        <f>IF(F8="","",L7+I8)</f>
        <v>-0.95000000000000018</v>
      </c>
      <c r="M8" s="53">
        <f>IF(F8="","",L8-K8)</f>
        <v>-0.95000000000000018</v>
      </c>
      <c r="N8" s="231"/>
      <c r="O8" s="229"/>
      <c r="P8" s="230"/>
      <c r="Q8" s="47">
        <v>44573.787499999999</v>
      </c>
      <c r="R8" s="44">
        <f t="shared" si="0"/>
        <v>-0.75555555558487464</v>
      </c>
      <c r="S8" s="44">
        <f t="shared" si="1"/>
        <v>-0.50000000002450862</v>
      </c>
      <c r="T8" s="55"/>
    </row>
    <row r="9" spans="1:20" ht="12" customHeight="1" x14ac:dyDescent="0.2">
      <c r="A9" s="37"/>
      <c r="B9" s="48"/>
      <c r="C9" s="49">
        <v>37.695</v>
      </c>
      <c r="D9" s="54"/>
      <c r="E9" s="39">
        <v>0</v>
      </c>
      <c r="F9" s="40">
        <v>6.59</v>
      </c>
      <c r="G9" s="51"/>
      <c r="H9" s="44">
        <f>IF(E9="","",((E9-E8)*C9)/1000)</f>
        <v>0</v>
      </c>
      <c r="I9" s="52">
        <f>IF(F9="","",F9-F8-G9)</f>
        <v>-0.25</v>
      </c>
      <c r="J9" s="44">
        <f>IF(F9="","",I9-H9)</f>
        <v>-0.25</v>
      </c>
      <c r="K9" s="44">
        <f>IF(F9="","",K8+H9)</f>
        <v>0</v>
      </c>
      <c r="L9" s="44">
        <f>IF(F9="","",L8+I9)</f>
        <v>-1.2000000000000002</v>
      </c>
      <c r="M9" s="53">
        <f>IF(F9="","",L9-K9)</f>
        <v>-1.2000000000000002</v>
      </c>
      <c r="N9" s="228"/>
      <c r="O9" s="229"/>
      <c r="P9" s="230"/>
      <c r="Q9" s="47">
        <v>44573.825694444444</v>
      </c>
      <c r="R9" s="44">
        <f t="shared" si="0"/>
        <v>-0.27272727272150005</v>
      </c>
      <c r="S9" s="44">
        <f t="shared" si="1"/>
        <v>-0.42603550296973197</v>
      </c>
    </row>
    <row r="10" spans="1:20" ht="12" customHeight="1" x14ac:dyDescent="0.2">
      <c r="A10" s="37"/>
      <c r="B10" s="48"/>
      <c r="C10" s="49">
        <v>37.695</v>
      </c>
      <c r="D10" s="54"/>
      <c r="E10" s="39">
        <v>13.75</v>
      </c>
      <c r="F10" s="40">
        <v>6.79</v>
      </c>
      <c r="G10" s="51"/>
      <c r="H10" s="44">
        <f>IF(E10="","",((E10-E9)*C10)/1000)</f>
        <v>0.51830624999999997</v>
      </c>
      <c r="I10" s="52">
        <f>IF(F10="","",F10-F9-G10)</f>
        <v>0.20000000000000018</v>
      </c>
      <c r="J10" s="44">
        <f t="shared" ref="J10:J73" si="2">IF(F10="","",I10-H10)</f>
        <v>-0.31830624999999979</v>
      </c>
      <c r="K10" s="44">
        <f t="shared" ref="K10:K73" si="3">IF(F10="","",K9+H10)</f>
        <v>0.51830624999999997</v>
      </c>
      <c r="L10" s="44">
        <f t="shared" ref="L10:L73" si="4">IF(F10="","",L9+I10)</f>
        <v>-1</v>
      </c>
      <c r="M10" s="53">
        <f t="shared" ref="M10:M73" si="5">IF(F10="","",L10-K10)</f>
        <v>-1.51830625</v>
      </c>
      <c r="N10" s="249"/>
      <c r="O10" s="250"/>
      <c r="P10" s="251"/>
      <c r="Q10" s="47">
        <v>44573.894444444442</v>
      </c>
      <c r="R10" s="44">
        <f t="shared" si="0"/>
        <v>-0.19291287879196195</v>
      </c>
      <c r="S10" s="44">
        <f t="shared" si="1"/>
        <v>-0.33991930970976125</v>
      </c>
      <c r="T10" s="55"/>
    </row>
    <row r="11" spans="1:20" ht="12" customHeight="1" x14ac:dyDescent="0.2">
      <c r="A11" s="37"/>
      <c r="B11" s="48"/>
      <c r="C11" s="49">
        <v>37.695</v>
      </c>
      <c r="D11" s="54"/>
      <c r="E11" s="39">
        <v>25</v>
      </c>
      <c r="F11" s="56">
        <v>3.24</v>
      </c>
      <c r="G11" s="51">
        <v>-4.9000000000000004</v>
      </c>
      <c r="H11" s="44">
        <f>IF(E11="","",((E11-E10)*C11)/1000)</f>
        <v>0.42406875000000005</v>
      </c>
      <c r="I11" s="52">
        <f t="shared" ref="I11:I74" si="6">IF(F11="","",F11-F10-G11)</f>
        <v>1.3500000000000005</v>
      </c>
      <c r="J11" s="44">
        <f t="shared" si="2"/>
        <v>0.92593125000000054</v>
      </c>
      <c r="K11" s="44">
        <f t="shared" si="3"/>
        <v>0.94237499999999996</v>
      </c>
      <c r="L11" s="44">
        <f t="shared" si="4"/>
        <v>0.35000000000000053</v>
      </c>
      <c r="M11" s="53">
        <f t="shared" si="5"/>
        <v>-0.59237499999999943</v>
      </c>
      <c r="N11" s="228"/>
      <c r="O11" s="229"/>
      <c r="P11" s="230"/>
      <c r="Q11" s="47">
        <v>44573.909722222219</v>
      </c>
      <c r="R11" s="44">
        <f t="shared" si="0"/>
        <v>2.5252670456416251</v>
      </c>
      <c r="S11" s="44">
        <f t="shared" si="1"/>
        <v>-0.12256034483103007</v>
      </c>
    </row>
    <row r="12" spans="1:20" ht="12" customHeight="1" x14ac:dyDescent="0.2">
      <c r="A12" s="37"/>
      <c r="B12" s="48"/>
      <c r="C12" s="49">
        <v>37.695</v>
      </c>
      <c r="D12" s="54"/>
      <c r="E12" s="39">
        <v>69.5</v>
      </c>
      <c r="F12" s="56">
        <v>5.82</v>
      </c>
      <c r="G12" s="51"/>
      <c r="H12" s="44">
        <f t="shared" ref="H12:H74" si="7">IF(E12="","",((E12-E11)*C12)/1000)</f>
        <v>1.6774275000000001</v>
      </c>
      <c r="I12" s="52">
        <f t="shared" si="6"/>
        <v>2.58</v>
      </c>
      <c r="J12" s="44">
        <f t="shared" si="2"/>
        <v>0.9025725</v>
      </c>
      <c r="K12" s="44">
        <f t="shared" si="3"/>
        <v>2.6198025</v>
      </c>
      <c r="L12" s="44">
        <f t="shared" si="4"/>
        <v>2.9300000000000006</v>
      </c>
      <c r="M12" s="53">
        <f t="shared" si="5"/>
        <v>0.31019750000000057</v>
      </c>
      <c r="N12" s="228"/>
      <c r="O12" s="229"/>
      <c r="P12" s="230"/>
      <c r="Q12" s="47">
        <v>44573.946527777778</v>
      </c>
      <c r="R12" s="44">
        <f t="shared" si="0"/>
        <v>1.0217801885804936</v>
      </c>
      <c r="S12" s="44">
        <f t="shared" si="1"/>
        <v>5.4261953353248613E-2</v>
      </c>
    </row>
    <row r="13" spans="1:20" ht="12" customHeight="1" x14ac:dyDescent="0.2">
      <c r="A13" s="37"/>
      <c r="B13" s="48"/>
      <c r="C13" s="49">
        <v>37.695</v>
      </c>
      <c r="D13" s="54"/>
      <c r="E13" s="39">
        <v>80.8</v>
      </c>
      <c r="F13" s="56">
        <v>6.13</v>
      </c>
      <c r="G13" s="51"/>
      <c r="H13" s="44">
        <f>IF(E13="","",((E13-E12)*C13)/1000)</f>
        <v>0.42595349999999993</v>
      </c>
      <c r="I13" s="52">
        <f t="shared" si="6"/>
        <v>0.30999999999999961</v>
      </c>
      <c r="J13" s="44">
        <f t="shared" si="2"/>
        <v>-0.11595350000000032</v>
      </c>
      <c r="K13" s="44">
        <f t="shared" si="3"/>
        <v>3.0457559999999999</v>
      </c>
      <c r="L13" s="44">
        <f t="shared" si="4"/>
        <v>3.24</v>
      </c>
      <c r="M13" s="53">
        <f t="shared" si="5"/>
        <v>0.19424400000000031</v>
      </c>
      <c r="N13" s="231"/>
      <c r="O13" s="229"/>
      <c r="P13" s="230"/>
      <c r="Q13" s="47">
        <v>44573.952777777777</v>
      </c>
      <c r="R13" s="44">
        <f t="shared" si="0"/>
        <v>-0.77302333351331898</v>
      </c>
      <c r="S13" s="44">
        <f t="shared" si="1"/>
        <v>3.3109772727754588E-2</v>
      </c>
    </row>
    <row r="14" spans="1:20" ht="12" customHeight="1" x14ac:dyDescent="0.2">
      <c r="A14" s="37"/>
      <c r="B14" s="48"/>
      <c r="C14" s="49">
        <v>37.695</v>
      </c>
      <c r="D14" s="54"/>
      <c r="E14" s="39">
        <v>103</v>
      </c>
      <c r="F14" s="56">
        <v>7.15</v>
      </c>
      <c r="G14" s="51"/>
      <c r="H14" s="44">
        <f t="shared" si="7"/>
        <v>0.83682900000000005</v>
      </c>
      <c r="I14" s="52">
        <f t="shared" si="6"/>
        <v>1.0200000000000005</v>
      </c>
      <c r="J14" s="44">
        <f t="shared" si="2"/>
        <v>0.18317100000000042</v>
      </c>
      <c r="K14" s="44">
        <f t="shared" si="3"/>
        <v>3.8825849999999997</v>
      </c>
      <c r="L14" s="44">
        <f t="shared" si="4"/>
        <v>4.2600000000000007</v>
      </c>
      <c r="M14" s="53">
        <f t="shared" si="5"/>
        <v>0.37741500000000094</v>
      </c>
      <c r="N14" s="231"/>
      <c r="O14" s="229"/>
      <c r="P14" s="230"/>
      <c r="Q14" s="47">
        <v>44573.972222222219</v>
      </c>
      <c r="R14" s="44">
        <f t="shared" si="0"/>
        <v>0.39250928575671684</v>
      </c>
      <c r="S14" s="44">
        <f t="shared" si="1"/>
        <v>5.9591842106541247E-2</v>
      </c>
    </row>
    <row r="15" spans="1:20" ht="12" customHeight="1" x14ac:dyDescent="0.2">
      <c r="A15" s="37"/>
      <c r="B15" s="48"/>
      <c r="C15" s="49">
        <v>37.695</v>
      </c>
      <c r="D15" s="54"/>
      <c r="E15" s="39">
        <v>114</v>
      </c>
      <c r="F15" s="40">
        <v>7.52</v>
      </c>
      <c r="G15" s="51"/>
      <c r="H15" s="44">
        <f t="shared" si="7"/>
        <v>0.41464499999999999</v>
      </c>
      <c r="I15" s="52">
        <f t="shared" si="6"/>
        <v>0.36999999999999922</v>
      </c>
      <c r="J15" s="44">
        <f t="shared" si="2"/>
        <v>-4.4645000000000767E-2</v>
      </c>
      <c r="K15" s="44">
        <f t="shared" si="3"/>
        <v>4.2972299999999999</v>
      </c>
      <c r="L15" s="44">
        <f t="shared" si="4"/>
        <v>4.63</v>
      </c>
      <c r="M15" s="53">
        <f t="shared" si="5"/>
        <v>0.33277000000000001</v>
      </c>
      <c r="N15" s="231"/>
      <c r="O15" s="229"/>
      <c r="P15" s="230"/>
      <c r="Q15" s="47">
        <v>44573.977083333331</v>
      </c>
      <c r="R15" s="44">
        <f t="shared" si="0"/>
        <v>-0.38267142846960928</v>
      </c>
      <c r="S15" s="44">
        <f t="shared" si="1"/>
        <v>5.159224806285357E-2</v>
      </c>
    </row>
    <row r="16" spans="1:20" ht="12" customHeight="1" x14ac:dyDescent="0.2">
      <c r="A16" s="37"/>
      <c r="B16" s="48"/>
      <c r="C16" s="49">
        <v>37.695</v>
      </c>
      <c r="D16" s="57"/>
      <c r="E16" s="39">
        <v>136</v>
      </c>
      <c r="F16" s="40">
        <v>8.15</v>
      </c>
      <c r="G16" s="51"/>
      <c r="H16" s="44">
        <f t="shared" si="7"/>
        <v>0.82928999999999997</v>
      </c>
      <c r="I16" s="52">
        <f t="shared" si="6"/>
        <v>0.63000000000000078</v>
      </c>
      <c r="J16" s="44">
        <f t="shared" si="2"/>
        <v>-0.19928999999999919</v>
      </c>
      <c r="K16" s="44">
        <f t="shared" si="3"/>
        <v>5.1265200000000002</v>
      </c>
      <c r="L16" s="44">
        <f t="shared" si="4"/>
        <v>5.2600000000000007</v>
      </c>
      <c r="M16" s="53">
        <f t="shared" si="5"/>
        <v>0.13348000000000049</v>
      </c>
      <c r="N16" s="228"/>
      <c r="O16" s="229"/>
      <c r="P16" s="230"/>
      <c r="Q16" s="47">
        <v>44573.987500000003</v>
      </c>
      <c r="R16" s="44">
        <f t="shared" si="0"/>
        <v>-0.79715999962879025</v>
      </c>
      <c r="S16" s="44">
        <f t="shared" si="1"/>
        <v>1.9922388059666948E-2</v>
      </c>
      <c r="T16" s="55"/>
    </row>
    <row r="17" spans="1:19" ht="12" customHeight="1" x14ac:dyDescent="0.2">
      <c r="A17" s="37"/>
      <c r="B17" s="48"/>
      <c r="C17" s="49">
        <v>37.695</v>
      </c>
      <c r="D17" s="54"/>
      <c r="E17" s="39">
        <v>158</v>
      </c>
      <c r="F17" s="40">
        <v>3.56</v>
      </c>
      <c r="G17" s="51">
        <v>-4.9000000000000004</v>
      </c>
      <c r="H17" s="44">
        <f t="shared" si="7"/>
        <v>0.82928999999999997</v>
      </c>
      <c r="I17" s="52">
        <f t="shared" si="6"/>
        <v>0.3100000000000005</v>
      </c>
      <c r="J17" s="44">
        <f t="shared" si="2"/>
        <v>-0.51928999999999947</v>
      </c>
      <c r="K17" s="44">
        <f t="shared" si="3"/>
        <v>5.9558100000000005</v>
      </c>
      <c r="L17" s="44">
        <f t="shared" si="4"/>
        <v>5.5700000000000012</v>
      </c>
      <c r="M17" s="53">
        <f t="shared" si="5"/>
        <v>-0.38580999999999932</v>
      </c>
      <c r="N17" s="231"/>
      <c r="O17" s="229"/>
      <c r="P17" s="230"/>
      <c r="Q17" s="47">
        <v>44574</v>
      </c>
      <c r="R17" s="44">
        <f t="shared" si="0"/>
        <v>-1.730966667069687</v>
      </c>
      <c r="S17" s="44">
        <f t="shared" si="1"/>
        <v>-5.5115714286172499E-2</v>
      </c>
    </row>
    <row r="18" spans="1:19" ht="12" customHeight="1" x14ac:dyDescent="0.2">
      <c r="A18" s="37"/>
      <c r="B18" s="48"/>
      <c r="C18" s="49">
        <v>37.695</v>
      </c>
      <c r="D18" s="54"/>
      <c r="E18" s="39">
        <v>202</v>
      </c>
      <c r="F18" s="40">
        <v>5.4</v>
      </c>
      <c r="G18" s="40"/>
      <c r="H18" s="44">
        <f t="shared" si="7"/>
        <v>1.6585799999999999</v>
      </c>
      <c r="I18" s="52">
        <f t="shared" si="6"/>
        <v>1.8400000000000003</v>
      </c>
      <c r="J18" s="44">
        <f t="shared" si="2"/>
        <v>0.18142000000000036</v>
      </c>
      <c r="K18" s="44">
        <f t="shared" si="3"/>
        <v>7.6143900000000002</v>
      </c>
      <c r="L18" s="44">
        <f t="shared" si="4"/>
        <v>7.4100000000000019</v>
      </c>
      <c r="M18" s="53">
        <f t="shared" si="5"/>
        <v>-0.2043899999999983</v>
      </c>
      <c r="N18" s="228"/>
      <c r="O18" s="229"/>
      <c r="P18" s="230"/>
      <c r="Q18" s="47">
        <v>44574.01666666667</v>
      </c>
      <c r="R18" s="44">
        <f t="shared" si="0"/>
        <v>0.45354999990760059</v>
      </c>
      <c r="S18" s="44">
        <f t="shared" si="1"/>
        <v>-2.7620270270183135E-2</v>
      </c>
    </row>
    <row r="19" spans="1:19" ht="12" customHeight="1" x14ac:dyDescent="0.2">
      <c r="A19" s="37"/>
      <c r="B19" s="48"/>
      <c r="C19" s="49">
        <v>37.695</v>
      </c>
      <c r="D19" s="54"/>
      <c r="E19" s="39">
        <v>213</v>
      </c>
      <c r="F19" s="40">
        <v>5.84</v>
      </c>
      <c r="G19" s="40"/>
      <c r="H19" s="44">
        <f t="shared" si="7"/>
        <v>0.41464499999999999</v>
      </c>
      <c r="I19" s="52">
        <f t="shared" si="6"/>
        <v>0.4399999999999995</v>
      </c>
      <c r="J19" s="44">
        <f t="shared" si="2"/>
        <v>2.5354999999999517E-2</v>
      </c>
      <c r="K19" s="44">
        <f t="shared" si="3"/>
        <v>8.0290350000000004</v>
      </c>
      <c r="L19" s="44">
        <f t="shared" si="4"/>
        <v>7.8500000000000014</v>
      </c>
      <c r="M19" s="53">
        <f t="shared" si="5"/>
        <v>-0.17903499999999894</v>
      </c>
      <c r="N19" s="228"/>
      <c r="O19" s="229"/>
      <c r="P19" s="230"/>
      <c r="Q19" s="47">
        <v>44574.023611111108</v>
      </c>
      <c r="R19" s="44">
        <f t="shared" si="0"/>
        <v>0.15213000014167921</v>
      </c>
      <c r="S19" s="44">
        <f t="shared" si="1"/>
        <v>-2.3661013216271461E-2</v>
      </c>
    </row>
    <row r="20" spans="1:19" ht="12" customHeight="1" x14ac:dyDescent="0.2">
      <c r="A20" s="37"/>
      <c r="B20" s="48"/>
      <c r="C20" s="49">
        <v>37.695</v>
      </c>
      <c r="D20" s="54"/>
      <c r="E20" s="39">
        <v>258</v>
      </c>
      <c r="F20" s="40">
        <v>7.65</v>
      </c>
      <c r="G20" s="40"/>
      <c r="H20" s="44">
        <f t="shared" si="7"/>
        <v>1.6962750000000002</v>
      </c>
      <c r="I20" s="52">
        <f t="shared" si="6"/>
        <v>1.8100000000000005</v>
      </c>
      <c r="J20" s="44">
        <f t="shared" si="2"/>
        <v>0.1137250000000003</v>
      </c>
      <c r="K20" s="44">
        <f t="shared" si="3"/>
        <v>9.7253100000000003</v>
      </c>
      <c r="L20" s="44">
        <f t="shared" si="4"/>
        <v>9.6600000000000019</v>
      </c>
      <c r="M20" s="53">
        <f t="shared" si="5"/>
        <v>-6.5309999999998425E-2</v>
      </c>
      <c r="N20" s="242"/>
      <c r="O20" s="229"/>
      <c r="P20" s="230"/>
      <c r="Q20" s="47">
        <v>44574.047222222223</v>
      </c>
      <c r="R20" s="44">
        <f t="shared" si="0"/>
        <v>0.20069117643485632</v>
      </c>
      <c r="S20" s="44">
        <f t="shared" si="1"/>
        <v>-8.0299180328173413E-3</v>
      </c>
    </row>
    <row r="21" spans="1:19" ht="12" customHeight="1" x14ac:dyDescent="0.2">
      <c r="A21" s="37"/>
      <c r="B21" s="48"/>
      <c r="C21" s="49">
        <v>37.695</v>
      </c>
      <c r="D21" s="54"/>
      <c r="E21" s="39">
        <v>280</v>
      </c>
      <c r="F21" s="40">
        <v>3.85</v>
      </c>
      <c r="G21" s="51">
        <v>-4.3</v>
      </c>
      <c r="H21" s="44">
        <f t="shared" si="7"/>
        <v>0.82928999999999997</v>
      </c>
      <c r="I21" s="52">
        <f t="shared" si="6"/>
        <v>0.49999999999999956</v>
      </c>
      <c r="J21" s="44">
        <f t="shared" si="2"/>
        <v>-0.32929000000000042</v>
      </c>
      <c r="K21" s="44">
        <f t="shared" si="3"/>
        <v>10.554600000000001</v>
      </c>
      <c r="L21" s="44">
        <f t="shared" si="4"/>
        <v>10.160000000000002</v>
      </c>
      <c r="M21" s="53">
        <f t="shared" si="5"/>
        <v>-0.39459999999999873</v>
      </c>
      <c r="N21" s="228"/>
      <c r="O21" s="229"/>
      <c r="P21" s="230"/>
      <c r="Q21" s="47">
        <v>44574.060416666667</v>
      </c>
      <c r="R21" s="44">
        <f t="shared" si="0"/>
        <v>-1.0398631579457092</v>
      </c>
      <c r="S21" s="44">
        <f t="shared" si="1"/>
        <v>-4.6698224852328198E-2</v>
      </c>
    </row>
    <row r="22" spans="1:19" ht="12" customHeight="1" x14ac:dyDescent="0.2">
      <c r="A22" s="37"/>
      <c r="B22" s="48"/>
      <c r="C22" s="49">
        <v>37.695</v>
      </c>
      <c r="D22" s="54"/>
      <c r="E22" s="39">
        <v>292</v>
      </c>
      <c r="F22" s="40">
        <v>4.4000000000000004</v>
      </c>
      <c r="G22" s="51"/>
      <c r="H22" s="44">
        <f t="shared" si="7"/>
        <v>0.45234000000000002</v>
      </c>
      <c r="I22" s="52">
        <f t="shared" si="6"/>
        <v>0.55000000000000027</v>
      </c>
      <c r="J22" s="44">
        <f t="shared" si="2"/>
        <v>9.7660000000000247E-2</v>
      </c>
      <c r="K22" s="44">
        <f t="shared" si="3"/>
        <v>11.00694</v>
      </c>
      <c r="L22" s="44">
        <f t="shared" si="4"/>
        <v>10.710000000000003</v>
      </c>
      <c r="M22" s="53">
        <f t="shared" si="5"/>
        <v>-0.29693999999999754</v>
      </c>
      <c r="N22" s="228"/>
      <c r="O22" s="229"/>
      <c r="P22" s="230"/>
      <c r="Q22" s="47">
        <v>44574.06527777778</v>
      </c>
      <c r="R22" s="44">
        <f t="shared" si="0"/>
        <v>0.8370857140629745</v>
      </c>
      <c r="S22" s="44">
        <f t="shared" si="1"/>
        <v>-3.4662256809401042E-2</v>
      </c>
    </row>
    <row r="23" spans="1:19" ht="12" customHeight="1" x14ac:dyDescent="0.2">
      <c r="A23" s="37"/>
      <c r="B23" s="48"/>
      <c r="C23" s="49">
        <v>37.695</v>
      </c>
      <c r="D23" s="54"/>
      <c r="E23" s="39">
        <v>302</v>
      </c>
      <c r="F23" s="40">
        <v>4.7300000000000004</v>
      </c>
      <c r="G23" s="51"/>
      <c r="H23" s="44">
        <f t="shared" si="7"/>
        <v>0.37695000000000001</v>
      </c>
      <c r="I23" s="52">
        <f t="shared" si="6"/>
        <v>0.33000000000000007</v>
      </c>
      <c r="J23" s="44">
        <f t="shared" si="2"/>
        <v>-4.6949999999999936E-2</v>
      </c>
      <c r="K23" s="44">
        <f t="shared" si="3"/>
        <v>11.383890000000001</v>
      </c>
      <c r="L23" s="44">
        <f t="shared" si="4"/>
        <v>11.040000000000003</v>
      </c>
      <c r="M23" s="53">
        <f t="shared" si="5"/>
        <v>-0.34388999999999825</v>
      </c>
      <c r="N23" s="228"/>
      <c r="O23" s="229"/>
      <c r="P23" s="230"/>
      <c r="Q23" s="47">
        <v>44574.069444444445</v>
      </c>
      <c r="R23" s="44">
        <f t="shared" si="0"/>
        <v>-0.46950000010931336</v>
      </c>
      <c r="S23" s="44">
        <f t="shared" si="1"/>
        <v>-3.9679615384792852E-2</v>
      </c>
    </row>
    <row r="24" spans="1:19" ht="12" customHeight="1" x14ac:dyDescent="0.2">
      <c r="A24" s="37"/>
      <c r="B24" s="48"/>
      <c r="C24" s="49">
        <v>37.695</v>
      </c>
      <c r="D24" s="54"/>
      <c r="E24" s="39">
        <v>370</v>
      </c>
      <c r="F24" s="40">
        <v>7.36</v>
      </c>
      <c r="G24" s="51"/>
      <c r="H24" s="44">
        <f t="shared" si="7"/>
        <v>2.5632600000000001</v>
      </c>
      <c r="I24" s="52">
        <f t="shared" si="6"/>
        <v>2.63</v>
      </c>
      <c r="J24" s="44">
        <f t="shared" si="2"/>
        <v>6.6739999999999799E-2</v>
      </c>
      <c r="K24" s="44">
        <f t="shared" si="3"/>
        <v>13.947150000000001</v>
      </c>
      <c r="L24" s="44">
        <f t="shared" si="4"/>
        <v>13.670000000000002</v>
      </c>
      <c r="M24" s="53">
        <f t="shared" si="5"/>
        <v>-0.2771499999999989</v>
      </c>
      <c r="N24" s="231"/>
      <c r="O24" s="229"/>
      <c r="P24" s="230"/>
      <c r="Q24" s="47">
        <v>44574.102083333331</v>
      </c>
      <c r="R24" s="44">
        <f t="shared" si="0"/>
        <v>8.5200000007174898E-2</v>
      </c>
      <c r="S24" s="44">
        <f t="shared" si="1"/>
        <v>-2.9328042328367377E-2</v>
      </c>
    </row>
    <row r="25" spans="1:19" ht="12" customHeight="1" x14ac:dyDescent="0.2">
      <c r="A25" s="37"/>
      <c r="B25" s="48"/>
      <c r="C25" s="49">
        <v>37.695</v>
      </c>
      <c r="D25" s="54"/>
      <c r="E25" s="39">
        <v>393</v>
      </c>
      <c r="F25" s="40">
        <v>3.51</v>
      </c>
      <c r="G25" s="51">
        <v>-4.9000000000000004</v>
      </c>
      <c r="H25" s="44">
        <f t="shared" si="7"/>
        <v>0.86698500000000001</v>
      </c>
      <c r="I25" s="52">
        <f t="shared" si="6"/>
        <v>1.0499999999999998</v>
      </c>
      <c r="J25" s="44">
        <f t="shared" si="2"/>
        <v>0.18301499999999982</v>
      </c>
      <c r="K25" s="44">
        <f t="shared" si="3"/>
        <v>14.814135</v>
      </c>
      <c r="L25" s="44">
        <f t="shared" si="4"/>
        <v>14.720000000000002</v>
      </c>
      <c r="M25" s="53">
        <f t="shared" si="5"/>
        <v>-9.4134999999997859E-2</v>
      </c>
      <c r="N25" s="228"/>
      <c r="O25" s="229"/>
      <c r="P25" s="230"/>
      <c r="Q25" s="47">
        <v>44574.109722222223</v>
      </c>
      <c r="R25" s="44">
        <f t="shared" si="0"/>
        <v>0.9982636359621716</v>
      </c>
      <c r="S25" s="44">
        <f t="shared" si="1"/>
        <v>-9.771799307989746E-3</v>
      </c>
    </row>
    <row r="26" spans="1:19" ht="12" customHeight="1" x14ac:dyDescent="0.2">
      <c r="A26" s="37"/>
      <c r="B26" s="48"/>
      <c r="C26" s="49">
        <v>37.695</v>
      </c>
      <c r="D26" s="54"/>
      <c r="E26" s="39">
        <v>404</v>
      </c>
      <c r="F26" s="40">
        <v>4</v>
      </c>
      <c r="G26" s="51"/>
      <c r="H26" s="44">
        <f>IF(E26="","",((E26-E25)*C26)/1000)</f>
        <v>0.41464499999999999</v>
      </c>
      <c r="I26" s="52">
        <f>IF(F26="","",F26-F25-G26)</f>
        <v>0.49000000000000021</v>
      </c>
      <c r="J26" s="44">
        <f t="shared" si="2"/>
        <v>7.5355000000000227E-2</v>
      </c>
      <c r="K26" s="44">
        <f t="shared" si="3"/>
        <v>15.22878</v>
      </c>
      <c r="L26" s="44">
        <f t="shared" si="4"/>
        <v>15.210000000000003</v>
      </c>
      <c r="M26" s="53">
        <f t="shared" si="5"/>
        <v>-1.8779999999997798E-2</v>
      </c>
      <c r="N26" s="228"/>
      <c r="O26" s="229"/>
      <c r="P26" s="230"/>
      <c r="Q26" s="47">
        <v>44574.114583333336</v>
      </c>
      <c r="R26" s="44">
        <f t="shared" si="0"/>
        <v>0.64589999982813306</v>
      </c>
      <c r="S26" s="44">
        <f t="shared" si="1"/>
        <v>-1.9261538461536204E-3</v>
      </c>
    </row>
    <row r="27" spans="1:19" ht="12" customHeight="1" x14ac:dyDescent="0.2">
      <c r="A27" s="37"/>
      <c r="B27" s="48"/>
      <c r="C27" s="49">
        <v>37.695</v>
      </c>
      <c r="D27" s="58"/>
      <c r="E27" s="39">
        <v>426</v>
      </c>
      <c r="F27" s="40">
        <v>4.95</v>
      </c>
      <c r="G27" s="51"/>
      <c r="H27" s="44">
        <f t="shared" si="7"/>
        <v>0.82928999999999997</v>
      </c>
      <c r="I27" s="52">
        <f>IF(F27="","",F27-F26-G27)</f>
        <v>0.95000000000000018</v>
      </c>
      <c r="J27" s="44">
        <f>IF(F27="","",I27-H27)</f>
        <v>0.12071000000000021</v>
      </c>
      <c r="K27" s="44">
        <f>IF(F27="","",K26+H27)</f>
        <v>16.058070000000001</v>
      </c>
      <c r="L27" s="44">
        <f>IF(F27="","",L26+I27)</f>
        <v>16.160000000000004</v>
      </c>
      <c r="M27" s="53">
        <f>IF(F27="","",L27-K27)</f>
        <v>0.10193000000000296</v>
      </c>
      <c r="N27" s="231"/>
      <c r="O27" s="229"/>
      <c r="P27" s="230"/>
      <c r="Q27" s="47">
        <v>44574.123611111114</v>
      </c>
      <c r="R27" s="44">
        <f t="shared" si="0"/>
        <v>0.55712307690312168</v>
      </c>
      <c r="S27" s="44">
        <f t="shared" si="1"/>
        <v>1.0227090300995677E-2</v>
      </c>
    </row>
    <row r="28" spans="1:19" ht="12" customHeight="1" x14ac:dyDescent="0.2">
      <c r="A28" s="37"/>
      <c r="B28" s="48"/>
      <c r="C28" s="49">
        <v>37.695</v>
      </c>
      <c r="D28" s="58"/>
      <c r="E28" s="39">
        <v>539</v>
      </c>
      <c r="F28" s="40">
        <v>8.8000000000000007</v>
      </c>
      <c r="G28" s="51"/>
      <c r="H28" s="44">
        <f t="shared" si="7"/>
        <v>4.2595349999999996</v>
      </c>
      <c r="I28" s="52">
        <f>IF(F28="","",F28-F27-G28)</f>
        <v>3.8500000000000005</v>
      </c>
      <c r="J28" s="44">
        <f t="shared" si="2"/>
        <v>-0.40953499999999909</v>
      </c>
      <c r="K28" s="44">
        <f t="shared" si="3"/>
        <v>20.317605</v>
      </c>
      <c r="L28" s="44">
        <f t="shared" si="4"/>
        <v>20.010000000000005</v>
      </c>
      <c r="M28" s="53">
        <f t="shared" si="5"/>
        <v>-0.30760499999999524</v>
      </c>
      <c r="N28" s="231"/>
      <c r="O28" s="229"/>
      <c r="P28" s="230"/>
      <c r="Q28" s="47">
        <v>44574.164583333331</v>
      </c>
      <c r="R28" s="44">
        <f t="shared" si="0"/>
        <v>-0.41647627123410219</v>
      </c>
      <c r="S28" s="44">
        <f t="shared" si="1"/>
        <v>-2.8091780822186167E-2</v>
      </c>
    </row>
    <row r="29" spans="1:19" ht="12" customHeight="1" x14ac:dyDescent="0.2">
      <c r="A29" s="37"/>
      <c r="B29" s="48"/>
      <c r="C29" s="49">
        <v>37.695</v>
      </c>
      <c r="D29" s="58"/>
      <c r="E29" s="39">
        <v>550</v>
      </c>
      <c r="F29" s="40">
        <v>3.96</v>
      </c>
      <c r="G29" s="51">
        <v>-4.96</v>
      </c>
      <c r="H29" s="44">
        <f t="shared" si="7"/>
        <v>0.41464499999999999</v>
      </c>
      <c r="I29" s="52">
        <f t="shared" si="6"/>
        <v>0.11999999999999922</v>
      </c>
      <c r="J29" s="44">
        <f t="shared" si="2"/>
        <v>-0.29464500000000077</v>
      </c>
      <c r="K29" s="44">
        <f t="shared" si="3"/>
        <v>20.732250000000001</v>
      </c>
      <c r="L29" s="44">
        <f t="shared" si="4"/>
        <v>20.130000000000003</v>
      </c>
      <c r="M29" s="53">
        <f t="shared" si="5"/>
        <v>-0.60224999999999795</v>
      </c>
      <c r="N29" s="228"/>
      <c r="O29" s="229"/>
      <c r="P29" s="230"/>
      <c r="Q29" s="47">
        <v>44574.169444444444</v>
      </c>
      <c r="R29" s="44">
        <f t="shared" si="0"/>
        <v>-2.5255285707565545</v>
      </c>
      <c r="S29" s="44">
        <f t="shared" si="1"/>
        <v>-5.4420180723253948E-2</v>
      </c>
    </row>
    <row r="30" spans="1:19" ht="12" customHeight="1" x14ac:dyDescent="0.2">
      <c r="A30" s="37"/>
      <c r="B30" s="48"/>
      <c r="C30" s="49">
        <v>37.695</v>
      </c>
      <c r="D30" s="58"/>
      <c r="E30" s="39">
        <v>573</v>
      </c>
      <c r="F30" s="40">
        <v>4.95</v>
      </c>
      <c r="G30" s="59"/>
      <c r="H30" s="44">
        <f t="shared" si="7"/>
        <v>0.86698500000000001</v>
      </c>
      <c r="I30" s="52">
        <f t="shared" si="6"/>
        <v>0.99000000000000021</v>
      </c>
      <c r="J30" s="44">
        <f t="shared" si="2"/>
        <v>0.12301500000000021</v>
      </c>
      <c r="K30" s="44">
        <f t="shared" si="3"/>
        <v>21.599235</v>
      </c>
      <c r="L30" s="44">
        <f t="shared" si="4"/>
        <v>21.120000000000005</v>
      </c>
      <c r="M30" s="53">
        <f t="shared" si="5"/>
        <v>-0.47923499999999564</v>
      </c>
      <c r="N30" s="228"/>
      <c r="O30" s="229"/>
      <c r="P30" s="230"/>
      <c r="Q30" s="47">
        <v>44574.177083333336</v>
      </c>
      <c r="R30" s="44">
        <f t="shared" si="0"/>
        <v>0.67099090882106316</v>
      </c>
      <c r="S30" s="44">
        <f t="shared" si="1"/>
        <v>-4.2598666666666278E-2</v>
      </c>
    </row>
    <row r="31" spans="1:19" ht="12" customHeight="1" x14ac:dyDescent="0.2">
      <c r="A31" s="37"/>
      <c r="B31" s="48"/>
      <c r="C31" s="49">
        <v>37.695</v>
      </c>
      <c r="D31" s="58"/>
      <c r="E31" s="39">
        <v>573</v>
      </c>
      <c r="F31" s="40">
        <v>4.97</v>
      </c>
      <c r="G31" s="51"/>
      <c r="H31" s="44">
        <f t="shared" si="7"/>
        <v>0</v>
      </c>
      <c r="I31" s="52">
        <f t="shared" si="6"/>
        <v>1.9999999999999574E-2</v>
      </c>
      <c r="J31" s="44">
        <f t="shared" si="2"/>
        <v>1.9999999999999574E-2</v>
      </c>
      <c r="K31" s="44">
        <f t="shared" si="3"/>
        <v>21.599235</v>
      </c>
      <c r="L31" s="44">
        <f t="shared" si="4"/>
        <v>21.140000000000004</v>
      </c>
      <c r="M31" s="53">
        <f t="shared" si="5"/>
        <v>-0.45923499999999606</v>
      </c>
      <c r="N31" s="231"/>
      <c r="O31" s="229"/>
      <c r="P31" s="230"/>
      <c r="Q31" s="47">
        <v>44574.185416666667</v>
      </c>
      <c r="R31" s="44">
        <f t="shared" si="0"/>
        <v>0.10000000002328094</v>
      </c>
      <c r="S31" s="44">
        <f t="shared" si="1"/>
        <v>-4.0107860262171502E-2</v>
      </c>
    </row>
    <row r="32" spans="1:19" ht="12" customHeight="1" x14ac:dyDescent="0.2">
      <c r="A32" s="37"/>
      <c r="B32" s="48"/>
      <c r="C32" s="49">
        <v>37.695</v>
      </c>
      <c r="D32" s="58"/>
      <c r="E32" s="39">
        <v>579</v>
      </c>
      <c r="F32" s="40">
        <v>5.18</v>
      </c>
      <c r="G32" s="51"/>
      <c r="H32" s="44">
        <f t="shared" si="7"/>
        <v>0.22617000000000001</v>
      </c>
      <c r="I32" s="52">
        <f t="shared" si="6"/>
        <v>0.20999999999999996</v>
      </c>
      <c r="J32" s="44">
        <f t="shared" si="2"/>
        <v>-1.6170000000000045E-2</v>
      </c>
      <c r="K32" s="44">
        <f t="shared" si="3"/>
        <v>21.825405</v>
      </c>
      <c r="L32" s="44">
        <f t="shared" si="4"/>
        <v>21.350000000000005</v>
      </c>
      <c r="M32" s="53">
        <f t="shared" si="5"/>
        <v>-0.47540499999999497</v>
      </c>
      <c r="N32" s="228"/>
      <c r="O32" s="229"/>
      <c r="P32" s="230"/>
      <c r="Q32" s="47">
        <v>44574.23333333333</v>
      </c>
      <c r="R32" s="44">
        <f t="shared" si="0"/>
        <v>-1.4060869566356144E-2</v>
      </c>
      <c r="S32" s="44">
        <f t="shared" si="1"/>
        <v>-3.7730555555973481E-2</v>
      </c>
    </row>
    <row r="33" spans="1:19" ht="12" customHeight="1" x14ac:dyDescent="0.2">
      <c r="A33" s="37"/>
      <c r="B33" s="48"/>
      <c r="C33" s="49">
        <v>37.695</v>
      </c>
      <c r="D33" s="58"/>
      <c r="E33" s="39">
        <v>579</v>
      </c>
      <c r="F33" s="40">
        <v>4.8600000000000003</v>
      </c>
      <c r="G33" s="51"/>
      <c r="H33" s="44">
        <f t="shared" si="7"/>
        <v>0</v>
      </c>
      <c r="I33" s="52">
        <f t="shared" si="6"/>
        <v>-0.3199999999999994</v>
      </c>
      <c r="J33" s="44">
        <f t="shared" si="2"/>
        <v>-0.3199999999999994</v>
      </c>
      <c r="K33" s="44">
        <f t="shared" si="3"/>
        <v>21.825405</v>
      </c>
      <c r="L33" s="44">
        <f t="shared" si="4"/>
        <v>21.030000000000005</v>
      </c>
      <c r="M33" s="53">
        <f t="shared" si="5"/>
        <v>-0.79540499999999525</v>
      </c>
      <c r="N33" s="231"/>
      <c r="O33" s="229"/>
      <c r="P33" s="230"/>
      <c r="Q33" s="47">
        <v>44574.256944444445</v>
      </c>
      <c r="R33" s="44">
        <f t="shared" si="0"/>
        <v>-0.56470588225239593</v>
      </c>
      <c r="S33" s="44">
        <f t="shared" si="1"/>
        <v>-6.0410506329291604E-2</v>
      </c>
    </row>
    <row r="34" spans="1:19" ht="12" customHeight="1" x14ac:dyDescent="0.2">
      <c r="A34" s="37"/>
      <c r="B34" s="48"/>
      <c r="C34" s="49">
        <v>37.695</v>
      </c>
      <c r="D34" s="58">
        <v>54</v>
      </c>
      <c r="E34" s="39">
        <v>579</v>
      </c>
      <c r="F34" s="40">
        <v>4.6399999999999997</v>
      </c>
      <c r="G34" s="51"/>
      <c r="H34" s="44">
        <f t="shared" si="7"/>
        <v>0</v>
      </c>
      <c r="I34" s="52">
        <f t="shared" si="6"/>
        <v>-0.22000000000000064</v>
      </c>
      <c r="J34" s="44">
        <f t="shared" si="2"/>
        <v>-0.22000000000000064</v>
      </c>
      <c r="K34" s="44">
        <f t="shared" si="3"/>
        <v>21.825405</v>
      </c>
      <c r="L34" s="44">
        <f t="shared" si="4"/>
        <v>20.810000000000002</v>
      </c>
      <c r="M34" s="53">
        <f t="shared" si="5"/>
        <v>-1.0154049999999977</v>
      </c>
      <c r="N34" s="60"/>
      <c r="O34" s="61"/>
      <c r="P34" s="62"/>
      <c r="Q34" s="47">
        <v>44574.291666666664</v>
      </c>
      <c r="R34" s="44">
        <f t="shared" si="0"/>
        <v>-0.26400000002458768</v>
      </c>
      <c r="S34" s="44">
        <f t="shared" si="1"/>
        <v>-7.2528928572031512E-2</v>
      </c>
    </row>
    <row r="35" spans="1:19" ht="12" customHeight="1" x14ac:dyDescent="0.2">
      <c r="A35" s="37"/>
      <c r="B35" s="48" t="s">
        <v>35</v>
      </c>
      <c r="C35" s="49">
        <v>4.41</v>
      </c>
      <c r="D35" s="58"/>
      <c r="E35" s="39">
        <v>579</v>
      </c>
      <c r="F35" s="40">
        <v>4.4800000000000004</v>
      </c>
      <c r="G35" s="51"/>
      <c r="H35" s="44">
        <f t="shared" si="7"/>
        <v>0</v>
      </c>
      <c r="I35" s="52">
        <f t="shared" si="6"/>
        <v>-0.15999999999999925</v>
      </c>
      <c r="J35" s="44">
        <f t="shared" si="2"/>
        <v>-0.15999999999999925</v>
      </c>
      <c r="K35" s="44">
        <f t="shared" si="3"/>
        <v>21.825405</v>
      </c>
      <c r="L35" s="44">
        <f t="shared" si="4"/>
        <v>20.650000000000002</v>
      </c>
      <c r="M35" s="53">
        <f t="shared" si="5"/>
        <v>-1.1754049999999978</v>
      </c>
      <c r="N35" s="228"/>
      <c r="O35" s="229"/>
      <c r="P35" s="230"/>
      <c r="Q35" s="47">
        <v>44574.333333333336</v>
      </c>
      <c r="R35" s="44">
        <f t="shared" si="0"/>
        <v>-0.15999999998137279</v>
      </c>
      <c r="S35" s="44">
        <f t="shared" si="1"/>
        <v>-7.8360333333333185E-2</v>
      </c>
    </row>
    <row r="36" spans="1:19" ht="12" customHeight="1" x14ac:dyDescent="0.2">
      <c r="A36" s="37"/>
      <c r="B36" s="48"/>
      <c r="C36" s="49">
        <v>4.41</v>
      </c>
      <c r="D36" s="58"/>
      <c r="E36" s="39">
        <v>579</v>
      </c>
      <c r="F36" s="56">
        <v>4.3</v>
      </c>
      <c r="G36" s="51"/>
      <c r="H36" s="44">
        <f t="shared" si="7"/>
        <v>0</v>
      </c>
      <c r="I36" s="52">
        <f t="shared" si="6"/>
        <v>-0.1800000000000006</v>
      </c>
      <c r="J36" s="44">
        <f t="shared" si="2"/>
        <v>-0.1800000000000006</v>
      </c>
      <c r="K36" s="44">
        <f t="shared" si="3"/>
        <v>21.825405</v>
      </c>
      <c r="L36" s="44">
        <f t="shared" si="4"/>
        <v>20.470000000000002</v>
      </c>
      <c r="M36" s="53">
        <f t="shared" si="5"/>
        <v>-1.3554049999999975</v>
      </c>
      <c r="N36" s="231"/>
      <c r="O36" s="229"/>
      <c r="P36" s="230"/>
      <c r="Q36" s="47">
        <v>44574.375</v>
      </c>
      <c r="R36" s="44">
        <f t="shared" si="0"/>
        <v>-0.18000000001047797</v>
      </c>
      <c r="S36" s="44">
        <f t="shared" si="1"/>
        <v>-8.471281250030803E-2</v>
      </c>
    </row>
    <row r="37" spans="1:19" ht="12" customHeight="1" x14ac:dyDescent="0.2">
      <c r="A37" s="37"/>
      <c r="B37" s="48"/>
      <c r="C37" s="49">
        <v>4.41</v>
      </c>
      <c r="D37" s="58">
        <v>56</v>
      </c>
      <c r="E37" s="50">
        <v>618</v>
      </c>
      <c r="F37" s="56">
        <v>2.19</v>
      </c>
      <c r="G37" s="51"/>
      <c r="H37" s="44">
        <f t="shared" si="7"/>
        <v>0.17199</v>
      </c>
      <c r="I37" s="52">
        <f t="shared" si="6"/>
        <v>-2.11</v>
      </c>
      <c r="J37" s="44">
        <f t="shared" si="2"/>
        <v>-2.28199</v>
      </c>
      <c r="K37" s="44">
        <f t="shared" si="3"/>
        <v>21.997395000000001</v>
      </c>
      <c r="L37" s="44">
        <f t="shared" si="4"/>
        <v>18.360000000000003</v>
      </c>
      <c r="M37" s="53">
        <f t="shared" si="5"/>
        <v>-3.6373949999999979</v>
      </c>
      <c r="N37" s="228"/>
      <c r="O37" s="229"/>
      <c r="P37" s="230"/>
      <c r="Q37" s="47">
        <v>44574.454861111109</v>
      </c>
      <c r="R37" s="44">
        <f t="shared" si="0"/>
        <v>-1.1906034782849746</v>
      </c>
      <c r="S37" s="44">
        <f t="shared" si="1"/>
        <v>-0.20301739534993637</v>
      </c>
    </row>
    <row r="38" spans="1:19" ht="12" customHeight="1" x14ac:dyDescent="0.2">
      <c r="A38" s="37"/>
      <c r="B38" s="48" t="s">
        <v>39</v>
      </c>
      <c r="C38" s="49">
        <v>15.93</v>
      </c>
      <c r="D38" s="58">
        <v>92</v>
      </c>
      <c r="E38" s="50">
        <v>1561</v>
      </c>
      <c r="F38" s="56">
        <v>7.97</v>
      </c>
      <c r="G38" s="51">
        <f>-9.3+3.3</f>
        <v>-6.0000000000000009</v>
      </c>
      <c r="H38" s="44">
        <f t="shared" si="7"/>
        <v>15.021990000000001</v>
      </c>
      <c r="I38" s="52">
        <f t="shared" si="6"/>
        <v>11.780000000000001</v>
      </c>
      <c r="J38" s="44">
        <f t="shared" si="2"/>
        <v>-3.2419899999999995</v>
      </c>
      <c r="K38" s="44">
        <f t="shared" si="3"/>
        <v>37.019385</v>
      </c>
      <c r="L38" s="44">
        <f t="shared" si="4"/>
        <v>30.140000000000004</v>
      </c>
      <c r="M38" s="53">
        <f t="shared" si="5"/>
        <v>-6.8793849999999956</v>
      </c>
      <c r="N38" s="228"/>
      <c r="O38" s="229"/>
      <c r="P38" s="230"/>
      <c r="Q38" s="47">
        <v>44574.533333333333</v>
      </c>
      <c r="R38" s="44">
        <f t="shared" si="0"/>
        <v>-1.721410619444198</v>
      </c>
      <c r="S38" s="44">
        <f t="shared" si="1"/>
        <v>-0.34744368686991234</v>
      </c>
    </row>
    <row r="39" spans="1:19" ht="12" customHeight="1" x14ac:dyDescent="0.2">
      <c r="A39" s="37"/>
      <c r="B39" s="48" t="s">
        <v>37</v>
      </c>
      <c r="C39" s="49">
        <v>15.74</v>
      </c>
      <c r="D39" s="58">
        <v>99</v>
      </c>
      <c r="E39" s="50">
        <v>1751</v>
      </c>
      <c r="F39" s="56">
        <v>2.78</v>
      </c>
      <c r="G39" s="51">
        <f>-7.97+2.15-7.67+2.2</f>
        <v>-11.29</v>
      </c>
      <c r="H39" s="44">
        <f t="shared" si="7"/>
        <v>2.9905999999999997</v>
      </c>
      <c r="I39" s="52">
        <f t="shared" si="6"/>
        <v>6.1</v>
      </c>
      <c r="J39" s="44">
        <f t="shared" si="2"/>
        <v>3.1093999999999999</v>
      </c>
      <c r="K39" s="44">
        <f t="shared" si="3"/>
        <v>40.009985</v>
      </c>
      <c r="L39" s="44">
        <f t="shared" si="4"/>
        <v>36.24</v>
      </c>
      <c r="M39" s="53">
        <f t="shared" si="5"/>
        <v>-3.7699849999999984</v>
      </c>
      <c r="N39" s="228"/>
      <c r="O39" s="229"/>
      <c r="P39" s="230"/>
      <c r="Q39" s="47">
        <v>44574.568749999999</v>
      </c>
      <c r="R39" s="44">
        <f t="shared" si="0"/>
        <v>3.6581176471590262</v>
      </c>
      <c r="S39" s="44">
        <f t="shared" si="1"/>
        <v>-0.18256585956498794</v>
      </c>
    </row>
    <row r="40" spans="1:19" ht="12" customHeight="1" x14ac:dyDescent="0.2">
      <c r="A40" s="37"/>
      <c r="B40" s="48"/>
      <c r="C40" s="49">
        <v>15.74</v>
      </c>
      <c r="D40" s="58">
        <v>108</v>
      </c>
      <c r="E40" s="50">
        <v>1996</v>
      </c>
      <c r="F40" s="56">
        <v>7.21</v>
      </c>
      <c r="G40" s="51"/>
      <c r="H40" s="44">
        <f t="shared" si="7"/>
        <v>3.8563000000000001</v>
      </c>
      <c r="I40" s="52">
        <f t="shared" si="6"/>
        <v>4.43</v>
      </c>
      <c r="J40" s="44">
        <f t="shared" si="2"/>
        <v>0.57369999999999965</v>
      </c>
      <c r="K40" s="44">
        <f t="shared" si="3"/>
        <v>43.866284999999998</v>
      </c>
      <c r="L40" s="44">
        <f t="shared" si="4"/>
        <v>40.67</v>
      </c>
      <c r="M40" s="53">
        <f t="shared" si="5"/>
        <v>-3.196284999999996</v>
      </c>
      <c r="N40" s="231"/>
      <c r="O40" s="229"/>
      <c r="P40" s="230"/>
      <c r="Q40" s="47">
        <v>44574.585416666669</v>
      </c>
      <c r="R40" s="44">
        <f t="shared" si="0"/>
        <v>1.434249999707804</v>
      </c>
      <c r="S40" s="44">
        <f t="shared" si="1"/>
        <v>-0.15184251781481062</v>
      </c>
    </row>
    <row r="41" spans="1:19" ht="12" customHeight="1" x14ac:dyDescent="0.2">
      <c r="A41" s="37"/>
      <c r="B41" s="48"/>
      <c r="C41" s="49">
        <v>15.74</v>
      </c>
      <c r="D41" s="58">
        <v>125</v>
      </c>
      <c r="E41" s="50">
        <v>2442</v>
      </c>
      <c r="F41" s="40">
        <v>5.08</v>
      </c>
      <c r="G41" s="51">
        <f>-8.35+2.6</f>
        <v>-5.75</v>
      </c>
      <c r="H41" s="44">
        <f t="shared" si="7"/>
        <v>7.0200399999999998</v>
      </c>
      <c r="I41" s="52">
        <f t="shared" si="6"/>
        <v>3.62</v>
      </c>
      <c r="J41" s="44">
        <f t="shared" si="2"/>
        <v>-3.4000399999999997</v>
      </c>
      <c r="K41" s="44">
        <f t="shared" si="3"/>
        <v>50.886324999999999</v>
      </c>
      <c r="L41" s="44">
        <f t="shared" si="4"/>
        <v>44.29</v>
      </c>
      <c r="M41" s="53">
        <f t="shared" si="5"/>
        <v>-6.5963250000000002</v>
      </c>
      <c r="N41" s="228"/>
      <c r="O41" s="229"/>
      <c r="P41" s="230"/>
      <c r="Q41" s="47">
        <v>44574.666666666664</v>
      </c>
      <c r="R41" s="44">
        <f t="shared" si="0"/>
        <v>-1.7436102565039406</v>
      </c>
      <c r="S41" s="44">
        <f t="shared" si="1"/>
        <v>-0.28679673913188641</v>
      </c>
    </row>
    <row r="42" spans="1:19" ht="12" customHeight="1" x14ac:dyDescent="0.2">
      <c r="A42" s="37"/>
      <c r="B42" s="48"/>
      <c r="C42" s="49">
        <v>15.74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15.74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15.74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15.93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15.74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15.74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15.74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15.74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15.74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15.74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U112"/>
  <sheetViews>
    <sheetView zoomScale="110" zoomScaleNormal="110" workbookViewId="0">
      <selection activeCell="E23" sqref="E23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3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6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6" t="s">
        <v>28</v>
      </c>
      <c r="E6" s="39">
        <v>2448</v>
      </c>
      <c r="F6" s="40">
        <v>86.3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44572.916666666664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56</v>
      </c>
      <c r="E7" s="39">
        <v>2398</v>
      </c>
      <c r="F7" s="40">
        <v>8.15</v>
      </c>
      <c r="G7" s="51">
        <f>39.2-1.5-123.3+8.2</f>
        <v>-77.399999999999991</v>
      </c>
      <c r="H7" s="44">
        <f>IF(E7="","",((E7-E6)*C7)/1000)</f>
        <v>-0.2185</v>
      </c>
      <c r="I7" s="52">
        <f>IF(F7="","",F7-F6-G7)</f>
        <v>-0.75</v>
      </c>
      <c r="J7" s="44">
        <f>IF(F7="","",I7-H7)</f>
        <v>-0.53149999999999997</v>
      </c>
      <c r="K7" s="44">
        <f>IF(F7="","",K6+H7)</f>
        <v>-0.2185</v>
      </c>
      <c r="L7" s="44">
        <f>IF(F7="","",L6+I7)</f>
        <v>-0.75</v>
      </c>
      <c r="M7" s="53">
        <f>IF(F7="","",L7-K7)</f>
        <v>-0.53149999999999997</v>
      </c>
      <c r="N7" s="231"/>
      <c r="O7" s="229"/>
      <c r="P7" s="230"/>
      <c r="Q7" s="47">
        <v>44573</v>
      </c>
      <c r="R7" s="44">
        <f t="shared" ref="R7:R70" si="0">IF(Q7="","",J7/((Q7-Q6)*24))</f>
        <v>-0.26574999999226562</v>
      </c>
      <c r="S7" s="44">
        <f t="shared" ref="S7:S70" si="1">IF(Q7="","",M7/((Q7-$Q$6)*24))</f>
        <v>-0.26574999999226562</v>
      </c>
    </row>
    <row r="8" spans="1:20" ht="12" customHeight="1" x14ac:dyDescent="0.2">
      <c r="A8" s="37"/>
      <c r="B8" s="48"/>
      <c r="C8" s="49">
        <v>4.37</v>
      </c>
      <c r="D8" s="54"/>
      <c r="E8" s="39">
        <v>2398</v>
      </c>
      <c r="F8" s="40">
        <v>8.31</v>
      </c>
      <c r="G8" s="51"/>
      <c r="H8" s="44">
        <f>IF(E8="","",((E8-E7)*C8)/1000)</f>
        <v>0</v>
      </c>
      <c r="I8" s="52">
        <f>IF(F8="","",F8-F7-G8)</f>
        <v>0.16000000000000014</v>
      </c>
      <c r="J8" s="44">
        <f>IF(F8="","",I8-H8)</f>
        <v>0.16000000000000014</v>
      </c>
      <c r="K8" s="44">
        <f>IF(F8="","",K7+H8)</f>
        <v>-0.2185</v>
      </c>
      <c r="L8" s="44">
        <f>IF(F8="","",L7+I8)</f>
        <v>-0.58999999999999986</v>
      </c>
      <c r="M8" s="53">
        <f>IF(F8="","",L8-K8)</f>
        <v>-0.37149999999999983</v>
      </c>
      <c r="N8" s="231" t="s">
        <v>95</v>
      </c>
      <c r="O8" s="229"/>
      <c r="P8" s="230"/>
      <c r="Q8" s="47">
        <v>44573.009722222225</v>
      </c>
      <c r="R8" s="44">
        <f t="shared" si="0"/>
        <v>0.68571428553182312</v>
      </c>
      <c r="S8" s="44">
        <f t="shared" si="1"/>
        <v>-0.16634328357312961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2398</v>
      </c>
      <c r="F9" s="40">
        <v>8.3800000000000008</v>
      </c>
      <c r="G9" s="51"/>
      <c r="H9" s="44">
        <f>IF(E9="","",((E9-E8)*C9)/1000)</f>
        <v>0</v>
      </c>
      <c r="I9" s="52">
        <f>IF(F9="","",F9-F8-G9)</f>
        <v>7.0000000000000284E-2</v>
      </c>
      <c r="J9" s="44">
        <f>IF(F9="","",I9-H9)</f>
        <v>7.0000000000000284E-2</v>
      </c>
      <c r="K9" s="44">
        <f>IF(F9="","",K8+H9)</f>
        <v>-0.2185</v>
      </c>
      <c r="L9" s="44">
        <f>IF(F9="","",L8+I9)</f>
        <v>-0.51999999999999957</v>
      </c>
      <c r="M9" s="53">
        <f>IF(F9="","",L9-K9)</f>
        <v>-0.30149999999999955</v>
      </c>
      <c r="N9" s="228"/>
      <c r="O9" s="229"/>
      <c r="P9" s="230"/>
      <c r="Q9" s="47">
        <v>44573.01666666667</v>
      </c>
      <c r="R9" s="44">
        <f t="shared" si="0"/>
        <v>0.41999999995110726</v>
      </c>
      <c r="S9" s="44">
        <f t="shared" si="1"/>
        <v>-0.12562499999268747</v>
      </c>
    </row>
    <row r="10" spans="1:20" ht="12" customHeight="1" x14ac:dyDescent="0.2">
      <c r="A10" s="37"/>
      <c r="B10" s="48"/>
      <c r="C10" s="49">
        <v>4.37</v>
      </c>
      <c r="D10" s="54"/>
      <c r="E10" s="39">
        <v>2398</v>
      </c>
      <c r="F10" s="40">
        <v>8.44</v>
      </c>
      <c r="G10" s="51"/>
      <c r="H10" s="44">
        <f>IF(E10="","",((E10-E9)*C10)/1000)</f>
        <v>0</v>
      </c>
      <c r="I10" s="52">
        <f>IF(F10="","",F10-F9-G10)</f>
        <v>5.9999999999998721E-2</v>
      </c>
      <c r="J10" s="44">
        <f t="shared" ref="J10:J73" si="2">IF(F10="","",I10-H10)</f>
        <v>5.9999999999998721E-2</v>
      </c>
      <c r="K10" s="44">
        <f t="shared" ref="K10:K73" si="3">IF(F10="","",K9+H10)</f>
        <v>-0.2185</v>
      </c>
      <c r="L10" s="44">
        <f t="shared" ref="L10:L73" si="4">IF(F10="","",L9+I10)</f>
        <v>-0.46000000000000085</v>
      </c>
      <c r="M10" s="53">
        <f t="shared" ref="M10:M73" si="5">IF(F10="","",L10-K10)</f>
        <v>-0.24150000000000085</v>
      </c>
      <c r="N10" s="249"/>
      <c r="O10" s="250"/>
      <c r="P10" s="251"/>
      <c r="Q10" s="47">
        <v>44573.023611111108</v>
      </c>
      <c r="R10" s="44">
        <f t="shared" si="0"/>
        <v>0.36000000033526847</v>
      </c>
      <c r="S10" s="44">
        <f t="shared" si="1"/>
        <v>-9.4090909091478436E-2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2398</v>
      </c>
      <c r="F11" s="40">
        <v>8.43</v>
      </c>
      <c r="G11" s="51"/>
      <c r="H11" s="44">
        <f>IF(E11="","",((E11-E10)*C11)/1000)</f>
        <v>0</v>
      </c>
      <c r="I11" s="52">
        <f t="shared" ref="I11:I74" si="6">IF(F11="","",F11-F10-G11)</f>
        <v>-9.9999999999997868E-3</v>
      </c>
      <c r="J11" s="44">
        <f t="shared" si="2"/>
        <v>-9.9999999999997868E-3</v>
      </c>
      <c r="K11" s="44">
        <f t="shared" si="3"/>
        <v>-0.2185</v>
      </c>
      <c r="L11" s="44">
        <f t="shared" si="4"/>
        <v>-0.47000000000000064</v>
      </c>
      <c r="M11" s="53">
        <f t="shared" si="5"/>
        <v>-0.25150000000000061</v>
      </c>
      <c r="N11" s="228"/>
      <c r="O11" s="229"/>
      <c r="P11" s="230"/>
      <c r="Q11" s="47">
        <v>44573.030555555553</v>
      </c>
      <c r="R11" s="44">
        <f t="shared" si="0"/>
        <v>-5.9999999993013801E-2</v>
      </c>
      <c r="S11" s="44">
        <f t="shared" si="1"/>
        <v>-9.2012195121820808E-2</v>
      </c>
    </row>
    <row r="12" spans="1:20" ht="12" customHeight="1" x14ac:dyDescent="0.2">
      <c r="A12" s="37"/>
      <c r="B12" s="48"/>
      <c r="C12" s="49">
        <v>4.37</v>
      </c>
      <c r="D12" s="54">
        <v>53</v>
      </c>
      <c r="E12" s="39">
        <v>2316</v>
      </c>
      <c r="F12" s="56">
        <v>8.2200000000000006</v>
      </c>
      <c r="G12" s="51"/>
      <c r="H12" s="44">
        <f t="shared" ref="H12:H74" si="7">IF(E12="","",((E12-E11)*C12)/1000)</f>
        <v>-0.35834000000000005</v>
      </c>
      <c r="I12" s="52">
        <f t="shared" si="6"/>
        <v>-0.20999999999999908</v>
      </c>
      <c r="J12" s="44">
        <f t="shared" si="2"/>
        <v>0.14834000000000097</v>
      </c>
      <c r="K12" s="44">
        <f t="shared" si="3"/>
        <v>-0.57684000000000002</v>
      </c>
      <c r="L12" s="44">
        <f t="shared" si="4"/>
        <v>-0.67999999999999972</v>
      </c>
      <c r="M12" s="53">
        <f t="shared" si="5"/>
        <v>-0.1031599999999997</v>
      </c>
      <c r="N12" s="228" t="s">
        <v>108</v>
      </c>
      <c r="O12" s="229"/>
      <c r="P12" s="230"/>
      <c r="Q12" s="47">
        <v>44573.049305555556</v>
      </c>
      <c r="R12" s="44">
        <f t="shared" si="0"/>
        <v>0.32964444439327906</v>
      </c>
      <c r="S12" s="44">
        <f t="shared" si="1"/>
        <v>-3.2406282721762429E-2</v>
      </c>
    </row>
    <row r="13" spans="1:20" ht="12" customHeight="1" x14ac:dyDescent="0.2">
      <c r="A13" s="37"/>
      <c r="B13" s="48"/>
      <c r="C13" s="49">
        <v>4.37</v>
      </c>
      <c r="D13" s="54">
        <v>48</v>
      </c>
      <c r="E13" s="39">
        <v>2176</v>
      </c>
      <c r="F13" s="56">
        <v>7.82</v>
      </c>
      <c r="G13" s="51"/>
      <c r="H13" s="44">
        <f>IF(E13="","",((E13-E12)*C13)/1000)</f>
        <v>-0.61180000000000012</v>
      </c>
      <c r="I13" s="52">
        <f t="shared" si="6"/>
        <v>-0.40000000000000036</v>
      </c>
      <c r="J13" s="44">
        <f t="shared" si="2"/>
        <v>0.21179999999999977</v>
      </c>
      <c r="K13" s="44">
        <f t="shared" si="3"/>
        <v>-1.1886400000000001</v>
      </c>
      <c r="L13" s="44">
        <f t="shared" si="4"/>
        <v>-1.08</v>
      </c>
      <c r="M13" s="53">
        <f t="shared" si="5"/>
        <v>0.10864000000000007</v>
      </c>
      <c r="N13" s="231" t="s">
        <v>109</v>
      </c>
      <c r="O13" s="229"/>
      <c r="P13" s="230"/>
      <c r="Q13" s="47">
        <v>44573.0625</v>
      </c>
      <c r="R13" s="44">
        <f t="shared" si="0"/>
        <v>0.66884210529594179</v>
      </c>
      <c r="S13" s="44">
        <f t="shared" si="1"/>
        <v>3.10399999994838E-2</v>
      </c>
    </row>
    <row r="14" spans="1:20" ht="12" customHeight="1" x14ac:dyDescent="0.2">
      <c r="A14" s="37"/>
      <c r="B14" s="48"/>
      <c r="C14" s="49">
        <v>4.37</v>
      </c>
      <c r="D14" s="54"/>
      <c r="E14" s="39">
        <v>2176</v>
      </c>
      <c r="F14" s="56">
        <v>7.92</v>
      </c>
      <c r="G14" s="51"/>
      <c r="H14" s="44">
        <f t="shared" si="7"/>
        <v>0</v>
      </c>
      <c r="I14" s="52">
        <f t="shared" si="6"/>
        <v>9.9999999999999645E-2</v>
      </c>
      <c r="J14" s="44">
        <f t="shared" si="2"/>
        <v>9.9999999999999645E-2</v>
      </c>
      <c r="K14" s="44">
        <f t="shared" si="3"/>
        <v>-1.1886400000000001</v>
      </c>
      <c r="L14" s="44">
        <f t="shared" si="4"/>
        <v>-0.98000000000000043</v>
      </c>
      <c r="M14" s="53">
        <f t="shared" si="5"/>
        <v>0.20863999999999971</v>
      </c>
      <c r="N14" s="231"/>
      <c r="O14" s="229"/>
      <c r="P14" s="230"/>
      <c r="Q14" s="47">
        <v>44573.069444444445</v>
      </c>
      <c r="R14" s="44">
        <f t="shared" si="0"/>
        <v>0.59999999993014863</v>
      </c>
      <c r="S14" s="44">
        <f t="shared" si="1"/>
        <v>5.6901818180613697E-2</v>
      </c>
    </row>
    <row r="15" spans="1:20" ht="12" customHeight="1" x14ac:dyDescent="0.2">
      <c r="A15" s="37"/>
      <c r="B15" s="48"/>
      <c r="C15" s="49">
        <v>4.37</v>
      </c>
      <c r="D15" s="54"/>
      <c r="E15" s="39">
        <v>2176</v>
      </c>
      <c r="F15" s="40">
        <v>7.87</v>
      </c>
      <c r="G15" s="51"/>
      <c r="H15" s="44">
        <f t="shared" si="7"/>
        <v>0</v>
      </c>
      <c r="I15" s="52">
        <f t="shared" si="6"/>
        <v>-4.9999999999999822E-2</v>
      </c>
      <c r="J15" s="44">
        <f t="shared" si="2"/>
        <v>-4.9999999999999822E-2</v>
      </c>
      <c r="K15" s="44">
        <f t="shared" si="3"/>
        <v>-1.1886400000000001</v>
      </c>
      <c r="L15" s="44">
        <f t="shared" si="4"/>
        <v>-1.0300000000000002</v>
      </c>
      <c r="M15" s="53">
        <f t="shared" si="5"/>
        <v>0.15863999999999989</v>
      </c>
      <c r="N15" s="231"/>
      <c r="O15" s="229"/>
      <c r="P15" s="230"/>
      <c r="Q15" s="47">
        <v>44573.076388888891</v>
      </c>
      <c r="R15" s="44">
        <f t="shared" si="0"/>
        <v>-0.29999999996507432</v>
      </c>
      <c r="S15" s="44">
        <f t="shared" si="1"/>
        <v>4.1384347825039587E-2</v>
      </c>
    </row>
    <row r="16" spans="1:20" ht="12" customHeight="1" x14ac:dyDescent="0.2">
      <c r="A16" s="37"/>
      <c r="B16" s="48"/>
      <c r="C16" s="49">
        <v>4.37</v>
      </c>
      <c r="D16" s="57">
        <v>40</v>
      </c>
      <c r="E16" s="39">
        <v>1962</v>
      </c>
      <c r="F16" s="40">
        <v>6.25</v>
      </c>
      <c r="G16" s="51"/>
      <c r="H16" s="44">
        <f t="shared" si="7"/>
        <v>-0.93518000000000001</v>
      </c>
      <c r="I16" s="52">
        <f t="shared" si="6"/>
        <v>-1.62</v>
      </c>
      <c r="J16" s="44">
        <f t="shared" si="2"/>
        <v>-0.6848200000000001</v>
      </c>
      <c r="K16" s="44">
        <f t="shared" si="3"/>
        <v>-2.1238200000000003</v>
      </c>
      <c r="L16" s="44">
        <f t="shared" si="4"/>
        <v>-2.6500000000000004</v>
      </c>
      <c r="M16" s="53">
        <f t="shared" si="5"/>
        <v>-0.52618000000000009</v>
      </c>
      <c r="N16" s="228"/>
      <c r="O16" s="229"/>
      <c r="P16" s="230"/>
      <c r="Q16" s="47">
        <v>44573.087500000001</v>
      </c>
      <c r="R16" s="44">
        <f t="shared" si="0"/>
        <v>-2.5680750000373709</v>
      </c>
      <c r="S16" s="44">
        <f t="shared" si="1"/>
        <v>-0.12833658536293849</v>
      </c>
      <c r="T16" s="55"/>
    </row>
    <row r="17" spans="1:19" ht="12" customHeight="1" x14ac:dyDescent="0.2">
      <c r="A17" s="37"/>
      <c r="B17" s="48"/>
      <c r="C17" s="49">
        <v>4.37</v>
      </c>
      <c r="D17" s="54">
        <v>10</v>
      </c>
      <c r="E17" s="39">
        <v>1146</v>
      </c>
      <c r="F17" s="40">
        <v>2.14</v>
      </c>
      <c r="G17" s="51"/>
      <c r="H17" s="44">
        <f t="shared" si="7"/>
        <v>-3.5659200000000002</v>
      </c>
      <c r="I17" s="52">
        <f t="shared" si="6"/>
        <v>-4.1099999999999994</v>
      </c>
      <c r="J17" s="44">
        <f t="shared" si="2"/>
        <v>-0.54407999999999923</v>
      </c>
      <c r="K17" s="44">
        <f t="shared" si="3"/>
        <v>-5.6897400000000005</v>
      </c>
      <c r="L17" s="44">
        <f t="shared" si="4"/>
        <v>-6.76</v>
      </c>
      <c r="M17" s="53">
        <f t="shared" si="5"/>
        <v>-1.0702599999999993</v>
      </c>
      <c r="N17" s="231"/>
      <c r="O17" s="229"/>
      <c r="P17" s="230"/>
      <c r="Q17" s="47">
        <v>44573.121527777781</v>
      </c>
      <c r="R17" s="44">
        <f t="shared" si="0"/>
        <v>-0.6662204081284423</v>
      </c>
      <c r="S17" s="44">
        <f t="shared" si="1"/>
        <v>-0.21767999999398668</v>
      </c>
    </row>
    <row r="18" spans="1:19" ht="12" customHeight="1" x14ac:dyDescent="0.2">
      <c r="A18" s="37"/>
      <c r="B18" s="48"/>
      <c r="C18" s="49">
        <v>4.37</v>
      </c>
      <c r="D18" s="54">
        <v>0</v>
      </c>
      <c r="E18" s="39">
        <v>874</v>
      </c>
      <c r="F18" s="40">
        <v>7.86</v>
      </c>
      <c r="G18" s="40">
        <f>-2+8.66</f>
        <v>6.66</v>
      </c>
      <c r="H18" s="44">
        <f t="shared" si="7"/>
        <v>-1.1886400000000001</v>
      </c>
      <c r="I18" s="52">
        <f t="shared" si="6"/>
        <v>-0.9399999999999995</v>
      </c>
      <c r="J18" s="44">
        <f t="shared" si="2"/>
        <v>0.24864000000000064</v>
      </c>
      <c r="K18" s="44">
        <f t="shared" si="3"/>
        <v>-6.8783800000000008</v>
      </c>
      <c r="L18" s="44">
        <f t="shared" si="4"/>
        <v>-7.6999999999999993</v>
      </c>
      <c r="M18" s="53">
        <f t="shared" si="5"/>
        <v>-0.82161999999999846</v>
      </c>
      <c r="N18" s="228"/>
      <c r="O18" s="229"/>
      <c r="P18" s="230"/>
      <c r="Q18" s="47">
        <v>44573.134722222225</v>
      </c>
      <c r="R18" s="44">
        <f t="shared" si="0"/>
        <v>0.78517894740691019</v>
      </c>
      <c r="S18" s="44">
        <f t="shared" si="1"/>
        <v>-0.15699745222569025</v>
      </c>
    </row>
    <row r="19" spans="1:19" ht="12" customHeight="1" x14ac:dyDescent="0.2">
      <c r="A19" s="37"/>
      <c r="B19" s="48" t="s">
        <v>35</v>
      </c>
      <c r="C19" s="49">
        <v>4.41</v>
      </c>
      <c r="D19" s="54">
        <v>15</v>
      </c>
      <c r="E19" s="39">
        <v>584</v>
      </c>
      <c r="F19" s="40">
        <v>6.47</v>
      </c>
      <c r="G19" s="40"/>
      <c r="H19" s="44">
        <f t="shared" si="7"/>
        <v>-1.2789000000000001</v>
      </c>
      <c r="I19" s="52">
        <f t="shared" si="6"/>
        <v>-1.3900000000000006</v>
      </c>
      <c r="J19" s="44">
        <f t="shared" si="2"/>
        <v>-0.11110000000000042</v>
      </c>
      <c r="K19" s="44">
        <f t="shared" si="3"/>
        <v>-8.1572800000000001</v>
      </c>
      <c r="L19" s="44">
        <f t="shared" si="4"/>
        <v>-9.09</v>
      </c>
      <c r="M19" s="53">
        <f t="shared" si="5"/>
        <v>-0.93271999999999977</v>
      </c>
      <c r="N19" s="228"/>
      <c r="O19" s="229"/>
      <c r="P19" s="230"/>
      <c r="Q19" s="47">
        <v>44573.19027777778</v>
      </c>
      <c r="R19" s="44">
        <f t="shared" si="0"/>
        <v>-8.3325000001212859E-2</v>
      </c>
      <c r="S19" s="44">
        <f t="shared" si="1"/>
        <v>-0.14203857867802067</v>
      </c>
    </row>
    <row r="20" spans="1:19" ht="12" customHeight="1" x14ac:dyDescent="0.2">
      <c r="A20" s="37"/>
      <c r="B20" s="48"/>
      <c r="C20" s="49">
        <v>4.41</v>
      </c>
      <c r="D20" s="54">
        <v>13</v>
      </c>
      <c r="E20" s="39">
        <v>526</v>
      </c>
      <c r="F20" s="40">
        <v>6.1</v>
      </c>
      <c r="G20" s="40"/>
      <c r="H20" s="44">
        <f t="shared" si="7"/>
        <v>-0.25578000000000001</v>
      </c>
      <c r="I20" s="52">
        <f t="shared" si="6"/>
        <v>-0.37000000000000011</v>
      </c>
      <c r="J20" s="44">
        <f t="shared" si="2"/>
        <v>-0.1142200000000001</v>
      </c>
      <c r="K20" s="44">
        <f t="shared" si="3"/>
        <v>-8.4130599999999998</v>
      </c>
      <c r="L20" s="44">
        <f t="shared" si="4"/>
        <v>-9.4600000000000009</v>
      </c>
      <c r="M20" s="53">
        <f t="shared" si="5"/>
        <v>-1.0469400000000011</v>
      </c>
      <c r="N20" s="242"/>
      <c r="O20" s="229"/>
      <c r="P20" s="230"/>
      <c r="Q20" s="47">
        <v>44573.194444444445</v>
      </c>
      <c r="R20" s="44">
        <f t="shared" si="0"/>
        <v>-1.1422000002659403</v>
      </c>
      <c r="S20" s="44">
        <f t="shared" si="1"/>
        <v>-0.15704099999817198</v>
      </c>
    </row>
    <row r="21" spans="1:19" ht="12" customHeight="1" x14ac:dyDescent="0.2">
      <c r="A21" s="37"/>
      <c r="B21" s="48"/>
      <c r="C21" s="49">
        <v>4.41</v>
      </c>
      <c r="D21" s="54"/>
      <c r="E21" s="39">
        <v>526</v>
      </c>
      <c r="F21" s="40">
        <v>6.1</v>
      </c>
      <c r="G21" s="51"/>
      <c r="H21" s="44">
        <f t="shared" si="7"/>
        <v>0</v>
      </c>
      <c r="I21" s="52">
        <f t="shared" si="6"/>
        <v>0</v>
      </c>
      <c r="J21" s="44">
        <f t="shared" si="2"/>
        <v>0</v>
      </c>
      <c r="K21" s="44">
        <f t="shared" si="3"/>
        <v>-8.4130599999999998</v>
      </c>
      <c r="L21" s="44">
        <f t="shared" si="4"/>
        <v>-9.4600000000000009</v>
      </c>
      <c r="M21" s="53">
        <f t="shared" si="5"/>
        <v>-1.0469400000000011</v>
      </c>
      <c r="N21" s="228" t="s">
        <v>110</v>
      </c>
      <c r="O21" s="229"/>
      <c r="P21" s="230"/>
      <c r="Q21" s="47">
        <v>44573.201388888891</v>
      </c>
      <c r="R21" s="44">
        <f t="shared" si="0"/>
        <v>0</v>
      </c>
      <c r="S21" s="44">
        <f t="shared" si="1"/>
        <v>-0.1532107317051421</v>
      </c>
    </row>
    <row r="22" spans="1:19" ht="12" customHeight="1" x14ac:dyDescent="0.2">
      <c r="A22" s="37"/>
      <c r="B22" s="48"/>
      <c r="C22" s="49">
        <v>4.41</v>
      </c>
      <c r="D22" s="54">
        <v>0</v>
      </c>
      <c r="E22" s="39">
        <v>149</v>
      </c>
      <c r="F22" s="40">
        <v>3.85</v>
      </c>
      <c r="G22" s="51"/>
      <c r="H22" s="44">
        <f t="shared" si="7"/>
        <v>-1.6625700000000001</v>
      </c>
      <c r="I22" s="52">
        <f t="shared" si="6"/>
        <v>-2.2499999999999996</v>
      </c>
      <c r="J22" s="44">
        <f t="shared" si="2"/>
        <v>-0.58742999999999945</v>
      </c>
      <c r="K22" s="44">
        <f t="shared" si="3"/>
        <v>-10.07563</v>
      </c>
      <c r="L22" s="44">
        <f t="shared" si="4"/>
        <v>-11.71</v>
      </c>
      <c r="M22" s="53">
        <f t="shared" si="5"/>
        <v>-1.6343700000000005</v>
      </c>
      <c r="N22" s="228"/>
      <c r="O22" s="229"/>
      <c r="P22" s="230"/>
      <c r="Q22" s="47">
        <v>44573.236111111109</v>
      </c>
      <c r="R22" s="44">
        <f t="shared" si="0"/>
        <v>-0.70491600006564981</v>
      </c>
      <c r="S22" s="44">
        <f t="shared" si="1"/>
        <v>-0.21317869565163447</v>
      </c>
    </row>
    <row r="23" spans="1:19" ht="12" customHeight="1" x14ac:dyDescent="0.2">
      <c r="A23" s="37"/>
      <c r="B23" s="48"/>
      <c r="C23" s="49">
        <v>4.41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4.41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4.41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D1:G1"/>
    <mergeCell ref="H1:M1"/>
    <mergeCell ref="N1:P1"/>
    <mergeCell ref="Q1:S1"/>
    <mergeCell ref="D2:P3"/>
    <mergeCell ref="R2:S2"/>
    <mergeCell ref="R3:S3"/>
    <mergeCell ref="N9:P9"/>
    <mergeCell ref="N10:P1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U112"/>
  <sheetViews>
    <sheetView zoomScale="110" zoomScaleNormal="110" workbookViewId="0">
      <selection activeCell="E13" sqref="E13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150</v>
      </c>
      <c r="F6" s="40">
        <v>3.55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44571.729166666664</v>
      </c>
      <c r="R6" s="11"/>
      <c r="S6" s="11"/>
    </row>
    <row r="7" spans="1:20" ht="12" customHeight="1" x14ac:dyDescent="0.2">
      <c r="A7" s="37"/>
      <c r="B7" s="48" t="s">
        <v>36</v>
      </c>
      <c r="C7" s="49">
        <v>13.33</v>
      </c>
      <c r="D7" s="39">
        <v>10</v>
      </c>
      <c r="E7" s="39">
        <v>462</v>
      </c>
      <c r="F7" s="40">
        <v>7.7</v>
      </c>
      <c r="G7" s="51"/>
      <c r="H7" s="44">
        <f>IF(E7="","",((E7-E6)*C7)/1000)</f>
        <v>4.1589600000000004</v>
      </c>
      <c r="I7" s="52">
        <f>IF(F7="","",F7-F6-G7)</f>
        <v>4.1500000000000004</v>
      </c>
      <c r="J7" s="44">
        <f>IF(F7="","",I7-H7)</f>
        <v>-8.960000000000079E-3</v>
      </c>
      <c r="K7" s="44">
        <f>IF(F7="","",K6+H7)</f>
        <v>4.1589600000000004</v>
      </c>
      <c r="L7" s="44">
        <f>IF(F7="","",L6+I7)</f>
        <v>4.1500000000000004</v>
      </c>
      <c r="M7" s="53">
        <f>IF(F7="","",L7-K7)</f>
        <v>-8.960000000000079E-3</v>
      </c>
      <c r="N7" s="231"/>
      <c r="O7" s="229"/>
      <c r="P7" s="230"/>
      <c r="Q7" s="47">
        <v>44571.756944444445</v>
      </c>
      <c r="R7" s="44">
        <f t="shared" ref="R7:R70" si="0">IF(Q7="","",J7/((Q7-Q6)*24))</f>
        <v>-1.3439999998435497E-2</v>
      </c>
      <c r="S7" s="44">
        <f t="shared" ref="S7:S70" si="1">IF(Q7="","",M7/((Q7-$Q$6)*24))</f>
        <v>-1.3439999998435497E-2</v>
      </c>
    </row>
    <row r="8" spans="1:20" ht="12" customHeight="1" x14ac:dyDescent="0.2">
      <c r="A8" s="37"/>
      <c r="B8" s="48"/>
      <c r="C8" s="49">
        <v>13.33</v>
      </c>
      <c r="D8" s="54">
        <v>25</v>
      </c>
      <c r="E8" s="39">
        <v>875</v>
      </c>
      <c r="F8" s="40">
        <v>7.58</v>
      </c>
      <c r="G8" s="51">
        <f>-8.9+3.3</f>
        <v>-5.6000000000000005</v>
      </c>
      <c r="H8" s="44">
        <f>IF(E8="","",((E8-E7)*C8)/1000)</f>
        <v>5.5052899999999996</v>
      </c>
      <c r="I8" s="52">
        <f>IF(F8="","",F8-F7-G8)</f>
        <v>5.48</v>
      </c>
      <c r="J8" s="44">
        <f>IF(F8="","",I8-H8)</f>
        <v>-2.5289999999999146E-2</v>
      </c>
      <c r="K8" s="44">
        <f>IF(F8="","",K7+H8)</f>
        <v>9.6642499999999991</v>
      </c>
      <c r="L8" s="44">
        <f>IF(F8="","",L7+I8)</f>
        <v>9.6300000000000008</v>
      </c>
      <c r="M8" s="53">
        <f>IF(F8="","",L8-K8)</f>
        <v>-3.4249999999998337E-2</v>
      </c>
      <c r="N8" s="231"/>
      <c r="O8" s="229"/>
      <c r="P8" s="230"/>
      <c r="Q8" s="47">
        <v>44571.777777777781</v>
      </c>
      <c r="R8" s="44">
        <f t="shared" si="0"/>
        <v>-5.0579999994110003E-2</v>
      </c>
      <c r="S8" s="44">
        <f t="shared" si="1"/>
        <v>-2.935714285372381E-2</v>
      </c>
      <c r="T8" s="55"/>
    </row>
    <row r="9" spans="1:20" ht="12" customHeight="1" x14ac:dyDescent="0.2">
      <c r="A9" s="37"/>
      <c r="B9" s="48" t="s">
        <v>37</v>
      </c>
      <c r="C9" s="49">
        <v>15.74</v>
      </c>
      <c r="D9" s="54">
        <v>4</v>
      </c>
      <c r="E9" s="39">
        <v>983</v>
      </c>
      <c r="F9" s="40">
        <v>3.72</v>
      </c>
      <c r="G9" s="51">
        <f>-8.1+2.4</f>
        <v>-5.6999999999999993</v>
      </c>
      <c r="H9" s="44">
        <f>IF(E9="","",((E9-E8)*C9)/1000)</f>
        <v>1.6999200000000001</v>
      </c>
      <c r="I9" s="52">
        <f>IF(F9="","",F9-F8-G9)</f>
        <v>1.8399999999999994</v>
      </c>
      <c r="J9" s="44">
        <f>IF(F9="","",I9-H9)</f>
        <v>0.14007999999999932</v>
      </c>
      <c r="K9" s="44">
        <f>IF(F9="","",K8+H9)</f>
        <v>11.36417</v>
      </c>
      <c r="L9" s="44">
        <f>IF(F9="","",L8+I9)</f>
        <v>11.47</v>
      </c>
      <c r="M9" s="53">
        <f>IF(F9="","",L9-K9)</f>
        <v>0.10583000000000098</v>
      </c>
      <c r="N9" s="228"/>
      <c r="O9" s="229"/>
      <c r="P9" s="230"/>
      <c r="Q9" s="47">
        <v>44571.820833333331</v>
      </c>
      <c r="R9" s="44">
        <f t="shared" si="0"/>
        <v>0.13556129033887046</v>
      </c>
      <c r="S9" s="44">
        <f t="shared" si="1"/>
        <v>4.8104545454291346E-2</v>
      </c>
    </row>
    <row r="10" spans="1:20" ht="12" customHeight="1" x14ac:dyDescent="0.2">
      <c r="A10" s="37"/>
      <c r="B10" s="48"/>
      <c r="C10" s="49">
        <v>15.74</v>
      </c>
      <c r="D10" s="54">
        <v>14</v>
      </c>
      <c r="E10" s="39">
        <v>1255</v>
      </c>
      <c r="F10" s="40">
        <v>7.94</v>
      </c>
      <c r="G10" s="51"/>
      <c r="H10" s="44">
        <f>IF(E10="","",((E10-E9)*C10)/1000)</f>
        <v>4.2812799999999998</v>
      </c>
      <c r="I10" s="52">
        <f>IF(F10="","",F10-F9-G10)</f>
        <v>4.2200000000000006</v>
      </c>
      <c r="J10" s="44">
        <f t="shared" ref="J10:J73" si="2">IF(F10="","",I10-H10)</f>
        <v>-6.1279999999999113E-2</v>
      </c>
      <c r="K10" s="44">
        <f t="shared" ref="K10:K73" si="3">IF(F10="","",K9+H10)</f>
        <v>15.64545</v>
      </c>
      <c r="L10" s="44">
        <f t="shared" ref="L10:L73" si="4">IF(F10="","",L9+I10)</f>
        <v>15.690000000000001</v>
      </c>
      <c r="M10" s="53">
        <f t="shared" ref="M10:M73" si="5">IF(F10="","",L10-K10)</f>
        <v>4.4550000000000978E-2</v>
      </c>
      <c r="N10" s="249"/>
      <c r="O10" s="250"/>
      <c r="P10" s="251"/>
      <c r="Q10" s="47">
        <v>44571.831944444442</v>
      </c>
      <c r="R10" s="44">
        <f t="shared" si="0"/>
        <v>-0.22980000000334069</v>
      </c>
      <c r="S10" s="44">
        <f t="shared" si="1"/>
        <v>1.806081081075438E-2</v>
      </c>
      <c r="T10" s="55"/>
    </row>
    <row r="11" spans="1:20" ht="12" customHeight="1" x14ac:dyDescent="0.2">
      <c r="A11" s="37"/>
      <c r="B11" s="48"/>
      <c r="C11" s="49">
        <v>15.74</v>
      </c>
      <c r="D11" s="54">
        <v>36</v>
      </c>
      <c r="E11" s="39">
        <v>1854</v>
      </c>
      <c r="F11" s="40">
        <v>2.94</v>
      </c>
      <c r="G11" s="51">
        <f>-9.15+2.7-9+2.5</f>
        <v>-12.95</v>
      </c>
      <c r="H11" s="44">
        <f>IF(E11="","",((E11-E10)*C11)/1000)</f>
        <v>9.4282599999999999</v>
      </c>
      <c r="I11" s="52">
        <f t="shared" ref="I11:I74" si="6">IF(F11="","",F11-F10-G11)</f>
        <v>7.9499999999999993</v>
      </c>
      <c r="J11" s="44">
        <f t="shared" si="2"/>
        <v>-1.4782600000000006</v>
      </c>
      <c r="K11" s="44">
        <f t="shared" si="3"/>
        <v>25.073709999999998</v>
      </c>
      <c r="L11" s="44">
        <f t="shared" si="4"/>
        <v>23.64</v>
      </c>
      <c r="M11" s="53">
        <f t="shared" si="5"/>
        <v>-1.4337099999999978</v>
      </c>
      <c r="N11" s="228"/>
      <c r="O11" s="229"/>
      <c r="P11" s="230"/>
      <c r="Q11" s="47">
        <v>44572.043055555558</v>
      </c>
      <c r="R11" s="44">
        <f t="shared" si="0"/>
        <v>-0.29176184209945338</v>
      </c>
      <c r="S11" s="44">
        <f t="shared" si="1"/>
        <v>-0.19031548672291848</v>
      </c>
    </row>
    <row r="12" spans="1:20" ht="12" customHeight="1" x14ac:dyDescent="0.2">
      <c r="A12" s="37"/>
      <c r="B12" s="48"/>
      <c r="C12" s="49">
        <v>15.74</v>
      </c>
      <c r="D12" s="54">
        <v>47</v>
      </c>
      <c r="E12" s="39">
        <v>2153</v>
      </c>
      <c r="F12" s="56">
        <v>7.84</v>
      </c>
      <c r="G12" s="51"/>
      <c r="H12" s="44">
        <f t="shared" ref="H12:H74" si="7">IF(E12="","",((E12-E11)*C12)/1000)</f>
        <v>4.7062600000000003</v>
      </c>
      <c r="I12" s="52">
        <f t="shared" si="6"/>
        <v>4.9000000000000004</v>
      </c>
      <c r="J12" s="44">
        <f t="shared" si="2"/>
        <v>0.19374000000000002</v>
      </c>
      <c r="K12" s="44">
        <f t="shared" si="3"/>
        <v>29.779969999999999</v>
      </c>
      <c r="L12" s="44">
        <f t="shared" si="4"/>
        <v>28.54</v>
      </c>
      <c r="M12" s="53">
        <f t="shared" si="5"/>
        <v>-1.2399699999999996</v>
      </c>
      <c r="N12" s="228"/>
      <c r="O12" s="229"/>
      <c r="P12" s="230"/>
      <c r="Q12" s="47">
        <v>44572.070833333331</v>
      </c>
      <c r="R12" s="44">
        <f t="shared" si="0"/>
        <v>0.29061000004228937</v>
      </c>
      <c r="S12" s="44">
        <f t="shared" si="1"/>
        <v>-0.15121585365832185</v>
      </c>
    </row>
    <row r="13" spans="1:20" ht="12" customHeight="1" x14ac:dyDescent="0.2">
      <c r="A13" s="37"/>
      <c r="B13" s="48"/>
      <c r="C13" s="49">
        <v>15.74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15.74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15.74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15.74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/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/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/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/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/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/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/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 t="s">
        <v>106</v>
      </c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 t="s">
        <v>107</v>
      </c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U112"/>
  <sheetViews>
    <sheetView zoomScale="110" zoomScaleNormal="110" workbookViewId="0">
      <selection activeCell="E9" sqref="E9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20</v>
      </c>
      <c r="F6" s="40">
        <v>86.3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44571.076388888891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12</v>
      </c>
      <c r="E7" s="39">
        <v>332</v>
      </c>
      <c r="F7" s="40">
        <v>87.8</v>
      </c>
      <c r="G7" s="51"/>
      <c r="H7" s="44">
        <f>IF(E7="","",((E7-E6)*C7)/1000)</f>
        <v>1.36344</v>
      </c>
      <c r="I7" s="52">
        <f>IF(F7="","",F7-F6-G7)</f>
        <v>1.5</v>
      </c>
      <c r="J7" s="44">
        <f>IF(F7="","",I7-H7)</f>
        <v>0.13656000000000001</v>
      </c>
      <c r="K7" s="44">
        <f>IF(F7="","",K6+H7)</f>
        <v>1.36344</v>
      </c>
      <c r="L7" s="44">
        <f>IF(F7="","",L6+I7)</f>
        <v>1.5</v>
      </c>
      <c r="M7" s="53">
        <f>IF(F7="","",L7-K7)</f>
        <v>0.13656000000000001</v>
      </c>
      <c r="N7" s="231"/>
      <c r="O7" s="229"/>
      <c r="P7" s="230"/>
      <c r="Q7" s="47">
        <v>44571.091666666667</v>
      </c>
      <c r="R7" s="44">
        <f t="shared" ref="R7:R70" si="0">IF(Q7="","",J7/((Q7-Q6)*24))</f>
        <v>0.37243636366395466</v>
      </c>
      <c r="S7" s="44">
        <f t="shared" ref="S7:S70" si="1">IF(Q7="","",M7/((Q7-$Q$6)*24))</f>
        <v>0.37243636366395466</v>
      </c>
    </row>
    <row r="8" spans="1:20" ht="12" customHeight="1" x14ac:dyDescent="0.2">
      <c r="A8" s="37"/>
      <c r="B8" s="48"/>
      <c r="C8" s="49">
        <v>4.37</v>
      </c>
      <c r="D8" s="54">
        <v>11</v>
      </c>
      <c r="E8" s="39">
        <v>305</v>
      </c>
      <c r="F8" s="40">
        <v>87.35</v>
      </c>
      <c r="G8" s="51"/>
      <c r="H8" s="44">
        <f>IF(E8="","",((E8-E7)*C8)/1000)</f>
        <v>-0.11799000000000001</v>
      </c>
      <c r="I8" s="52">
        <f>IF(F8="","",F8-F7-G8)</f>
        <v>-0.45000000000000284</v>
      </c>
      <c r="J8" s="44">
        <f>IF(F8="","",I8-H8)</f>
        <v>-0.3320100000000028</v>
      </c>
      <c r="K8" s="44">
        <f>IF(F8="","",K7+H8)</f>
        <v>1.2454499999999999</v>
      </c>
      <c r="L8" s="44">
        <f>IF(F8="","",L7+I8)</f>
        <v>1.0499999999999972</v>
      </c>
      <c r="M8" s="53">
        <f>IF(F8="","",L8-K8)</f>
        <v>-0.19545000000000279</v>
      </c>
      <c r="N8" s="231"/>
      <c r="O8" s="229"/>
      <c r="P8" s="230"/>
      <c r="Q8" s="47">
        <v>44571.137499999997</v>
      </c>
      <c r="R8" s="44">
        <f t="shared" si="0"/>
        <v>-0.30182727274963539</v>
      </c>
      <c r="S8" s="44">
        <f t="shared" si="1"/>
        <v>-0.13326136364623786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/>
      <c r="F9" s="40"/>
      <c r="G9" s="51"/>
      <c r="H9" s="44" t="str">
        <f>IF(E9="","",((E9-E8)*C9)/1000)</f>
        <v/>
      </c>
      <c r="I9" s="52" t="str">
        <f>IF(F9="","",F9-F8-G9)</f>
        <v/>
      </c>
      <c r="J9" s="44" t="str">
        <f>IF(F9="","",I9-H9)</f>
        <v/>
      </c>
      <c r="K9" s="44" t="str">
        <f>IF(F9="","",K8+H9)</f>
        <v/>
      </c>
      <c r="L9" s="44" t="str">
        <f>IF(F9="","",L8+I9)</f>
        <v/>
      </c>
      <c r="M9" s="53" t="str">
        <f>IF(F9="","",L9-K9)</f>
        <v/>
      </c>
      <c r="N9" s="228"/>
      <c r="O9" s="229"/>
      <c r="P9" s="230"/>
      <c r="Q9" s="47"/>
      <c r="R9" s="44" t="str">
        <f t="shared" si="0"/>
        <v/>
      </c>
      <c r="S9" s="44" t="str">
        <f t="shared" si="1"/>
        <v/>
      </c>
    </row>
    <row r="10" spans="1:20" ht="12" customHeight="1" x14ac:dyDescent="0.2">
      <c r="A10" s="37"/>
      <c r="B10" s="48"/>
      <c r="C10" s="49">
        <v>4.37</v>
      </c>
      <c r="D10" s="54"/>
      <c r="E10" s="39"/>
      <c r="F10" s="40"/>
      <c r="G10" s="51"/>
      <c r="H10" s="44" t="str">
        <f>IF(E10="","",((E10-E9)*C10)/1000)</f>
        <v/>
      </c>
      <c r="I10" s="52" t="str">
        <f>IF(F10="","",F10-F9-G10)</f>
        <v/>
      </c>
      <c r="J10" s="44" t="str">
        <f t="shared" ref="J10:J73" si="2">IF(F10="","",I10-H10)</f>
        <v/>
      </c>
      <c r="K10" s="44" t="str">
        <f t="shared" ref="K10:K73" si="3">IF(F10="","",K9+H10)</f>
        <v/>
      </c>
      <c r="L10" s="44" t="str">
        <f t="shared" ref="L10:L73" si="4">IF(F10="","",L9+I10)</f>
        <v/>
      </c>
      <c r="M10" s="53" t="str">
        <f t="shared" ref="M10:M73" si="5">IF(F10="","",L10-K10)</f>
        <v/>
      </c>
      <c r="N10" s="249"/>
      <c r="O10" s="250"/>
      <c r="P10" s="251"/>
      <c r="Q10" s="47"/>
      <c r="R10" s="44" t="str">
        <f t="shared" si="0"/>
        <v/>
      </c>
      <c r="S10" s="44" t="str">
        <f t="shared" si="1"/>
        <v/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/>
      <c r="F11" s="40"/>
      <c r="G11" s="51"/>
      <c r="H11" s="44" t="str">
        <f>IF(E11="","",((E11-E10)*C11)/1000)</f>
        <v/>
      </c>
      <c r="I11" s="52" t="str">
        <f t="shared" ref="I11:I74" si="6">IF(F11="","",F11-F10-G11)</f>
        <v/>
      </c>
      <c r="J11" s="44" t="str">
        <f t="shared" si="2"/>
        <v/>
      </c>
      <c r="K11" s="44" t="str">
        <f t="shared" si="3"/>
        <v/>
      </c>
      <c r="L11" s="44" t="str">
        <f t="shared" si="4"/>
        <v/>
      </c>
      <c r="M11" s="53" t="str">
        <f t="shared" si="5"/>
        <v/>
      </c>
      <c r="N11" s="228"/>
      <c r="O11" s="229"/>
      <c r="P11" s="230"/>
      <c r="Q11" s="47"/>
      <c r="R11" s="44" t="str">
        <f t="shared" si="0"/>
        <v/>
      </c>
      <c r="S11" s="44" t="str">
        <f t="shared" si="1"/>
        <v/>
      </c>
    </row>
    <row r="12" spans="1:20" ht="12" customHeight="1" x14ac:dyDescent="0.2">
      <c r="A12" s="37"/>
      <c r="B12" s="48"/>
      <c r="C12" s="49">
        <v>4.37</v>
      </c>
      <c r="D12" s="54"/>
      <c r="E12" s="39"/>
      <c r="F12" s="56"/>
      <c r="G12" s="51"/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4.37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4.37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4.37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4.37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4.37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U112"/>
  <sheetViews>
    <sheetView topLeftCell="A28" zoomScale="110" zoomScaleNormal="110" workbookViewId="0">
      <selection activeCell="F46" sqref="F4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0</v>
      </c>
      <c r="F6" s="40">
        <v>4.6399999999999997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44569.013888888891</v>
      </c>
      <c r="R6" s="11"/>
      <c r="S6" s="11"/>
    </row>
    <row r="7" spans="1:20" ht="12" customHeight="1" x14ac:dyDescent="0.2">
      <c r="A7" s="37"/>
      <c r="B7" s="48" t="s">
        <v>39</v>
      </c>
      <c r="C7" s="49">
        <v>15.93</v>
      </c>
      <c r="D7" s="39"/>
      <c r="E7" s="39">
        <v>0</v>
      </c>
      <c r="F7" s="40">
        <v>3.3</v>
      </c>
      <c r="G7" s="51"/>
      <c r="H7" s="44">
        <f>IF(E7="","",((E7-E6)*C7)/1000)</f>
        <v>0</v>
      </c>
      <c r="I7" s="52">
        <f>IF(F7="","",F7-F6-G7)</f>
        <v>-1.3399999999999999</v>
      </c>
      <c r="J7" s="44">
        <f>IF(F7="","",I7-H7)</f>
        <v>-1.3399999999999999</v>
      </c>
      <c r="K7" s="44">
        <f>IF(F7="","",K6+H7)</f>
        <v>0</v>
      </c>
      <c r="L7" s="44">
        <f>IF(F7="","",L6+I7)</f>
        <v>-1.3399999999999999</v>
      </c>
      <c r="M7" s="53">
        <f>IF(F7="","",L7-K7)</f>
        <v>-1.3399999999999999</v>
      </c>
      <c r="N7" s="231"/>
      <c r="O7" s="229"/>
      <c r="P7" s="230"/>
      <c r="Q7" s="47">
        <v>44569.034722222219</v>
      </c>
      <c r="R7" s="44">
        <f t="shared" ref="R7:R70" si="0">IF(Q7="","",J7/((Q7-Q6)*24))</f>
        <v>-2.6800000006239859</v>
      </c>
      <c r="S7" s="44">
        <f t="shared" ref="S7:S70" si="1">IF(Q7="","",M7/((Q7-$Q$6)*24))</f>
        <v>-2.6800000006239859</v>
      </c>
    </row>
    <row r="8" spans="1:20" ht="12" customHeight="1" x14ac:dyDescent="0.2">
      <c r="A8" s="37"/>
      <c r="B8" s="48"/>
      <c r="C8" s="49">
        <v>15.93</v>
      </c>
      <c r="D8" s="54"/>
      <c r="E8" s="39">
        <v>19</v>
      </c>
      <c r="F8" s="40">
        <v>1.54</v>
      </c>
      <c r="G8" s="51"/>
      <c r="H8" s="44">
        <f>IF(E8="","",((E8-E7)*C8)/1000)</f>
        <v>0.30266999999999999</v>
      </c>
      <c r="I8" s="52">
        <f>IF(F8="","",F8-F7-G8)</f>
        <v>-1.7599999999999998</v>
      </c>
      <c r="J8" s="44">
        <f>IF(F8="","",I8-H8)</f>
        <v>-2.0626699999999998</v>
      </c>
      <c r="K8" s="44">
        <f>IF(F8="","",K7+H8)</f>
        <v>0.30266999999999999</v>
      </c>
      <c r="L8" s="44">
        <f>IF(F8="","",L7+I8)</f>
        <v>-3.0999999999999996</v>
      </c>
      <c r="M8" s="53">
        <f>IF(F8="","",L8-K8)</f>
        <v>-3.4026699999999996</v>
      </c>
      <c r="N8" s="231"/>
      <c r="O8" s="229"/>
      <c r="P8" s="230"/>
      <c r="Q8" s="47">
        <v>44569.069444444445</v>
      </c>
      <c r="R8" s="44">
        <f t="shared" si="0"/>
        <v>-2.475203999711848</v>
      </c>
      <c r="S8" s="44">
        <f t="shared" si="1"/>
        <v>-2.5520025000371365</v>
      </c>
      <c r="T8" s="55"/>
    </row>
    <row r="9" spans="1:20" ht="12" customHeight="1" x14ac:dyDescent="0.2">
      <c r="A9" s="37"/>
      <c r="B9" s="48"/>
      <c r="C9" s="49">
        <v>15.93</v>
      </c>
      <c r="D9" s="54"/>
      <c r="E9" s="39">
        <v>54</v>
      </c>
      <c r="F9" s="40">
        <v>6.28</v>
      </c>
      <c r="G9" s="51">
        <f>-1.42+8.61</f>
        <v>7.1899999999999995</v>
      </c>
      <c r="H9" s="44">
        <f>IF(E9="","",((E9-E8)*C9)/1000)</f>
        <v>0.55754999999999999</v>
      </c>
      <c r="I9" s="52">
        <f>IF(F9="","",F9-F8-G9)</f>
        <v>-2.4499999999999993</v>
      </c>
      <c r="J9" s="44">
        <f>IF(F9="","",I9-H9)</f>
        <v>-3.0075499999999993</v>
      </c>
      <c r="K9" s="44">
        <f>IF(F9="","",K8+H9)</f>
        <v>0.86021999999999998</v>
      </c>
      <c r="L9" s="44">
        <f>IF(F9="","",L8+I9)</f>
        <v>-5.5499999999999989</v>
      </c>
      <c r="M9" s="53">
        <f>IF(F9="","",L9-K9)</f>
        <v>-6.4102199999999989</v>
      </c>
      <c r="N9" s="228"/>
      <c r="O9" s="229"/>
      <c r="P9" s="230"/>
      <c r="Q9" s="47">
        <v>44569.142361111109</v>
      </c>
      <c r="R9" s="44">
        <f t="shared" si="0"/>
        <v>-1.7186000000571628</v>
      </c>
      <c r="S9" s="44">
        <f t="shared" si="1"/>
        <v>-2.0789902703226</v>
      </c>
    </row>
    <row r="10" spans="1:20" ht="12" customHeight="1" x14ac:dyDescent="0.2">
      <c r="A10" s="37"/>
      <c r="B10" s="48"/>
      <c r="C10" s="49">
        <v>15.93</v>
      </c>
      <c r="D10" s="54"/>
      <c r="E10" s="39">
        <v>54</v>
      </c>
      <c r="F10" s="40">
        <v>5.7</v>
      </c>
      <c r="G10" s="51"/>
      <c r="H10" s="44">
        <f>IF(E10="","",((E10-E9)*C10)/1000)</f>
        <v>0</v>
      </c>
      <c r="I10" s="52">
        <f>IF(F10="","",F10-F9-G10)</f>
        <v>-0.58000000000000007</v>
      </c>
      <c r="J10" s="44">
        <f t="shared" ref="J10:J73" si="2">IF(F10="","",I10-H10)</f>
        <v>-0.58000000000000007</v>
      </c>
      <c r="K10" s="44">
        <f t="shared" ref="K10:K73" si="3">IF(F10="","",K9+H10)</f>
        <v>0.86021999999999998</v>
      </c>
      <c r="L10" s="44">
        <f t="shared" ref="L10:L73" si="4">IF(F10="","",L9+I10)</f>
        <v>-6.129999999999999</v>
      </c>
      <c r="M10" s="53">
        <f t="shared" ref="M10:M73" si="5">IF(F10="","",L10-K10)</f>
        <v>-6.990219999999999</v>
      </c>
      <c r="N10" s="249"/>
      <c r="O10" s="250"/>
      <c r="P10" s="251"/>
      <c r="Q10" s="47">
        <v>44569.152777777781</v>
      </c>
      <c r="R10" s="44">
        <f t="shared" si="0"/>
        <v>-2.3199999989196662</v>
      </c>
      <c r="S10" s="44">
        <f t="shared" si="1"/>
        <v>-2.0970659999755865</v>
      </c>
      <c r="T10" s="55"/>
    </row>
    <row r="11" spans="1:20" ht="12" customHeight="1" x14ac:dyDescent="0.2">
      <c r="A11" s="37"/>
      <c r="B11" s="48"/>
      <c r="C11" s="49">
        <v>15.93</v>
      </c>
      <c r="D11" s="54"/>
      <c r="E11" s="39">
        <v>200</v>
      </c>
      <c r="F11" s="40">
        <v>6.2</v>
      </c>
      <c r="G11" s="51"/>
      <c r="H11" s="44">
        <f>IF(E11="","",((E11-E10)*C11)/1000)</f>
        <v>2.32578</v>
      </c>
      <c r="I11" s="52">
        <f t="shared" ref="I11:I74" si="6">IF(F11="","",F11-F10-G11)</f>
        <v>0.5</v>
      </c>
      <c r="J11" s="44">
        <f t="shared" si="2"/>
        <v>-1.82578</v>
      </c>
      <c r="K11" s="44">
        <f t="shared" si="3"/>
        <v>3.1859999999999999</v>
      </c>
      <c r="L11" s="44">
        <f t="shared" si="4"/>
        <v>-5.629999999999999</v>
      </c>
      <c r="M11" s="53">
        <f t="shared" si="5"/>
        <v>-8.8159999999999989</v>
      </c>
      <c r="N11" s="228"/>
      <c r="O11" s="229"/>
      <c r="P11" s="230"/>
      <c r="Q11" s="47">
        <v>44569.201388888891</v>
      </c>
      <c r="R11" s="44">
        <f t="shared" si="0"/>
        <v>-1.5649542857663385</v>
      </c>
      <c r="S11" s="44">
        <f t="shared" si="1"/>
        <v>-1.9591111111111108</v>
      </c>
    </row>
    <row r="12" spans="1:20" ht="12" customHeight="1" x14ac:dyDescent="0.2">
      <c r="A12" s="37"/>
      <c r="B12" s="48"/>
      <c r="C12" s="49">
        <v>15.93</v>
      </c>
      <c r="D12" s="54"/>
      <c r="E12" s="39">
        <v>200</v>
      </c>
      <c r="F12" s="56">
        <v>5.86</v>
      </c>
      <c r="G12" s="51"/>
      <c r="H12" s="44">
        <f t="shared" ref="H12:H74" si="7">IF(E12="","",((E12-E11)*C12)/1000)</f>
        <v>0</v>
      </c>
      <c r="I12" s="52">
        <f t="shared" si="6"/>
        <v>-0.33999999999999986</v>
      </c>
      <c r="J12" s="44">
        <f t="shared" si="2"/>
        <v>-0.33999999999999986</v>
      </c>
      <c r="K12" s="44">
        <f t="shared" si="3"/>
        <v>3.1859999999999999</v>
      </c>
      <c r="L12" s="44">
        <f t="shared" si="4"/>
        <v>-5.9699999999999989</v>
      </c>
      <c r="M12" s="53">
        <f t="shared" si="5"/>
        <v>-9.1559999999999988</v>
      </c>
      <c r="N12" s="228"/>
      <c r="O12" s="229"/>
      <c r="P12" s="230"/>
      <c r="Q12" s="47">
        <v>44569.208333333336</v>
      </c>
      <c r="R12" s="44">
        <f t="shared" si="0"/>
        <v>-2.0399999997625118</v>
      </c>
      <c r="S12" s="44">
        <f t="shared" si="1"/>
        <v>-1.9619999999918423</v>
      </c>
    </row>
    <row r="13" spans="1:20" ht="12" customHeight="1" x14ac:dyDescent="0.2">
      <c r="A13" s="37"/>
      <c r="B13" s="48"/>
      <c r="C13" s="49">
        <v>15.93</v>
      </c>
      <c r="D13" s="54">
        <v>1</v>
      </c>
      <c r="E13" s="39">
        <v>245</v>
      </c>
      <c r="F13" s="56">
        <v>3.74</v>
      </c>
      <c r="G13" s="51">
        <f>-5.24+3.3</f>
        <v>-1.9400000000000004</v>
      </c>
      <c r="H13" s="44">
        <f>IF(E13="","",((E13-E12)*C13)/1000)</f>
        <v>0.71684999999999999</v>
      </c>
      <c r="I13" s="52">
        <f t="shared" si="6"/>
        <v>-0.17999999999999972</v>
      </c>
      <c r="J13" s="44">
        <f t="shared" si="2"/>
        <v>-0.8968499999999997</v>
      </c>
      <c r="K13" s="44">
        <f t="shared" si="3"/>
        <v>3.9028499999999999</v>
      </c>
      <c r="L13" s="44">
        <f t="shared" si="4"/>
        <v>-6.1499999999999986</v>
      </c>
      <c r="M13" s="53">
        <f t="shared" si="5"/>
        <v>-10.052849999999999</v>
      </c>
      <c r="N13" s="231"/>
      <c r="O13" s="229"/>
      <c r="P13" s="230"/>
      <c r="Q13" s="47">
        <v>44569.231249999997</v>
      </c>
      <c r="R13" s="44">
        <f t="shared" si="0"/>
        <v>-1.6306363640160253</v>
      </c>
      <c r="S13" s="44">
        <f t="shared" si="1"/>
        <v>-1.9270638978037156</v>
      </c>
    </row>
    <row r="14" spans="1:20" ht="12" customHeight="1" x14ac:dyDescent="0.2">
      <c r="A14" s="37"/>
      <c r="B14" s="48"/>
      <c r="C14" s="49">
        <v>15.93</v>
      </c>
      <c r="D14" s="54">
        <v>10</v>
      </c>
      <c r="E14" s="39">
        <v>481</v>
      </c>
      <c r="F14" s="56">
        <v>6.7</v>
      </c>
      <c r="G14" s="51"/>
      <c r="H14" s="44">
        <f t="shared" si="7"/>
        <v>3.7594799999999999</v>
      </c>
      <c r="I14" s="52">
        <f t="shared" si="6"/>
        <v>2.96</v>
      </c>
      <c r="J14" s="44">
        <f t="shared" si="2"/>
        <v>-0.79947999999999997</v>
      </c>
      <c r="K14" s="44">
        <f t="shared" si="3"/>
        <v>7.6623299999999999</v>
      </c>
      <c r="L14" s="44">
        <f t="shared" si="4"/>
        <v>-3.1899999999999986</v>
      </c>
      <c r="M14" s="53">
        <f t="shared" si="5"/>
        <v>-10.852329999999998</v>
      </c>
      <c r="N14" s="231"/>
      <c r="O14" s="229"/>
      <c r="P14" s="230"/>
      <c r="Q14" s="47">
        <v>44569.252083333333</v>
      </c>
      <c r="R14" s="44">
        <f t="shared" si="0"/>
        <v>-1.5989599998138564</v>
      </c>
      <c r="S14" s="44">
        <f t="shared" si="1"/>
        <v>-1.8983667638651482</v>
      </c>
    </row>
    <row r="15" spans="1:20" ht="12" customHeight="1" x14ac:dyDescent="0.2">
      <c r="A15" s="37"/>
      <c r="B15" s="48"/>
      <c r="C15" s="49">
        <v>15.93</v>
      </c>
      <c r="D15" s="54">
        <v>17</v>
      </c>
      <c r="E15" s="39">
        <v>664</v>
      </c>
      <c r="F15" s="40">
        <v>8.65</v>
      </c>
      <c r="G15" s="51"/>
      <c r="H15" s="44">
        <f t="shared" si="7"/>
        <v>2.9151899999999999</v>
      </c>
      <c r="I15" s="52">
        <f t="shared" si="6"/>
        <v>1.9500000000000002</v>
      </c>
      <c r="J15" s="44">
        <f t="shared" si="2"/>
        <v>-0.96518999999999977</v>
      </c>
      <c r="K15" s="44">
        <f t="shared" si="3"/>
        <v>10.57752</v>
      </c>
      <c r="L15" s="44">
        <f t="shared" si="4"/>
        <v>-1.2399999999999984</v>
      </c>
      <c r="M15" s="53">
        <f t="shared" si="5"/>
        <v>-11.817519999999998</v>
      </c>
      <c r="N15" s="231"/>
      <c r="O15" s="229"/>
      <c r="P15" s="230"/>
      <c r="Q15" s="47">
        <v>44569.267361111109</v>
      </c>
      <c r="R15" s="44">
        <f t="shared" si="0"/>
        <v>-2.632336363831373</v>
      </c>
      <c r="S15" s="44">
        <f t="shared" si="1"/>
        <v>-1.9426060274220434</v>
      </c>
    </row>
    <row r="16" spans="1:20" ht="12" customHeight="1" x14ac:dyDescent="0.2">
      <c r="A16" s="37"/>
      <c r="B16" s="48" t="s">
        <v>37</v>
      </c>
      <c r="C16" s="49">
        <v>15.74</v>
      </c>
      <c r="D16" s="57"/>
      <c r="E16" s="39">
        <v>960</v>
      </c>
      <c r="F16" s="40">
        <v>5.87</v>
      </c>
      <c r="G16" s="51">
        <f>-8.58+2.38</f>
        <v>-6.2</v>
      </c>
      <c r="H16" s="44">
        <f t="shared" si="7"/>
        <v>4.6590400000000001</v>
      </c>
      <c r="I16" s="52">
        <f t="shared" si="6"/>
        <v>3.42</v>
      </c>
      <c r="J16" s="44">
        <f t="shared" si="2"/>
        <v>-1.2390400000000001</v>
      </c>
      <c r="K16" s="44">
        <f t="shared" si="3"/>
        <v>15.236560000000001</v>
      </c>
      <c r="L16" s="44">
        <f t="shared" si="4"/>
        <v>2.1800000000000015</v>
      </c>
      <c r="M16" s="53">
        <f t="shared" si="5"/>
        <v>-13.056559999999999</v>
      </c>
      <c r="N16" s="228"/>
      <c r="O16" s="229"/>
      <c r="P16" s="230"/>
      <c r="Q16" s="47">
        <v>44569.301388888889</v>
      </c>
      <c r="R16" s="44">
        <f t="shared" si="0"/>
        <v>-1.5171918366553934</v>
      </c>
      <c r="S16" s="44">
        <f t="shared" si="1"/>
        <v>-1.8922550724733458</v>
      </c>
      <c r="T16" s="55"/>
    </row>
    <row r="17" spans="1:19" ht="12" customHeight="1" x14ac:dyDescent="0.2">
      <c r="A17" s="37"/>
      <c r="B17" s="48"/>
      <c r="C17" s="49">
        <v>15.74</v>
      </c>
      <c r="D17" s="54"/>
      <c r="E17" s="39">
        <v>1411</v>
      </c>
      <c r="F17" s="40">
        <v>4.7</v>
      </c>
      <c r="G17" s="51">
        <v>-5.8</v>
      </c>
      <c r="H17" s="44">
        <f t="shared" si="7"/>
        <v>7.0987399999999994</v>
      </c>
      <c r="I17" s="52">
        <f t="shared" si="6"/>
        <v>4.63</v>
      </c>
      <c r="J17" s="44">
        <f t="shared" si="2"/>
        <v>-2.4687399999999995</v>
      </c>
      <c r="K17" s="44">
        <f t="shared" si="3"/>
        <v>22.3353</v>
      </c>
      <c r="L17" s="44">
        <f t="shared" si="4"/>
        <v>6.8100000000000014</v>
      </c>
      <c r="M17" s="53">
        <f t="shared" si="5"/>
        <v>-15.525299999999998</v>
      </c>
      <c r="N17" s="231"/>
      <c r="O17" s="229"/>
      <c r="P17" s="230"/>
      <c r="Q17" s="47">
        <v>44569.353472222225</v>
      </c>
      <c r="R17" s="44">
        <f t="shared" si="0"/>
        <v>-1.9749919999080319</v>
      </c>
      <c r="S17" s="44">
        <f t="shared" si="1"/>
        <v>-1.9049447852706314</v>
      </c>
    </row>
    <row r="18" spans="1:19" ht="12" customHeight="1" x14ac:dyDescent="0.2">
      <c r="A18" s="37"/>
      <c r="B18" s="48"/>
      <c r="C18" s="49">
        <v>15.74</v>
      </c>
      <c r="D18" s="54"/>
      <c r="E18" s="39">
        <v>1876</v>
      </c>
      <c r="F18" s="40">
        <v>4.42</v>
      </c>
      <c r="G18" s="40">
        <v>-5.0999999999999996</v>
      </c>
      <c r="H18" s="44">
        <f t="shared" si="7"/>
        <v>7.3191000000000006</v>
      </c>
      <c r="I18" s="52">
        <f t="shared" si="6"/>
        <v>4.8199999999999994</v>
      </c>
      <c r="J18" s="44">
        <f t="shared" si="2"/>
        <v>-2.4991000000000012</v>
      </c>
      <c r="K18" s="44">
        <f t="shared" si="3"/>
        <v>29.654400000000003</v>
      </c>
      <c r="L18" s="44">
        <f t="shared" si="4"/>
        <v>11.63</v>
      </c>
      <c r="M18" s="53">
        <f t="shared" si="5"/>
        <v>-18.0244</v>
      </c>
      <c r="N18" s="228"/>
      <c r="O18" s="229"/>
      <c r="P18" s="230"/>
      <c r="Q18" s="47">
        <v>44569.407638888886</v>
      </c>
      <c r="R18" s="44">
        <f t="shared" si="0"/>
        <v>-1.9223846155739814</v>
      </c>
      <c r="S18" s="44">
        <f t="shared" si="1"/>
        <v>-1.9073439153650624</v>
      </c>
    </row>
    <row r="19" spans="1:19" ht="12" customHeight="1" x14ac:dyDescent="0.2">
      <c r="A19" s="37"/>
      <c r="B19" s="48" t="s">
        <v>38</v>
      </c>
      <c r="C19" s="49">
        <v>4.37</v>
      </c>
      <c r="D19" s="54"/>
      <c r="E19" s="39">
        <v>2181</v>
      </c>
      <c r="F19" s="40">
        <v>72.78</v>
      </c>
      <c r="G19" s="40">
        <v>68</v>
      </c>
      <c r="H19" s="44">
        <f t="shared" si="7"/>
        <v>1.3328500000000001</v>
      </c>
      <c r="I19" s="52">
        <f t="shared" si="6"/>
        <v>0.35999999999999943</v>
      </c>
      <c r="J19" s="44">
        <f t="shared" si="2"/>
        <v>-0.97285000000000066</v>
      </c>
      <c r="K19" s="44">
        <f t="shared" si="3"/>
        <v>30.987250000000003</v>
      </c>
      <c r="L19" s="44">
        <f t="shared" si="4"/>
        <v>11.99</v>
      </c>
      <c r="M19" s="53">
        <f t="shared" si="5"/>
        <v>-18.997250000000001</v>
      </c>
      <c r="N19" s="228" t="s">
        <v>105</v>
      </c>
      <c r="O19" s="229"/>
      <c r="P19" s="230"/>
      <c r="Q19" s="47">
        <v>44569.642361111109</v>
      </c>
      <c r="R19" s="44">
        <f t="shared" si="0"/>
        <v>-0.17269526627135673</v>
      </c>
      <c r="S19" s="44">
        <f t="shared" si="1"/>
        <v>-1.2594861878517845</v>
      </c>
    </row>
    <row r="20" spans="1:19" ht="12" customHeight="1" x14ac:dyDescent="0.2">
      <c r="A20" s="37"/>
      <c r="B20" s="48"/>
      <c r="C20" s="49">
        <v>4.37</v>
      </c>
      <c r="D20" s="54"/>
      <c r="E20" s="39">
        <v>2181</v>
      </c>
      <c r="F20" s="40">
        <v>68.86</v>
      </c>
      <c r="G20" s="40"/>
      <c r="H20" s="44">
        <f t="shared" si="7"/>
        <v>0</v>
      </c>
      <c r="I20" s="52">
        <f t="shared" si="6"/>
        <v>-3.9200000000000017</v>
      </c>
      <c r="J20" s="44">
        <f t="shared" si="2"/>
        <v>-3.9200000000000017</v>
      </c>
      <c r="K20" s="44">
        <f t="shared" si="3"/>
        <v>30.987250000000003</v>
      </c>
      <c r="L20" s="44">
        <f t="shared" si="4"/>
        <v>8.0699999999999985</v>
      </c>
      <c r="M20" s="53">
        <f t="shared" si="5"/>
        <v>-22.917250000000003</v>
      </c>
      <c r="N20" s="242"/>
      <c r="O20" s="229"/>
      <c r="P20" s="230"/>
      <c r="Q20" s="47">
        <v>44569.679861111108</v>
      </c>
      <c r="R20" s="44">
        <f t="shared" si="0"/>
        <v>-4.3555555557245755</v>
      </c>
      <c r="S20" s="44">
        <f t="shared" si="1"/>
        <v>-1.4338216892697409</v>
      </c>
    </row>
    <row r="21" spans="1:19" ht="12" customHeight="1" x14ac:dyDescent="0.2">
      <c r="A21" s="37"/>
      <c r="B21" s="48"/>
      <c r="C21" s="49">
        <v>4.37</v>
      </c>
      <c r="D21" s="54"/>
      <c r="E21" s="39">
        <v>2181</v>
      </c>
      <c r="F21" s="40">
        <v>62.69</v>
      </c>
      <c r="G21" s="51"/>
      <c r="H21" s="44">
        <f t="shared" si="7"/>
        <v>0</v>
      </c>
      <c r="I21" s="52">
        <f t="shared" si="6"/>
        <v>-6.1700000000000017</v>
      </c>
      <c r="J21" s="44">
        <f t="shared" si="2"/>
        <v>-6.1700000000000017</v>
      </c>
      <c r="K21" s="44">
        <f t="shared" si="3"/>
        <v>30.987250000000003</v>
      </c>
      <c r="L21" s="44">
        <f t="shared" si="4"/>
        <v>1.8999999999999968</v>
      </c>
      <c r="M21" s="53">
        <f t="shared" si="5"/>
        <v>-29.087250000000004</v>
      </c>
      <c r="N21" s="228"/>
      <c r="O21" s="229"/>
      <c r="P21" s="230"/>
      <c r="Q21" s="47">
        <v>44569.70208333333</v>
      </c>
      <c r="R21" s="44">
        <f t="shared" si="0"/>
        <v>-11.56875000016835</v>
      </c>
      <c r="S21" s="44">
        <f t="shared" si="1"/>
        <v>-1.7610847628786188</v>
      </c>
    </row>
    <row r="22" spans="1:19" ht="12" customHeight="1" x14ac:dyDescent="0.2">
      <c r="A22" s="37"/>
      <c r="B22" s="48"/>
      <c r="C22" s="49">
        <v>4.37</v>
      </c>
      <c r="D22" s="54"/>
      <c r="E22" s="39">
        <v>2181</v>
      </c>
      <c r="F22" s="40">
        <v>52.46</v>
      </c>
      <c r="G22" s="51">
        <v>15.6</v>
      </c>
      <c r="H22" s="44">
        <f t="shared" si="7"/>
        <v>0</v>
      </c>
      <c r="I22" s="52">
        <f t="shared" si="6"/>
        <v>-25.83</v>
      </c>
      <c r="J22" s="44">
        <f t="shared" si="2"/>
        <v>-25.83</v>
      </c>
      <c r="K22" s="44">
        <f t="shared" si="3"/>
        <v>30.987250000000003</v>
      </c>
      <c r="L22" s="44">
        <f t="shared" si="4"/>
        <v>-23.93</v>
      </c>
      <c r="M22" s="53">
        <f t="shared" si="5"/>
        <v>-54.917250000000003</v>
      </c>
      <c r="N22" s="228" t="s">
        <v>103</v>
      </c>
      <c r="O22" s="229"/>
      <c r="P22" s="230"/>
      <c r="Q22" s="47">
        <v>44569.727083333331</v>
      </c>
      <c r="R22" s="44">
        <f t="shared" si="0"/>
        <v>-43.049999997494155</v>
      </c>
      <c r="S22" s="44">
        <f t="shared" si="1"/>
        <v>-3.2084079844366449</v>
      </c>
    </row>
    <row r="23" spans="1:19" ht="12" customHeight="1" x14ac:dyDescent="0.2">
      <c r="A23" s="37"/>
      <c r="B23" s="48"/>
      <c r="C23" s="49">
        <v>4.37</v>
      </c>
      <c r="D23" s="54"/>
      <c r="E23" s="39">
        <v>2181</v>
      </c>
      <c r="F23" s="40">
        <v>72.290000000000006</v>
      </c>
      <c r="G23" s="51">
        <v>41.5</v>
      </c>
      <c r="H23" s="44">
        <f t="shared" si="7"/>
        <v>0</v>
      </c>
      <c r="I23" s="52">
        <f t="shared" si="6"/>
        <v>-21.669999999999995</v>
      </c>
      <c r="J23" s="44">
        <f t="shared" si="2"/>
        <v>-21.669999999999995</v>
      </c>
      <c r="K23" s="44">
        <f t="shared" si="3"/>
        <v>30.987250000000003</v>
      </c>
      <c r="L23" s="44">
        <f t="shared" si="4"/>
        <v>-45.599999999999994</v>
      </c>
      <c r="M23" s="53">
        <f t="shared" si="5"/>
        <v>-76.587249999999997</v>
      </c>
      <c r="N23" s="228" t="s">
        <v>104</v>
      </c>
      <c r="O23" s="229"/>
      <c r="P23" s="230"/>
      <c r="Q23" s="47">
        <v>44569.745138888888</v>
      </c>
      <c r="R23" s="44">
        <f t="shared" si="0"/>
        <v>-50.007692305901017</v>
      </c>
      <c r="S23" s="44">
        <f t="shared" si="1"/>
        <v>-4.3639458689632376</v>
      </c>
    </row>
    <row r="24" spans="1:19" ht="12" customHeight="1" x14ac:dyDescent="0.2">
      <c r="A24" s="37"/>
      <c r="B24" s="48"/>
      <c r="C24" s="49">
        <v>4.37</v>
      </c>
      <c r="D24" s="54"/>
      <c r="E24" s="39">
        <v>2181</v>
      </c>
      <c r="F24" s="40">
        <v>99.68</v>
      </c>
      <c r="G24" s="51">
        <v>42.3</v>
      </c>
      <c r="H24" s="44">
        <f t="shared" si="7"/>
        <v>0</v>
      </c>
      <c r="I24" s="52">
        <f t="shared" si="6"/>
        <v>-14.909999999999997</v>
      </c>
      <c r="J24" s="44">
        <f t="shared" si="2"/>
        <v>-14.909999999999997</v>
      </c>
      <c r="K24" s="44">
        <f t="shared" si="3"/>
        <v>30.987250000000003</v>
      </c>
      <c r="L24" s="44">
        <f t="shared" si="4"/>
        <v>-60.509999999999991</v>
      </c>
      <c r="M24" s="53">
        <f t="shared" si="5"/>
        <v>-91.497249999999994</v>
      </c>
      <c r="N24" s="231" t="s">
        <v>103</v>
      </c>
      <c r="O24" s="229"/>
      <c r="P24" s="230"/>
      <c r="Q24" s="47">
        <v>44569.763888888891</v>
      </c>
      <c r="R24" s="44">
        <f t="shared" si="0"/>
        <v>-33.133333328190353</v>
      </c>
      <c r="S24" s="44">
        <f t="shared" si="1"/>
        <v>-5.0831805555555549</v>
      </c>
    </row>
    <row r="25" spans="1:19" ht="12" customHeight="1" x14ac:dyDescent="0.2">
      <c r="A25" s="37"/>
      <c r="B25" s="48"/>
      <c r="C25" s="49">
        <v>4.37</v>
      </c>
      <c r="D25" s="54"/>
      <c r="E25" s="39">
        <v>2181</v>
      </c>
      <c r="F25" s="40">
        <v>107.4</v>
      </c>
      <c r="G25" s="51">
        <f>-22.3+43</f>
        <v>20.7</v>
      </c>
      <c r="H25" s="44">
        <f t="shared" si="7"/>
        <v>0</v>
      </c>
      <c r="I25" s="52">
        <f t="shared" si="6"/>
        <v>-12.98</v>
      </c>
      <c r="J25" s="44">
        <f t="shared" si="2"/>
        <v>-12.98</v>
      </c>
      <c r="K25" s="44">
        <f t="shared" si="3"/>
        <v>30.987250000000003</v>
      </c>
      <c r="L25" s="44">
        <f t="shared" si="4"/>
        <v>-73.489999999999995</v>
      </c>
      <c r="M25" s="53">
        <f t="shared" si="5"/>
        <v>-104.47725</v>
      </c>
      <c r="N25" s="228"/>
      <c r="O25" s="229"/>
      <c r="P25" s="230"/>
      <c r="Q25" s="47">
        <v>44569.784722222219</v>
      </c>
      <c r="R25" s="44">
        <f t="shared" si="0"/>
        <v>-25.960000006044286</v>
      </c>
      <c r="S25" s="44">
        <f t="shared" si="1"/>
        <v>-5.6474189189544566</v>
      </c>
    </row>
    <row r="26" spans="1:19" ht="12" customHeight="1" x14ac:dyDescent="0.2">
      <c r="A26" s="37"/>
      <c r="B26" s="48"/>
      <c r="C26" s="49">
        <v>4.37</v>
      </c>
      <c r="D26" s="54"/>
      <c r="E26" s="39">
        <v>2181</v>
      </c>
      <c r="F26" s="40">
        <v>88.4</v>
      </c>
      <c r="G26" s="51"/>
      <c r="H26" s="44">
        <f>IF(E26="","",((E26-E25)*C26)/1000)</f>
        <v>0</v>
      </c>
      <c r="I26" s="52">
        <f>IF(F26="","",F26-F25-G26)</f>
        <v>-19</v>
      </c>
      <c r="J26" s="44">
        <f t="shared" si="2"/>
        <v>-19</v>
      </c>
      <c r="K26" s="44">
        <f t="shared" si="3"/>
        <v>30.987250000000003</v>
      </c>
      <c r="L26" s="44">
        <f t="shared" si="4"/>
        <v>-92.49</v>
      </c>
      <c r="M26" s="53">
        <f t="shared" si="5"/>
        <v>-123.47725</v>
      </c>
      <c r="N26" s="228"/>
      <c r="O26" s="229"/>
      <c r="P26" s="230"/>
      <c r="Q26" s="47">
        <v>44569.798611111109</v>
      </c>
      <c r="R26" s="44">
        <f t="shared" si="0"/>
        <v>-56.999999993364327</v>
      </c>
      <c r="S26" s="44">
        <f t="shared" si="1"/>
        <v>-6.5563141593190535</v>
      </c>
    </row>
    <row r="27" spans="1:19" ht="12" customHeight="1" x14ac:dyDescent="0.2">
      <c r="A27" s="37"/>
      <c r="B27" s="48"/>
      <c r="C27" s="49">
        <v>4.37</v>
      </c>
      <c r="D27" s="58"/>
      <c r="E27" s="39">
        <v>2181</v>
      </c>
      <c r="F27" s="40">
        <v>62.1</v>
      </c>
      <c r="G27" s="51"/>
      <c r="H27" s="44">
        <f t="shared" si="7"/>
        <v>0</v>
      </c>
      <c r="I27" s="52">
        <f>IF(F27="","",F27-F26-G27)</f>
        <v>-26.300000000000004</v>
      </c>
      <c r="J27" s="44">
        <f>IF(F27="","",I27-H27)</f>
        <v>-26.300000000000004</v>
      </c>
      <c r="K27" s="44">
        <f>IF(F27="","",K26+H27)</f>
        <v>30.987250000000003</v>
      </c>
      <c r="L27" s="44">
        <f>IF(F27="","",L26+I27)</f>
        <v>-118.78999999999999</v>
      </c>
      <c r="M27" s="53">
        <f>IF(F27="","",L27-K27)</f>
        <v>-149.77724999999998</v>
      </c>
      <c r="N27" s="231"/>
      <c r="O27" s="229"/>
      <c r="P27" s="230"/>
      <c r="Q27" s="47">
        <v>44569.84375</v>
      </c>
      <c r="R27" s="44">
        <f t="shared" si="0"/>
        <v>-24.276923076053478</v>
      </c>
      <c r="S27" s="44">
        <f t="shared" si="1"/>
        <v>-7.5201966527343167</v>
      </c>
    </row>
    <row r="28" spans="1:19" ht="12" customHeight="1" x14ac:dyDescent="0.2">
      <c r="A28" s="37"/>
      <c r="B28" s="48"/>
      <c r="C28" s="49">
        <v>4.37</v>
      </c>
      <c r="D28" s="58"/>
      <c r="E28" s="39">
        <v>2181</v>
      </c>
      <c r="F28" s="40">
        <v>97.4</v>
      </c>
      <c r="G28" s="51">
        <f>45.45</f>
        <v>45.45</v>
      </c>
      <c r="H28" s="44">
        <f t="shared" si="7"/>
        <v>0</v>
      </c>
      <c r="I28" s="52">
        <f>IF(F28="","",F28-F27-G28)</f>
        <v>-10.149999999999999</v>
      </c>
      <c r="J28" s="44">
        <f t="shared" si="2"/>
        <v>-10.149999999999999</v>
      </c>
      <c r="K28" s="44">
        <f t="shared" si="3"/>
        <v>30.987250000000003</v>
      </c>
      <c r="L28" s="44">
        <f t="shared" si="4"/>
        <v>-128.94</v>
      </c>
      <c r="M28" s="53">
        <f t="shared" si="5"/>
        <v>-159.92725000000002</v>
      </c>
      <c r="N28" s="231"/>
      <c r="O28" s="229"/>
      <c r="P28" s="230"/>
      <c r="Q28" s="47">
        <v>44569.861111111109</v>
      </c>
      <c r="R28" s="44">
        <f t="shared" si="0"/>
        <v>-24.360000002268698</v>
      </c>
      <c r="S28" s="44">
        <f t="shared" si="1"/>
        <v>-7.8652745901939563</v>
      </c>
    </row>
    <row r="29" spans="1:19" ht="12" customHeight="1" x14ac:dyDescent="0.2">
      <c r="A29" s="37"/>
      <c r="B29" s="48"/>
      <c r="C29" s="49">
        <v>4.37</v>
      </c>
      <c r="D29" s="58"/>
      <c r="E29" s="39">
        <v>2181</v>
      </c>
      <c r="F29" s="40">
        <v>94</v>
      </c>
      <c r="G29" s="51"/>
      <c r="H29" s="44">
        <f t="shared" si="7"/>
        <v>0</v>
      </c>
      <c r="I29" s="52">
        <f t="shared" si="6"/>
        <v>-3.4000000000000057</v>
      </c>
      <c r="J29" s="44">
        <f t="shared" si="2"/>
        <v>-3.4000000000000057</v>
      </c>
      <c r="K29" s="44">
        <f t="shared" si="3"/>
        <v>30.987250000000003</v>
      </c>
      <c r="L29" s="44">
        <f t="shared" si="4"/>
        <v>-132.34</v>
      </c>
      <c r="M29" s="53">
        <f t="shared" si="5"/>
        <v>-163.32724999999999</v>
      </c>
      <c r="N29" s="228"/>
      <c r="O29" s="229"/>
      <c r="P29" s="230"/>
      <c r="Q29" s="47">
        <v>44569.875</v>
      </c>
      <c r="R29" s="44">
        <f t="shared" si="0"/>
        <v>-10.199999998812581</v>
      </c>
      <c r="S29" s="44">
        <f t="shared" si="1"/>
        <v>-7.902931451627742</v>
      </c>
    </row>
    <row r="30" spans="1:19" ht="12" customHeight="1" x14ac:dyDescent="0.2">
      <c r="A30" s="37"/>
      <c r="B30" s="48"/>
      <c r="C30" s="49">
        <v>4.37</v>
      </c>
      <c r="D30" s="58"/>
      <c r="E30" s="39">
        <v>2181</v>
      </c>
      <c r="F30" s="40">
        <v>84.4</v>
      </c>
      <c r="G30" s="59"/>
      <c r="H30" s="44">
        <f t="shared" si="7"/>
        <v>0</v>
      </c>
      <c r="I30" s="52">
        <f t="shared" si="6"/>
        <v>-9.5999999999999943</v>
      </c>
      <c r="J30" s="44">
        <f t="shared" si="2"/>
        <v>-9.5999999999999943</v>
      </c>
      <c r="K30" s="44">
        <f t="shared" si="3"/>
        <v>30.987250000000003</v>
      </c>
      <c r="L30" s="44">
        <f t="shared" si="4"/>
        <v>-141.94</v>
      </c>
      <c r="M30" s="53">
        <f t="shared" si="5"/>
        <v>-172.92725000000002</v>
      </c>
      <c r="N30" s="228"/>
      <c r="O30" s="229"/>
      <c r="P30" s="230"/>
      <c r="Q30" s="47">
        <v>44569.902777777781</v>
      </c>
      <c r="R30" s="44">
        <f t="shared" si="0"/>
        <v>-14.399999998323612</v>
      </c>
      <c r="S30" s="44">
        <f t="shared" si="1"/>
        <v>-8.1059648437352561</v>
      </c>
    </row>
    <row r="31" spans="1:19" ht="12" customHeight="1" x14ac:dyDescent="0.2">
      <c r="A31" s="37"/>
      <c r="B31" s="48"/>
      <c r="C31" s="49">
        <v>4.37</v>
      </c>
      <c r="D31" s="58"/>
      <c r="E31" s="39">
        <v>2181</v>
      </c>
      <c r="F31" s="40">
        <v>82</v>
      </c>
      <c r="G31" s="51"/>
      <c r="H31" s="44">
        <f t="shared" si="7"/>
        <v>0</v>
      </c>
      <c r="I31" s="52">
        <f t="shared" si="6"/>
        <v>-2.4000000000000057</v>
      </c>
      <c r="J31" s="44">
        <f t="shared" si="2"/>
        <v>-2.4000000000000057</v>
      </c>
      <c r="K31" s="44">
        <f t="shared" si="3"/>
        <v>30.987250000000003</v>
      </c>
      <c r="L31" s="44">
        <f t="shared" si="4"/>
        <v>-144.34</v>
      </c>
      <c r="M31" s="53">
        <f t="shared" si="5"/>
        <v>-175.32724999999999</v>
      </c>
      <c r="N31" s="231"/>
      <c r="O31" s="229"/>
      <c r="P31" s="230"/>
      <c r="Q31" s="47">
        <v>44569.923611111109</v>
      </c>
      <c r="R31" s="44">
        <f t="shared" si="0"/>
        <v>-4.8000000011175983</v>
      </c>
      <c r="S31" s="44">
        <f t="shared" si="1"/>
        <v>-8.0302557252193836</v>
      </c>
    </row>
    <row r="32" spans="1:19" ht="12" customHeight="1" x14ac:dyDescent="0.2">
      <c r="A32" s="37"/>
      <c r="B32" s="48"/>
      <c r="C32" s="49">
        <v>4.37</v>
      </c>
      <c r="D32" s="58"/>
      <c r="E32" s="39">
        <v>2181</v>
      </c>
      <c r="F32" s="40">
        <v>81</v>
      </c>
      <c r="G32" s="51"/>
      <c r="H32" s="44">
        <f t="shared" si="7"/>
        <v>0</v>
      </c>
      <c r="I32" s="52">
        <f t="shared" si="6"/>
        <v>-1</v>
      </c>
      <c r="J32" s="44">
        <f t="shared" si="2"/>
        <v>-1</v>
      </c>
      <c r="K32" s="44">
        <f t="shared" si="3"/>
        <v>30.987250000000003</v>
      </c>
      <c r="L32" s="44">
        <f t="shared" si="4"/>
        <v>-145.34</v>
      </c>
      <c r="M32" s="53">
        <f t="shared" si="5"/>
        <v>-176.32724999999999</v>
      </c>
      <c r="N32" s="228"/>
      <c r="O32" s="229"/>
      <c r="P32" s="230"/>
      <c r="Q32" s="47">
        <v>44569.944444444445</v>
      </c>
      <c r="R32" s="44">
        <f t="shared" si="0"/>
        <v>-1.9999999997671694</v>
      </c>
      <c r="S32" s="44">
        <f t="shared" si="1"/>
        <v>-7.8952500000068584</v>
      </c>
    </row>
    <row r="33" spans="1:19" ht="12" customHeight="1" x14ac:dyDescent="0.2">
      <c r="A33" s="37"/>
      <c r="B33" s="48"/>
      <c r="C33" s="49">
        <v>4.37</v>
      </c>
      <c r="D33" s="58"/>
      <c r="E33" s="39">
        <v>2181</v>
      </c>
      <c r="F33" s="40">
        <v>122.55</v>
      </c>
      <c r="G33" s="51">
        <f>42.5</f>
        <v>42.5</v>
      </c>
      <c r="H33" s="44">
        <f t="shared" si="7"/>
        <v>0</v>
      </c>
      <c r="I33" s="52">
        <f t="shared" si="6"/>
        <v>-0.95000000000000284</v>
      </c>
      <c r="J33" s="44">
        <f t="shared" si="2"/>
        <v>-0.95000000000000284</v>
      </c>
      <c r="K33" s="44">
        <f t="shared" si="3"/>
        <v>30.987250000000003</v>
      </c>
      <c r="L33" s="44">
        <f t="shared" si="4"/>
        <v>-146.29000000000002</v>
      </c>
      <c r="M33" s="53">
        <f t="shared" si="5"/>
        <v>-177.27725000000004</v>
      </c>
      <c r="N33" s="231"/>
      <c r="O33" s="229"/>
      <c r="P33" s="230"/>
      <c r="Q33" s="47">
        <v>44569.958333333336</v>
      </c>
      <c r="R33" s="44">
        <f t="shared" si="0"/>
        <v>-2.849999999668225</v>
      </c>
      <c r="S33" s="44">
        <f t="shared" si="1"/>
        <v>-7.8210551470521308</v>
      </c>
    </row>
    <row r="34" spans="1:19" ht="12" customHeight="1" x14ac:dyDescent="0.2">
      <c r="A34" s="37"/>
      <c r="B34" s="48"/>
      <c r="C34" s="49">
        <v>4.37</v>
      </c>
      <c r="D34" s="58"/>
      <c r="E34" s="39">
        <v>2181</v>
      </c>
      <c r="F34" s="40">
        <v>122.25</v>
      </c>
      <c r="G34" s="51"/>
      <c r="H34" s="44">
        <f t="shared" si="7"/>
        <v>0</v>
      </c>
      <c r="I34" s="52">
        <f t="shared" si="6"/>
        <v>-0.29999999999999716</v>
      </c>
      <c r="J34" s="44">
        <f t="shared" si="2"/>
        <v>-0.29999999999999716</v>
      </c>
      <c r="K34" s="44">
        <f t="shared" si="3"/>
        <v>30.987250000000003</v>
      </c>
      <c r="L34" s="44">
        <f t="shared" si="4"/>
        <v>-146.59000000000003</v>
      </c>
      <c r="M34" s="53">
        <f t="shared" si="5"/>
        <v>-177.57725000000005</v>
      </c>
      <c r="N34" s="60"/>
      <c r="O34" s="61"/>
      <c r="P34" s="62"/>
      <c r="Q34" s="47">
        <v>44569.979166666664</v>
      </c>
      <c r="R34" s="44">
        <f t="shared" si="0"/>
        <v>-0.60000000013969268</v>
      </c>
      <c r="S34" s="44">
        <f t="shared" si="1"/>
        <v>-7.6652050360033241</v>
      </c>
    </row>
    <row r="35" spans="1:19" ht="12" customHeight="1" x14ac:dyDescent="0.2">
      <c r="A35" s="37"/>
      <c r="B35" s="48"/>
      <c r="C35" s="49">
        <v>4.37</v>
      </c>
      <c r="D35" s="58"/>
      <c r="E35" s="39">
        <v>2182</v>
      </c>
      <c r="F35" s="40">
        <v>120.9</v>
      </c>
      <c r="G35" s="51"/>
      <c r="H35" s="44">
        <f t="shared" si="7"/>
        <v>4.3699999999999998E-3</v>
      </c>
      <c r="I35" s="52">
        <f t="shared" si="6"/>
        <v>-1.3499999999999943</v>
      </c>
      <c r="J35" s="44">
        <f t="shared" si="2"/>
        <v>-1.3543699999999943</v>
      </c>
      <c r="K35" s="44">
        <f t="shared" si="3"/>
        <v>30.991620000000005</v>
      </c>
      <c r="L35" s="44">
        <f t="shared" si="4"/>
        <v>-147.94000000000003</v>
      </c>
      <c r="M35" s="53">
        <f t="shared" si="5"/>
        <v>-178.93162000000004</v>
      </c>
      <c r="N35" s="228"/>
      <c r="O35" s="229"/>
      <c r="P35" s="230"/>
      <c r="Q35" s="47">
        <v>44570.010416666664</v>
      </c>
      <c r="R35" s="44">
        <f t="shared" si="0"/>
        <v>-1.8058266666666591</v>
      </c>
      <c r="S35" s="44">
        <f t="shared" si="1"/>
        <v>-7.4814614634449823</v>
      </c>
    </row>
    <row r="36" spans="1:19" ht="12" customHeight="1" x14ac:dyDescent="0.2">
      <c r="A36" s="37"/>
      <c r="B36" s="48"/>
      <c r="C36" s="49">
        <v>4.37</v>
      </c>
      <c r="D36" s="58"/>
      <c r="E36" s="39">
        <v>2182</v>
      </c>
      <c r="F36" s="56">
        <v>119.3</v>
      </c>
      <c r="G36" s="51"/>
      <c r="H36" s="44">
        <f t="shared" si="7"/>
        <v>0</v>
      </c>
      <c r="I36" s="52">
        <f t="shared" si="6"/>
        <v>-1.6000000000000085</v>
      </c>
      <c r="J36" s="44">
        <f t="shared" si="2"/>
        <v>-1.6000000000000085</v>
      </c>
      <c r="K36" s="44">
        <f t="shared" si="3"/>
        <v>30.991620000000005</v>
      </c>
      <c r="L36" s="44">
        <f t="shared" si="4"/>
        <v>-149.54000000000002</v>
      </c>
      <c r="M36" s="53">
        <f t="shared" si="5"/>
        <v>-180.53162000000003</v>
      </c>
      <c r="N36" s="231"/>
      <c r="O36" s="229"/>
      <c r="P36" s="230"/>
      <c r="Q36" s="47">
        <v>44570.072916666664</v>
      </c>
      <c r="R36" s="44">
        <f t="shared" si="0"/>
        <v>-1.0666666666666724</v>
      </c>
      <c r="S36" s="44">
        <f t="shared" si="1"/>
        <v>-7.1028834098631775</v>
      </c>
    </row>
    <row r="37" spans="1:19" ht="12" customHeight="1" x14ac:dyDescent="0.2">
      <c r="A37" s="37"/>
      <c r="B37" s="48"/>
      <c r="C37" s="49">
        <v>4.37</v>
      </c>
      <c r="D37" s="58"/>
      <c r="E37" s="50">
        <v>2184</v>
      </c>
      <c r="F37" s="56">
        <v>73.7</v>
      </c>
      <c r="G37" s="51">
        <f>-28.6-16.3</f>
        <v>-44.900000000000006</v>
      </c>
      <c r="H37" s="44">
        <f t="shared" si="7"/>
        <v>8.7399999999999995E-3</v>
      </c>
      <c r="I37" s="52">
        <f t="shared" si="6"/>
        <v>-0.69999999999998863</v>
      </c>
      <c r="J37" s="44">
        <f t="shared" si="2"/>
        <v>-0.7087399999999886</v>
      </c>
      <c r="K37" s="44">
        <f t="shared" si="3"/>
        <v>31.000360000000004</v>
      </c>
      <c r="L37" s="44">
        <f t="shared" si="4"/>
        <v>-150.24</v>
      </c>
      <c r="M37" s="53">
        <f t="shared" si="5"/>
        <v>-181.24036000000001</v>
      </c>
      <c r="N37" s="228"/>
      <c r="O37" s="229"/>
      <c r="P37" s="230"/>
      <c r="Q37" s="47">
        <v>44570.125</v>
      </c>
      <c r="R37" s="44">
        <f t="shared" si="0"/>
        <v>-0.56699199997358829</v>
      </c>
      <c r="S37" s="44">
        <f t="shared" si="1"/>
        <v>-6.7965135000098904</v>
      </c>
    </row>
    <row r="38" spans="1:19" ht="12" customHeight="1" x14ac:dyDescent="0.2">
      <c r="A38" s="37"/>
      <c r="B38" s="48"/>
      <c r="C38" s="49">
        <v>4.37</v>
      </c>
      <c r="D38" s="58"/>
      <c r="E38" s="50">
        <v>2185</v>
      </c>
      <c r="F38" s="56">
        <v>72.8</v>
      </c>
      <c r="G38" s="51"/>
      <c r="H38" s="44">
        <f t="shared" si="7"/>
        <v>4.3699999999999998E-3</v>
      </c>
      <c r="I38" s="52">
        <f t="shared" si="6"/>
        <v>-0.90000000000000568</v>
      </c>
      <c r="J38" s="44">
        <f t="shared" si="2"/>
        <v>-0.90437000000000567</v>
      </c>
      <c r="K38" s="44">
        <f t="shared" si="3"/>
        <v>31.004730000000006</v>
      </c>
      <c r="L38" s="44">
        <f t="shared" si="4"/>
        <v>-151.14000000000001</v>
      </c>
      <c r="M38" s="53">
        <f t="shared" si="5"/>
        <v>-182.14473000000001</v>
      </c>
      <c r="N38" s="228"/>
      <c r="O38" s="229"/>
      <c r="P38" s="230"/>
      <c r="Q38" s="47">
        <v>44570.166666666664</v>
      </c>
      <c r="R38" s="44">
        <f t="shared" si="0"/>
        <v>-0.90437000005264689</v>
      </c>
      <c r="S38" s="44">
        <f t="shared" si="1"/>
        <v>-6.5835444578544111</v>
      </c>
    </row>
    <row r="39" spans="1:19" ht="12" customHeight="1" x14ac:dyDescent="0.2">
      <c r="A39" s="37"/>
      <c r="B39" s="48"/>
      <c r="C39" s="49">
        <v>4.37</v>
      </c>
      <c r="D39" s="58"/>
      <c r="E39" s="50">
        <v>2186</v>
      </c>
      <c r="F39" s="56">
        <v>72.2</v>
      </c>
      <c r="G39" s="51"/>
      <c r="H39" s="44">
        <f t="shared" si="7"/>
        <v>4.3699999999999998E-3</v>
      </c>
      <c r="I39" s="52">
        <f t="shared" si="6"/>
        <v>-0.59999999999999432</v>
      </c>
      <c r="J39" s="44">
        <f t="shared" si="2"/>
        <v>-0.6043699999999943</v>
      </c>
      <c r="K39" s="44">
        <f t="shared" si="3"/>
        <v>31.009100000000007</v>
      </c>
      <c r="L39" s="44">
        <f t="shared" si="4"/>
        <v>-151.74</v>
      </c>
      <c r="M39" s="53">
        <f t="shared" si="5"/>
        <v>-182.74910000000003</v>
      </c>
      <c r="N39" s="228"/>
      <c r="O39" s="229"/>
      <c r="P39" s="230"/>
      <c r="Q39" s="47">
        <v>44570.208333333336</v>
      </c>
      <c r="R39" s="44">
        <f t="shared" si="0"/>
        <v>-0.60436999992963636</v>
      </c>
      <c r="S39" s="44">
        <f t="shared" si="1"/>
        <v>-6.374968604646849</v>
      </c>
    </row>
    <row r="40" spans="1:19" ht="12" customHeight="1" x14ac:dyDescent="0.2">
      <c r="A40" s="37"/>
      <c r="B40" s="48"/>
      <c r="C40" s="49">
        <v>4.37</v>
      </c>
      <c r="D40" s="58"/>
      <c r="E40" s="50">
        <v>2187</v>
      </c>
      <c r="F40" s="56">
        <v>69.900000000000006</v>
      </c>
      <c r="G40" s="51"/>
      <c r="H40" s="44">
        <f t="shared" si="7"/>
        <v>4.3699999999999998E-3</v>
      </c>
      <c r="I40" s="52">
        <f t="shared" si="6"/>
        <v>-2.2999999999999972</v>
      </c>
      <c r="J40" s="44">
        <f t="shared" si="2"/>
        <v>-2.3043699999999974</v>
      </c>
      <c r="K40" s="44">
        <f t="shared" si="3"/>
        <v>31.013470000000009</v>
      </c>
      <c r="L40" s="44">
        <f t="shared" si="4"/>
        <v>-154.04000000000002</v>
      </c>
      <c r="M40" s="53">
        <f t="shared" si="5"/>
        <v>-185.05347000000003</v>
      </c>
      <c r="N40" s="231"/>
      <c r="O40" s="229"/>
      <c r="P40" s="230"/>
      <c r="Q40" s="47">
        <v>44570.25</v>
      </c>
      <c r="R40" s="44">
        <f t="shared" si="0"/>
        <v>-2.3043700001341292</v>
      </c>
      <c r="S40" s="44">
        <f t="shared" si="1"/>
        <v>-6.2377574157384972</v>
      </c>
    </row>
    <row r="41" spans="1:19" ht="12" customHeight="1" x14ac:dyDescent="0.2">
      <c r="A41" s="37"/>
      <c r="B41" s="48"/>
      <c r="C41" s="49">
        <v>4.37</v>
      </c>
      <c r="D41" s="58"/>
      <c r="E41" s="50">
        <v>2087</v>
      </c>
      <c r="F41" s="40">
        <v>7.8</v>
      </c>
      <c r="G41" s="51">
        <v>-62</v>
      </c>
      <c r="H41" s="44">
        <f t="shared" si="7"/>
        <v>-0.437</v>
      </c>
      <c r="I41" s="52">
        <f t="shared" si="6"/>
        <v>-0.10000000000000853</v>
      </c>
      <c r="J41" s="44">
        <f t="shared" si="2"/>
        <v>0.33699999999999147</v>
      </c>
      <c r="K41" s="44">
        <f t="shared" si="3"/>
        <v>30.576470000000008</v>
      </c>
      <c r="L41" s="44">
        <f t="shared" si="4"/>
        <v>-154.14000000000004</v>
      </c>
      <c r="M41" s="53">
        <f t="shared" si="5"/>
        <v>-184.71647000000004</v>
      </c>
      <c r="N41" s="228" t="s">
        <v>106</v>
      </c>
      <c r="O41" s="229"/>
      <c r="P41" s="230"/>
      <c r="Q41" s="47">
        <v>44570.457638888889</v>
      </c>
      <c r="R41" s="44">
        <f t="shared" si="0"/>
        <v>6.7625418060146297E-2</v>
      </c>
      <c r="S41" s="44">
        <f t="shared" si="1"/>
        <v>-5.3309226551280293</v>
      </c>
    </row>
    <row r="42" spans="1:19" ht="12" customHeight="1" x14ac:dyDescent="0.2">
      <c r="A42" s="37"/>
      <c r="B42" s="48"/>
      <c r="C42" s="49">
        <v>4.37</v>
      </c>
      <c r="D42" s="58"/>
      <c r="E42" s="50">
        <v>1798</v>
      </c>
      <c r="F42" s="40">
        <v>6.24</v>
      </c>
      <c r="G42" s="51"/>
      <c r="H42" s="44">
        <f t="shared" si="7"/>
        <v>-1.2629300000000001</v>
      </c>
      <c r="I42" s="52">
        <f t="shared" si="6"/>
        <v>-1.5599999999999996</v>
      </c>
      <c r="J42" s="44">
        <f t="shared" si="2"/>
        <v>-0.2970699999999995</v>
      </c>
      <c r="K42" s="44">
        <f t="shared" si="3"/>
        <v>29.313540000000007</v>
      </c>
      <c r="L42" s="44">
        <f t="shared" si="4"/>
        <v>-155.70000000000005</v>
      </c>
      <c r="M42" s="53">
        <f t="shared" si="5"/>
        <v>-185.01354000000006</v>
      </c>
      <c r="N42" s="228"/>
      <c r="O42" s="229"/>
      <c r="P42" s="230"/>
      <c r="Q42" s="47">
        <v>44570.486111111109</v>
      </c>
      <c r="R42" s="44">
        <f t="shared" si="0"/>
        <v>-0.43473658539300952</v>
      </c>
      <c r="S42" s="44">
        <f t="shared" si="1"/>
        <v>-5.2362322641624468</v>
      </c>
    </row>
    <row r="43" spans="1:19" ht="12" customHeight="1" x14ac:dyDescent="0.2">
      <c r="A43" s="37"/>
      <c r="B43" s="48"/>
      <c r="C43" s="49">
        <v>4.37</v>
      </c>
      <c r="D43" s="58"/>
      <c r="E43" s="50">
        <v>734</v>
      </c>
      <c r="F43" s="40">
        <v>5.22</v>
      </c>
      <c r="G43" s="51">
        <v>4</v>
      </c>
      <c r="H43" s="44">
        <f t="shared" si="7"/>
        <v>-4.64968</v>
      </c>
      <c r="I43" s="52">
        <f t="shared" si="6"/>
        <v>-5.0200000000000005</v>
      </c>
      <c r="J43" s="44">
        <f t="shared" si="2"/>
        <v>-0.37032000000000043</v>
      </c>
      <c r="K43" s="44">
        <f t="shared" si="3"/>
        <v>24.663860000000007</v>
      </c>
      <c r="L43" s="44">
        <f t="shared" si="4"/>
        <v>-160.72000000000006</v>
      </c>
      <c r="M43" s="53">
        <f t="shared" si="5"/>
        <v>-185.38386000000006</v>
      </c>
      <c r="N43" s="228"/>
      <c r="O43" s="229"/>
      <c r="P43" s="230"/>
      <c r="Q43" s="47">
        <v>44570.552083333336</v>
      </c>
      <c r="R43" s="44">
        <f t="shared" si="0"/>
        <v>-0.23388631577514346</v>
      </c>
      <c r="S43" s="44">
        <f t="shared" si="1"/>
        <v>-5.0216846952569556</v>
      </c>
    </row>
    <row r="44" spans="1:19" ht="12" customHeight="1" x14ac:dyDescent="0.2">
      <c r="A44" s="37"/>
      <c r="B44" s="48"/>
      <c r="C44" s="49">
        <v>4.37</v>
      </c>
      <c r="D44" s="58">
        <v>0</v>
      </c>
      <c r="E44" s="50">
        <v>0</v>
      </c>
      <c r="F44" s="56">
        <v>7.12</v>
      </c>
      <c r="G44" s="51">
        <v>6</v>
      </c>
      <c r="H44" s="44">
        <f t="shared" si="7"/>
        <v>-3.2075800000000001</v>
      </c>
      <c r="I44" s="52">
        <f t="shared" si="6"/>
        <v>-4.0999999999999996</v>
      </c>
      <c r="J44" s="44">
        <f t="shared" si="2"/>
        <v>-0.89241999999999955</v>
      </c>
      <c r="K44" s="44">
        <f t="shared" si="3"/>
        <v>21.456280000000007</v>
      </c>
      <c r="L44" s="44">
        <f t="shared" si="4"/>
        <v>-164.82000000000005</v>
      </c>
      <c r="M44" s="53">
        <f t="shared" si="5"/>
        <v>-186.27628000000004</v>
      </c>
      <c r="N44" s="243" t="s">
        <v>107</v>
      </c>
      <c r="O44" s="244"/>
      <c r="P44" s="245"/>
      <c r="Q44" s="47">
        <v>44570.770833333336</v>
      </c>
      <c r="R44" s="44">
        <f t="shared" si="0"/>
        <v>-0.16998476190476181</v>
      </c>
      <c r="S44" s="44">
        <f t="shared" si="1"/>
        <v>-4.4176192885355174</v>
      </c>
    </row>
    <row r="45" spans="1:19" ht="12" customHeight="1" x14ac:dyDescent="0.2">
      <c r="A45" s="37"/>
      <c r="B45" s="48"/>
      <c r="C45" s="49">
        <v>4.37</v>
      </c>
      <c r="D45" s="58"/>
      <c r="E45" s="50">
        <v>0</v>
      </c>
      <c r="F45" s="40">
        <v>7.14</v>
      </c>
      <c r="G45" s="51"/>
      <c r="H45" s="44">
        <f t="shared" si="7"/>
        <v>0</v>
      </c>
      <c r="I45" s="52">
        <f t="shared" si="6"/>
        <v>1.9999999999999574E-2</v>
      </c>
      <c r="J45" s="44">
        <f t="shared" si="2"/>
        <v>1.9999999999999574E-2</v>
      </c>
      <c r="K45" s="44">
        <f t="shared" si="3"/>
        <v>21.456280000000007</v>
      </c>
      <c r="L45" s="44">
        <f t="shared" si="4"/>
        <v>-164.80000000000004</v>
      </c>
      <c r="M45" s="53">
        <f t="shared" si="5"/>
        <v>-186.25628000000006</v>
      </c>
      <c r="N45" s="243"/>
      <c r="O45" s="244"/>
      <c r="P45" s="245"/>
      <c r="Q45" s="47">
        <v>44570.791666666664</v>
      </c>
      <c r="R45" s="44">
        <f t="shared" si="0"/>
        <v>4.0000000009312371E-2</v>
      </c>
      <c r="S45" s="44">
        <f t="shared" si="1"/>
        <v>-4.3653815625099268</v>
      </c>
    </row>
    <row r="46" spans="1:19" ht="12" customHeight="1" x14ac:dyDescent="0.2">
      <c r="A46" s="37"/>
      <c r="B46" s="48"/>
      <c r="C46" s="49">
        <v>4.37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4.37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4.37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4.37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4.37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 t="s">
        <v>93</v>
      </c>
      <c r="C52" s="49">
        <v>4.28</v>
      </c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4.28</v>
      </c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4.28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4.28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U112"/>
  <sheetViews>
    <sheetView topLeftCell="A4" zoomScale="110" zoomScaleNormal="110" workbookViewId="0">
      <selection activeCell="E32" sqref="E32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120</v>
      </c>
      <c r="F6" s="40">
        <v>4.5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44568.541666666664</v>
      </c>
      <c r="R6" s="11"/>
      <c r="S6" s="11"/>
    </row>
    <row r="7" spans="1:20" ht="12" customHeight="1" x14ac:dyDescent="0.2">
      <c r="A7" s="37"/>
      <c r="B7" s="48" t="s">
        <v>39</v>
      </c>
      <c r="C7" s="49">
        <v>15.93</v>
      </c>
      <c r="D7" s="39"/>
      <c r="E7" s="39">
        <v>566</v>
      </c>
      <c r="F7" s="40">
        <v>5.23</v>
      </c>
      <c r="G7" s="51">
        <v>-5</v>
      </c>
      <c r="H7" s="44">
        <f>IF(E7="","",((E7-E6)*C7)/1000)</f>
        <v>7.1047799999999999</v>
      </c>
      <c r="I7" s="52">
        <f>IF(F7="","",F7-F6-G7)</f>
        <v>5.73</v>
      </c>
      <c r="J7" s="44">
        <f>IF(F7="","",I7-H7)</f>
        <v>-1.3747799999999994</v>
      </c>
      <c r="K7" s="44">
        <f>IF(F7="","",K6+H7)</f>
        <v>7.1047799999999999</v>
      </c>
      <c r="L7" s="44">
        <f>IF(F7="","",L6+I7)</f>
        <v>5.73</v>
      </c>
      <c r="M7" s="53">
        <f>IF(F7="","",L7-K7)</f>
        <v>-1.3747799999999994</v>
      </c>
      <c r="N7" s="231"/>
      <c r="O7" s="229"/>
      <c r="P7" s="230"/>
      <c r="Q7" s="47">
        <v>44568.570138888892</v>
      </c>
      <c r="R7" s="44">
        <f t="shared" ref="R7:R70" si="0">IF(Q7="","",J7/((Q7-Q6)*24))</f>
        <v>-2.011873170343256</v>
      </c>
      <c r="S7" s="44">
        <f t="shared" ref="S7:S70" si="1">IF(Q7="","",M7/((Q7-$Q$6)*24))</f>
        <v>-2.011873170343256</v>
      </c>
    </row>
    <row r="8" spans="1:20" ht="12" customHeight="1" x14ac:dyDescent="0.2">
      <c r="A8" s="37"/>
      <c r="B8" s="48" t="s">
        <v>37</v>
      </c>
      <c r="C8" s="49">
        <v>15.74</v>
      </c>
      <c r="D8" s="54"/>
      <c r="E8" s="39">
        <v>701</v>
      </c>
      <c r="F8" s="40">
        <v>7.14</v>
      </c>
      <c r="G8" s="51"/>
      <c r="H8" s="44">
        <f>IF(E8="","",((E8-E7)*C8)/1000)</f>
        <v>2.1249000000000002</v>
      </c>
      <c r="I8" s="52">
        <f>IF(F8="","",F8-F7-G8)</f>
        <v>1.9099999999999993</v>
      </c>
      <c r="J8" s="44">
        <f>IF(F8="","",I8-H8)</f>
        <v>-0.21490000000000098</v>
      </c>
      <c r="K8" s="44">
        <f>IF(F8="","",K7+H8)</f>
        <v>9.2296800000000001</v>
      </c>
      <c r="L8" s="44">
        <f>IF(F8="","",L7+I8)</f>
        <v>7.64</v>
      </c>
      <c r="M8" s="53">
        <f>IF(F8="","",L8-K8)</f>
        <v>-1.5896800000000004</v>
      </c>
      <c r="N8" s="231"/>
      <c r="O8" s="229"/>
      <c r="P8" s="230"/>
      <c r="Q8" s="47">
        <v>44568.57916666667</v>
      </c>
      <c r="R8" s="44">
        <f t="shared" si="0"/>
        <v>-0.99184615381063035</v>
      </c>
      <c r="S8" s="44">
        <f t="shared" si="1"/>
        <v>-1.766311110836944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1522</v>
      </c>
      <c r="F9" s="40">
        <v>3.41</v>
      </c>
      <c r="G9" s="51">
        <v>-15</v>
      </c>
      <c r="H9" s="44">
        <f>IF(E9="","",((E9-E8)*C9)/1000)</f>
        <v>12.922540000000001</v>
      </c>
      <c r="I9" s="52">
        <f>IF(F9="","",F9-F8-G9)</f>
        <v>11.27</v>
      </c>
      <c r="J9" s="44">
        <f>IF(F9="","",I9-H9)</f>
        <v>-1.6525400000000019</v>
      </c>
      <c r="K9" s="44">
        <f>IF(F9="","",K8+H9)</f>
        <v>22.15222</v>
      </c>
      <c r="L9" s="44">
        <f>IF(F9="","",L8+I9)</f>
        <v>18.91</v>
      </c>
      <c r="M9" s="53">
        <f>IF(F9="","",L9-K9)</f>
        <v>-3.2422199999999997</v>
      </c>
      <c r="N9" s="228"/>
      <c r="O9" s="229"/>
      <c r="P9" s="230"/>
      <c r="Q9" s="47">
        <v>44568.629166666666</v>
      </c>
      <c r="R9" s="44">
        <f t="shared" si="0"/>
        <v>-1.3771166667869064</v>
      </c>
      <c r="S9" s="44">
        <f t="shared" si="1"/>
        <v>-1.543914285688609</v>
      </c>
    </row>
    <row r="10" spans="1:20" ht="12" customHeight="1" x14ac:dyDescent="0.2">
      <c r="A10" s="37"/>
      <c r="B10" s="48"/>
      <c r="C10" s="49">
        <v>15.74</v>
      </c>
      <c r="D10" s="54"/>
      <c r="E10" s="39">
        <v>2081</v>
      </c>
      <c r="F10" s="40">
        <v>7.27</v>
      </c>
      <c r="G10" s="51">
        <v>-4</v>
      </c>
      <c r="H10" s="44">
        <f>IF(E10="","",((E10-E9)*C10)/1000)</f>
        <v>8.7986599999999999</v>
      </c>
      <c r="I10" s="52">
        <f>IF(F10="","",F10-F9-G10)</f>
        <v>7.8599999999999994</v>
      </c>
      <c r="J10" s="44">
        <f t="shared" ref="J10:J73" si="2">IF(F10="","",I10-H10)</f>
        <v>-0.93866000000000049</v>
      </c>
      <c r="K10" s="44">
        <f t="shared" ref="K10:K73" si="3">IF(F10="","",K9+H10)</f>
        <v>30.950879999999998</v>
      </c>
      <c r="L10" s="44">
        <f t="shared" ref="L10:L73" si="4">IF(F10="","",L9+I10)</f>
        <v>26.77</v>
      </c>
      <c r="M10" s="53">
        <f t="shared" ref="M10:M73" si="5">IF(F10="","",L10-K10)</f>
        <v>-4.1808799999999984</v>
      </c>
      <c r="N10" s="249"/>
      <c r="O10" s="250"/>
      <c r="P10" s="251"/>
      <c r="Q10" s="47">
        <v>44568.661111111112</v>
      </c>
      <c r="R10" s="44">
        <f t="shared" si="0"/>
        <v>-1.2243391303480247</v>
      </c>
      <c r="S10" s="44">
        <f t="shared" si="1"/>
        <v>-1.4584465115824987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2149</v>
      </c>
      <c r="F11" s="40">
        <v>74.13</v>
      </c>
      <c r="G11" s="51">
        <v>75</v>
      </c>
      <c r="H11" s="44">
        <f>IF(E11="","",((E11-E10)*C11)/1000)</f>
        <v>0.71944000000000008</v>
      </c>
      <c r="I11" s="52">
        <f t="shared" ref="I11:I74" si="6">IF(F11="","",F11-F10-G11)</f>
        <v>-8.14</v>
      </c>
      <c r="J11" s="44">
        <f t="shared" si="2"/>
        <v>-8.8594400000000011</v>
      </c>
      <c r="K11" s="44">
        <f t="shared" si="3"/>
        <v>31.670319999999997</v>
      </c>
      <c r="L11" s="44">
        <f t="shared" si="4"/>
        <v>18.63</v>
      </c>
      <c r="M11" s="53">
        <f t="shared" si="5"/>
        <v>-13.040319999999998</v>
      </c>
      <c r="N11" s="228" t="s">
        <v>102</v>
      </c>
      <c r="O11" s="229"/>
      <c r="P11" s="230"/>
      <c r="Q11" s="47">
        <v>44568.720138888886</v>
      </c>
      <c r="R11" s="44">
        <f t="shared" si="0"/>
        <v>-6.2537223533694295</v>
      </c>
      <c r="S11" s="44">
        <f t="shared" si="1"/>
        <v>-3.0444326848304186</v>
      </c>
    </row>
    <row r="12" spans="1:20" ht="12" customHeight="1" x14ac:dyDescent="0.2">
      <c r="A12" s="37"/>
      <c r="B12" s="48"/>
      <c r="C12" s="49">
        <v>10.58</v>
      </c>
      <c r="D12" s="54"/>
      <c r="E12" s="39">
        <v>2175</v>
      </c>
      <c r="F12" s="56">
        <v>72.67</v>
      </c>
      <c r="G12" s="51"/>
      <c r="H12" s="44">
        <f t="shared" ref="H12:H74" si="7">IF(E12="","",((E12-E11)*C12)/1000)</f>
        <v>0.27507999999999999</v>
      </c>
      <c r="I12" s="52">
        <f t="shared" si="6"/>
        <v>-1.4599999999999937</v>
      </c>
      <c r="J12" s="44">
        <f t="shared" si="2"/>
        <v>-1.7350799999999937</v>
      </c>
      <c r="K12" s="44">
        <f t="shared" si="3"/>
        <v>31.945399999999996</v>
      </c>
      <c r="L12" s="44">
        <f t="shared" si="4"/>
        <v>17.170000000000005</v>
      </c>
      <c r="M12" s="53">
        <f t="shared" si="5"/>
        <v>-14.775399999999991</v>
      </c>
      <c r="N12" s="228"/>
      <c r="O12" s="229"/>
      <c r="P12" s="230"/>
      <c r="Q12" s="47">
        <v>44568.732638888891</v>
      </c>
      <c r="R12" s="44">
        <f t="shared" si="0"/>
        <v>-5.7835999979800805</v>
      </c>
      <c r="S12" s="44">
        <f t="shared" si="1"/>
        <v>-3.2237236362953996</v>
      </c>
    </row>
    <row r="13" spans="1:20" ht="12" customHeight="1" x14ac:dyDescent="0.2">
      <c r="A13" s="37"/>
      <c r="B13" s="48" t="s">
        <v>38</v>
      </c>
      <c r="C13" s="49">
        <v>4.37</v>
      </c>
      <c r="D13" s="54"/>
      <c r="E13" s="39">
        <v>2198</v>
      </c>
      <c r="F13" s="56">
        <v>106.95</v>
      </c>
      <c r="G13" s="51">
        <v>42</v>
      </c>
      <c r="H13" s="44">
        <f>IF(E13="","",((E13-E12)*C13)/1000)</f>
        <v>0.10051</v>
      </c>
      <c r="I13" s="52">
        <f t="shared" si="6"/>
        <v>-7.7199999999999989</v>
      </c>
      <c r="J13" s="44">
        <f t="shared" si="2"/>
        <v>-7.8205099999999987</v>
      </c>
      <c r="K13" s="44">
        <f t="shared" si="3"/>
        <v>32.045909999999999</v>
      </c>
      <c r="L13" s="44">
        <f t="shared" si="4"/>
        <v>9.4500000000000064</v>
      </c>
      <c r="M13" s="53">
        <f t="shared" si="5"/>
        <v>-22.595909999999993</v>
      </c>
      <c r="N13" s="231"/>
      <c r="O13" s="229"/>
      <c r="P13" s="230"/>
      <c r="Q13" s="47">
        <v>44568.758333333331</v>
      </c>
      <c r="R13" s="44">
        <f t="shared" si="0"/>
        <v>-12.681908109863787</v>
      </c>
      <c r="S13" s="44">
        <f t="shared" si="1"/>
        <v>-4.3453673076825785</v>
      </c>
    </row>
    <row r="14" spans="1:20" ht="12" customHeight="1" x14ac:dyDescent="0.2">
      <c r="A14" s="37"/>
      <c r="B14" s="48"/>
      <c r="C14" s="49">
        <v>4.37</v>
      </c>
      <c r="D14" s="54"/>
      <c r="E14" s="39">
        <v>2196</v>
      </c>
      <c r="F14" s="56">
        <v>100.4</v>
      </c>
      <c r="G14" s="51"/>
      <c r="H14" s="44">
        <f t="shared" si="7"/>
        <v>-8.7399999999999995E-3</v>
      </c>
      <c r="I14" s="52">
        <f t="shared" si="6"/>
        <v>-6.5499999999999972</v>
      </c>
      <c r="J14" s="44">
        <f t="shared" si="2"/>
        <v>-6.5412599999999967</v>
      </c>
      <c r="K14" s="44">
        <f t="shared" si="3"/>
        <v>32.037169999999996</v>
      </c>
      <c r="L14" s="44">
        <f t="shared" si="4"/>
        <v>2.9000000000000092</v>
      </c>
      <c r="M14" s="53">
        <f t="shared" si="5"/>
        <v>-29.137169999999987</v>
      </c>
      <c r="N14" s="231"/>
      <c r="O14" s="229"/>
      <c r="P14" s="230"/>
      <c r="Q14" s="47">
        <v>44568.772916666669</v>
      </c>
      <c r="R14" s="44">
        <f t="shared" si="0"/>
        <v>-18.689314280741197</v>
      </c>
      <c r="S14" s="44">
        <f t="shared" si="1"/>
        <v>-5.249940540441429</v>
      </c>
    </row>
    <row r="15" spans="1:20" ht="12" customHeight="1" x14ac:dyDescent="0.2">
      <c r="A15" s="37"/>
      <c r="B15" s="48"/>
      <c r="C15" s="49">
        <v>4.37</v>
      </c>
      <c r="D15" s="54"/>
      <c r="E15" s="39">
        <v>2201</v>
      </c>
      <c r="F15" s="40">
        <v>95.96</v>
      </c>
      <c r="G15" s="51"/>
      <c r="H15" s="44">
        <f t="shared" si="7"/>
        <v>2.1850000000000001E-2</v>
      </c>
      <c r="I15" s="52">
        <f t="shared" si="6"/>
        <v>-4.4400000000000119</v>
      </c>
      <c r="J15" s="44">
        <f t="shared" si="2"/>
        <v>-4.4618500000000116</v>
      </c>
      <c r="K15" s="44">
        <f t="shared" si="3"/>
        <v>32.059019999999997</v>
      </c>
      <c r="L15" s="44">
        <f t="shared" si="4"/>
        <v>-1.5400000000000027</v>
      </c>
      <c r="M15" s="53">
        <f t="shared" si="5"/>
        <v>-33.599019999999996</v>
      </c>
      <c r="N15" s="231"/>
      <c r="O15" s="229"/>
      <c r="P15" s="230"/>
      <c r="Q15" s="47">
        <v>44568.791666666664</v>
      </c>
      <c r="R15" s="44">
        <f t="shared" si="0"/>
        <v>-9.9152222245308153</v>
      </c>
      <c r="S15" s="44">
        <f t="shared" si="1"/>
        <v>-5.5998366666666657</v>
      </c>
    </row>
    <row r="16" spans="1:20" ht="12" customHeight="1" x14ac:dyDescent="0.2">
      <c r="A16" s="37"/>
      <c r="B16" s="48"/>
      <c r="C16" s="49">
        <v>4.37</v>
      </c>
      <c r="D16" s="57"/>
      <c r="E16" s="39">
        <v>2196</v>
      </c>
      <c r="F16" s="40">
        <v>7</v>
      </c>
      <c r="G16" s="51">
        <v>-87</v>
      </c>
      <c r="H16" s="44">
        <f t="shared" si="7"/>
        <v>-2.1850000000000001E-2</v>
      </c>
      <c r="I16" s="52">
        <f t="shared" si="6"/>
        <v>-1.9599999999999937</v>
      </c>
      <c r="J16" s="44">
        <f t="shared" si="2"/>
        <v>-1.9381499999999938</v>
      </c>
      <c r="K16" s="44">
        <f t="shared" si="3"/>
        <v>32.037169999999996</v>
      </c>
      <c r="L16" s="44">
        <f t="shared" si="4"/>
        <v>-3.4999999999999964</v>
      </c>
      <c r="M16" s="53">
        <f t="shared" si="5"/>
        <v>-35.537169999999989</v>
      </c>
      <c r="N16" s="228" t="s">
        <v>95</v>
      </c>
      <c r="O16" s="229"/>
      <c r="P16" s="230"/>
      <c r="Q16" s="47">
        <v>44568.800000000003</v>
      </c>
      <c r="R16" s="44">
        <f t="shared" si="0"/>
        <v>-9.6907499937951336</v>
      </c>
      <c r="S16" s="44">
        <f t="shared" si="1"/>
        <v>-5.7318016127848379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2196</v>
      </c>
      <c r="F17" s="40">
        <v>7.25</v>
      </c>
      <c r="G17" s="51"/>
      <c r="H17" s="44">
        <f t="shared" si="7"/>
        <v>0</v>
      </c>
      <c r="I17" s="52">
        <f t="shared" si="6"/>
        <v>0.25</v>
      </c>
      <c r="J17" s="44">
        <f t="shared" si="2"/>
        <v>0.25</v>
      </c>
      <c r="K17" s="44">
        <f t="shared" si="3"/>
        <v>32.037169999999996</v>
      </c>
      <c r="L17" s="44">
        <f t="shared" si="4"/>
        <v>-3.2499999999999964</v>
      </c>
      <c r="M17" s="53">
        <f t="shared" si="5"/>
        <v>-35.287169999999989</v>
      </c>
      <c r="N17" s="231"/>
      <c r="O17" s="229"/>
      <c r="P17" s="230"/>
      <c r="Q17" s="47">
        <v>44568.806944444441</v>
      </c>
      <c r="R17" s="44">
        <f t="shared" si="0"/>
        <v>1.5000000013969839</v>
      </c>
      <c r="S17" s="44">
        <f t="shared" si="1"/>
        <v>-5.5424874345786197</v>
      </c>
    </row>
    <row r="18" spans="1:19" ht="12" customHeight="1" x14ac:dyDescent="0.2">
      <c r="A18" s="37"/>
      <c r="B18" s="48"/>
      <c r="C18" s="49">
        <v>4.37</v>
      </c>
      <c r="D18" s="54"/>
      <c r="E18" s="39">
        <v>2196</v>
      </c>
      <c r="F18" s="40">
        <v>7.48</v>
      </c>
      <c r="G18" s="40"/>
      <c r="H18" s="44">
        <f t="shared" si="7"/>
        <v>0</v>
      </c>
      <c r="I18" s="52">
        <f t="shared" si="6"/>
        <v>0.23000000000000043</v>
      </c>
      <c r="J18" s="44">
        <f t="shared" si="2"/>
        <v>0.23000000000000043</v>
      </c>
      <c r="K18" s="44">
        <f t="shared" si="3"/>
        <v>32.037169999999996</v>
      </c>
      <c r="L18" s="44">
        <f t="shared" si="4"/>
        <v>-3.019999999999996</v>
      </c>
      <c r="M18" s="53">
        <f t="shared" si="5"/>
        <v>-35.057169999999992</v>
      </c>
      <c r="N18" s="228"/>
      <c r="O18" s="229"/>
      <c r="P18" s="230"/>
      <c r="Q18" s="47">
        <v>44568.813888888886</v>
      </c>
      <c r="R18" s="44">
        <f t="shared" si="0"/>
        <v>1.3799999998393495</v>
      </c>
      <c r="S18" s="44">
        <f t="shared" si="1"/>
        <v>-5.365893367353312</v>
      </c>
    </row>
    <row r="19" spans="1:19" ht="12" customHeight="1" x14ac:dyDescent="0.2">
      <c r="A19" s="37"/>
      <c r="B19" s="48"/>
      <c r="C19" s="49">
        <v>4.37</v>
      </c>
      <c r="D19" s="54"/>
      <c r="E19" s="39">
        <v>2196</v>
      </c>
      <c r="F19" s="40">
        <v>7.52</v>
      </c>
      <c r="G19" s="40"/>
      <c r="H19" s="44">
        <f t="shared" si="7"/>
        <v>0</v>
      </c>
      <c r="I19" s="52">
        <f t="shared" si="6"/>
        <v>3.9999999999999147E-2</v>
      </c>
      <c r="J19" s="44">
        <f t="shared" si="2"/>
        <v>3.9999999999999147E-2</v>
      </c>
      <c r="K19" s="44">
        <f t="shared" si="3"/>
        <v>32.037169999999996</v>
      </c>
      <c r="L19" s="44">
        <f t="shared" si="4"/>
        <v>-2.9799999999999969</v>
      </c>
      <c r="M19" s="53">
        <f t="shared" si="5"/>
        <v>-35.017169999999993</v>
      </c>
      <c r="N19" s="228"/>
      <c r="O19" s="229"/>
      <c r="P19" s="230"/>
      <c r="Q19" s="47">
        <v>44568.820833333331</v>
      </c>
      <c r="R19" s="44">
        <f t="shared" si="0"/>
        <v>0.23999999997205521</v>
      </c>
      <c r="S19" s="44">
        <f t="shared" si="1"/>
        <v>-5.2264432835730075</v>
      </c>
    </row>
    <row r="20" spans="1:19" ht="12" customHeight="1" x14ac:dyDescent="0.2">
      <c r="A20" s="37"/>
      <c r="B20" s="48"/>
      <c r="C20" s="49">
        <v>4.37</v>
      </c>
      <c r="D20" s="54"/>
      <c r="E20" s="39">
        <v>2196</v>
      </c>
      <c r="F20" s="40">
        <v>7.28</v>
      </c>
      <c r="G20" s="40"/>
      <c r="H20" s="44">
        <f t="shared" si="7"/>
        <v>0</v>
      </c>
      <c r="I20" s="52">
        <f t="shared" si="6"/>
        <v>-0.23999999999999932</v>
      </c>
      <c r="J20" s="44">
        <f t="shared" si="2"/>
        <v>-0.23999999999999932</v>
      </c>
      <c r="K20" s="44">
        <f t="shared" si="3"/>
        <v>32.037169999999996</v>
      </c>
      <c r="L20" s="44">
        <f t="shared" si="4"/>
        <v>-3.2199999999999962</v>
      </c>
      <c r="M20" s="53">
        <f t="shared" si="5"/>
        <v>-35.257169999999995</v>
      </c>
      <c r="N20" s="242"/>
      <c r="O20" s="229"/>
      <c r="P20" s="230"/>
      <c r="Q20" s="47">
        <v>44568.826388888891</v>
      </c>
      <c r="R20" s="44">
        <f t="shared" si="0"/>
        <v>-1.7999999988474833</v>
      </c>
      <c r="S20" s="44">
        <f t="shared" si="1"/>
        <v>-5.159585853585285</v>
      </c>
    </row>
    <row r="21" spans="1:19" ht="12" customHeight="1" x14ac:dyDescent="0.2">
      <c r="A21" s="37"/>
      <c r="B21" s="48"/>
      <c r="C21" s="49">
        <v>4.37</v>
      </c>
      <c r="D21" s="54">
        <v>60</v>
      </c>
      <c r="E21" s="39">
        <v>2196</v>
      </c>
      <c r="F21" s="40">
        <v>7.2</v>
      </c>
      <c r="G21" s="51"/>
      <c r="H21" s="44">
        <f t="shared" si="7"/>
        <v>0</v>
      </c>
      <c r="I21" s="52">
        <f t="shared" si="6"/>
        <v>-8.0000000000000071E-2</v>
      </c>
      <c r="J21" s="44">
        <f t="shared" si="2"/>
        <v>-8.0000000000000071E-2</v>
      </c>
      <c r="K21" s="44">
        <f t="shared" si="3"/>
        <v>32.037169999999996</v>
      </c>
      <c r="L21" s="44">
        <f t="shared" si="4"/>
        <v>-3.2999999999999963</v>
      </c>
      <c r="M21" s="53">
        <f t="shared" si="5"/>
        <v>-35.337169999999993</v>
      </c>
      <c r="N21" s="228"/>
      <c r="O21" s="229"/>
      <c r="P21" s="230"/>
      <c r="Q21" s="47">
        <v>44568.833333333336</v>
      </c>
      <c r="R21" s="44">
        <f t="shared" si="0"/>
        <v>-0.47999999994412107</v>
      </c>
      <c r="S21" s="44">
        <f t="shared" si="1"/>
        <v>-5.0481671427731873</v>
      </c>
    </row>
    <row r="22" spans="1:19" ht="12" customHeight="1" x14ac:dyDescent="0.2">
      <c r="A22" s="37"/>
      <c r="B22" s="48"/>
      <c r="C22" s="49">
        <v>4.37</v>
      </c>
      <c r="D22" s="54">
        <v>59</v>
      </c>
      <c r="E22" s="39">
        <v>2170</v>
      </c>
      <c r="F22" s="40">
        <v>9.51</v>
      </c>
      <c r="G22" s="51">
        <f>-7.2+9.51</f>
        <v>2.3099999999999996</v>
      </c>
      <c r="H22" s="44">
        <f t="shared" si="7"/>
        <v>-0.11362</v>
      </c>
      <c r="I22" s="52">
        <f t="shared" si="6"/>
        <v>0</v>
      </c>
      <c r="J22" s="44">
        <f t="shared" si="2"/>
        <v>0.11362</v>
      </c>
      <c r="K22" s="44">
        <f t="shared" si="3"/>
        <v>31.923549999999995</v>
      </c>
      <c r="L22" s="44">
        <f t="shared" si="4"/>
        <v>-3.2999999999999963</v>
      </c>
      <c r="M22" s="53">
        <f t="shared" si="5"/>
        <v>-35.223549999999989</v>
      </c>
      <c r="N22" s="228"/>
      <c r="O22" s="229"/>
      <c r="P22" s="230"/>
      <c r="Q22" s="47">
        <v>44568.847222222219</v>
      </c>
      <c r="R22" s="44">
        <f t="shared" si="0"/>
        <v>0.34086000013888462</v>
      </c>
      <c r="S22" s="44">
        <f t="shared" si="1"/>
        <v>-4.8032113636490701</v>
      </c>
    </row>
    <row r="23" spans="1:19" ht="12" customHeight="1" x14ac:dyDescent="0.2">
      <c r="A23" s="37"/>
      <c r="B23" s="48"/>
      <c r="C23" s="49">
        <v>4.37</v>
      </c>
      <c r="D23" s="54">
        <v>44</v>
      </c>
      <c r="E23" s="39">
        <v>1762</v>
      </c>
      <c r="F23" s="40">
        <v>7.61</v>
      </c>
      <c r="G23" s="51"/>
      <c r="H23" s="44">
        <f t="shared" si="7"/>
        <v>-1.7829600000000001</v>
      </c>
      <c r="I23" s="52">
        <f t="shared" si="6"/>
        <v>-1.8999999999999995</v>
      </c>
      <c r="J23" s="44">
        <f t="shared" si="2"/>
        <v>-0.11703999999999937</v>
      </c>
      <c r="K23" s="44">
        <f t="shared" si="3"/>
        <v>30.140589999999996</v>
      </c>
      <c r="L23" s="44">
        <f t="shared" si="4"/>
        <v>-5.1999999999999957</v>
      </c>
      <c r="M23" s="53">
        <f t="shared" si="5"/>
        <v>-35.340589999999992</v>
      </c>
      <c r="N23" s="228"/>
      <c r="O23" s="229"/>
      <c r="P23" s="230"/>
      <c r="Q23" s="47">
        <v>44568.868055555555</v>
      </c>
      <c r="R23" s="44">
        <f t="shared" si="0"/>
        <v>-0.23407999997274823</v>
      </c>
      <c r="S23" s="44">
        <f t="shared" si="1"/>
        <v>-4.5115646808287133</v>
      </c>
    </row>
    <row r="24" spans="1:19" ht="12" customHeight="1" x14ac:dyDescent="0.2">
      <c r="A24" s="37"/>
      <c r="B24" s="48"/>
      <c r="C24" s="49">
        <v>4.37</v>
      </c>
      <c r="D24" s="54">
        <v>25</v>
      </c>
      <c r="E24" s="39">
        <v>1245</v>
      </c>
      <c r="F24" s="40">
        <v>4.07</v>
      </c>
      <c r="G24" s="51"/>
      <c r="H24" s="44">
        <f t="shared" si="7"/>
        <v>-2.25929</v>
      </c>
      <c r="I24" s="52">
        <f t="shared" si="6"/>
        <v>-3.54</v>
      </c>
      <c r="J24" s="44">
        <f t="shared" si="2"/>
        <v>-1.28071</v>
      </c>
      <c r="K24" s="44">
        <f t="shared" si="3"/>
        <v>27.881299999999996</v>
      </c>
      <c r="L24" s="44">
        <f t="shared" si="4"/>
        <v>-8.7399999999999949</v>
      </c>
      <c r="M24" s="53">
        <f t="shared" si="5"/>
        <v>-36.621299999999991</v>
      </c>
      <c r="N24" s="231"/>
      <c r="O24" s="229"/>
      <c r="P24" s="230"/>
      <c r="Q24" s="47">
        <v>44568.888888888891</v>
      </c>
      <c r="R24" s="44">
        <f t="shared" si="0"/>
        <v>-2.5614199997018114</v>
      </c>
      <c r="S24" s="44">
        <f t="shared" si="1"/>
        <v>-4.3945559999488397</v>
      </c>
    </row>
    <row r="25" spans="1:19" ht="12" customHeight="1" x14ac:dyDescent="0.2">
      <c r="A25" s="37"/>
      <c r="B25" s="48"/>
      <c r="C25" s="49">
        <v>4.37</v>
      </c>
      <c r="D25" s="54">
        <v>6</v>
      </c>
      <c r="E25" s="39">
        <v>729</v>
      </c>
      <c r="F25" s="40">
        <v>7.45</v>
      </c>
      <c r="G25" s="51">
        <f>-2+8.3</f>
        <v>6.3000000000000007</v>
      </c>
      <c r="H25" s="44">
        <f t="shared" si="7"/>
        <v>-2.2549200000000003</v>
      </c>
      <c r="I25" s="52">
        <f t="shared" si="6"/>
        <v>-2.9200000000000008</v>
      </c>
      <c r="J25" s="44">
        <f t="shared" si="2"/>
        <v>-0.66508000000000056</v>
      </c>
      <c r="K25" s="44">
        <f t="shared" si="3"/>
        <v>25.626379999999997</v>
      </c>
      <c r="L25" s="44">
        <f t="shared" si="4"/>
        <v>-11.659999999999997</v>
      </c>
      <c r="M25" s="53">
        <f t="shared" si="5"/>
        <v>-37.286379999999994</v>
      </c>
      <c r="N25" s="228"/>
      <c r="O25" s="229"/>
      <c r="P25" s="230"/>
      <c r="Q25" s="47">
        <v>44568.909722222219</v>
      </c>
      <c r="R25" s="44">
        <f t="shared" si="0"/>
        <v>-1.3301600003097032</v>
      </c>
      <c r="S25" s="44">
        <f t="shared" si="1"/>
        <v>-4.2210996226507804</v>
      </c>
    </row>
    <row r="26" spans="1:19" ht="12" customHeight="1" x14ac:dyDescent="0.2">
      <c r="A26" s="37"/>
      <c r="B26" s="48"/>
      <c r="C26" s="49">
        <v>4.37</v>
      </c>
      <c r="D26" s="54">
        <v>0</v>
      </c>
      <c r="E26" s="39">
        <v>566</v>
      </c>
      <c r="F26" s="40">
        <v>6.33</v>
      </c>
      <c r="G26" s="51"/>
      <c r="H26" s="44">
        <f>IF(E26="","",((E26-E25)*C26)/1000)</f>
        <v>-0.71231000000000011</v>
      </c>
      <c r="I26" s="52">
        <f>IF(F26="","",F26-F25-G26)</f>
        <v>-1.1200000000000001</v>
      </c>
      <c r="J26" s="44">
        <f t="shared" si="2"/>
        <v>-0.40769</v>
      </c>
      <c r="K26" s="44">
        <f t="shared" si="3"/>
        <v>24.914069999999999</v>
      </c>
      <c r="L26" s="44">
        <f t="shared" si="4"/>
        <v>-12.779999999999998</v>
      </c>
      <c r="M26" s="53">
        <f t="shared" si="5"/>
        <v>-37.694069999999996</v>
      </c>
      <c r="N26" s="228"/>
      <c r="O26" s="229"/>
      <c r="P26" s="230"/>
      <c r="Q26" s="47">
        <v>44568.915972222225</v>
      </c>
      <c r="R26" s="44">
        <f t="shared" si="0"/>
        <v>-2.7179333308020608</v>
      </c>
      <c r="S26" s="44">
        <f t="shared" si="1"/>
        <v>-4.1960003710013245</v>
      </c>
    </row>
    <row r="27" spans="1:19" ht="12" customHeight="1" x14ac:dyDescent="0.2">
      <c r="A27" s="37"/>
      <c r="B27" s="48"/>
      <c r="C27" s="49">
        <v>4.37</v>
      </c>
      <c r="D27" s="58"/>
      <c r="E27" s="39">
        <v>566</v>
      </c>
      <c r="F27" s="40">
        <v>6</v>
      </c>
      <c r="G27" s="51"/>
      <c r="H27" s="44">
        <f t="shared" si="7"/>
        <v>0</v>
      </c>
      <c r="I27" s="52">
        <f>IF(F27="","",F27-F26-G27)</f>
        <v>-0.33000000000000007</v>
      </c>
      <c r="J27" s="44">
        <f>IF(F27="","",I27-H27)</f>
        <v>-0.33000000000000007</v>
      </c>
      <c r="K27" s="44">
        <f>IF(F27="","",K26+H27)</f>
        <v>24.914069999999999</v>
      </c>
      <c r="L27" s="44">
        <f>IF(F27="","",L26+I27)</f>
        <v>-13.109999999999998</v>
      </c>
      <c r="M27" s="53">
        <f>IF(F27="","",L27-K27)</f>
        <v>-38.024069999999995</v>
      </c>
      <c r="N27" s="231"/>
      <c r="O27" s="229"/>
      <c r="P27" s="230"/>
      <c r="Q27" s="47">
        <v>44568.92291666667</v>
      </c>
      <c r="R27" s="44">
        <f t="shared" si="0"/>
        <v>-1.9799999997694981</v>
      </c>
      <c r="S27" s="44">
        <f t="shared" si="1"/>
        <v>-4.1556360655103237</v>
      </c>
    </row>
    <row r="28" spans="1:19" ht="12" customHeight="1" x14ac:dyDescent="0.2">
      <c r="A28" s="37"/>
      <c r="B28" s="48" t="s">
        <v>29</v>
      </c>
      <c r="C28" s="49">
        <v>10.58</v>
      </c>
      <c r="D28" s="58">
        <v>12</v>
      </c>
      <c r="E28" s="39">
        <v>434</v>
      </c>
      <c r="F28" s="40">
        <v>7.45</v>
      </c>
      <c r="G28" s="51">
        <f>-5.95+8.55</f>
        <v>2.6000000000000005</v>
      </c>
      <c r="H28" s="44">
        <f t="shared" si="7"/>
        <v>-1.39656</v>
      </c>
      <c r="I28" s="52">
        <f>IF(F28="","",F28-F27-G28)</f>
        <v>-1.1500000000000004</v>
      </c>
      <c r="J28" s="44">
        <f t="shared" si="2"/>
        <v>0.24655999999999967</v>
      </c>
      <c r="K28" s="44">
        <f t="shared" si="3"/>
        <v>23.517509999999998</v>
      </c>
      <c r="L28" s="44">
        <f t="shared" si="4"/>
        <v>-14.259999999999998</v>
      </c>
      <c r="M28" s="53">
        <f t="shared" si="5"/>
        <v>-37.777509999999992</v>
      </c>
      <c r="N28" s="231"/>
      <c r="O28" s="229"/>
      <c r="P28" s="230"/>
      <c r="Q28" s="47">
        <v>44568.930555555555</v>
      </c>
      <c r="R28" s="44">
        <f t="shared" si="0"/>
        <v>1.3448727280128452</v>
      </c>
      <c r="S28" s="44">
        <f t="shared" si="1"/>
        <v>-4.0475903571260279</v>
      </c>
    </row>
    <row r="29" spans="1:19" ht="12" customHeight="1" x14ac:dyDescent="0.2">
      <c r="A29" s="37"/>
      <c r="B29" s="48"/>
      <c r="C29" s="49">
        <v>10.58</v>
      </c>
      <c r="D29" s="58">
        <v>0</v>
      </c>
      <c r="E29" s="39">
        <v>120</v>
      </c>
      <c r="F29" s="40">
        <v>3.05</v>
      </c>
      <c r="G29" s="51"/>
      <c r="H29" s="44">
        <f t="shared" si="7"/>
        <v>-3.32212</v>
      </c>
      <c r="I29" s="52">
        <f t="shared" si="6"/>
        <v>-4.4000000000000004</v>
      </c>
      <c r="J29" s="44">
        <f t="shared" si="2"/>
        <v>-1.0778800000000004</v>
      </c>
      <c r="K29" s="44">
        <f t="shared" si="3"/>
        <v>20.195389999999996</v>
      </c>
      <c r="L29" s="44">
        <f t="shared" si="4"/>
        <v>-18.659999999999997</v>
      </c>
      <c r="M29" s="53">
        <f t="shared" si="5"/>
        <v>-38.855389999999993</v>
      </c>
      <c r="N29" s="228"/>
      <c r="O29" s="229"/>
      <c r="P29" s="230"/>
      <c r="Q29" s="47">
        <v>44568.946527777778</v>
      </c>
      <c r="R29" s="44">
        <f t="shared" si="0"/>
        <v>-2.8118608693659657</v>
      </c>
      <c r="S29" s="44">
        <f t="shared" si="1"/>
        <v>-3.9988394510877732</v>
      </c>
    </row>
    <row r="30" spans="1:19" ht="12" customHeight="1" x14ac:dyDescent="0.2">
      <c r="A30" s="37"/>
      <c r="B30" s="48"/>
      <c r="C30" s="49">
        <v>10.58</v>
      </c>
      <c r="D30" s="58"/>
      <c r="E30" s="39">
        <v>115</v>
      </c>
      <c r="F30" s="40">
        <v>1.58</v>
      </c>
      <c r="G30" s="59"/>
      <c r="H30" s="44">
        <f t="shared" si="7"/>
        <v>-5.2899999999999996E-2</v>
      </c>
      <c r="I30" s="52">
        <f t="shared" si="6"/>
        <v>-1.4699999999999998</v>
      </c>
      <c r="J30" s="44">
        <f t="shared" si="2"/>
        <v>-1.4170999999999998</v>
      </c>
      <c r="K30" s="44">
        <f t="shared" si="3"/>
        <v>20.142489999999995</v>
      </c>
      <c r="L30" s="44">
        <f t="shared" si="4"/>
        <v>-20.129999999999995</v>
      </c>
      <c r="M30" s="53">
        <f t="shared" si="5"/>
        <v>-40.272489999999991</v>
      </c>
      <c r="N30" s="228"/>
      <c r="O30" s="229"/>
      <c r="P30" s="230"/>
      <c r="Q30" s="47">
        <v>44568.972222222219</v>
      </c>
      <c r="R30" s="44">
        <f t="shared" si="0"/>
        <v>-2.2980000003181345</v>
      </c>
      <c r="S30" s="44">
        <f t="shared" si="1"/>
        <v>-3.8973377419428008</v>
      </c>
    </row>
    <row r="31" spans="1:19" ht="12" customHeight="1" x14ac:dyDescent="0.2">
      <c r="A31" s="37"/>
      <c r="B31" s="48"/>
      <c r="C31" s="49">
        <v>10.58</v>
      </c>
      <c r="D31" s="58"/>
      <c r="E31" s="39">
        <v>0</v>
      </c>
      <c r="F31" s="40">
        <v>5.41</v>
      </c>
      <c r="G31" s="51">
        <f>-1.58+8.03</f>
        <v>6.4499999999999993</v>
      </c>
      <c r="H31" s="44">
        <f t="shared" si="7"/>
        <v>-1.2167000000000001</v>
      </c>
      <c r="I31" s="52">
        <f t="shared" si="6"/>
        <v>-2.6199999999999992</v>
      </c>
      <c r="J31" s="44">
        <f t="shared" si="2"/>
        <v>-1.4032999999999991</v>
      </c>
      <c r="K31" s="44">
        <f t="shared" si="3"/>
        <v>18.925789999999996</v>
      </c>
      <c r="L31" s="44">
        <f t="shared" si="4"/>
        <v>-22.749999999999993</v>
      </c>
      <c r="M31" s="53">
        <f t="shared" si="5"/>
        <v>-41.675789999999992</v>
      </c>
      <c r="N31" s="231"/>
      <c r="O31" s="229"/>
      <c r="P31" s="230"/>
      <c r="Q31" s="47">
        <v>44568.994444444441</v>
      </c>
      <c r="R31" s="44">
        <f t="shared" si="0"/>
        <v>-2.6311875000382869</v>
      </c>
      <c r="S31" s="44">
        <f t="shared" si="1"/>
        <v>-3.8351953987825924</v>
      </c>
    </row>
    <row r="32" spans="1:19" ht="12" customHeight="1" x14ac:dyDescent="0.2">
      <c r="A32" s="37"/>
      <c r="B32" s="48"/>
      <c r="C32" s="49">
        <v>10.58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10.58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4.37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4.37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4.37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4.37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4.37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4.37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 t="s">
        <v>29</v>
      </c>
      <c r="C46" s="49">
        <v>10.58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10.58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10.58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10.58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10.58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10.58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 t="s">
        <v>93</v>
      </c>
      <c r="C52" s="49">
        <v>4.28</v>
      </c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4.28</v>
      </c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>
        <v>4.28</v>
      </c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>
        <v>4.28</v>
      </c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U112"/>
  <sheetViews>
    <sheetView zoomScale="110" zoomScaleNormal="110" workbookViewId="0">
      <selection activeCell="G56" sqref="G5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20</v>
      </c>
      <c r="F6" s="40">
        <v>1.1399999999999999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44567.183333333334</v>
      </c>
      <c r="R6" s="11"/>
      <c r="S6" s="11"/>
    </row>
    <row r="7" spans="1:20" ht="12" customHeight="1" x14ac:dyDescent="0.2">
      <c r="A7" s="37"/>
      <c r="B7" s="48" t="s">
        <v>39</v>
      </c>
      <c r="C7" s="49">
        <v>15.93</v>
      </c>
      <c r="D7" s="39">
        <v>0</v>
      </c>
      <c r="E7" s="39">
        <v>112</v>
      </c>
      <c r="F7" s="40">
        <v>1.4</v>
      </c>
      <c r="G7" s="51">
        <f>-1.45+2.14</f>
        <v>0.69000000000000017</v>
      </c>
      <c r="H7" s="44">
        <f>IF(E7="","",((E7-E6)*C7)/1000)</f>
        <v>1.46556</v>
      </c>
      <c r="I7" s="52">
        <f>IF(F7="","",F7-F6-G7)</f>
        <v>-0.43000000000000016</v>
      </c>
      <c r="J7" s="44">
        <f>IF(F7="","",I7-H7)</f>
        <v>-1.8955600000000001</v>
      </c>
      <c r="K7" s="44">
        <f>IF(F7="","",K6+H7)</f>
        <v>1.46556</v>
      </c>
      <c r="L7" s="44">
        <f>IF(F7="","",L6+I7)</f>
        <v>-0.43000000000000016</v>
      </c>
      <c r="M7" s="53">
        <f>IF(F7="","",L7-K7)</f>
        <v>-1.8955600000000001</v>
      </c>
      <c r="N7" s="231" t="s">
        <v>97</v>
      </c>
      <c r="O7" s="229"/>
      <c r="P7" s="230"/>
      <c r="Q7" s="47">
        <v>44567.251388888886</v>
      </c>
      <c r="R7" s="44">
        <f t="shared" ref="R7:R70" si="0">IF(Q7="","",J7/((Q7-Q6)*24))</f>
        <v>-1.1605469388389271</v>
      </c>
      <c r="S7" s="44">
        <f t="shared" ref="S7:S70" si="1">IF(Q7="","",M7/((Q7-$Q$6)*24))</f>
        <v>-1.1605469388389271</v>
      </c>
    </row>
    <row r="8" spans="1:20" ht="12" customHeight="1" x14ac:dyDescent="0.2">
      <c r="A8" s="37"/>
      <c r="B8" s="48"/>
      <c r="C8" s="49">
        <v>15.74</v>
      </c>
      <c r="D8" s="54"/>
      <c r="E8" s="39">
        <v>1147</v>
      </c>
      <c r="F8" s="40">
        <v>7.85</v>
      </c>
      <c r="G8" s="51">
        <v>-8.25</v>
      </c>
      <c r="H8" s="44">
        <f>IF(E8="","",((E8-E7)*C8)/1000)</f>
        <v>16.290900000000001</v>
      </c>
      <c r="I8" s="52">
        <f>IF(F8="","",F8-F7-G8)</f>
        <v>14.7</v>
      </c>
      <c r="J8" s="44">
        <f>IF(F8="","",I8-H8)</f>
        <v>-1.5909000000000013</v>
      </c>
      <c r="K8" s="44">
        <f>IF(F8="","",K7+H8)</f>
        <v>17.756460000000001</v>
      </c>
      <c r="L8" s="44">
        <f>IF(F8="","",L7+I8)</f>
        <v>14.27</v>
      </c>
      <c r="M8" s="53">
        <f>IF(F8="","",L8-K8)</f>
        <v>-3.486460000000001</v>
      </c>
      <c r="N8" s="231"/>
      <c r="O8" s="229"/>
      <c r="P8" s="230"/>
      <c r="Q8" s="47">
        <v>44567.324305555558</v>
      </c>
      <c r="R8" s="44">
        <f t="shared" si="0"/>
        <v>-0.90908571422523987</v>
      </c>
      <c r="S8" s="44">
        <f t="shared" si="1"/>
        <v>-1.0304807881690667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1282</v>
      </c>
      <c r="F9" s="40">
        <v>4.92</v>
      </c>
      <c r="G9" s="51">
        <v>-4.05</v>
      </c>
      <c r="H9" s="44">
        <f>IF(E9="","",((E9-E8)*C9)/1000)</f>
        <v>2.1249000000000002</v>
      </c>
      <c r="I9" s="52">
        <f>IF(F9="","",F9-F8-G9)</f>
        <v>1.1200000000000001</v>
      </c>
      <c r="J9" s="44">
        <f>IF(F9="","",I9-H9)</f>
        <v>-1.0049000000000001</v>
      </c>
      <c r="K9" s="44">
        <f>IF(F9="","",K8+H9)</f>
        <v>19.881360000000001</v>
      </c>
      <c r="L9" s="44">
        <f>IF(F9="","",L8+I9)</f>
        <v>15.39</v>
      </c>
      <c r="M9" s="53">
        <f>IF(F9="","",L9-K9)</f>
        <v>-4.4913600000000002</v>
      </c>
      <c r="N9" s="228"/>
      <c r="O9" s="229"/>
      <c r="P9" s="230"/>
      <c r="Q9" s="47">
        <v>44567.329861111109</v>
      </c>
      <c r="R9" s="44">
        <f t="shared" si="0"/>
        <v>-7.536750005045012</v>
      </c>
      <c r="S9" s="44">
        <f t="shared" si="1"/>
        <v>-1.2771639810652029</v>
      </c>
    </row>
    <row r="10" spans="1:20" ht="12" customHeight="1" x14ac:dyDescent="0.2">
      <c r="A10" s="37"/>
      <c r="B10" s="48"/>
      <c r="C10" s="49">
        <v>15.74</v>
      </c>
      <c r="D10" s="54"/>
      <c r="E10" s="39">
        <v>1813</v>
      </c>
      <c r="F10" s="40">
        <v>7.43</v>
      </c>
      <c r="G10" s="51">
        <v>-4.5</v>
      </c>
      <c r="H10" s="44">
        <f>IF(E10="","",((E10-E9)*C10)/1000)</f>
        <v>8.357940000000001</v>
      </c>
      <c r="I10" s="52">
        <f>IF(F10="","",F10-F9-G10)</f>
        <v>7.01</v>
      </c>
      <c r="J10" s="44">
        <f t="shared" ref="J10:J73" si="2">IF(F10="","",I10-H10)</f>
        <v>-1.3479400000000012</v>
      </c>
      <c r="K10" s="44">
        <f t="shared" ref="K10:K73" si="3">IF(F10="","",K9+H10)</f>
        <v>28.2393</v>
      </c>
      <c r="L10" s="44">
        <f t="shared" ref="L10:L73" si="4">IF(F10="","",L9+I10)</f>
        <v>22.4</v>
      </c>
      <c r="M10" s="53">
        <f t="shared" ref="M10:M73" si="5">IF(F10="","",L10-K10)</f>
        <v>-5.8393000000000015</v>
      </c>
      <c r="N10" s="249"/>
      <c r="O10" s="250"/>
      <c r="P10" s="251"/>
      <c r="Q10" s="47">
        <v>44567.379166666666</v>
      </c>
      <c r="R10" s="44">
        <f t="shared" si="0"/>
        <v>-1.1391042253371719</v>
      </c>
      <c r="S10" s="44">
        <f t="shared" si="1"/>
        <v>-1.2424042553314587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2093</v>
      </c>
      <c r="F11" s="40">
        <v>6.23</v>
      </c>
      <c r="G11" s="51"/>
      <c r="H11" s="44">
        <f>IF(E11="","",((E11-E10)*C11)/1000)</f>
        <v>2.9624000000000001</v>
      </c>
      <c r="I11" s="52">
        <f t="shared" ref="I11:I74" si="6">IF(F11="","",F11-F10-G11)</f>
        <v>-1.1999999999999993</v>
      </c>
      <c r="J11" s="44">
        <f t="shared" si="2"/>
        <v>-4.1623999999999999</v>
      </c>
      <c r="K11" s="44">
        <f t="shared" si="3"/>
        <v>31.201699999999999</v>
      </c>
      <c r="L11" s="44">
        <f t="shared" si="4"/>
        <v>21.2</v>
      </c>
      <c r="M11" s="53">
        <f t="shared" si="5"/>
        <v>-10.0017</v>
      </c>
      <c r="N11" s="228"/>
      <c r="O11" s="229"/>
      <c r="P11" s="230"/>
      <c r="Q11" s="47">
        <v>44567.456250000003</v>
      </c>
      <c r="R11" s="44">
        <f t="shared" si="0"/>
        <v>-2.2499459458326796</v>
      </c>
      <c r="S11" s="44">
        <f t="shared" si="1"/>
        <v>-1.5269770992257854</v>
      </c>
    </row>
    <row r="12" spans="1:20" ht="12" customHeight="1" x14ac:dyDescent="0.2">
      <c r="A12" s="37"/>
      <c r="B12" s="48"/>
      <c r="C12" s="49">
        <v>10.58</v>
      </c>
      <c r="D12" s="54"/>
      <c r="E12" s="39">
        <v>2093</v>
      </c>
      <c r="F12" s="56">
        <v>6.1</v>
      </c>
      <c r="G12" s="51"/>
      <c r="H12" s="44">
        <f t="shared" ref="H12:H74" si="7">IF(E12="","",((E12-E11)*C12)/1000)</f>
        <v>0</v>
      </c>
      <c r="I12" s="52">
        <f t="shared" si="6"/>
        <v>-0.13000000000000078</v>
      </c>
      <c r="J12" s="44">
        <f t="shared" si="2"/>
        <v>-0.13000000000000078</v>
      </c>
      <c r="K12" s="44">
        <f t="shared" si="3"/>
        <v>31.201699999999999</v>
      </c>
      <c r="L12" s="44">
        <f t="shared" si="4"/>
        <v>21.07</v>
      </c>
      <c r="M12" s="53">
        <f t="shared" si="5"/>
        <v>-10.131699999999999</v>
      </c>
      <c r="N12" s="228"/>
      <c r="O12" s="229"/>
      <c r="P12" s="230"/>
      <c r="Q12" s="47">
        <v>44567.535416666666</v>
      </c>
      <c r="R12" s="44">
        <f t="shared" si="0"/>
        <v>-6.8421052634933158E-2</v>
      </c>
      <c r="S12" s="44">
        <f t="shared" si="1"/>
        <v>-1.1990177514858973</v>
      </c>
    </row>
    <row r="13" spans="1:20" ht="12" customHeight="1" x14ac:dyDescent="0.2">
      <c r="A13" s="37"/>
      <c r="B13" s="48" t="s">
        <v>38</v>
      </c>
      <c r="C13" s="49">
        <v>4.37</v>
      </c>
      <c r="D13" s="54"/>
      <c r="E13" s="39">
        <v>2085</v>
      </c>
      <c r="F13" s="56">
        <v>8.92</v>
      </c>
      <c r="G13" s="51">
        <v>4.4000000000000004</v>
      </c>
      <c r="H13" s="44">
        <f>IF(E13="","",((E13-E12)*C13)/1000)</f>
        <v>-3.4959999999999998E-2</v>
      </c>
      <c r="I13" s="52">
        <f t="shared" si="6"/>
        <v>-1.58</v>
      </c>
      <c r="J13" s="44">
        <f t="shared" si="2"/>
        <v>-1.54504</v>
      </c>
      <c r="K13" s="44">
        <f t="shared" si="3"/>
        <v>31.166739999999997</v>
      </c>
      <c r="L13" s="44">
        <f t="shared" si="4"/>
        <v>19.490000000000002</v>
      </c>
      <c r="M13" s="53">
        <f t="shared" si="5"/>
        <v>-11.676739999999995</v>
      </c>
      <c r="N13" s="231" t="s">
        <v>98</v>
      </c>
      <c r="O13" s="229"/>
      <c r="P13" s="230"/>
      <c r="Q13" s="47">
        <v>44567.572916666664</v>
      </c>
      <c r="R13" s="44">
        <f t="shared" si="0"/>
        <v>-1.7167111111777282</v>
      </c>
      <c r="S13" s="44">
        <f t="shared" si="1"/>
        <v>-1.2488491978718466</v>
      </c>
    </row>
    <row r="14" spans="1:20" ht="12" customHeight="1" x14ac:dyDescent="0.2">
      <c r="A14" s="37"/>
      <c r="B14" s="48"/>
      <c r="C14" s="49">
        <v>4.37</v>
      </c>
      <c r="D14" s="54"/>
      <c r="E14" s="39">
        <v>2058</v>
      </c>
      <c r="F14" s="56">
        <v>9.0299999999999994</v>
      </c>
      <c r="G14" s="51"/>
      <c r="H14" s="44">
        <f t="shared" si="7"/>
        <v>-0.11799000000000001</v>
      </c>
      <c r="I14" s="52">
        <f t="shared" si="6"/>
        <v>0.10999999999999943</v>
      </c>
      <c r="J14" s="44">
        <f t="shared" si="2"/>
        <v>0.22798999999999944</v>
      </c>
      <c r="K14" s="44">
        <f t="shared" si="3"/>
        <v>31.048749999999998</v>
      </c>
      <c r="L14" s="44">
        <f t="shared" si="4"/>
        <v>19.600000000000001</v>
      </c>
      <c r="M14" s="53">
        <f t="shared" si="5"/>
        <v>-11.448749999999997</v>
      </c>
      <c r="N14" s="231"/>
      <c r="O14" s="229"/>
      <c r="P14" s="230"/>
      <c r="Q14" s="47">
        <v>44567.57708333333</v>
      </c>
      <c r="R14" s="44">
        <f t="shared" si="0"/>
        <v>2.2799000005308252</v>
      </c>
      <c r="S14" s="44">
        <f t="shared" si="1"/>
        <v>-1.2115079365213683</v>
      </c>
    </row>
    <row r="15" spans="1:20" ht="12" customHeight="1" x14ac:dyDescent="0.2">
      <c r="A15" s="37"/>
      <c r="B15" s="48"/>
      <c r="C15" s="49">
        <v>4.37</v>
      </c>
      <c r="D15" s="54"/>
      <c r="E15" s="39">
        <v>2058</v>
      </c>
      <c r="F15" s="40">
        <v>8.94</v>
      </c>
      <c r="G15" s="51"/>
      <c r="H15" s="44">
        <f t="shared" si="7"/>
        <v>0</v>
      </c>
      <c r="I15" s="52">
        <f t="shared" si="6"/>
        <v>-8.9999999999999858E-2</v>
      </c>
      <c r="J15" s="44">
        <f t="shared" si="2"/>
        <v>-8.9999999999999858E-2</v>
      </c>
      <c r="K15" s="44">
        <f t="shared" si="3"/>
        <v>31.048749999999998</v>
      </c>
      <c r="L15" s="44">
        <f t="shared" si="4"/>
        <v>19.510000000000002</v>
      </c>
      <c r="M15" s="53">
        <f t="shared" si="5"/>
        <v>-11.538749999999997</v>
      </c>
      <c r="N15" s="231" t="s">
        <v>88</v>
      </c>
      <c r="O15" s="229"/>
      <c r="P15" s="230"/>
      <c r="Q15" s="47">
        <v>44567.585416666669</v>
      </c>
      <c r="R15" s="44">
        <f t="shared" si="0"/>
        <v>-0.44999999971187138</v>
      </c>
      <c r="S15" s="44">
        <f t="shared" si="1"/>
        <v>-1.1957253885981509</v>
      </c>
    </row>
    <row r="16" spans="1:20" ht="12" customHeight="1" x14ac:dyDescent="0.2">
      <c r="A16" s="37"/>
      <c r="B16" s="48"/>
      <c r="C16" s="49">
        <v>4.37</v>
      </c>
      <c r="D16" s="57"/>
      <c r="E16" s="39">
        <v>2030</v>
      </c>
      <c r="F16" s="40">
        <v>8.9700000000000006</v>
      </c>
      <c r="G16" s="51"/>
      <c r="H16" s="44">
        <f t="shared" si="7"/>
        <v>-0.12236</v>
      </c>
      <c r="I16" s="52">
        <f t="shared" si="6"/>
        <v>3.0000000000001137E-2</v>
      </c>
      <c r="J16" s="44">
        <f t="shared" si="2"/>
        <v>0.15236000000000113</v>
      </c>
      <c r="K16" s="44">
        <f t="shared" si="3"/>
        <v>30.926389999999998</v>
      </c>
      <c r="L16" s="44">
        <f t="shared" si="4"/>
        <v>19.540000000000003</v>
      </c>
      <c r="M16" s="53">
        <f t="shared" si="5"/>
        <v>-11.386389999999995</v>
      </c>
      <c r="N16" s="228"/>
      <c r="O16" s="229"/>
      <c r="P16" s="230"/>
      <c r="Q16" s="47">
        <v>44567.590277777781</v>
      </c>
      <c r="R16" s="44">
        <f t="shared" si="0"/>
        <v>1.3059428567953657</v>
      </c>
      <c r="S16" s="44">
        <f t="shared" si="1"/>
        <v>-1.1658419795156989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2030</v>
      </c>
      <c r="F17" s="40">
        <v>8.84</v>
      </c>
      <c r="G17" s="51">
        <f>8.96-8.87</f>
        <v>9.0000000000001634E-2</v>
      </c>
      <c r="H17" s="44">
        <f t="shared" si="7"/>
        <v>0</v>
      </c>
      <c r="I17" s="52">
        <f t="shared" si="6"/>
        <v>-0.22000000000000242</v>
      </c>
      <c r="J17" s="44">
        <f t="shared" si="2"/>
        <v>-0.22000000000000242</v>
      </c>
      <c r="K17" s="44">
        <f t="shared" si="3"/>
        <v>30.926389999999998</v>
      </c>
      <c r="L17" s="44">
        <f t="shared" si="4"/>
        <v>19.32</v>
      </c>
      <c r="M17" s="53">
        <f t="shared" si="5"/>
        <v>-11.606389999999998</v>
      </c>
      <c r="N17" s="231" t="s">
        <v>99</v>
      </c>
      <c r="O17" s="229"/>
      <c r="P17" s="230"/>
      <c r="Q17" s="47">
        <v>44567.598611111112</v>
      </c>
      <c r="R17" s="44">
        <f t="shared" si="0"/>
        <v>-1.1000000002561259</v>
      </c>
      <c r="S17" s="44">
        <f t="shared" si="1"/>
        <v>-1.1645207357850462</v>
      </c>
    </row>
    <row r="18" spans="1:19" ht="12" customHeight="1" x14ac:dyDescent="0.2">
      <c r="A18" s="37"/>
      <c r="B18" s="48"/>
      <c r="C18" s="49">
        <v>4.37</v>
      </c>
      <c r="D18" s="54"/>
      <c r="E18" s="39">
        <v>2030</v>
      </c>
      <c r="F18" s="40">
        <v>8.77</v>
      </c>
      <c r="G18" s="40"/>
      <c r="H18" s="44">
        <f t="shared" si="7"/>
        <v>0</v>
      </c>
      <c r="I18" s="52">
        <f t="shared" si="6"/>
        <v>-7.0000000000000284E-2</v>
      </c>
      <c r="J18" s="44">
        <f t="shared" si="2"/>
        <v>-7.0000000000000284E-2</v>
      </c>
      <c r="K18" s="44">
        <f t="shared" si="3"/>
        <v>30.926389999999998</v>
      </c>
      <c r="L18" s="44">
        <f t="shared" si="4"/>
        <v>19.25</v>
      </c>
      <c r="M18" s="53">
        <f t="shared" si="5"/>
        <v>-11.676389999999998</v>
      </c>
      <c r="N18" s="228"/>
      <c r="O18" s="229"/>
      <c r="P18" s="230"/>
      <c r="Q18" s="47">
        <v>44567.603472222225</v>
      </c>
      <c r="R18" s="44">
        <f t="shared" si="0"/>
        <v>-0.59999999984034713</v>
      </c>
      <c r="S18" s="44">
        <f t="shared" si="1"/>
        <v>-1.1579890909046342</v>
      </c>
    </row>
    <row r="19" spans="1:19" ht="12" customHeight="1" x14ac:dyDescent="0.2">
      <c r="A19" s="37"/>
      <c r="B19" s="48"/>
      <c r="C19" s="49">
        <v>4.37</v>
      </c>
      <c r="D19" s="54"/>
      <c r="E19" s="39">
        <v>2030</v>
      </c>
      <c r="F19" s="40">
        <v>8.57</v>
      </c>
      <c r="G19" s="40"/>
      <c r="H19" s="44">
        <f t="shared" si="7"/>
        <v>0</v>
      </c>
      <c r="I19" s="52">
        <f t="shared" si="6"/>
        <v>-0.19999999999999929</v>
      </c>
      <c r="J19" s="44">
        <f t="shared" si="2"/>
        <v>-0.19999999999999929</v>
      </c>
      <c r="K19" s="44">
        <f t="shared" si="3"/>
        <v>30.926389999999998</v>
      </c>
      <c r="L19" s="44">
        <f t="shared" si="4"/>
        <v>19.05</v>
      </c>
      <c r="M19" s="53">
        <f t="shared" si="5"/>
        <v>-11.876389999999997</v>
      </c>
      <c r="N19" s="228" t="s">
        <v>100</v>
      </c>
      <c r="O19" s="229"/>
      <c r="P19" s="230"/>
      <c r="Q19" s="47">
        <v>44567.613194444442</v>
      </c>
      <c r="R19" s="44">
        <f t="shared" si="0"/>
        <v>-0.85714285755624731</v>
      </c>
      <c r="S19" s="44">
        <f t="shared" si="1"/>
        <v>-1.151184814224705</v>
      </c>
    </row>
    <row r="20" spans="1:19" ht="12" customHeight="1" x14ac:dyDescent="0.2">
      <c r="A20" s="37"/>
      <c r="B20" s="48"/>
      <c r="C20" s="49">
        <v>4.37</v>
      </c>
      <c r="D20" s="54"/>
      <c r="E20" s="39">
        <v>1976</v>
      </c>
      <c r="F20" s="40">
        <v>8.3699999999999992</v>
      </c>
      <c r="G20" s="40"/>
      <c r="H20" s="44">
        <f t="shared" si="7"/>
        <v>-0.23598000000000002</v>
      </c>
      <c r="I20" s="52">
        <f t="shared" si="6"/>
        <v>-0.20000000000000107</v>
      </c>
      <c r="J20" s="44">
        <f t="shared" si="2"/>
        <v>3.5979999999998957E-2</v>
      </c>
      <c r="K20" s="44">
        <f t="shared" si="3"/>
        <v>30.690409999999996</v>
      </c>
      <c r="L20" s="44">
        <f t="shared" si="4"/>
        <v>18.850000000000001</v>
      </c>
      <c r="M20" s="53">
        <f t="shared" si="5"/>
        <v>-11.840409999999995</v>
      </c>
      <c r="N20" s="242"/>
      <c r="O20" s="229"/>
      <c r="P20" s="230"/>
      <c r="Q20" s="47">
        <v>44567.625694444447</v>
      </c>
      <c r="R20" s="44">
        <f t="shared" si="0"/>
        <v>0.11993333329144362</v>
      </c>
      <c r="S20" s="44">
        <f t="shared" si="1"/>
        <v>-1.1152662480344151</v>
      </c>
    </row>
    <row r="21" spans="1:19" ht="12" customHeight="1" x14ac:dyDescent="0.2">
      <c r="A21" s="37"/>
      <c r="B21" s="48"/>
      <c r="C21" s="49">
        <v>4.37</v>
      </c>
      <c r="D21" s="54"/>
      <c r="E21" s="39">
        <v>1976</v>
      </c>
      <c r="F21" s="40">
        <v>8.27</v>
      </c>
      <c r="G21" s="51"/>
      <c r="H21" s="44">
        <f t="shared" si="7"/>
        <v>0</v>
      </c>
      <c r="I21" s="52">
        <f t="shared" si="6"/>
        <v>-9.9999999999999645E-2</v>
      </c>
      <c r="J21" s="44">
        <f t="shared" si="2"/>
        <v>-9.9999999999999645E-2</v>
      </c>
      <c r="K21" s="44">
        <f t="shared" si="3"/>
        <v>30.690409999999996</v>
      </c>
      <c r="L21" s="44">
        <f t="shared" si="4"/>
        <v>18.75</v>
      </c>
      <c r="M21" s="53">
        <f t="shared" si="5"/>
        <v>-11.940409999999996</v>
      </c>
      <c r="N21" s="228" t="s">
        <v>100</v>
      </c>
      <c r="O21" s="229"/>
      <c r="P21" s="230"/>
      <c r="Q21" s="47">
        <v>44567.629861111112</v>
      </c>
      <c r="R21" s="44">
        <f t="shared" si="0"/>
        <v>-1.0000000002328271</v>
      </c>
      <c r="S21" s="44">
        <f t="shared" si="1"/>
        <v>-1.1141906687394727</v>
      </c>
    </row>
    <row r="22" spans="1:19" ht="12" customHeight="1" x14ac:dyDescent="0.2">
      <c r="A22" s="37"/>
      <c r="B22" s="48"/>
      <c r="C22" s="49">
        <v>4.37</v>
      </c>
      <c r="D22" s="54"/>
      <c r="E22" s="39">
        <v>1949</v>
      </c>
      <c r="F22" s="40">
        <v>8.0399999999999991</v>
      </c>
      <c r="G22" s="51"/>
      <c r="H22" s="44">
        <f t="shared" si="7"/>
        <v>-0.11799000000000001</v>
      </c>
      <c r="I22" s="52">
        <f t="shared" si="6"/>
        <v>-0.23000000000000043</v>
      </c>
      <c r="J22" s="44">
        <f t="shared" si="2"/>
        <v>-0.11201000000000041</v>
      </c>
      <c r="K22" s="44">
        <f t="shared" si="3"/>
        <v>30.572419999999997</v>
      </c>
      <c r="L22" s="44">
        <f t="shared" si="4"/>
        <v>18.52</v>
      </c>
      <c r="M22" s="53">
        <f t="shared" si="5"/>
        <v>-12.052419999999998</v>
      </c>
      <c r="N22" s="228"/>
      <c r="O22" s="229"/>
      <c r="P22" s="230"/>
      <c r="Q22" s="47">
        <v>44567.643055555556</v>
      </c>
      <c r="R22" s="44">
        <f t="shared" si="0"/>
        <v>-0.35371578949102361</v>
      </c>
      <c r="S22" s="44">
        <f t="shared" si="1"/>
        <v>-1.0923643504539404</v>
      </c>
    </row>
    <row r="23" spans="1:19" ht="12" customHeight="1" x14ac:dyDescent="0.2">
      <c r="A23" s="37"/>
      <c r="B23" s="48"/>
      <c r="C23" s="49">
        <v>4.37</v>
      </c>
      <c r="D23" s="54"/>
      <c r="E23" s="39">
        <v>1949</v>
      </c>
      <c r="F23" s="40">
        <v>7.9</v>
      </c>
      <c r="G23" s="51"/>
      <c r="H23" s="44">
        <f t="shared" si="7"/>
        <v>0</v>
      </c>
      <c r="I23" s="52">
        <f t="shared" si="6"/>
        <v>-0.13999999999999879</v>
      </c>
      <c r="J23" s="44">
        <f t="shared" si="2"/>
        <v>-0.13999999999999879</v>
      </c>
      <c r="K23" s="44">
        <f t="shared" si="3"/>
        <v>30.572419999999997</v>
      </c>
      <c r="L23" s="44">
        <f t="shared" si="4"/>
        <v>18.380000000000003</v>
      </c>
      <c r="M23" s="53">
        <f t="shared" si="5"/>
        <v>-12.192419999999995</v>
      </c>
      <c r="N23" s="228" t="s">
        <v>100</v>
      </c>
      <c r="O23" s="229"/>
      <c r="P23" s="230"/>
      <c r="Q23" s="47">
        <v>44567.648611111108</v>
      </c>
      <c r="R23" s="44">
        <f t="shared" si="0"/>
        <v>-1.0500000007028485</v>
      </c>
      <c r="S23" s="44">
        <f t="shared" si="1"/>
        <v>-1.0918585074721718</v>
      </c>
    </row>
    <row r="24" spans="1:19" ht="12" customHeight="1" x14ac:dyDescent="0.2">
      <c r="A24" s="37"/>
      <c r="B24" s="48"/>
      <c r="C24" s="49">
        <v>4.37</v>
      </c>
      <c r="D24" s="54"/>
      <c r="E24" s="39">
        <v>1921</v>
      </c>
      <c r="F24" s="40">
        <v>7.84</v>
      </c>
      <c r="G24" s="51"/>
      <c r="H24" s="44">
        <f t="shared" si="7"/>
        <v>-0.12236</v>
      </c>
      <c r="I24" s="52">
        <f t="shared" si="6"/>
        <v>-6.0000000000000497E-2</v>
      </c>
      <c r="J24" s="44">
        <f t="shared" si="2"/>
        <v>6.2359999999999499E-2</v>
      </c>
      <c r="K24" s="44">
        <f t="shared" si="3"/>
        <v>30.450059999999997</v>
      </c>
      <c r="L24" s="44">
        <f t="shared" si="4"/>
        <v>18.32</v>
      </c>
      <c r="M24" s="53">
        <f t="shared" si="5"/>
        <v>-12.130059999999997</v>
      </c>
      <c r="N24" s="231"/>
      <c r="O24" s="229"/>
      <c r="P24" s="230"/>
      <c r="Q24" s="47">
        <v>44567.655555555553</v>
      </c>
      <c r="R24" s="44">
        <f t="shared" si="0"/>
        <v>0.37415999995643906</v>
      </c>
      <c r="S24" s="44">
        <f t="shared" si="1"/>
        <v>-1.070299411772035</v>
      </c>
    </row>
    <row r="25" spans="1:19" ht="12" customHeight="1" x14ac:dyDescent="0.2">
      <c r="A25" s="37"/>
      <c r="B25" s="48"/>
      <c r="C25" s="49">
        <v>4.37</v>
      </c>
      <c r="D25" s="54"/>
      <c r="E25" s="39">
        <v>1921</v>
      </c>
      <c r="F25" s="40">
        <v>7.58</v>
      </c>
      <c r="G25" s="51"/>
      <c r="H25" s="44">
        <f t="shared" si="7"/>
        <v>0</v>
      </c>
      <c r="I25" s="52">
        <f t="shared" si="6"/>
        <v>-0.25999999999999979</v>
      </c>
      <c r="J25" s="44">
        <f t="shared" si="2"/>
        <v>-0.25999999999999979</v>
      </c>
      <c r="K25" s="44">
        <f t="shared" si="3"/>
        <v>30.450059999999997</v>
      </c>
      <c r="L25" s="44">
        <f t="shared" si="4"/>
        <v>18.060000000000002</v>
      </c>
      <c r="M25" s="53">
        <f t="shared" si="5"/>
        <v>-12.390059999999995</v>
      </c>
      <c r="N25" s="228" t="s">
        <v>100</v>
      </c>
      <c r="O25" s="229"/>
      <c r="P25" s="230"/>
      <c r="Q25" s="47">
        <v>44567.661805555559</v>
      </c>
      <c r="R25" s="44">
        <f t="shared" si="0"/>
        <v>-1.7333333317190394</v>
      </c>
      <c r="S25" s="44">
        <f t="shared" si="1"/>
        <v>-1.0789602322147753</v>
      </c>
    </row>
    <row r="26" spans="1:19" ht="12" customHeight="1" x14ac:dyDescent="0.2">
      <c r="A26" s="37"/>
      <c r="B26" s="48"/>
      <c r="C26" s="49">
        <v>4.37</v>
      </c>
      <c r="D26" s="54"/>
      <c r="E26" s="39">
        <v>1894</v>
      </c>
      <c r="F26" s="40">
        <v>7.52</v>
      </c>
      <c r="G26" s="51"/>
      <c r="H26" s="44">
        <f>IF(E26="","",((E26-E25)*C26)/1000)</f>
        <v>-0.11799000000000001</v>
      </c>
      <c r="I26" s="52">
        <f>IF(F26="","",F26-F25-G26)</f>
        <v>-6.0000000000000497E-2</v>
      </c>
      <c r="J26" s="44">
        <f t="shared" si="2"/>
        <v>5.7989999999999514E-2</v>
      </c>
      <c r="K26" s="44">
        <f t="shared" si="3"/>
        <v>30.332069999999998</v>
      </c>
      <c r="L26" s="44">
        <f t="shared" si="4"/>
        <v>18</v>
      </c>
      <c r="M26" s="53">
        <f t="shared" si="5"/>
        <v>-12.332069999999998</v>
      </c>
      <c r="N26" s="228"/>
      <c r="O26" s="229"/>
      <c r="P26" s="230"/>
      <c r="Q26" s="47">
        <v>44567.668055555558</v>
      </c>
      <c r="R26" s="44">
        <f t="shared" si="0"/>
        <v>0.38660000009000911</v>
      </c>
      <c r="S26" s="44">
        <f t="shared" si="1"/>
        <v>-1.0600633237797596</v>
      </c>
    </row>
    <row r="27" spans="1:19" ht="12" customHeight="1" x14ac:dyDescent="0.2">
      <c r="A27" s="37"/>
      <c r="B27" s="48"/>
      <c r="C27" s="49">
        <v>4.37</v>
      </c>
      <c r="D27" s="58"/>
      <c r="E27" s="39">
        <v>1840</v>
      </c>
      <c r="F27" s="40">
        <v>7.11</v>
      </c>
      <c r="G27" s="51"/>
      <c r="H27" s="44">
        <f t="shared" si="7"/>
        <v>-0.23598000000000002</v>
      </c>
      <c r="I27" s="52">
        <f>IF(F27="","",F27-F26-G27)</f>
        <v>-0.40999999999999925</v>
      </c>
      <c r="J27" s="44">
        <f>IF(F27="","",I27-H27)</f>
        <v>-0.17401999999999923</v>
      </c>
      <c r="K27" s="44">
        <f>IF(F27="","",K26+H27)</f>
        <v>30.096089999999997</v>
      </c>
      <c r="L27" s="44">
        <f>IF(F27="","",L26+I27)</f>
        <v>17.59</v>
      </c>
      <c r="M27" s="53">
        <f>IF(F27="","",L27-K27)</f>
        <v>-12.506089999999997</v>
      </c>
      <c r="N27" s="231"/>
      <c r="O27" s="229"/>
      <c r="P27" s="230"/>
      <c r="Q27" s="47">
        <v>44567.679861111108</v>
      </c>
      <c r="R27" s="44">
        <f t="shared" si="0"/>
        <v>-0.61418823556329483</v>
      </c>
      <c r="S27" s="44">
        <f t="shared" si="1"/>
        <v>-1.0494620979106413</v>
      </c>
    </row>
    <row r="28" spans="1:19" ht="12" customHeight="1" x14ac:dyDescent="0.2">
      <c r="A28" s="37"/>
      <c r="B28" s="48"/>
      <c r="C28" s="49">
        <v>4.37</v>
      </c>
      <c r="D28" s="58"/>
      <c r="E28" s="39">
        <v>1771</v>
      </c>
      <c r="F28" s="40">
        <v>6.03</v>
      </c>
      <c r="G28" s="51"/>
      <c r="H28" s="44">
        <f t="shared" si="7"/>
        <v>-0.30153000000000002</v>
      </c>
      <c r="I28" s="52">
        <f>IF(F28="","",F28-F27-G28)</f>
        <v>-1.08</v>
      </c>
      <c r="J28" s="44">
        <f t="shared" si="2"/>
        <v>-0.77847</v>
      </c>
      <c r="K28" s="44">
        <f t="shared" si="3"/>
        <v>29.794559999999997</v>
      </c>
      <c r="L28" s="44">
        <f t="shared" si="4"/>
        <v>16.509999999999998</v>
      </c>
      <c r="M28" s="53">
        <f t="shared" si="5"/>
        <v>-13.284559999999999</v>
      </c>
      <c r="N28" s="231"/>
      <c r="O28" s="229"/>
      <c r="P28" s="230"/>
      <c r="Q28" s="47">
        <v>44567.70416666667</v>
      </c>
      <c r="R28" s="44">
        <f t="shared" si="0"/>
        <v>-1.3345199996448947</v>
      </c>
      <c r="S28" s="44">
        <f t="shared" si="1"/>
        <v>-1.0627647999950511</v>
      </c>
    </row>
    <row r="29" spans="1:19" ht="12" customHeight="1" x14ac:dyDescent="0.2">
      <c r="A29" s="37"/>
      <c r="B29" s="48"/>
      <c r="C29" s="49">
        <v>4.37</v>
      </c>
      <c r="D29" s="58"/>
      <c r="E29" s="39">
        <v>1690</v>
      </c>
      <c r="F29" s="40">
        <v>5.3</v>
      </c>
      <c r="G29" s="51"/>
      <c r="H29" s="44">
        <f t="shared" si="7"/>
        <v>-0.35397000000000001</v>
      </c>
      <c r="I29" s="52">
        <f t="shared" si="6"/>
        <v>-0.73000000000000043</v>
      </c>
      <c r="J29" s="44">
        <f t="shared" si="2"/>
        <v>-0.37603000000000042</v>
      </c>
      <c r="K29" s="44">
        <f t="shared" si="3"/>
        <v>29.440589999999997</v>
      </c>
      <c r="L29" s="44">
        <f t="shared" si="4"/>
        <v>15.779999999999998</v>
      </c>
      <c r="M29" s="53">
        <f t="shared" si="5"/>
        <v>-13.660589999999999</v>
      </c>
      <c r="N29" s="228"/>
      <c r="O29" s="229"/>
      <c r="P29" s="230"/>
      <c r="Q29" s="47">
        <v>44567.722916666666</v>
      </c>
      <c r="R29" s="44">
        <f t="shared" si="0"/>
        <v>-0.83562222241678163</v>
      </c>
      <c r="S29" s="44">
        <f t="shared" si="1"/>
        <v>-1.0548718146756078</v>
      </c>
    </row>
    <row r="30" spans="1:19" ht="12" customHeight="1" x14ac:dyDescent="0.2">
      <c r="A30" s="37"/>
      <c r="B30" s="48"/>
      <c r="C30" s="49">
        <v>4.37</v>
      </c>
      <c r="D30" s="58"/>
      <c r="E30" s="39">
        <v>1690</v>
      </c>
      <c r="F30" s="40">
        <v>5.0599999999999996</v>
      </c>
      <c r="G30" s="59"/>
      <c r="H30" s="44">
        <f t="shared" si="7"/>
        <v>0</v>
      </c>
      <c r="I30" s="52">
        <f t="shared" si="6"/>
        <v>-0.24000000000000021</v>
      </c>
      <c r="J30" s="44">
        <f t="shared" si="2"/>
        <v>-0.24000000000000021</v>
      </c>
      <c r="K30" s="44">
        <f t="shared" si="3"/>
        <v>29.440589999999997</v>
      </c>
      <c r="L30" s="44">
        <f t="shared" si="4"/>
        <v>15.539999999999997</v>
      </c>
      <c r="M30" s="53">
        <f t="shared" si="5"/>
        <v>-13.900589999999999</v>
      </c>
      <c r="N30" s="228" t="s">
        <v>100</v>
      </c>
      <c r="O30" s="229"/>
      <c r="P30" s="230"/>
      <c r="Q30" s="47">
        <v>44567.729166666664</v>
      </c>
      <c r="R30" s="44">
        <f t="shared" si="0"/>
        <v>-1.6000000003725305</v>
      </c>
      <c r="S30" s="44">
        <f t="shared" si="1"/>
        <v>-1.061113740464616</v>
      </c>
    </row>
    <row r="31" spans="1:19" ht="12" customHeight="1" x14ac:dyDescent="0.2">
      <c r="A31" s="37"/>
      <c r="B31" s="48"/>
      <c r="C31" s="49">
        <v>4.37</v>
      </c>
      <c r="D31" s="58"/>
      <c r="E31" s="39">
        <v>1554</v>
      </c>
      <c r="F31" s="40">
        <v>4.3600000000000003</v>
      </c>
      <c r="G31" s="51"/>
      <c r="H31" s="44">
        <f t="shared" si="7"/>
        <v>-0.59432000000000007</v>
      </c>
      <c r="I31" s="52">
        <f t="shared" si="6"/>
        <v>-0.69999999999999929</v>
      </c>
      <c r="J31" s="44">
        <f t="shared" si="2"/>
        <v>-0.10567999999999922</v>
      </c>
      <c r="K31" s="44">
        <f t="shared" si="3"/>
        <v>28.846269999999997</v>
      </c>
      <c r="L31" s="44">
        <f t="shared" si="4"/>
        <v>14.839999999999998</v>
      </c>
      <c r="M31" s="53">
        <f t="shared" si="5"/>
        <v>-14.006269999999999</v>
      </c>
      <c r="N31" s="231"/>
      <c r="O31" s="229"/>
      <c r="P31" s="230"/>
      <c r="Q31" s="47">
        <v>44567.75</v>
      </c>
      <c r="R31" s="44">
        <f t="shared" si="0"/>
        <v>-0.2113599999753929</v>
      </c>
      <c r="S31" s="44">
        <f t="shared" si="1"/>
        <v>-1.0298727941194101</v>
      </c>
    </row>
    <row r="32" spans="1:19" ht="12" customHeight="1" x14ac:dyDescent="0.2">
      <c r="A32" s="37"/>
      <c r="B32" s="48"/>
      <c r="C32" s="49">
        <v>4.37</v>
      </c>
      <c r="D32" s="58"/>
      <c r="E32" s="39">
        <v>1527</v>
      </c>
      <c r="F32" s="40">
        <v>3.93</v>
      </c>
      <c r="G32" s="51"/>
      <c r="H32" s="44">
        <f t="shared" si="7"/>
        <v>-0.11799000000000001</v>
      </c>
      <c r="I32" s="52">
        <f t="shared" si="6"/>
        <v>-0.43000000000000016</v>
      </c>
      <c r="J32" s="44">
        <f t="shared" si="2"/>
        <v>-0.31201000000000012</v>
      </c>
      <c r="K32" s="44">
        <f t="shared" si="3"/>
        <v>28.728279999999998</v>
      </c>
      <c r="L32" s="44">
        <f t="shared" si="4"/>
        <v>14.409999999999998</v>
      </c>
      <c r="M32" s="53">
        <f t="shared" si="5"/>
        <v>-14.31828</v>
      </c>
      <c r="N32" s="228"/>
      <c r="O32" s="229"/>
      <c r="P32" s="230"/>
      <c r="Q32" s="47">
        <v>44567.755555555559</v>
      </c>
      <c r="R32" s="44">
        <f t="shared" si="0"/>
        <v>-2.3400749985016875</v>
      </c>
      <c r="S32" s="44">
        <f t="shared" si="1"/>
        <v>-1.0425932038787815</v>
      </c>
    </row>
    <row r="33" spans="1:19" ht="12" customHeight="1" x14ac:dyDescent="0.2">
      <c r="A33" s="37"/>
      <c r="B33" s="48"/>
      <c r="C33" s="49">
        <v>4.37</v>
      </c>
      <c r="D33" s="58"/>
      <c r="E33" s="39">
        <v>1527</v>
      </c>
      <c r="F33" s="40">
        <v>3.73</v>
      </c>
      <c r="G33" s="51"/>
      <c r="H33" s="44">
        <f t="shared" si="7"/>
        <v>0</v>
      </c>
      <c r="I33" s="52">
        <f t="shared" si="6"/>
        <v>-0.20000000000000018</v>
      </c>
      <c r="J33" s="44">
        <f t="shared" si="2"/>
        <v>-0.20000000000000018</v>
      </c>
      <c r="K33" s="44">
        <f t="shared" si="3"/>
        <v>28.728279999999998</v>
      </c>
      <c r="L33" s="44">
        <f t="shared" si="4"/>
        <v>14.209999999999997</v>
      </c>
      <c r="M33" s="53">
        <f t="shared" si="5"/>
        <v>-14.518280000000001</v>
      </c>
      <c r="N33" s="231" t="s">
        <v>100</v>
      </c>
      <c r="O33" s="229"/>
      <c r="P33" s="230"/>
      <c r="Q33" s="47">
        <v>44567.760416666664</v>
      </c>
      <c r="R33" s="44">
        <f t="shared" si="0"/>
        <v>-1.7142857163954466</v>
      </c>
      <c r="S33" s="44">
        <f t="shared" si="1"/>
        <v>-1.0482512635440739</v>
      </c>
    </row>
    <row r="34" spans="1:19" ht="12" customHeight="1" x14ac:dyDescent="0.2">
      <c r="A34" s="37"/>
      <c r="B34" s="48"/>
      <c r="C34" s="49">
        <v>4.37</v>
      </c>
      <c r="D34" s="58">
        <v>33</v>
      </c>
      <c r="E34" s="39">
        <v>1393</v>
      </c>
      <c r="F34" s="40">
        <v>8.1300000000000008</v>
      </c>
      <c r="G34" s="51">
        <f>-2.91+8.14</f>
        <v>5.23</v>
      </c>
      <c r="H34" s="44">
        <f t="shared" si="7"/>
        <v>-0.58557999999999999</v>
      </c>
      <c r="I34" s="52">
        <f t="shared" si="6"/>
        <v>-0.83000000000000007</v>
      </c>
      <c r="J34" s="44">
        <f t="shared" si="2"/>
        <v>-0.24442000000000008</v>
      </c>
      <c r="K34" s="44">
        <f t="shared" si="3"/>
        <v>28.142699999999998</v>
      </c>
      <c r="L34" s="44">
        <f t="shared" si="4"/>
        <v>13.379999999999997</v>
      </c>
      <c r="M34" s="53">
        <f t="shared" si="5"/>
        <v>-14.762700000000001</v>
      </c>
      <c r="N34" s="60"/>
      <c r="O34" s="61"/>
      <c r="P34" s="62"/>
      <c r="Q34" s="47">
        <v>44567.788194444445</v>
      </c>
      <c r="R34" s="44">
        <f t="shared" si="0"/>
        <v>-0.36662999995731876</v>
      </c>
      <c r="S34" s="44">
        <f t="shared" si="1"/>
        <v>-1.0169483352471147</v>
      </c>
    </row>
    <row r="35" spans="1:19" ht="12" customHeight="1" x14ac:dyDescent="0.2">
      <c r="A35" s="37"/>
      <c r="B35" s="48"/>
      <c r="C35" s="49">
        <v>4.37</v>
      </c>
      <c r="D35" s="58">
        <v>33</v>
      </c>
      <c r="E35" s="39">
        <v>1393</v>
      </c>
      <c r="F35" s="40">
        <v>7.82</v>
      </c>
      <c r="G35" s="51"/>
      <c r="H35" s="44">
        <f t="shared" si="7"/>
        <v>0</v>
      </c>
      <c r="I35" s="52">
        <f t="shared" si="6"/>
        <v>-0.3100000000000005</v>
      </c>
      <c r="J35" s="44">
        <f t="shared" si="2"/>
        <v>-0.3100000000000005</v>
      </c>
      <c r="K35" s="44">
        <f t="shared" si="3"/>
        <v>28.142699999999998</v>
      </c>
      <c r="L35" s="44">
        <f t="shared" si="4"/>
        <v>13.069999999999997</v>
      </c>
      <c r="M35" s="53">
        <f t="shared" si="5"/>
        <v>-15.072700000000001</v>
      </c>
      <c r="N35" s="228" t="s">
        <v>100</v>
      </c>
      <c r="O35" s="229"/>
      <c r="P35" s="230"/>
      <c r="Q35" s="47">
        <v>44567.795138888891</v>
      </c>
      <c r="R35" s="44">
        <f t="shared" si="0"/>
        <v>-1.8599999997834704</v>
      </c>
      <c r="S35" s="44">
        <f t="shared" si="1"/>
        <v>-1.0265175936425017</v>
      </c>
    </row>
    <row r="36" spans="1:19" ht="12" customHeight="1" x14ac:dyDescent="0.2">
      <c r="A36" s="37"/>
      <c r="B36" s="48"/>
      <c r="C36" s="49">
        <v>4.37</v>
      </c>
      <c r="D36" s="58">
        <v>28</v>
      </c>
      <c r="E36" s="39">
        <v>1257</v>
      </c>
      <c r="F36" s="56">
        <v>7.2</v>
      </c>
      <c r="G36" s="51"/>
      <c r="H36" s="44">
        <f t="shared" si="7"/>
        <v>-0.59432000000000007</v>
      </c>
      <c r="I36" s="52">
        <f t="shared" si="6"/>
        <v>-0.62000000000000011</v>
      </c>
      <c r="J36" s="44">
        <f t="shared" si="2"/>
        <v>-2.5680000000000036E-2</v>
      </c>
      <c r="K36" s="44">
        <f t="shared" si="3"/>
        <v>27.548379999999998</v>
      </c>
      <c r="L36" s="44">
        <f t="shared" si="4"/>
        <v>12.449999999999996</v>
      </c>
      <c r="M36" s="53">
        <f t="shared" si="5"/>
        <v>-15.098380000000002</v>
      </c>
      <c r="N36" s="231"/>
      <c r="O36" s="229"/>
      <c r="P36" s="230"/>
      <c r="Q36" s="47">
        <v>44567.818749999999</v>
      </c>
      <c r="R36" s="44">
        <f t="shared" si="0"/>
        <v>-4.5317647064719926E-2</v>
      </c>
      <c r="S36" s="44">
        <f t="shared" si="1"/>
        <v>-0.99005770492181189</v>
      </c>
    </row>
    <row r="37" spans="1:19" ht="12" customHeight="1" x14ac:dyDescent="0.2">
      <c r="A37" s="37"/>
      <c r="B37" s="48"/>
      <c r="C37" s="49">
        <v>4.37</v>
      </c>
      <c r="D37" s="58">
        <v>23</v>
      </c>
      <c r="E37" s="50">
        <v>1121</v>
      </c>
      <c r="F37" s="56">
        <v>6.15</v>
      </c>
      <c r="G37" s="51"/>
      <c r="H37" s="44">
        <f t="shared" si="7"/>
        <v>-0.59432000000000007</v>
      </c>
      <c r="I37" s="52">
        <f t="shared" si="6"/>
        <v>-1.0499999999999998</v>
      </c>
      <c r="J37" s="44">
        <f t="shared" si="2"/>
        <v>-0.45567999999999975</v>
      </c>
      <c r="K37" s="44">
        <f t="shared" si="3"/>
        <v>26.954059999999998</v>
      </c>
      <c r="L37" s="44">
        <f t="shared" si="4"/>
        <v>11.399999999999995</v>
      </c>
      <c r="M37" s="53">
        <f t="shared" si="5"/>
        <v>-15.554060000000003</v>
      </c>
      <c r="N37" s="228"/>
      <c r="O37" s="229"/>
      <c r="P37" s="230"/>
      <c r="Q37" s="47">
        <v>44567.839583333334</v>
      </c>
      <c r="R37" s="44">
        <f t="shared" si="0"/>
        <v>-0.91135999989390326</v>
      </c>
      <c r="S37" s="44">
        <f t="shared" si="1"/>
        <v>-0.98755936507936526</v>
      </c>
    </row>
    <row r="38" spans="1:19" ht="12" customHeight="1" x14ac:dyDescent="0.2">
      <c r="A38" s="37"/>
      <c r="B38" s="48"/>
      <c r="C38" s="49">
        <v>4.37</v>
      </c>
      <c r="D38" s="58">
        <v>18</v>
      </c>
      <c r="E38" s="50">
        <v>985</v>
      </c>
      <c r="F38" s="56">
        <v>5.18</v>
      </c>
      <c r="G38" s="51"/>
      <c r="H38" s="44">
        <f t="shared" si="7"/>
        <v>-0.59432000000000007</v>
      </c>
      <c r="I38" s="52">
        <f t="shared" si="6"/>
        <v>-0.97000000000000064</v>
      </c>
      <c r="J38" s="44">
        <f t="shared" si="2"/>
        <v>-0.37568000000000057</v>
      </c>
      <c r="K38" s="44">
        <f t="shared" si="3"/>
        <v>26.359739999999999</v>
      </c>
      <c r="L38" s="44">
        <f t="shared" si="4"/>
        <v>10.429999999999994</v>
      </c>
      <c r="M38" s="53">
        <f t="shared" si="5"/>
        <v>-15.929740000000004</v>
      </c>
      <c r="N38" s="228"/>
      <c r="O38" s="229"/>
      <c r="P38" s="230"/>
      <c r="Q38" s="47">
        <v>44567.859027777777</v>
      </c>
      <c r="R38" s="44">
        <f t="shared" si="0"/>
        <v>-0.80502857151559615</v>
      </c>
      <c r="S38" s="44">
        <f t="shared" si="1"/>
        <v>-0.98230668037304569</v>
      </c>
    </row>
    <row r="39" spans="1:19" ht="12" customHeight="1" x14ac:dyDescent="0.2">
      <c r="A39" s="37"/>
      <c r="B39" s="48"/>
      <c r="C39" s="49">
        <v>4.37</v>
      </c>
      <c r="D39" s="58">
        <v>13</v>
      </c>
      <c r="E39" s="50">
        <v>849</v>
      </c>
      <c r="F39" s="56">
        <v>3.98</v>
      </c>
      <c r="G39" s="51"/>
      <c r="H39" s="44">
        <f t="shared" si="7"/>
        <v>-0.59432000000000007</v>
      </c>
      <c r="I39" s="52">
        <f t="shared" si="6"/>
        <v>-1.1999999999999997</v>
      </c>
      <c r="J39" s="44">
        <f t="shared" si="2"/>
        <v>-0.60567999999999966</v>
      </c>
      <c r="K39" s="44">
        <f t="shared" si="3"/>
        <v>25.765419999999999</v>
      </c>
      <c r="L39" s="44">
        <f t="shared" si="4"/>
        <v>9.2299999999999951</v>
      </c>
      <c r="M39" s="53">
        <f t="shared" si="5"/>
        <v>-16.535420000000002</v>
      </c>
      <c r="N39" s="228"/>
      <c r="O39" s="229"/>
      <c r="P39" s="230"/>
      <c r="Q39" s="47">
        <v>44567.878472222219</v>
      </c>
      <c r="R39" s="44">
        <f t="shared" si="0"/>
        <v>-1.297885714426015</v>
      </c>
      <c r="S39" s="44">
        <f t="shared" si="1"/>
        <v>-0.99113406594006004</v>
      </c>
    </row>
    <row r="40" spans="1:19" ht="12" customHeight="1" x14ac:dyDescent="0.2">
      <c r="A40" s="37"/>
      <c r="B40" s="48"/>
      <c r="C40" s="49">
        <v>4.37</v>
      </c>
      <c r="D40" s="58"/>
      <c r="E40" s="50">
        <v>849</v>
      </c>
      <c r="F40" s="56">
        <v>3.45</v>
      </c>
      <c r="G40" s="51"/>
      <c r="H40" s="44">
        <f t="shared" si="7"/>
        <v>0</v>
      </c>
      <c r="I40" s="52">
        <f t="shared" si="6"/>
        <v>-0.5299999999999998</v>
      </c>
      <c r="J40" s="44">
        <f t="shared" si="2"/>
        <v>-0.5299999999999998</v>
      </c>
      <c r="K40" s="44">
        <f t="shared" si="3"/>
        <v>25.765419999999999</v>
      </c>
      <c r="L40" s="44">
        <f t="shared" si="4"/>
        <v>8.6999999999999957</v>
      </c>
      <c r="M40" s="53">
        <f t="shared" si="5"/>
        <v>-17.065420000000003</v>
      </c>
      <c r="N40" s="231" t="s">
        <v>100</v>
      </c>
      <c r="O40" s="229"/>
      <c r="P40" s="230"/>
      <c r="Q40" s="47">
        <v>44567.885416666664</v>
      </c>
      <c r="R40" s="44">
        <f t="shared" si="0"/>
        <v>-3.1799999996297981</v>
      </c>
      <c r="S40" s="44">
        <f t="shared" si="1"/>
        <v>-1.0127845697378359</v>
      </c>
    </row>
    <row r="41" spans="1:19" ht="12" customHeight="1" x14ac:dyDescent="0.2">
      <c r="A41" s="37"/>
      <c r="B41" s="48"/>
      <c r="C41" s="49">
        <v>4.37</v>
      </c>
      <c r="D41" s="58">
        <v>12</v>
      </c>
      <c r="E41" s="50">
        <v>821</v>
      </c>
      <c r="F41" s="40">
        <v>3.52</v>
      </c>
      <c r="G41" s="51"/>
      <c r="H41" s="44">
        <f t="shared" si="7"/>
        <v>-0.12236</v>
      </c>
      <c r="I41" s="52">
        <f t="shared" si="6"/>
        <v>6.999999999999984E-2</v>
      </c>
      <c r="J41" s="44">
        <f t="shared" si="2"/>
        <v>0.19235999999999984</v>
      </c>
      <c r="K41" s="44">
        <f t="shared" si="3"/>
        <v>25.643059999999998</v>
      </c>
      <c r="L41" s="44">
        <f t="shared" si="4"/>
        <v>8.769999999999996</v>
      </c>
      <c r="M41" s="53">
        <f t="shared" si="5"/>
        <v>-16.873060000000002</v>
      </c>
      <c r="N41" s="228"/>
      <c r="O41" s="229"/>
      <c r="P41" s="230"/>
      <c r="Q41" s="47">
        <v>44567.88958333333</v>
      </c>
      <c r="R41" s="44">
        <f t="shared" si="0"/>
        <v>1.9236000004478715</v>
      </c>
      <c r="S41" s="44">
        <f t="shared" si="1"/>
        <v>-0.99546076696780539</v>
      </c>
    </row>
    <row r="42" spans="1:19" ht="12" customHeight="1" x14ac:dyDescent="0.2">
      <c r="A42" s="37"/>
      <c r="B42" s="48"/>
      <c r="C42" s="49">
        <v>4.37</v>
      </c>
      <c r="D42" s="58">
        <v>7</v>
      </c>
      <c r="E42" s="50">
        <v>685</v>
      </c>
      <c r="F42" s="40">
        <v>2.68</v>
      </c>
      <c r="G42" s="51"/>
      <c r="H42" s="44">
        <f t="shared" si="7"/>
        <v>-0.59432000000000007</v>
      </c>
      <c r="I42" s="52">
        <f t="shared" si="6"/>
        <v>-0.83999999999999986</v>
      </c>
      <c r="J42" s="44">
        <f t="shared" si="2"/>
        <v>-0.24567999999999979</v>
      </c>
      <c r="K42" s="44">
        <f t="shared" si="3"/>
        <v>25.048739999999999</v>
      </c>
      <c r="L42" s="44">
        <f t="shared" si="4"/>
        <v>7.9299999999999962</v>
      </c>
      <c r="M42" s="53">
        <f t="shared" si="5"/>
        <v>-17.118740000000003</v>
      </c>
      <c r="N42" s="228"/>
      <c r="O42" s="229"/>
      <c r="P42" s="230"/>
      <c r="Q42" s="47">
        <v>44567.908333333333</v>
      </c>
      <c r="R42" s="44">
        <f t="shared" si="0"/>
        <v>-0.54595555547081165</v>
      </c>
      <c r="S42" s="44">
        <f t="shared" si="1"/>
        <v>-0.98383563218588288</v>
      </c>
    </row>
    <row r="43" spans="1:19" ht="12" customHeight="1" x14ac:dyDescent="0.2">
      <c r="A43" s="37"/>
      <c r="B43" s="48"/>
      <c r="C43" s="49">
        <v>4.37</v>
      </c>
      <c r="D43" s="58">
        <v>2</v>
      </c>
      <c r="E43" s="50">
        <v>549</v>
      </c>
      <c r="F43" s="40">
        <v>1.54</v>
      </c>
      <c r="G43" s="51"/>
      <c r="H43" s="44">
        <f t="shared" si="7"/>
        <v>-0.59432000000000007</v>
      </c>
      <c r="I43" s="52">
        <f t="shared" si="6"/>
        <v>-1.1400000000000001</v>
      </c>
      <c r="J43" s="44">
        <f t="shared" si="2"/>
        <v>-0.54568000000000005</v>
      </c>
      <c r="K43" s="44">
        <f t="shared" si="3"/>
        <v>24.454419999999999</v>
      </c>
      <c r="L43" s="44">
        <f t="shared" si="4"/>
        <v>6.7899999999999956</v>
      </c>
      <c r="M43" s="53">
        <f t="shared" si="5"/>
        <v>-17.664420000000003</v>
      </c>
      <c r="N43" s="228"/>
      <c r="O43" s="229"/>
      <c r="P43" s="230"/>
      <c r="Q43" s="47">
        <v>44567.926388888889</v>
      </c>
      <c r="R43" s="44">
        <f t="shared" si="0"/>
        <v>-1.2592615384164316</v>
      </c>
      <c r="S43" s="44">
        <f t="shared" si="1"/>
        <v>-0.99052822430014331</v>
      </c>
    </row>
    <row r="44" spans="1:19" ht="12" customHeight="1" x14ac:dyDescent="0.2">
      <c r="A44" s="37"/>
      <c r="B44" s="48"/>
      <c r="C44" s="49">
        <v>4.37</v>
      </c>
      <c r="D44" s="58">
        <v>0</v>
      </c>
      <c r="E44" s="50">
        <v>492</v>
      </c>
      <c r="F44" s="56">
        <v>8.06</v>
      </c>
      <c r="G44" s="51">
        <f>-0.7+8.07</f>
        <v>7.37</v>
      </c>
      <c r="H44" s="44">
        <f t="shared" si="7"/>
        <v>-0.24909000000000001</v>
      </c>
      <c r="I44" s="52">
        <f t="shared" si="6"/>
        <v>-0.84999999999999964</v>
      </c>
      <c r="J44" s="44">
        <f t="shared" si="2"/>
        <v>-0.60090999999999961</v>
      </c>
      <c r="K44" s="44">
        <f t="shared" si="3"/>
        <v>24.20533</v>
      </c>
      <c r="L44" s="44">
        <f t="shared" si="4"/>
        <v>5.9399999999999959</v>
      </c>
      <c r="M44" s="53">
        <f t="shared" si="5"/>
        <v>-18.265330000000006</v>
      </c>
      <c r="N44" s="243"/>
      <c r="O44" s="244"/>
      <c r="P44" s="245"/>
      <c r="Q44" s="47">
        <v>44567.935416666667</v>
      </c>
      <c r="R44" s="44">
        <f t="shared" si="0"/>
        <v>-2.7734307691314228</v>
      </c>
      <c r="S44" s="44">
        <f t="shared" si="1"/>
        <v>-1.0119296398898496</v>
      </c>
    </row>
    <row r="45" spans="1:19" ht="12" customHeight="1" x14ac:dyDescent="0.2">
      <c r="A45" s="37"/>
      <c r="B45" s="48"/>
      <c r="C45" s="49">
        <v>4.37</v>
      </c>
      <c r="D45" s="58"/>
      <c r="E45" s="50">
        <v>492</v>
      </c>
      <c r="F45" s="40">
        <v>7.72</v>
      </c>
      <c r="G45" s="51"/>
      <c r="H45" s="44">
        <f t="shared" si="7"/>
        <v>0</v>
      </c>
      <c r="I45" s="52">
        <f t="shared" si="6"/>
        <v>-0.34000000000000075</v>
      </c>
      <c r="J45" s="44">
        <f t="shared" si="2"/>
        <v>-0.34000000000000075</v>
      </c>
      <c r="K45" s="44">
        <f t="shared" si="3"/>
        <v>24.20533</v>
      </c>
      <c r="L45" s="44">
        <f t="shared" si="4"/>
        <v>5.5999999999999952</v>
      </c>
      <c r="M45" s="53">
        <f t="shared" si="5"/>
        <v>-18.605330000000006</v>
      </c>
      <c r="N45" s="243" t="s">
        <v>100</v>
      </c>
      <c r="O45" s="244"/>
      <c r="P45" s="245"/>
      <c r="Q45" s="47">
        <v>44567.942361111112</v>
      </c>
      <c r="R45" s="44">
        <f t="shared" si="0"/>
        <v>-2.0399999997625171</v>
      </c>
      <c r="S45" s="44">
        <f t="shared" si="1"/>
        <v>-1.0213355901185039</v>
      </c>
    </row>
    <row r="46" spans="1:19" ht="12" customHeight="1" x14ac:dyDescent="0.2">
      <c r="A46" s="37"/>
      <c r="B46" s="48" t="s">
        <v>29</v>
      </c>
      <c r="C46" s="49">
        <v>10.58</v>
      </c>
      <c r="D46" s="58">
        <v>10</v>
      </c>
      <c r="E46" s="50">
        <v>361</v>
      </c>
      <c r="F46" s="40">
        <v>6.4</v>
      </c>
      <c r="G46" s="51"/>
      <c r="H46" s="44">
        <f t="shared" si="7"/>
        <v>-1.38598</v>
      </c>
      <c r="I46" s="52">
        <f t="shared" si="6"/>
        <v>-1.3199999999999994</v>
      </c>
      <c r="J46" s="44">
        <f t="shared" si="2"/>
        <v>6.5980000000000594E-2</v>
      </c>
      <c r="K46" s="44">
        <f t="shared" si="3"/>
        <v>22.81935</v>
      </c>
      <c r="L46" s="44">
        <f t="shared" si="4"/>
        <v>4.2799999999999958</v>
      </c>
      <c r="M46" s="53">
        <f t="shared" si="5"/>
        <v>-18.539350000000006</v>
      </c>
      <c r="N46" s="243"/>
      <c r="O46" s="244"/>
      <c r="P46" s="245"/>
      <c r="Q46" s="47">
        <v>44567.963888888888</v>
      </c>
      <c r="R46" s="44">
        <f t="shared" si="0"/>
        <v>0.12770322582179894</v>
      </c>
      <c r="S46" s="44">
        <f t="shared" si="1"/>
        <v>-0.98964501779646463</v>
      </c>
    </row>
    <row r="47" spans="1:19" ht="12" customHeight="1" x14ac:dyDescent="0.2">
      <c r="A47" s="37"/>
      <c r="B47" s="48"/>
      <c r="C47" s="49">
        <v>10.58</v>
      </c>
      <c r="D47" s="58">
        <v>1</v>
      </c>
      <c r="E47" s="50">
        <v>125</v>
      </c>
      <c r="F47" s="40">
        <v>1.36</v>
      </c>
      <c r="G47" s="51"/>
      <c r="H47" s="44">
        <f t="shared" si="7"/>
        <v>-2.49688</v>
      </c>
      <c r="I47" s="52">
        <f t="shared" si="6"/>
        <v>-5.04</v>
      </c>
      <c r="J47" s="44">
        <f t="shared" si="2"/>
        <v>-2.54312</v>
      </c>
      <c r="K47" s="44">
        <f t="shared" si="3"/>
        <v>20.322469999999999</v>
      </c>
      <c r="L47" s="44">
        <f t="shared" si="4"/>
        <v>-0.76000000000000423</v>
      </c>
      <c r="M47" s="53">
        <f t="shared" si="5"/>
        <v>-21.082470000000004</v>
      </c>
      <c r="N47" s="243"/>
      <c r="O47" s="244"/>
      <c r="P47" s="245"/>
      <c r="Q47" s="47">
        <v>44567.981249999997</v>
      </c>
      <c r="R47" s="44">
        <f t="shared" si="0"/>
        <v>-6.103488000568432</v>
      </c>
      <c r="S47" s="44">
        <f t="shared" si="1"/>
        <v>-1.1009122715458242</v>
      </c>
    </row>
    <row r="48" spans="1:19" ht="12" customHeight="1" x14ac:dyDescent="0.2">
      <c r="A48" s="37"/>
      <c r="B48" s="48"/>
      <c r="C48" s="49">
        <v>10.58</v>
      </c>
      <c r="D48" s="58">
        <v>0</v>
      </c>
      <c r="E48" s="50">
        <v>112</v>
      </c>
      <c r="F48" s="40">
        <v>8.17</v>
      </c>
      <c r="G48" s="51">
        <f>-1.36+8.34</f>
        <v>6.9799999999999995</v>
      </c>
      <c r="H48" s="44">
        <f t="shared" si="7"/>
        <v>-0.13754</v>
      </c>
      <c r="I48" s="52">
        <f t="shared" si="6"/>
        <v>-0.16999999999999993</v>
      </c>
      <c r="J48" s="44">
        <f t="shared" si="2"/>
        <v>-3.2459999999999933E-2</v>
      </c>
      <c r="K48" s="44">
        <f t="shared" si="3"/>
        <v>20.184929999999998</v>
      </c>
      <c r="L48" s="44">
        <f t="shared" si="4"/>
        <v>-0.93000000000000416</v>
      </c>
      <c r="M48" s="53">
        <f t="shared" si="5"/>
        <v>-21.114930000000001</v>
      </c>
      <c r="N48" s="243"/>
      <c r="O48" s="244"/>
      <c r="P48" s="245"/>
      <c r="Q48" s="47">
        <v>44567.984722222223</v>
      </c>
      <c r="R48" s="44">
        <f t="shared" si="0"/>
        <v>-0.38951999954653826</v>
      </c>
      <c r="S48" s="44">
        <f t="shared" si="1"/>
        <v>-1.0978299826687561</v>
      </c>
    </row>
    <row r="49" spans="1:19" ht="12" customHeight="1" x14ac:dyDescent="0.2">
      <c r="A49" s="37"/>
      <c r="B49" s="48"/>
      <c r="C49" s="49">
        <v>10.58</v>
      </c>
      <c r="D49" s="58"/>
      <c r="E49" s="50">
        <v>4</v>
      </c>
      <c r="F49" s="40">
        <v>3.57</v>
      </c>
      <c r="G49" s="40"/>
      <c r="H49" s="44">
        <f>IF(E49="","",((E49-E48)*C49)/1000)</f>
        <v>-1.1426400000000001</v>
      </c>
      <c r="I49" s="52">
        <f t="shared" si="6"/>
        <v>-4.5999999999999996</v>
      </c>
      <c r="J49" s="44">
        <f t="shared" si="2"/>
        <v>-3.4573599999999995</v>
      </c>
      <c r="K49" s="44">
        <f t="shared" si="3"/>
        <v>19.042289999999998</v>
      </c>
      <c r="L49" s="44">
        <f t="shared" si="4"/>
        <v>-5.5300000000000038</v>
      </c>
      <c r="M49" s="53">
        <f t="shared" si="5"/>
        <v>-24.572290000000002</v>
      </c>
      <c r="N49" s="243" t="s">
        <v>97</v>
      </c>
      <c r="O49" s="244"/>
      <c r="P49" s="245"/>
      <c r="Q49" s="47">
        <v>44568.083333333336</v>
      </c>
      <c r="R49" s="44">
        <f t="shared" si="0"/>
        <v>-1.4608563380090065</v>
      </c>
      <c r="S49" s="44">
        <f t="shared" si="1"/>
        <v>-1.1376060185166792</v>
      </c>
    </row>
    <row r="50" spans="1:19" s="64" customFormat="1" ht="12" customHeight="1" x14ac:dyDescent="0.2">
      <c r="A50" s="63"/>
      <c r="B50" s="48"/>
      <c r="C50" s="49">
        <v>10.58</v>
      </c>
      <c r="D50" s="58"/>
      <c r="E50" s="50">
        <v>4</v>
      </c>
      <c r="F50" s="40">
        <v>2.06</v>
      </c>
      <c r="G50" s="40"/>
      <c r="H50" s="44">
        <f>IF(E50="","",((E50-E49)*C50)/1000)</f>
        <v>0</v>
      </c>
      <c r="I50" s="52">
        <f t="shared" si="6"/>
        <v>-1.5099999999999998</v>
      </c>
      <c r="J50" s="44">
        <f t="shared" si="2"/>
        <v>-1.5099999999999998</v>
      </c>
      <c r="K50" s="44">
        <f t="shared" si="3"/>
        <v>19.042289999999998</v>
      </c>
      <c r="L50" s="44">
        <f t="shared" si="4"/>
        <v>-7.0400000000000036</v>
      </c>
      <c r="M50" s="53">
        <f t="shared" si="5"/>
        <v>-26.08229</v>
      </c>
      <c r="N50" s="243"/>
      <c r="O50" s="244"/>
      <c r="P50" s="245"/>
      <c r="Q50" s="47">
        <v>44568.125</v>
      </c>
      <c r="R50" s="44">
        <f t="shared" si="0"/>
        <v>-1.5100000000878933</v>
      </c>
      <c r="S50" s="44">
        <f t="shared" si="1"/>
        <v>-1.1540836283197731</v>
      </c>
    </row>
    <row r="51" spans="1:19" s="64" customFormat="1" ht="12" customHeight="1" x14ac:dyDescent="0.2">
      <c r="A51" s="63" t="s">
        <v>30</v>
      </c>
      <c r="B51" s="48"/>
      <c r="C51" s="49">
        <v>10.58</v>
      </c>
      <c r="D51" s="58"/>
      <c r="E51" s="50">
        <v>206</v>
      </c>
      <c r="F51" s="40">
        <v>8.44</v>
      </c>
      <c r="G51" s="40">
        <f>-1.11+8.44</f>
        <v>7.3299999999999992</v>
      </c>
      <c r="H51" s="44">
        <f>IF(E51="","",((E51-E50)*C51)/1000)</f>
        <v>2.1371599999999997</v>
      </c>
      <c r="I51" s="52">
        <f t="shared" si="6"/>
        <v>-0.95000000000000018</v>
      </c>
      <c r="J51" s="44">
        <f t="shared" si="2"/>
        <v>-3.0871599999999999</v>
      </c>
      <c r="K51" s="44">
        <f t="shared" si="3"/>
        <v>21.179449999999996</v>
      </c>
      <c r="L51" s="44">
        <f t="shared" si="4"/>
        <v>-7.9900000000000038</v>
      </c>
      <c r="M51" s="53">
        <f t="shared" si="5"/>
        <v>-29.169449999999998</v>
      </c>
      <c r="N51" s="243" t="s">
        <v>101</v>
      </c>
      <c r="O51" s="244"/>
      <c r="P51" s="245"/>
      <c r="Q51" s="65">
        <v>44568.160416666666</v>
      </c>
      <c r="R51" s="44">
        <f t="shared" si="0"/>
        <v>-3.6319529412759564</v>
      </c>
      <c r="S51" s="44">
        <f t="shared" si="1"/>
        <v>-1.2438997867828538</v>
      </c>
    </row>
    <row r="52" spans="1:19" s="64" customFormat="1" ht="12" customHeight="1" x14ac:dyDescent="0.2">
      <c r="A52" s="63"/>
      <c r="B52" s="48" t="s">
        <v>93</v>
      </c>
      <c r="C52" s="49">
        <v>4.28</v>
      </c>
      <c r="D52" s="58"/>
      <c r="E52" s="50">
        <v>191</v>
      </c>
      <c r="F52" s="40">
        <v>7.84</v>
      </c>
      <c r="G52" s="40"/>
      <c r="H52" s="44">
        <f t="shared" si="7"/>
        <v>-6.4200000000000007E-2</v>
      </c>
      <c r="I52" s="52">
        <f t="shared" si="6"/>
        <v>-0.59999999999999964</v>
      </c>
      <c r="J52" s="44">
        <f t="shared" si="2"/>
        <v>-0.53579999999999961</v>
      </c>
      <c r="K52" s="44">
        <f t="shared" si="3"/>
        <v>21.115249999999996</v>
      </c>
      <c r="L52" s="44">
        <f t="shared" si="4"/>
        <v>-8.5900000000000034</v>
      </c>
      <c r="M52" s="53">
        <f t="shared" si="5"/>
        <v>-29.705249999999999</v>
      </c>
      <c r="N52" s="243"/>
      <c r="O52" s="244"/>
      <c r="P52" s="245"/>
      <c r="Q52" s="65">
        <v>44568.201388888891</v>
      </c>
      <c r="R52" s="44">
        <f t="shared" si="0"/>
        <v>-0.54488135589779896</v>
      </c>
      <c r="S52" s="44">
        <f t="shared" si="1"/>
        <v>-1.2157673942693503</v>
      </c>
    </row>
    <row r="53" spans="1:19" s="67" customFormat="1" ht="12" customHeight="1" x14ac:dyDescent="0.2">
      <c r="A53" s="66"/>
      <c r="B53" s="48"/>
      <c r="C53" s="49">
        <v>4.28</v>
      </c>
      <c r="D53" s="58"/>
      <c r="E53" s="50">
        <v>174</v>
      </c>
      <c r="F53" s="40">
        <v>7.25</v>
      </c>
      <c r="G53" s="40"/>
      <c r="H53" s="44">
        <f t="shared" si="7"/>
        <v>-7.2760000000000005E-2</v>
      </c>
      <c r="I53" s="52">
        <f t="shared" si="6"/>
        <v>-0.58999999999999986</v>
      </c>
      <c r="J53" s="44">
        <f t="shared" si="2"/>
        <v>-0.51723999999999981</v>
      </c>
      <c r="K53" s="44">
        <f t="shared" si="3"/>
        <v>21.042489999999997</v>
      </c>
      <c r="L53" s="44">
        <f t="shared" si="4"/>
        <v>-9.1800000000000033</v>
      </c>
      <c r="M53" s="53">
        <f t="shared" si="5"/>
        <v>-30.222490000000001</v>
      </c>
      <c r="N53" s="243"/>
      <c r="O53" s="244"/>
      <c r="P53" s="245"/>
      <c r="Q53" s="47">
        <v>44568.232638888891</v>
      </c>
      <c r="R53" s="44">
        <f t="shared" si="0"/>
        <v>-0.68965333333333312</v>
      </c>
      <c r="S53" s="44">
        <f t="shared" si="1"/>
        <v>-1.2000988749165336</v>
      </c>
    </row>
    <row r="54" spans="1:19" s="67" customFormat="1" ht="12" customHeight="1" x14ac:dyDescent="0.2">
      <c r="B54" s="48"/>
      <c r="C54" s="49">
        <v>4.28</v>
      </c>
      <c r="D54" s="39"/>
      <c r="E54" s="50">
        <v>112</v>
      </c>
      <c r="F54" s="40">
        <v>6</v>
      </c>
      <c r="G54" s="40"/>
      <c r="H54" s="44">
        <f t="shared" si="7"/>
        <v>-0.26536000000000004</v>
      </c>
      <c r="I54" s="52">
        <f t="shared" si="6"/>
        <v>-1.25</v>
      </c>
      <c r="J54" s="44">
        <f t="shared" si="2"/>
        <v>-0.98463999999999996</v>
      </c>
      <c r="K54" s="44">
        <f t="shared" si="3"/>
        <v>20.777129999999996</v>
      </c>
      <c r="L54" s="44">
        <f t="shared" si="4"/>
        <v>-10.430000000000003</v>
      </c>
      <c r="M54" s="53">
        <f t="shared" si="5"/>
        <v>-31.207129999999999</v>
      </c>
      <c r="N54" s="246"/>
      <c r="O54" s="244"/>
      <c r="P54" s="245"/>
      <c r="Q54" s="47">
        <v>44568.260416666664</v>
      </c>
      <c r="R54" s="44">
        <f t="shared" si="0"/>
        <v>-1.4769600002149259</v>
      </c>
      <c r="S54" s="44">
        <f t="shared" si="1"/>
        <v>-1.2072390715705368</v>
      </c>
    </row>
    <row r="55" spans="1:19" s="67" customFormat="1" ht="12" customHeight="1" x14ac:dyDescent="0.2">
      <c r="B55" s="48"/>
      <c r="C55" s="49">
        <v>4.28</v>
      </c>
      <c r="D55" s="39"/>
      <c r="E55" s="39">
        <v>32</v>
      </c>
      <c r="F55" s="40">
        <v>6.42</v>
      </c>
      <c r="G55" s="40">
        <v>5</v>
      </c>
      <c r="H55" s="44">
        <f t="shared" si="7"/>
        <v>-0.34240000000000004</v>
      </c>
      <c r="I55" s="52">
        <f t="shared" si="6"/>
        <v>-4.58</v>
      </c>
      <c r="J55" s="44">
        <f t="shared" si="2"/>
        <v>-4.2376000000000005</v>
      </c>
      <c r="K55" s="44">
        <f t="shared" si="3"/>
        <v>20.434729999999995</v>
      </c>
      <c r="L55" s="44">
        <f t="shared" si="4"/>
        <v>-15.010000000000003</v>
      </c>
      <c r="M55" s="53">
        <f t="shared" si="5"/>
        <v>-35.44473</v>
      </c>
      <c r="N55" s="243"/>
      <c r="O55" s="244"/>
      <c r="P55" s="245"/>
      <c r="Q55" s="47">
        <v>44568.40347222222</v>
      </c>
      <c r="R55" s="44">
        <f t="shared" si="0"/>
        <v>-1.2342524271788862</v>
      </c>
      <c r="S55" s="44">
        <f t="shared" si="1"/>
        <v>-1.210406260674326</v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U112"/>
  <sheetViews>
    <sheetView topLeftCell="A4" zoomScale="110" zoomScaleNormal="110" workbookViewId="0">
      <selection activeCell="B30" sqref="B30:C33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2256</v>
      </c>
      <c r="F6" s="40">
        <v>4.55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44566.919444444444</v>
      </c>
      <c r="R6" s="11"/>
      <c r="S6" s="11"/>
    </row>
    <row r="7" spans="1:20" ht="12" customHeight="1" x14ac:dyDescent="0.2">
      <c r="A7" s="37"/>
      <c r="B7" s="48" t="s">
        <v>38</v>
      </c>
      <c r="C7" s="49">
        <v>4.37</v>
      </c>
      <c r="D7" s="39">
        <v>60</v>
      </c>
      <c r="E7" s="39">
        <v>2256</v>
      </c>
      <c r="F7" s="40">
        <v>4.42</v>
      </c>
      <c r="G7" s="51"/>
      <c r="H7" s="44">
        <f>IF(E7="","",((E7-E6)*C7)/1000)</f>
        <v>0</v>
      </c>
      <c r="I7" s="52">
        <f>IF(F7="","",F7-F6-G7)</f>
        <v>-0.12999999999999989</v>
      </c>
      <c r="J7" s="44">
        <f>IF(F7="","",I7-H7)</f>
        <v>-0.12999999999999989</v>
      </c>
      <c r="K7" s="44">
        <f>IF(F7="","",K6+H7)</f>
        <v>0</v>
      </c>
      <c r="L7" s="44">
        <f>IF(F7="","",L6+I7)</f>
        <v>-0.12999999999999989</v>
      </c>
      <c r="M7" s="53">
        <f>IF(F7="","",L7-K7)</f>
        <v>-0.12999999999999989</v>
      </c>
      <c r="N7" s="231" t="s">
        <v>95</v>
      </c>
      <c r="O7" s="229"/>
      <c r="P7" s="230"/>
      <c r="Q7" s="47">
        <v>44566.926388888889</v>
      </c>
      <c r="R7" s="44">
        <f t="shared" ref="R7:R70" si="0">IF(Q7="","",J7/((Q7-Q6)*24))</f>
        <v>-0.77999999990919544</v>
      </c>
      <c r="S7" s="44">
        <f t="shared" ref="S7:S70" si="1">IF(Q7="","",M7/((Q7-$Q$6)*24))</f>
        <v>-0.77999999990919544</v>
      </c>
    </row>
    <row r="8" spans="1:20" ht="12" customHeight="1" x14ac:dyDescent="0.2">
      <c r="A8" s="37"/>
      <c r="B8" s="48"/>
      <c r="C8" s="49">
        <v>4.37</v>
      </c>
      <c r="D8" s="54">
        <v>50</v>
      </c>
      <c r="E8" s="39">
        <v>2003</v>
      </c>
      <c r="F8" s="40">
        <v>7.89</v>
      </c>
      <c r="G8" s="51">
        <v>5</v>
      </c>
      <c r="H8" s="44">
        <f>IF(E8="","",((E8-E7)*C8)/1000)</f>
        <v>-1.1056100000000002</v>
      </c>
      <c r="I8" s="52">
        <f>IF(F8="","",F8-F7-G8)</f>
        <v>-1.5300000000000002</v>
      </c>
      <c r="J8" s="44">
        <f>IF(F8="","",I8-H8)</f>
        <v>-0.42439000000000004</v>
      </c>
      <c r="K8" s="44">
        <f>IF(F8="","",K7+H8)</f>
        <v>-1.1056100000000002</v>
      </c>
      <c r="L8" s="44">
        <f>IF(F8="","",L7+I8)</f>
        <v>-1.6600000000000001</v>
      </c>
      <c r="M8" s="53">
        <f>IF(F8="","",L8-K8)</f>
        <v>-0.55438999999999994</v>
      </c>
      <c r="N8" s="231"/>
      <c r="O8" s="229"/>
      <c r="P8" s="230"/>
      <c r="Q8" s="47">
        <v>44566.953472222223</v>
      </c>
      <c r="R8" s="44">
        <f t="shared" si="0"/>
        <v>-0.65290769228430512</v>
      </c>
      <c r="S8" s="44">
        <f t="shared" si="1"/>
        <v>-0.67884489792370162</v>
      </c>
      <c r="T8" s="55"/>
    </row>
    <row r="9" spans="1:20" ht="12" customHeight="1" x14ac:dyDescent="0.2">
      <c r="A9" s="37"/>
      <c r="B9" s="48"/>
      <c r="C9" s="49">
        <v>4.37</v>
      </c>
      <c r="D9" s="54">
        <v>30</v>
      </c>
      <c r="E9" s="39">
        <v>1474</v>
      </c>
      <c r="F9" s="40">
        <v>4.17</v>
      </c>
      <c r="G9" s="51"/>
      <c r="H9" s="44">
        <f>IF(E9="","",((E9-E8)*C9)/1000)</f>
        <v>-2.3117299999999998</v>
      </c>
      <c r="I9" s="52">
        <f>IF(F9="","",F9-F8-G9)</f>
        <v>-3.7199999999999998</v>
      </c>
      <c r="J9" s="44">
        <f>IF(F9="","",I9-H9)</f>
        <v>-1.4082699999999999</v>
      </c>
      <c r="K9" s="44">
        <f>IF(F9="","",K8+H9)</f>
        <v>-3.4173400000000003</v>
      </c>
      <c r="L9" s="44">
        <f>IF(F9="","",L8+I9)</f>
        <v>-5.38</v>
      </c>
      <c r="M9" s="53">
        <f>IF(F9="","",L9-K9)</f>
        <v>-1.9626599999999996</v>
      </c>
      <c r="N9" s="228"/>
      <c r="O9" s="229"/>
      <c r="P9" s="230"/>
      <c r="Q9" s="47">
        <v>44566.98541666667</v>
      </c>
      <c r="R9" s="44">
        <f t="shared" si="0"/>
        <v>-1.8368739129133145</v>
      </c>
      <c r="S9" s="44">
        <f t="shared" si="1"/>
        <v>-1.2395747367661547</v>
      </c>
    </row>
    <row r="10" spans="1:20" ht="12" customHeight="1" x14ac:dyDescent="0.2">
      <c r="A10" s="37"/>
      <c r="B10" s="48"/>
      <c r="C10" s="49">
        <v>4.37</v>
      </c>
      <c r="D10" s="54">
        <v>0</v>
      </c>
      <c r="E10" s="39">
        <v>656</v>
      </c>
      <c r="F10" s="40">
        <v>5.55</v>
      </c>
      <c r="G10" s="51">
        <f>-2.25+9</f>
        <v>6.75</v>
      </c>
      <c r="H10" s="44">
        <f>IF(E10="","",((E10-E9)*C10)/1000)</f>
        <v>-3.5746600000000002</v>
      </c>
      <c r="I10" s="52">
        <f>IF(F10="","",F10-F9-G10)</f>
        <v>-5.37</v>
      </c>
      <c r="J10" s="44">
        <f t="shared" ref="J10:J73" si="2">IF(F10="","",I10-H10)</f>
        <v>-1.7953399999999999</v>
      </c>
      <c r="K10" s="44">
        <f t="shared" ref="K10:K73" si="3">IF(F10="","",K9+H10)</f>
        <v>-6.9920000000000009</v>
      </c>
      <c r="L10" s="44">
        <f t="shared" ref="L10:L73" si="4">IF(F10="","",L9+I10)</f>
        <v>-10.75</v>
      </c>
      <c r="M10" s="53">
        <f t="shared" ref="M10:M73" si="5">IF(F10="","",L10-K10)</f>
        <v>-3.7579999999999991</v>
      </c>
      <c r="N10" s="249"/>
      <c r="O10" s="250"/>
      <c r="P10" s="251"/>
      <c r="Q10" s="47">
        <v>44567.026388888888</v>
      </c>
      <c r="R10" s="44">
        <f t="shared" si="0"/>
        <v>-1.8257694917343688</v>
      </c>
      <c r="S10" s="44">
        <f t="shared" si="1"/>
        <v>-1.4641558441646985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656</v>
      </c>
      <c r="F11" s="40">
        <v>5.34</v>
      </c>
      <c r="G11" s="51"/>
      <c r="H11" s="44">
        <f>IF(E11="","",((E11-E10)*C11)/1000)</f>
        <v>0</v>
      </c>
      <c r="I11" s="52">
        <f t="shared" ref="I11:I74" si="6">IF(F11="","",F11-F10-G11)</f>
        <v>-0.20999999999999996</v>
      </c>
      <c r="J11" s="44">
        <f t="shared" si="2"/>
        <v>-0.20999999999999996</v>
      </c>
      <c r="K11" s="44">
        <f t="shared" si="3"/>
        <v>-6.9920000000000009</v>
      </c>
      <c r="L11" s="44">
        <f t="shared" si="4"/>
        <v>-10.96</v>
      </c>
      <c r="M11" s="53">
        <f t="shared" si="5"/>
        <v>-3.968</v>
      </c>
      <c r="N11" s="228" t="s">
        <v>96</v>
      </c>
      <c r="O11" s="229"/>
      <c r="P11" s="230"/>
      <c r="Q11" s="47">
        <v>44567.033333333333</v>
      </c>
      <c r="R11" s="44">
        <f t="shared" si="0"/>
        <v>-1.2599999998533165</v>
      </c>
      <c r="S11" s="44">
        <f t="shared" si="1"/>
        <v>-1.4517073170711097</v>
      </c>
    </row>
    <row r="12" spans="1:20" ht="12" customHeight="1" x14ac:dyDescent="0.2">
      <c r="A12" s="37"/>
      <c r="B12" s="48" t="s">
        <v>29</v>
      </c>
      <c r="C12" s="49">
        <v>10.58</v>
      </c>
      <c r="D12" s="54">
        <v>0</v>
      </c>
      <c r="E12" s="39">
        <v>278</v>
      </c>
      <c r="F12" s="56">
        <v>6.71</v>
      </c>
      <c r="G12" s="51">
        <f>-1.38+8.2</f>
        <v>6.8199999999999994</v>
      </c>
      <c r="H12" s="44">
        <f t="shared" ref="H12:H74" si="7">IF(E12="","",((E12-E11)*C12)/1000)</f>
        <v>-3.9992400000000004</v>
      </c>
      <c r="I12" s="52">
        <f t="shared" si="6"/>
        <v>-5.4499999999999993</v>
      </c>
      <c r="J12" s="44">
        <f t="shared" si="2"/>
        <v>-1.4507599999999989</v>
      </c>
      <c r="K12" s="44">
        <f t="shared" si="3"/>
        <v>-10.991240000000001</v>
      </c>
      <c r="L12" s="44">
        <f t="shared" si="4"/>
        <v>-16.41</v>
      </c>
      <c r="M12" s="53">
        <f t="shared" si="5"/>
        <v>-5.4187599999999989</v>
      </c>
      <c r="N12" s="228"/>
      <c r="O12" s="229"/>
      <c r="P12" s="230"/>
      <c r="Q12" s="47">
        <v>44567.061805555553</v>
      </c>
      <c r="R12" s="44">
        <f t="shared" si="0"/>
        <v>-2.1230634147667655</v>
      </c>
      <c r="S12" s="44">
        <f t="shared" si="1"/>
        <v>-1.5859785366033785</v>
      </c>
    </row>
    <row r="13" spans="1:20" ht="12" customHeight="1" x14ac:dyDescent="0.2">
      <c r="A13" s="37"/>
      <c r="B13" s="48"/>
      <c r="C13" s="49">
        <v>10.58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 t="s">
        <v>97</v>
      </c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10.58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10.58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10.58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10.58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10.58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10.58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10.58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10.58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/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/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/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 t="s">
        <v>93</v>
      </c>
      <c r="C30" s="49">
        <v>4.28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4.28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4.28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4.28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4.28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4.28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4.28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4.28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4.28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4.28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4.28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4.28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4.28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4.28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4.28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4.28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4.28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4.28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4.28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4.28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4.28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4.28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U112"/>
  <sheetViews>
    <sheetView zoomScale="110" zoomScaleNormal="110" workbookViewId="0">
      <selection activeCell="G10" sqref="G10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124</v>
      </c>
      <c r="F6" s="40">
        <v>6.23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44566.069444444445</v>
      </c>
      <c r="R6" s="11"/>
      <c r="S6" s="11"/>
    </row>
    <row r="7" spans="1:20" ht="12" customHeight="1" x14ac:dyDescent="0.2">
      <c r="A7" s="37"/>
      <c r="B7" s="48" t="s">
        <v>94</v>
      </c>
      <c r="C7" s="49">
        <v>15.93</v>
      </c>
      <c r="D7" s="39"/>
      <c r="E7" s="39">
        <v>492</v>
      </c>
      <c r="F7" s="40">
        <v>9.02</v>
      </c>
      <c r="G7" s="51"/>
      <c r="H7" s="44">
        <f>IF(E7="","",((E7-E6)*C7)/1000)</f>
        <v>5.8622399999999999</v>
      </c>
      <c r="I7" s="52">
        <f>IF(F7="","",F7-F6-G7)</f>
        <v>2.7899999999999991</v>
      </c>
      <c r="J7" s="44">
        <f>IF(F7="","",I7-H7)</f>
        <v>-3.0722400000000007</v>
      </c>
      <c r="K7" s="44">
        <f>IF(F7="","",K6+H7)</f>
        <v>5.8622399999999999</v>
      </c>
      <c r="L7" s="44">
        <f>IF(F7="","",L6+I7)</f>
        <v>2.7899999999999991</v>
      </c>
      <c r="M7" s="53">
        <f>IF(F7="","",L7-K7)</f>
        <v>-3.0722400000000007</v>
      </c>
      <c r="N7" s="231"/>
      <c r="O7" s="229"/>
      <c r="P7" s="230"/>
      <c r="Q7" s="47">
        <v>44566.131944444445</v>
      </c>
      <c r="R7" s="44">
        <f t="shared" ref="R7:R70" si="0">IF(Q7="","",J7/((Q7-Q6)*24))</f>
        <v>-2.0481600000000006</v>
      </c>
      <c r="S7" s="44">
        <f t="shared" ref="S7:S70" si="1">IF(Q7="","",M7/((Q7-$Q$6)*24))</f>
        <v>-2.0481600000000006</v>
      </c>
    </row>
    <row r="8" spans="1:20" ht="12" customHeight="1" x14ac:dyDescent="0.2">
      <c r="A8" s="37"/>
      <c r="B8" s="48" t="s">
        <v>87</v>
      </c>
      <c r="C8" s="49">
        <v>15.74</v>
      </c>
      <c r="D8" s="54"/>
      <c r="E8" s="39">
        <v>850</v>
      </c>
      <c r="F8" s="40">
        <v>8.23</v>
      </c>
      <c r="G8" s="51">
        <f>4.3-9.18</f>
        <v>-4.88</v>
      </c>
      <c r="H8" s="44">
        <f>IF(E8="","",((E8-E7)*C8)/1000)</f>
        <v>5.6349200000000002</v>
      </c>
      <c r="I8" s="52">
        <f>IF(F8="","",F8-F7-G8)</f>
        <v>4.0900000000000007</v>
      </c>
      <c r="J8" s="44">
        <f>IF(F8="","",I8-H8)</f>
        <v>-1.5449199999999994</v>
      </c>
      <c r="K8" s="44">
        <f>IF(F8="","",K7+H8)</f>
        <v>11.497160000000001</v>
      </c>
      <c r="L8" s="44">
        <f>IF(F8="","",L7+I8)</f>
        <v>6.88</v>
      </c>
      <c r="M8" s="53">
        <f>IF(F8="","",L8-K8)</f>
        <v>-4.617160000000001</v>
      </c>
      <c r="N8" s="231"/>
      <c r="O8" s="229"/>
      <c r="P8" s="230"/>
      <c r="Q8" s="47">
        <v>44566.172222222223</v>
      </c>
      <c r="R8" s="44">
        <f t="shared" si="0"/>
        <v>-1.598193103435444</v>
      </c>
      <c r="S8" s="44">
        <f t="shared" si="1"/>
        <v>-1.8718216216157326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2087</v>
      </c>
      <c r="F9" s="40">
        <v>8.0399999999999991</v>
      </c>
      <c r="G9" s="51">
        <v>-14.1</v>
      </c>
      <c r="H9" s="44">
        <f>IF(E9="","",((E9-E8)*C9)/1000)</f>
        <v>19.470380000000002</v>
      </c>
      <c r="I9" s="52">
        <f>IF(F9="","",F9-F8-G9)</f>
        <v>13.909999999999998</v>
      </c>
      <c r="J9" s="44">
        <f>IF(F9="","",I9-H9)</f>
        <v>-5.5603800000000039</v>
      </c>
      <c r="K9" s="44">
        <f>IF(F9="","",K8+H9)</f>
        <v>30.967540000000003</v>
      </c>
      <c r="L9" s="44">
        <f>IF(F9="","",L8+I9)</f>
        <v>20.79</v>
      </c>
      <c r="M9" s="53">
        <f>IF(F9="","",L9-K9)</f>
        <v>-10.177540000000004</v>
      </c>
      <c r="N9" s="228"/>
      <c r="O9" s="229"/>
      <c r="P9" s="230"/>
      <c r="Q9" s="47">
        <v>44566.244444444441</v>
      </c>
      <c r="R9" s="44">
        <f t="shared" si="0"/>
        <v>-3.2079115386698107</v>
      </c>
      <c r="S9" s="44">
        <f t="shared" si="1"/>
        <v>-2.4232238095842606</v>
      </c>
    </row>
    <row r="10" spans="1:20" ht="12" customHeight="1" x14ac:dyDescent="0.2">
      <c r="A10" s="37"/>
      <c r="B10" s="48"/>
      <c r="C10" s="49">
        <v>15.74</v>
      </c>
      <c r="D10" s="54"/>
      <c r="E10" s="39"/>
      <c r="F10" s="40"/>
      <c r="G10" s="51"/>
      <c r="H10" s="44" t="str">
        <f>IF(E10="","",((E10-E9)*C10)/1000)</f>
        <v/>
      </c>
      <c r="I10" s="52" t="str">
        <f>IF(F10="","",F10-F9-G10)</f>
        <v/>
      </c>
      <c r="J10" s="44" t="str">
        <f t="shared" ref="J10:J73" si="2">IF(F10="","",I10-H10)</f>
        <v/>
      </c>
      <c r="K10" s="44" t="str">
        <f t="shared" ref="K10:K73" si="3">IF(F10="","",K9+H10)</f>
        <v/>
      </c>
      <c r="L10" s="44" t="str">
        <f t="shared" ref="L10:L73" si="4">IF(F10="","",L9+I10)</f>
        <v/>
      </c>
      <c r="M10" s="53" t="str">
        <f t="shared" ref="M10:M73" si="5">IF(F10="","",L10-K10)</f>
        <v/>
      </c>
      <c r="N10" s="249"/>
      <c r="O10" s="250"/>
      <c r="P10" s="251"/>
      <c r="Q10" s="47"/>
      <c r="R10" s="44" t="str">
        <f t="shared" si="0"/>
        <v/>
      </c>
      <c r="S10" s="44" t="str">
        <f t="shared" si="1"/>
        <v/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/>
      <c r="F11" s="40"/>
      <c r="G11" s="51"/>
      <c r="H11" s="44" t="str">
        <f>IF(E11="","",((E11-E10)*C11)/1000)</f>
        <v/>
      </c>
      <c r="I11" s="52" t="str">
        <f t="shared" ref="I11:I74" si="6">IF(F11="","",F11-F10-G11)</f>
        <v/>
      </c>
      <c r="J11" s="44" t="str">
        <f t="shared" si="2"/>
        <v/>
      </c>
      <c r="K11" s="44" t="str">
        <f t="shared" si="3"/>
        <v/>
      </c>
      <c r="L11" s="44" t="str">
        <f t="shared" si="4"/>
        <v/>
      </c>
      <c r="M11" s="53" t="str">
        <f t="shared" si="5"/>
        <v/>
      </c>
      <c r="N11" s="228"/>
      <c r="O11" s="229"/>
      <c r="P11" s="230"/>
      <c r="Q11" s="47"/>
      <c r="R11" s="44" t="str">
        <f t="shared" si="0"/>
        <v/>
      </c>
      <c r="S11" s="44" t="str">
        <f t="shared" si="1"/>
        <v/>
      </c>
    </row>
    <row r="12" spans="1:20" ht="12" customHeight="1" x14ac:dyDescent="0.2">
      <c r="A12" s="37"/>
      <c r="B12" s="48"/>
      <c r="C12" s="49">
        <v>15.74</v>
      </c>
      <c r="D12" s="54"/>
      <c r="E12" s="39"/>
      <c r="F12" s="56"/>
      <c r="G12" s="51"/>
      <c r="H12" s="44" t="str">
        <f t="shared" ref="H12:H74" si="7">IF(E12="","",((E12-E11)*C12)/1000)</f>
        <v/>
      </c>
      <c r="I12" s="52" t="str">
        <f t="shared" si="6"/>
        <v/>
      </c>
      <c r="J12" s="44" t="str">
        <f t="shared" si="2"/>
        <v/>
      </c>
      <c r="K12" s="44" t="str">
        <f t="shared" si="3"/>
        <v/>
      </c>
      <c r="L12" s="44" t="str">
        <f t="shared" si="4"/>
        <v/>
      </c>
      <c r="M12" s="53" t="str">
        <f t="shared" si="5"/>
        <v/>
      </c>
      <c r="N12" s="228"/>
      <c r="O12" s="229"/>
      <c r="P12" s="230"/>
      <c r="Q12" s="47"/>
      <c r="R12" s="44" t="str">
        <f t="shared" si="0"/>
        <v/>
      </c>
      <c r="S12" s="44" t="str">
        <f t="shared" si="1"/>
        <v/>
      </c>
    </row>
    <row r="13" spans="1:20" ht="12" customHeight="1" x14ac:dyDescent="0.2">
      <c r="A13" s="37"/>
      <c r="B13" s="48"/>
      <c r="C13" s="49">
        <v>15.74</v>
      </c>
      <c r="D13" s="54"/>
      <c r="E13" s="39"/>
      <c r="F13" s="56"/>
      <c r="G13" s="51"/>
      <c r="H13" s="44" t="str">
        <f>IF(E13="","",((E13-E12)*C13)/1000)</f>
        <v/>
      </c>
      <c r="I13" s="52" t="str">
        <f t="shared" si="6"/>
        <v/>
      </c>
      <c r="J13" s="44" t="str">
        <f t="shared" si="2"/>
        <v/>
      </c>
      <c r="K13" s="44" t="str">
        <f t="shared" si="3"/>
        <v/>
      </c>
      <c r="L13" s="44" t="str">
        <f t="shared" si="4"/>
        <v/>
      </c>
      <c r="M13" s="53" t="str">
        <f t="shared" si="5"/>
        <v/>
      </c>
      <c r="N13" s="231"/>
      <c r="O13" s="229"/>
      <c r="P13" s="230"/>
      <c r="Q13" s="47"/>
      <c r="R13" s="44" t="str">
        <f t="shared" si="0"/>
        <v/>
      </c>
      <c r="S13" s="44" t="str">
        <f t="shared" si="1"/>
        <v/>
      </c>
    </row>
    <row r="14" spans="1:20" ht="12" customHeight="1" x14ac:dyDescent="0.2">
      <c r="A14" s="37"/>
      <c r="B14" s="48"/>
      <c r="C14" s="49">
        <v>4.37</v>
      </c>
      <c r="D14" s="54"/>
      <c r="E14" s="39"/>
      <c r="F14" s="56"/>
      <c r="G14" s="51"/>
      <c r="H14" s="44" t="str">
        <f t="shared" si="7"/>
        <v/>
      </c>
      <c r="I14" s="52" t="str">
        <f t="shared" si="6"/>
        <v/>
      </c>
      <c r="J14" s="44" t="str">
        <f t="shared" si="2"/>
        <v/>
      </c>
      <c r="K14" s="44" t="str">
        <f t="shared" si="3"/>
        <v/>
      </c>
      <c r="L14" s="44" t="str">
        <f t="shared" si="4"/>
        <v/>
      </c>
      <c r="M14" s="53" t="str">
        <f t="shared" si="5"/>
        <v/>
      </c>
      <c r="N14" s="231"/>
      <c r="O14" s="229"/>
      <c r="P14" s="230"/>
      <c r="Q14" s="47"/>
      <c r="R14" s="44" t="str">
        <f t="shared" si="0"/>
        <v/>
      </c>
      <c r="S14" s="44" t="str">
        <f t="shared" si="1"/>
        <v/>
      </c>
    </row>
    <row r="15" spans="1:20" ht="12" customHeight="1" x14ac:dyDescent="0.2">
      <c r="A15" s="37"/>
      <c r="B15" s="48"/>
      <c r="C15" s="49">
        <v>4.37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10.58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 t="s">
        <v>91</v>
      </c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4.37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 t="s">
        <v>92</v>
      </c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10.58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10.58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10.58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10.58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10.58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10.58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 t="s">
        <v>93</v>
      </c>
      <c r="C30" s="49">
        <v>4.28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4.28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4.28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4.28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4.28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4.28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4.28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4.28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4.28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4.28</v>
      </c>
      <c r="D39" s="58"/>
      <c r="E39" s="50"/>
      <c r="F39" s="56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>
        <v>4.28</v>
      </c>
      <c r="D40" s="58"/>
      <c r="E40" s="50"/>
      <c r="F40" s="56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>
        <v>4.28</v>
      </c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>
        <v>4.28</v>
      </c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>
        <v>4.28</v>
      </c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4.28</v>
      </c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4.28</v>
      </c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4.28</v>
      </c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4.28</v>
      </c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4.28</v>
      </c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4.28</v>
      </c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4.28</v>
      </c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4.28</v>
      </c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U112"/>
  <sheetViews>
    <sheetView topLeftCell="A29" zoomScale="110" zoomScaleNormal="110" workbookViewId="0">
      <selection activeCell="G50" sqref="G50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107</v>
      </c>
      <c r="F6" s="40">
        <v>6.57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44563.138888888891</v>
      </c>
      <c r="R6" s="11"/>
      <c r="S6" s="11"/>
    </row>
    <row r="7" spans="1:20" ht="12" customHeight="1" x14ac:dyDescent="0.2">
      <c r="A7" s="37"/>
      <c r="B7" s="48" t="s">
        <v>87</v>
      </c>
      <c r="C7" s="49">
        <v>15.93</v>
      </c>
      <c r="D7" s="39"/>
      <c r="E7" s="39">
        <v>298</v>
      </c>
      <c r="F7" s="40">
        <v>3.86</v>
      </c>
      <c r="G7" s="51">
        <f>3.37-8.2</f>
        <v>-4.8299999999999992</v>
      </c>
      <c r="H7" s="44">
        <f>IF(E7="","",((E7-E6)*C7)/1000)</f>
        <v>3.0426299999999999</v>
      </c>
      <c r="I7" s="52">
        <f>IF(F7="","",F7-F6-G7)</f>
        <v>2.1199999999999988</v>
      </c>
      <c r="J7" s="44">
        <f>IF(F7="","",I7-H7)</f>
        <v>-0.92263000000000117</v>
      </c>
      <c r="K7" s="44">
        <f>IF(F7="","",K6+H7)</f>
        <v>3.0426299999999999</v>
      </c>
      <c r="L7" s="44">
        <f>IF(F7="","",L6+I7)</f>
        <v>2.1199999999999988</v>
      </c>
      <c r="M7" s="53">
        <f>IF(F7="","",L7-K7)</f>
        <v>-0.92263000000000117</v>
      </c>
      <c r="N7" s="231"/>
      <c r="O7" s="229"/>
      <c r="P7" s="230"/>
      <c r="Q7" s="47">
        <v>44563.150694444441</v>
      </c>
      <c r="R7" s="44">
        <f t="shared" ref="R7:R70" si="0">IF(Q7="","",J7/((Q7-Q6)*24))</f>
        <v>-3.2563411778977471</v>
      </c>
      <c r="S7" s="44">
        <f t="shared" ref="S7:S70" si="1">IF(Q7="","",M7/((Q7-$Q$6)*24))</f>
        <v>-3.2563411778977471</v>
      </c>
    </row>
    <row r="8" spans="1:20" ht="12" customHeight="1" x14ac:dyDescent="0.2">
      <c r="A8" s="37"/>
      <c r="B8" s="48"/>
      <c r="C8" s="49">
        <v>15.74</v>
      </c>
      <c r="D8" s="54"/>
      <c r="E8" s="39">
        <v>629</v>
      </c>
      <c r="F8" s="40">
        <v>8.31</v>
      </c>
      <c r="G8" s="51"/>
      <c r="H8" s="44">
        <f>IF(E8="","",((E8-E7)*C8)/1000)</f>
        <v>5.2099400000000005</v>
      </c>
      <c r="I8" s="52">
        <f>IF(F8="","",F8-F7-G8)</f>
        <v>4.4500000000000011</v>
      </c>
      <c r="J8" s="44">
        <f>IF(F8="","",I8-H8)</f>
        <v>-0.75993999999999939</v>
      </c>
      <c r="K8" s="44">
        <f>IF(F8="","",K7+H8)</f>
        <v>8.2525700000000004</v>
      </c>
      <c r="L8" s="44">
        <f>IF(F8="","",L7+I8)</f>
        <v>6.57</v>
      </c>
      <c r="M8" s="53">
        <f>IF(F8="","",L8-K8)</f>
        <v>-1.6825700000000001</v>
      </c>
      <c r="N8" s="231"/>
      <c r="O8" s="229"/>
      <c r="P8" s="230"/>
      <c r="Q8" s="47">
        <v>44563.173611111109</v>
      </c>
      <c r="R8" s="44">
        <f t="shared" si="0"/>
        <v>-1.3817090907921064</v>
      </c>
      <c r="S8" s="44">
        <f t="shared" si="1"/>
        <v>-2.0190840001880419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1363</v>
      </c>
      <c r="F9" s="40">
        <v>2.48</v>
      </c>
      <c r="G9" s="51">
        <f>3.58-8.9-8.41+3.23-5.2</f>
        <v>-15.7</v>
      </c>
      <c r="H9" s="44">
        <f>IF(E9="","",((E9-E8)*C9)/1000)</f>
        <v>11.55316</v>
      </c>
      <c r="I9" s="52">
        <f>IF(F9="","",F9-F8-G9)</f>
        <v>9.8699999999999992</v>
      </c>
      <c r="J9" s="44">
        <f>IF(F9="","",I9-H9)</f>
        <v>-1.6831600000000009</v>
      </c>
      <c r="K9" s="44">
        <f>IF(F9="","",K8+H9)</f>
        <v>19.805730000000001</v>
      </c>
      <c r="L9" s="44">
        <f>IF(F9="","",L8+I9)</f>
        <v>16.439999999999998</v>
      </c>
      <c r="M9" s="53">
        <f>IF(F9="","",L9-K9)</f>
        <v>-3.3657300000000028</v>
      </c>
      <c r="N9" s="228"/>
      <c r="O9" s="229"/>
      <c r="P9" s="230"/>
      <c r="Q9" s="47">
        <v>44563.240972222222</v>
      </c>
      <c r="R9" s="44">
        <f t="shared" si="0"/>
        <v>-1.0411298968872247</v>
      </c>
      <c r="S9" s="44">
        <f t="shared" si="1"/>
        <v>-1.3737673469648872</v>
      </c>
    </row>
    <row r="10" spans="1:20" ht="12" customHeight="1" x14ac:dyDescent="0.2">
      <c r="A10" s="37"/>
      <c r="B10" s="48"/>
      <c r="C10" s="49">
        <v>15.74</v>
      </c>
      <c r="D10" s="54"/>
      <c r="E10" s="39">
        <v>1900</v>
      </c>
      <c r="F10" s="40">
        <v>58.13</v>
      </c>
      <c r="G10" s="51">
        <v>48</v>
      </c>
      <c r="H10" s="44">
        <f>IF(E10="","",((E10-E9)*C10)/1000)</f>
        <v>8.4523800000000016</v>
      </c>
      <c r="I10" s="52">
        <f>IF(F10="","",F10-F9-G10)</f>
        <v>7.6500000000000057</v>
      </c>
      <c r="J10" s="44">
        <f t="shared" ref="J10:J73" si="2">IF(F10="","",I10-H10)</f>
        <v>-0.80237999999999587</v>
      </c>
      <c r="K10" s="44">
        <f t="shared" ref="K10:K73" si="3">IF(F10="","",K9+H10)</f>
        <v>28.258110000000002</v>
      </c>
      <c r="L10" s="44">
        <f t="shared" ref="L10:L73" si="4">IF(F10="","",L9+I10)</f>
        <v>24.090000000000003</v>
      </c>
      <c r="M10" s="53">
        <f t="shared" ref="M10:M73" si="5">IF(F10="","",L10-K10)</f>
        <v>-4.1681099999999986</v>
      </c>
      <c r="N10" s="249"/>
      <c r="O10" s="250"/>
      <c r="P10" s="251"/>
      <c r="Q10" s="47">
        <v>44563.361111111109</v>
      </c>
      <c r="R10" s="44">
        <f t="shared" si="0"/>
        <v>-0.27828208092785023</v>
      </c>
      <c r="S10" s="44">
        <f t="shared" si="1"/>
        <v>-0.78152062501137232</v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>
        <v>1900</v>
      </c>
      <c r="F11" s="40">
        <v>99.33</v>
      </c>
      <c r="G11" s="51">
        <v>59</v>
      </c>
      <c r="H11" s="44">
        <f>IF(E11="","",((E11-E10)*C11)/1000)</f>
        <v>0</v>
      </c>
      <c r="I11" s="52">
        <f t="shared" ref="I11:I74" si="6">IF(F11="","",F11-F10-G11)</f>
        <v>-17.800000000000004</v>
      </c>
      <c r="J11" s="44">
        <f t="shared" si="2"/>
        <v>-17.800000000000004</v>
      </c>
      <c r="K11" s="44">
        <f t="shared" si="3"/>
        <v>28.258110000000002</v>
      </c>
      <c r="L11" s="44">
        <f t="shared" si="4"/>
        <v>6.2899999999999991</v>
      </c>
      <c r="M11" s="53">
        <f t="shared" si="5"/>
        <v>-21.968110000000003</v>
      </c>
      <c r="N11" s="228"/>
      <c r="O11" s="229"/>
      <c r="P11" s="230"/>
      <c r="Q11" s="47">
        <v>44563.388194444444</v>
      </c>
      <c r="R11" s="44">
        <f t="shared" si="0"/>
        <v>-27.384615383634472</v>
      </c>
      <c r="S11" s="44">
        <f t="shared" si="1"/>
        <v>-3.6715504178606353</v>
      </c>
    </row>
    <row r="12" spans="1:20" ht="12" customHeight="1" x14ac:dyDescent="0.2">
      <c r="A12" s="37"/>
      <c r="B12" s="48"/>
      <c r="C12" s="49">
        <v>15.74</v>
      </c>
      <c r="D12" s="54"/>
      <c r="E12" s="39">
        <v>1900</v>
      </c>
      <c r="F12" s="56">
        <v>98.81</v>
      </c>
      <c r="G12" s="51">
        <v>27</v>
      </c>
      <c r="H12" s="44">
        <f t="shared" ref="H12:H74" si="7">IF(E12="","",((E12-E11)*C12)/1000)</f>
        <v>0</v>
      </c>
      <c r="I12" s="52">
        <f t="shared" si="6"/>
        <v>-27.519999999999996</v>
      </c>
      <c r="J12" s="44">
        <f t="shared" si="2"/>
        <v>-27.519999999999996</v>
      </c>
      <c r="K12" s="44">
        <f t="shared" si="3"/>
        <v>28.258110000000002</v>
      </c>
      <c r="L12" s="44">
        <f t="shared" si="4"/>
        <v>-21.229999999999997</v>
      </c>
      <c r="M12" s="53">
        <f t="shared" si="5"/>
        <v>-49.488109999999999</v>
      </c>
      <c r="N12" s="228"/>
      <c r="O12" s="229"/>
      <c r="P12" s="230"/>
      <c r="Q12" s="47">
        <v>44563.425694444442</v>
      </c>
      <c r="R12" s="44">
        <f t="shared" si="0"/>
        <v>-30.577777778964347</v>
      </c>
      <c r="S12" s="44">
        <f t="shared" si="1"/>
        <v>-7.1895559322966118</v>
      </c>
    </row>
    <row r="13" spans="1:20" ht="12" customHeight="1" x14ac:dyDescent="0.2">
      <c r="A13" s="37"/>
      <c r="B13" s="48"/>
      <c r="C13" s="49">
        <v>15.74</v>
      </c>
      <c r="D13" s="54"/>
      <c r="E13" s="39">
        <v>1900</v>
      </c>
      <c r="F13" s="56">
        <v>73.17</v>
      </c>
      <c r="G13" s="51"/>
      <c r="H13" s="44">
        <f>IF(E13="","",((E13-E12)*C13)/1000)</f>
        <v>0</v>
      </c>
      <c r="I13" s="52">
        <f t="shared" si="6"/>
        <v>-25.64</v>
      </c>
      <c r="J13" s="44">
        <f t="shared" si="2"/>
        <v>-25.64</v>
      </c>
      <c r="K13" s="44">
        <f t="shared" si="3"/>
        <v>28.258110000000002</v>
      </c>
      <c r="L13" s="44">
        <f t="shared" si="4"/>
        <v>-46.87</v>
      </c>
      <c r="M13" s="53">
        <f t="shared" si="5"/>
        <v>-75.128109999999992</v>
      </c>
      <c r="N13" s="231"/>
      <c r="O13" s="229"/>
      <c r="P13" s="230"/>
      <c r="Q13" s="47">
        <v>44563.495833333334</v>
      </c>
      <c r="R13" s="44">
        <f t="shared" si="0"/>
        <v>-15.231683167649686</v>
      </c>
      <c r="S13" s="44">
        <f t="shared" si="1"/>
        <v>-8.7698182879536333</v>
      </c>
    </row>
    <row r="14" spans="1:20" ht="12" customHeight="1" x14ac:dyDescent="0.2">
      <c r="A14" s="37"/>
      <c r="B14" s="48"/>
      <c r="C14" s="49">
        <v>4.37</v>
      </c>
      <c r="D14" s="54"/>
      <c r="E14" s="39">
        <v>1900</v>
      </c>
      <c r="F14" s="56">
        <v>101.83</v>
      </c>
      <c r="G14" s="51">
        <v>61</v>
      </c>
      <c r="H14" s="44">
        <f t="shared" si="7"/>
        <v>0</v>
      </c>
      <c r="I14" s="52">
        <f t="shared" si="6"/>
        <v>-32.340000000000003</v>
      </c>
      <c r="J14" s="44">
        <f t="shared" si="2"/>
        <v>-32.340000000000003</v>
      </c>
      <c r="K14" s="44">
        <f t="shared" si="3"/>
        <v>28.258110000000002</v>
      </c>
      <c r="L14" s="44">
        <f t="shared" si="4"/>
        <v>-79.210000000000008</v>
      </c>
      <c r="M14" s="53">
        <f t="shared" si="5"/>
        <v>-107.46811000000001</v>
      </c>
      <c r="N14" s="231"/>
      <c r="O14" s="229"/>
      <c r="P14" s="230"/>
      <c r="Q14" s="47">
        <v>44563.536805555559</v>
      </c>
      <c r="R14" s="44">
        <f t="shared" si="0"/>
        <v>-32.888135591143765</v>
      </c>
      <c r="S14" s="44">
        <f t="shared" si="1"/>
        <v>-11.253205235547224</v>
      </c>
    </row>
    <row r="15" spans="1:20" ht="12" customHeight="1" x14ac:dyDescent="0.2">
      <c r="A15" s="37"/>
      <c r="B15" s="48"/>
      <c r="C15" s="49">
        <v>4.37</v>
      </c>
      <c r="D15" s="54"/>
      <c r="E15" s="39">
        <v>1900</v>
      </c>
      <c r="F15" s="40">
        <v>62.65</v>
      </c>
      <c r="G15" s="51">
        <f>-12</f>
        <v>-12</v>
      </c>
      <c r="H15" s="44">
        <f t="shared" si="7"/>
        <v>0</v>
      </c>
      <c r="I15" s="52">
        <f t="shared" si="6"/>
        <v>-27.18</v>
      </c>
      <c r="J15" s="44">
        <f t="shared" si="2"/>
        <v>-27.18</v>
      </c>
      <c r="K15" s="44">
        <f t="shared" si="3"/>
        <v>28.258110000000002</v>
      </c>
      <c r="L15" s="44">
        <f t="shared" si="4"/>
        <v>-106.39000000000001</v>
      </c>
      <c r="M15" s="53">
        <f t="shared" si="5"/>
        <v>-134.64811000000003</v>
      </c>
      <c r="N15" s="231"/>
      <c r="O15" s="229"/>
      <c r="P15" s="230"/>
      <c r="Q15" s="47">
        <v>44563.581944444442</v>
      </c>
      <c r="R15" s="44">
        <f t="shared" si="0"/>
        <v>-25.089230772376215</v>
      </c>
      <c r="S15" s="44">
        <f t="shared" si="1"/>
        <v>-12.662831661548296</v>
      </c>
    </row>
    <row r="16" spans="1:20" ht="12" customHeight="1" x14ac:dyDescent="0.2">
      <c r="A16" s="37"/>
      <c r="B16" s="48"/>
      <c r="C16" s="49">
        <v>10.58</v>
      </c>
      <c r="D16" s="57"/>
      <c r="E16" s="39">
        <v>1900</v>
      </c>
      <c r="F16" s="40">
        <v>91.63</v>
      </c>
      <c r="G16" s="51">
        <v>44.4</v>
      </c>
      <c r="H16" s="44">
        <f t="shared" si="7"/>
        <v>0</v>
      </c>
      <c r="I16" s="52">
        <f t="shared" si="6"/>
        <v>-15.420000000000002</v>
      </c>
      <c r="J16" s="44">
        <f t="shared" si="2"/>
        <v>-15.420000000000002</v>
      </c>
      <c r="K16" s="44">
        <f t="shared" si="3"/>
        <v>28.258110000000002</v>
      </c>
      <c r="L16" s="44">
        <f t="shared" si="4"/>
        <v>-121.81000000000002</v>
      </c>
      <c r="M16" s="53">
        <f t="shared" si="5"/>
        <v>-150.06811000000002</v>
      </c>
      <c r="N16" s="228"/>
      <c r="O16" s="229"/>
      <c r="P16" s="230"/>
      <c r="Q16" s="47">
        <v>44563.595138888886</v>
      </c>
      <c r="R16" s="44">
        <f t="shared" si="0"/>
        <v>-48.694736844492141</v>
      </c>
      <c r="S16" s="44">
        <f t="shared" si="1"/>
        <v>-13.704850228441638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2073</v>
      </c>
      <c r="F17" s="40">
        <v>8.18</v>
      </c>
      <c r="G17" s="51">
        <v>-84.21</v>
      </c>
      <c r="H17" s="44">
        <f t="shared" si="7"/>
        <v>0.75600999999999996</v>
      </c>
      <c r="I17" s="52">
        <f t="shared" si="6"/>
        <v>0.76000000000000512</v>
      </c>
      <c r="J17" s="44">
        <f t="shared" si="2"/>
        <v>3.9900000000051561E-3</v>
      </c>
      <c r="K17" s="44">
        <f t="shared" si="3"/>
        <v>29.014120000000002</v>
      </c>
      <c r="L17" s="44">
        <f t="shared" si="4"/>
        <v>-121.05000000000001</v>
      </c>
      <c r="M17" s="53">
        <f t="shared" si="5"/>
        <v>-150.06412</v>
      </c>
      <c r="N17" s="231" t="s">
        <v>91</v>
      </c>
      <c r="O17" s="229"/>
      <c r="P17" s="230"/>
      <c r="Q17" s="47">
        <v>44563.75</v>
      </c>
      <c r="R17" s="44">
        <f t="shared" si="0"/>
        <v>1.0735426008791934E-3</v>
      </c>
      <c r="S17" s="44">
        <f t="shared" si="1"/>
        <v>-10.231644545481617</v>
      </c>
    </row>
    <row r="18" spans="1:19" ht="12" customHeight="1" x14ac:dyDescent="0.2">
      <c r="A18" s="37"/>
      <c r="B18" s="48"/>
      <c r="C18" s="49">
        <v>4.37</v>
      </c>
      <c r="D18" s="54"/>
      <c r="E18" s="39">
        <v>1583</v>
      </c>
      <c r="F18" s="40">
        <v>5.26</v>
      </c>
      <c r="G18" s="40"/>
      <c r="H18" s="44">
        <f t="shared" si="7"/>
        <v>-2.1413000000000002</v>
      </c>
      <c r="I18" s="52">
        <f t="shared" si="6"/>
        <v>-2.92</v>
      </c>
      <c r="J18" s="44">
        <f t="shared" si="2"/>
        <v>-0.77869999999999973</v>
      </c>
      <c r="K18" s="44">
        <f t="shared" si="3"/>
        <v>26.872820000000001</v>
      </c>
      <c r="L18" s="44">
        <f t="shared" si="4"/>
        <v>-123.97000000000001</v>
      </c>
      <c r="M18" s="53">
        <f t="shared" si="5"/>
        <v>-150.84282000000002</v>
      </c>
      <c r="N18" s="228"/>
      <c r="O18" s="229"/>
      <c r="P18" s="230"/>
      <c r="Q18" s="47">
        <v>44563.792361111111</v>
      </c>
      <c r="R18" s="44">
        <f t="shared" si="0"/>
        <v>-0.76593442623243146</v>
      </c>
      <c r="S18" s="44">
        <f t="shared" si="1"/>
        <v>-9.6180331562429693</v>
      </c>
    </row>
    <row r="19" spans="1:19" ht="12" customHeight="1" x14ac:dyDescent="0.2">
      <c r="A19" s="37"/>
      <c r="B19" s="48"/>
      <c r="C19" s="49">
        <v>4.37</v>
      </c>
      <c r="D19" s="54"/>
      <c r="E19" s="39">
        <v>875</v>
      </c>
      <c r="F19" s="40">
        <v>4.74</v>
      </c>
      <c r="G19" s="40">
        <f>-3.58+8.5</f>
        <v>4.92</v>
      </c>
      <c r="H19" s="44">
        <f t="shared" si="7"/>
        <v>-3.09396</v>
      </c>
      <c r="I19" s="52">
        <f t="shared" si="6"/>
        <v>-5.4399999999999995</v>
      </c>
      <c r="J19" s="44">
        <f t="shared" si="2"/>
        <v>-2.3460399999999995</v>
      </c>
      <c r="K19" s="44">
        <f t="shared" si="3"/>
        <v>23.778860000000002</v>
      </c>
      <c r="L19" s="44">
        <f t="shared" si="4"/>
        <v>-129.41000000000003</v>
      </c>
      <c r="M19" s="53">
        <f t="shared" si="5"/>
        <v>-153.18886000000003</v>
      </c>
      <c r="N19" s="228"/>
      <c r="O19" s="229"/>
      <c r="P19" s="230"/>
      <c r="Q19" s="47">
        <v>44563.831944444442</v>
      </c>
      <c r="R19" s="44">
        <f t="shared" si="0"/>
        <v>-2.4695157895947317</v>
      </c>
      <c r="S19" s="44">
        <f t="shared" si="1"/>
        <v>-9.2097511022538292</v>
      </c>
    </row>
    <row r="20" spans="1:19" ht="12" customHeight="1" x14ac:dyDescent="0.2">
      <c r="A20" s="37"/>
      <c r="B20" s="48"/>
      <c r="C20" s="49">
        <v>4.37</v>
      </c>
      <c r="D20" s="54"/>
      <c r="E20" s="39">
        <v>875</v>
      </c>
      <c r="F20" s="40">
        <v>3.27</v>
      </c>
      <c r="G20" s="40"/>
      <c r="H20" s="44">
        <f t="shared" si="7"/>
        <v>0</v>
      </c>
      <c r="I20" s="52">
        <f t="shared" si="6"/>
        <v>-1.4700000000000002</v>
      </c>
      <c r="J20" s="44">
        <f t="shared" si="2"/>
        <v>-1.4700000000000002</v>
      </c>
      <c r="K20" s="44">
        <f t="shared" si="3"/>
        <v>23.778860000000002</v>
      </c>
      <c r="L20" s="44">
        <f t="shared" si="4"/>
        <v>-130.88000000000002</v>
      </c>
      <c r="M20" s="53">
        <f t="shared" si="5"/>
        <v>-154.65886000000003</v>
      </c>
      <c r="N20" s="242"/>
      <c r="O20" s="229"/>
      <c r="P20" s="230"/>
      <c r="Q20" s="47">
        <v>44563.838888888888</v>
      </c>
      <c r="R20" s="44">
        <f t="shared" si="0"/>
        <v>-8.8199999989732181</v>
      </c>
      <c r="S20" s="44">
        <f t="shared" si="1"/>
        <v>-9.2058845238478018</v>
      </c>
    </row>
    <row r="21" spans="1:19" ht="12" customHeight="1" x14ac:dyDescent="0.2">
      <c r="A21" s="37"/>
      <c r="B21" s="48"/>
      <c r="C21" s="49">
        <v>4.37</v>
      </c>
      <c r="D21" s="54"/>
      <c r="E21" s="39">
        <v>766</v>
      </c>
      <c r="F21" s="40">
        <v>7.53</v>
      </c>
      <c r="G21" s="51">
        <f>7.76-2.93</f>
        <v>4.83</v>
      </c>
      <c r="H21" s="44">
        <f t="shared" si="7"/>
        <v>-0.47632999999999998</v>
      </c>
      <c r="I21" s="52">
        <f t="shared" si="6"/>
        <v>-0.57000000000000028</v>
      </c>
      <c r="J21" s="44">
        <f t="shared" si="2"/>
        <v>-9.3670000000000309E-2</v>
      </c>
      <c r="K21" s="44">
        <f t="shared" si="3"/>
        <v>23.302530000000001</v>
      </c>
      <c r="L21" s="44">
        <f t="shared" si="4"/>
        <v>-131.45000000000002</v>
      </c>
      <c r="M21" s="53">
        <f t="shared" si="5"/>
        <v>-154.75253000000001</v>
      </c>
      <c r="N21" s="228"/>
      <c r="O21" s="229"/>
      <c r="P21" s="230"/>
      <c r="Q21" s="47">
        <v>44563.849305555559</v>
      </c>
      <c r="R21" s="44">
        <f t="shared" si="0"/>
        <v>-0.37467999982552724</v>
      </c>
      <c r="S21" s="44">
        <f t="shared" si="1"/>
        <v>-9.0763947213828367</v>
      </c>
    </row>
    <row r="22" spans="1:19" ht="12" customHeight="1" x14ac:dyDescent="0.2">
      <c r="A22" s="37"/>
      <c r="B22" s="48" t="s">
        <v>92</v>
      </c>
      <c r="C22" s="49">
        <v>4.37</v>
      </c>
      <c r="D22" s="54"/>
      <c r="E22" s="39">
        <v>549</v>
      </c>
      <c r="F22" s="40">
        <v>4.59</v>
      </c>
      <c r="G22" s="51"/>
      <c r="H22" s="44">
        <f t="shared" si="7"/>
        <v>-0.94829000000000008</v>
      </c>
      <c r="I22" s="52">
        <f t="shared" si="6"/>
        <v>-2.9400000000000004</v>
      </c>
      <c r="J22" s="44">
        <f t="shared" si="2"/>
        <v>-1.9917100000000003</v>
      </c>
      <c r="K22" s="44">
        <f t="shared" si="3"/>
        <v>22.354240000000001</v>
      </c>
      <c r="L22" s="44">
        <f t="shared" si="4"/>
        <v>-134.39000000000001</v>
      </c>
      <c r="M22" s="53">
        <f t="shared" si="5"/>
        <v>-156.74424000000002</v>
      </c>
      <c r="N22" s="228"/>
      <c r="O22" s="229"/>
      <c r="P22" s="230"/>
      <c r="Q22" s="47">
        <v>44563.863888888889</v>
      </c>
      <c r="R22" s="44">
        <f t="shared" si="0"/>
        <v>-5.6906000013249471</v>
      </c>
      <c r="S22" s="44">
        <f t="shared" si="1"/>
        <v>-9.0082896551904952</v>
      </c>
    </row>
    <row r="23" spans="1:19" ht="12" customHeight="1" x14ac:dyDescent="0.2">
      <c r="A23" s="37"/>
      <c r="B23" s="48"/>
      <c r="C23" s="49">
        <v>4.37</v>
      </c>
      <c r="D23" s="54"/>
      <c r="E23" s="39">
        <v>481</v>
      </c>
      <c r="F23" s="40">
        <v>7.28</v>
      </c>
      <c r="G23" s="51">
        <f>-2.68+8.4</f>
        <v>5.7200000000000006</v>
      </c>
      <c r="H23" s="44">
        <f t="shared" si="7"/>
        <v>-0.29716000000000004</v>
      </c>
      <c r="I23" s="52">
        <f t="shared" si="6"/>
        <v>-3.0300000000000002</v>
      </c>
      <c r="J23" s="44">
        <f t="shared" si="2"/>
        <v>-2.7328400000000004</v>
      </c>
      <c r="K23" s="44">
        <f t="shared" si="3"/>
        <v>22.057079999999999</v>
      </c>
      <c r="L23" s="44">
        <f t="shared" si="4"/>
        <v>-137.42000000000002</v>
      </c>
      <c r="M23" s="53">
        <f t="shared" si="5"/>
        <v>-159.47708</v>
      </c>
      <c r="N23" s="228"/>
      <c r="O23" s="229"/>
      <c r="P23" s="230"/>
      <c r="Q23" s="47">
        <v>44563.875</v>
      </c>
      <c r="R23" s="44">
        <f t="shared" si="0"/>
        <v>-10.248150000149131</v>
      </c>
      <c r="S23" s="44">
        <f t="shared" si="1"/>
        <v>-9.0270045283217151</v>
      </c>
    </row>
    <row r="24" spans="1:19" ht="12" customHeight="1" x14ac:dyDescent="0.2">
      <c r="A24" s="37"/>
      <c r="B24" s="48"/>
      <c r="C24" s="49">
        <v>10.58</v>
      </c>
      <c r="D24" s="54"/>
      <c r="E24" s="39">
        <v>296</v>
      </c>
      <c r="F24" s="40">
        <v>2.75</v>
      </c>
      <c r="G24" s="51"/>
      <c r="H24" s="44">
        <f t="shared" si="7"/>
        <v>-1.9573</v>
      </c>
      <c r="I24" s="52">
        <f t="shared" si="6"/>
        <v>-4.53</v>
      </c>
      <c r="J24" s="44">
        <f t="shared" si="2"/>
        <v>-2.5727000000000002</v>
      </c>
      <c r="K24" s="44">
        <f t="shared" si="3"/>
        <v>20.099779999999999</v>
      </c>
      <c r="L24" s="44">
        <f t="shared" si="4"/>
        <v>-141.95000000000002</v>
      </c>
      <c r="M24" s="53">
        <f t="shared" si="5"/>
        <v>-162.04978000000003</v>
      </c>
      <c r="N24" s="231"/>
      <c r="O24" s="229"/>
      <c r="P24" s="230"/>
      <c r="Q24" s="47">
        <v>44563.88958333333</v>
      </c>
      <c r="R24" s="44">
        <f t="shared" si="0"/>
        <v>-7.3505714302828675</v>
      </c>
      <c r="S24" s="44">
        <f t="shared" si="1"/>
        <v>-8.9944373728630165</v>
      </c>
    </row>
    <row r="25" spans="1:19" ht="12" customHeight="1" x14ac:dyDescent="0.2">
      <c r="A25" s="37"/>
      <c r="B25" s="48"/>
      <c r="C25" s="49">
        <v>10.58</v>
      </c>
      <c r="D25" s="54"/>
      <c r="E25" s="39">
        <v>296</v>
      </c>
      <c r="F25" s="40">
        <v>7.63</v>
      </c>
      <c r="G25" s="51">
        <v>5.15</v>
      </c>
      <c r="H25" s="44">
        <f t="shared" si="7"/>
        <v>0</v>
      </c>
      <c r="I25" s="52">
        <f t="shared" si="6"/>
        <v>-0.27000000000000046</v>
      </c>
      <c r="J25" s="44">
        <f t="shared" si="2"/>
        <v>-0.27000000000000046</v>
      </c>
      <c r="K25" s="44">
        <f t="shared" si="3"/>
        <v>20.099779999999999</v>
      </c>
      <c r="L25" s="44">
        <f t="shared" si="4"/>
        <v>-142.22000000000003</v>
      </c>
      <c r="M25" s="53">
        <f t="shared" si="5"/>
        <v>-162.31978000000004</v>
      </c>
      <c r="N25" s="228"/>
      <c r="O25" s="229"/>
      <c r="P25" s="230"/>
      <c r="Q25" s="47">
        <v>44563.895833333336</v>
      </c>
      <c r="R25" s="44">
        <f t="shared" si="0"/>
        <v>-1.7999999983236223</v>
      </c>
      <c r="S25" s="44">
        <f t="shared" si="1"/>
        <v>-8.9350337614583495</v>
      </c>
    </row>
    <row r="26" spans="1:19" ht="12" customHeight="1" x14ac:dyDescent="0.2">
      <c r="A26" s="37"/>
      <c r="B26" s="48"/>
      <c r="C26" s="49">
        <v>10.58</v>
      </c>
      <c r="D26" s="54"/>
      <c r="E26" s="39">
        <v>296</v>
      </c>
      <c r="F26" s="40">
        <v>6.9</v>
      </c>
      <c r="G26" s="51"/>
      <c r="H26" s="44">
        <f>IF(E26="","",((E26-E25)*C26)/1000)</f>
        <v>0</v>
      </c>
      <c r="I26" s="52">
        <f>IF(F26="","",F26-F25-G26)</f>
        <v>-0.72999999999999954</v>
      </c>
      <c r="J26" s="44">
        <f t="shared" si="2"/>
        <v>-0.72999999999999954</v>
      </c>
      <c r="K26" s="44">
        <f t="shared" si="3"/>
        <v>20.099779999999999</v>
      </c>
      <c r="L26" s="44">
        <f t="shared" si="4"/>
        <v>-142.95000000000002</v>
      </c>
      <c r="M26" s="53">
        <f t="shared" si="5"/>
        <v>-163.04978000000003</v>
      </c>
      <c r="N26" s="228"/>
      <c r="O26" s="229"/>
      <c r="P26" s="230"/>
      <c r="Q26" s="47">
        <v>44563.90347222222</v>
      </c>
      <c r="R26" s="44">
        <f t="shared" si="0"/>
        <v>-3.9818181840094811</v>
      </c>
      <c r="S26" s="44">
        <f t="shared" si="1"/>
        <v>-8.8855465940449108</v>
      </c>
    </row>
    <row r="27" spans="1:19" ht="12" customHeight="1" x14ac:dyDescent="0.2">
      <c r="A27" s="37"/>
      <c r="B27" s="48"/>
      <c r="C27" s="49">
        <v>10.58</v>
      </c>
      <c r="D27" s="58"/>
      <c r="E27" s="39">
        <v>296</v>
      </c>
      <c r="F27" s="40">
        <v>5.64</v>
      </c>
      <c r="G27" s="51"/>
      <c r="H27" s="44">
        <f t="shared" si="7"/>
        <v>0</v>
      </c>
      <c r="I27" s="52">
        <f>IF(F27="","",F27-F26-G27)</f>
        <v>-1.2600000000000007</v>
      </c>
      <c r="J27" s="44">
        <f>IF(F27="","",I27-H27)</f>
        <v>-1.2600000000000007</v>
      </c>
      <c r="K27" s="44">
        <f>IF(F27="","",K26+H27)</f>
        <v>20.099779999999999</v>
      </c>
      <c r="L27" s="44">
        <f>IF(F27="","",L26+I27)</f>
        <v>-144.21</v>
      </c>
      <c r="M27" s="53">
        <f>IF(F27="","",L27-K27)</f>
        <v>-164.30978000000002</v>
      </c>
      <c r="N27" s="231"/>
      <c r="O27" s="229"/>
      <c r="P27" s="230"/>
      <c r="Q27" s="47">
        <v>44563.912499999999</v>
      </c>
      <c r="R27" s="44">
        <f t="shared" si="0"/>
        <v>-5.8153846151763107</v>
      </c>
      <c r="S27" s="44">
        <f t="shared" si="1"/>
        <v>-8.8497188510225762</v>
      </c>
    </row>
    <row r="28" spans="1:19" ht="12" customHeight="1" x14ac:dyDescent="0.2">
      <c r="A28" s="37"/>
      <c r="B28" s="48"/>
      <c r="C28" s="49">
        <v>10.58</v>
      </c>
      <c r="D28" s="58"/>
      <c r="E28" s="39">
        <v>210</v>
      </c>
      <c r="F28" s="40">
        <v>8.74</v>
      </c>
      <c r="G28" s="51">
        <f>-1.56+8.73</f>
        <v>7.17</v>
      </c>
      <c r="H28" s="44">
        <f t="shared" si="7"/>
        <v>-0.90988000000000002</v>
      </c>
      <c r="I28" s="52">
        <f>IF(F28="","",F28-F27-G28)</f>
        <v>-4.0699999999999994</v>
      </c>
      <c r="J28" s="44">
        <f t="shared" si="2"/>
        <v>-3.1601199999999992</v>
      </c>
      <c r="K28" s="44">
        <f t="shared" si="3"/>
        <v>19.189899999999998</v>
      </c>
      <c r="L28" s="44">
        <f t="shared" si="4"/>
        <v>-148.28</v>
      </c>
      <c r="M28" s="53">
        <f t="shared" si="5"/>
        <v>-167.4699</v>
      </c>
      <c r="N28" s="231"/>
      <c r="O28" s="229"/>
      <c r="P28" s="230"/>
      <c r="Q28" s="47">
        <v>44563.931250000001</v>
      </c>
      <c r="R28" s="44">
        <f t="shared" si="0"/>
        <v>-7.0224888877988532</v>
      </c>
      <c r="S28" s="44">
        <f t="shared" si="1"/>
        <v>-8.8064802804575368</v>
      </c>
    </row>
    <row r="29" spans="1:19" ht="12" customHeight="1" x14ac:dyDescent="0.2">
      <c r="A29" s="37"/>
      <c r="B29" s="48"/>
      <c r="C29" s="49">
        <v>10.58</v>
      </c>
      <c r="D29" s="58"/>
      <c r="E29" s="39">
        <v>210</v>
      </c>
      <c r="F29" s="40">
        <v>7.87</v>
      </c>
      <c r="G29" s="51"/>
      <c r="H29" s="44">
        <f t="shared" si="7"/>
        <v>0</v>
      </c>
      <c r="I29" s="52">
        <f t="shared" si="6"/>
        <v>-0.87000000000000011</v>
      </c>
      <c r="J29" s="44">
        <f t="shared" si="2"/>
        <v>-0.87000000000000011</v>
      </c>
      <c r="K29" s="44">
        <f t="shared" si="3"/>
        <v>19.189899999999998</v>
      </c>
      <c r="L29" s="44">
        <f t="shared" si="4"/>
        <v>-149.15</v>
      </c>
      <c r="M29" s="53">
        <f t="shared" si="5"/>
        <v>-168.3399</v>
      </c>
      <c r="N29" s="228"/>
      <c r="O29" s="229"/>
      <c r="P29" s="230"/>
      <c r="Q29" s="47">
        <v>44563.944444444445</v>
      </c>
      <c r="R29" s="44">
        <f t="shared" si="0"/>
        <v>-2.7473684211872995</v>
      </c>
      <c r="S29" s="44">
        <f t="shared" si="1"/>
        <v>-8.7072362069052893</v>
      </c>
    </row>
    <row r="30" spans="1:19" ht="12" customHeight="1" x14ac:dyDescent="0.2">
      <c r="A30" s="37"/>
      <c r="B30" s="48" t="s">
        <v>93</v>
      </c>
      <c r="C30" s="49">
        <v>4.28</v>
      </c>
      <c r="D30" s="58"/>
      <c r="E30" s="39">
        <v>207</v>
      </c>
      <c r="F30" s="40">
        <v>2.98</v>
      </c>
      <c r="G30" s="59"/>
      <c r="H30" s="44">
        <f t="shared" si="7"/>
        <v>-1.2840000000000001E-2</v>
      </c>
      <c r="I30" s="52">
        <f t="shared" si="6"/>
        <v>-4.8900000000000006</v>
      </c>
      <c r="J30" s="44">
        <f t="shared" si="2"/>
        <v>-4.8771600000000008</v>
      </c>
      <c r="K30" s="44">
        <f t="shared" si="3"/>
        <v>19.177059999999997</v>
      </c>
      <c r="L30" s="44">
        <f t="shared" si="4"/>
        <v>-154.04000000000002</v>
      </c>
      <c r="M30" s="53">
        <f t="shared" si="5"/>
        <v>-173.21706</v>
      </c>
      <c r="N30" s="228"/>
      <c r="O30" s="229"/>
      <c r="P30" s="230"/>
      <c r="Q30" s="47">
        <v>44563.988194444442</v>
      </c>
      <c r="R30" s="44">
        <f t="shared" si="0"/>
        <v>-4.6449142860232806</v>
      </c>
      <c r="S30" s="44">
        <f t="shared" si="1"/>
        <v>-8.4979751431279702</v>
      </c>
    </row>
    <row r="31" spans="1:19" ht="12" customHeight="1" x14ac:dyDescent="0.2">
      <c r="A31" s="37"/>
      <c r="B31" s="48"/>
      <c r="C31" s="49">
        <v>4.28</v>
      </c>
      <c r="D31" s="58"/>
      <c r="E31" s="39">
        <v>199</v>
      </c>
      <c r="F31" s="40">
        <v>8.41</v>
      </c>
      <c r="G31" s="51">
        <f>-2.8+8.1</f>
        <v>5.3</v>
      </c>
      <c r="H31" s="44">
        <f t="shared" si="7"/>
        <v>-3.424E-2</v>
      </c>
      <c r="I31" s="52">
        <f t="shared" si="6"/>
        <v>0.12999999999999989</v>
      </c>
      <c r="J31" s="44">
        <f t="shared" si="2"/>
        <v>0.16423999999999989</v>
      </c>
      <c r="K31" s="44">
        <f t="shared" si="3"/>
        <v>19.142819999999997</v>
      </c>
      <c r="L31" s="44">
        <f t="shared" si="4"/>
        <v>-153.91000000000003</v>
      </c>
      <c r="M31" s="53">
        <f t="shared" si="5"/>
        <v>-173.05282000000003</v>
      </c>
      <c r="N31" s="231"/>
      <c r="O31" s="229"/>
      <c r="P31" s="230"/>
      <c r="Q31" s="47">
        <v>44563.994444444441</v>
      </c>
      <c r="R31" s="44">
        <f t="shared" si="0"/>
        <v>1.0949333335882665</v>
      </c>
      <c r="S31" s="44">
        <f t="shared" si="1"/>
        <v>-8.4278970779730464</v>
      </c>
    </row>
    <row r="32" spans="1:19" ht="12" customHeight="1" x14ac:dyDescent="0.2">
      <c r="A32" s="37"/>
      <c r="B32" s="48"/>
      <c r="C32" s="49">
        <v>4.28</v>
      </c>
      <c r="D32" s="58"/>
      <c r="E32" s="39">
        <v>199</v>
      </c>
      <c r="F32" s="40">
        <v>5.29</v>
      </c>
      <c r="G32" s="51"/>
      <c r="H32" s="44">
        <f t="shared" si="7"/>
        <v>0</v>
      </c>
      <c r="I32" s="52">
        <f t="shared" si="6"/>
        <v>-3.12</v>
      </c>
      <c r="J32" s="44">
        <f t="shared" si="2"/>
        <v>-3.12</v>
      </c>
      <c r="K32" s="44">
        <f t="shared" si="3"/>
        <v>19.142819999999997</v>
      </c>
      <c r="L32" s="44">
        <f t="shared" si="4"/>
        <v>-157.03000000000003</v>
      </c>
      <c r="M32" s="53">
        <f t="shared" si="5"/>
        <v>-176.17282000000003</v>
      </c>
      <c r="N32" s="228"/>
      <c r="O32" s="229"/>
      <c r="P32" s="230"/>
      <c r="Q32" s="47">
        <v>44564.026388888888</v>
      </c>
      <c r="R32" s="44">
        <f t="shared" si="0"/>
        <v>-4.0695652171029293</v>
      </c>
      <c r="S32" s="44">
        <f t="shared" si="1"/>
        <v>-8.2710244131726647</v>
      </c>
    </row>
    <row r="33" spans="1:19" ht="12" customHeight="1" x14ac:dyDescent="0.2">
      <c r="A33" s="37"/>
      <c r="B33" s="48"/>
      <c r="C33" s="49">
        <v>4.28</v>
      </c>
      <c r="D33" s="58"/>
      <c r="E33" s="39">
        <v>199</v>
      </c>
      <c r="F33" s="40">
        <v>8.1199999999999992</v>
      </c>
      <c r="G33" s="51">
        <f>8.12-3.2</f>
        <v>4.919999999999999</v>
      </c>
      <c r="H33" s="44">
        <f t="shared" si="7"/>
        <v>0</v>
      </c>
      <c r="I33" s="52">
        <f t="shared" si="6"/>
        <v>-2.09</v>
      </c>
      <c r="J33" s="44">
        <f t="shared" si="2"/>
        <v>-2.09</v>
      </c>
      <c r="K33" s="44">
        <f t="shared" si="3"/>
        <v>19.142819999999997</v>
      </c>
      <c r="L33" s="44">
        <f t="shared" si="4"/>
        <v>-159.12000000000003</v>
      </c>
      <c r="M33" s="53">
        <f t="shared" si="5"/>
        <v>-178.26282000000003</v>
      </c>
      <c r="N33" s="231"/>
      <c r="O33" s="229"/>
      <c r="P33" s="230"/>
      <c r="Q33" s="47">
        <v>44564.05</v>
      </c>
      <c r="R33" s="44">
        <f t="shared" si="0"/>
        <v>-3.6882352934609677</v>
      </c>
      <c r="S33" s="44">
        <f t="shared" si="1"/>
        <v>-8.1522631097445259</v>
      </c>
    </row>
    <row r="34" spans="1:19" ht="12" customHeight="1" x14ac:dyDescent="0.2">
      <c r="A34" s="37"/>
      <c r="B34" s="48"/>
      <c r="C34" s="49">
        <v>4.28</v>
      </c>
      <c r="D34" s="58"/>
      <c r="E34" s="39">
        <v>189</v>
      </c>
      <c r="F34" s="40">
        <v>5.89</v>
      </c>
      <c r="G34" s="51"/>
      <c r="H34" s="44">
        <f t="shared" si="7"/>
        <v>-4.2800000000000005E-2</v>
      </c>
      <c r="I34" s="52">
        <f t="shared" si="6"/>
        <v>-2.2299999999999995</v>
      </c>
      <c r="J34" s="44">
        <f t="shared" si="2"/>
        <v>-2.1871999999999994</v>
      </c>
      <c r="K34" s="44">
        <f t="shared" si="3"/>
        <v>19.100019999999997</v>
      </c>
      <c r="L34" s="44">
        <f t="shared" si="4"/>
        <v>-161.35000000000002</v>
      </c>
      <c r="M34" s="53">
        <f t="shared" si="5"/>
        <v>-180.45002000000002</v>
      </c>
      <c r="N34" s="60"/>
      <c r="O34" s="61"/>
      <c r="P34" s="62"/>
      <c r="Q34" s="47">
        <v>44564.07708333333</v>
      </c>
      <c r="R34" s="44">
        <f t="shared" si="0"/>
        <v>-3.3649230777065333</v>
      </c>
      <c r="S34" s="44">
        <f t="shared" si="1"/>
        <v>-8.0140645448244587</v>
      </c>
    </row>
    <row r="35" spans="1:19" ht="12" customHeight="1" x14ac:dyDescent="0.2">
      <c r="A35" s="37"/>
      <c r="B35" s="48"/>
      <c r="C35" s="49">
        <v>4.28</v>
      </c>
      <c r="D35" s="58"/>
      <c r="E35" s="39">
        <v>185</v>
      </c>
      <c r="F35" s="40">
        <v>2.84</v>
      </c>
      <c r="G35" s="51"/>
      <c r="H35" s="44">
        <f t="shared" si="7"/>
        <v>-1.712E-2</v>
      </c>
      <c r="I35" s="52">
        <f t="shared" si="6"/>
        <v>-3.05</v>
      </c>
      <c r="J35" s="44">
        <f t="shared" si="2"/>
        <v>-3.03288</v>
      </c>
      <c r="K35" s="44">
        <f t="shared" si="3"/>
        <v>19.082899999999999</v>
      </c>
      <c r="L35" s="44">
        <f t="shared" si="4"/>
        <v>-164.40000000000003</v>
      </c>
      <c r="M35" s="53">
        <f t="shared" si="5"/>
        <v>-183.48290000000003</v>
      </c>
      <c r="N35" s="228"/>
      <c r="O35" s="229"/>
      <c r="P35" s="230"/>
      <c r="Q35" s="47">
        <v>44564.112500000003</v>
      </c>
      <c r="R35" s="44">
        <f t="shared" si="0"/>
        <v>-3.5680941170117704</v>
      </c>
      <c r="S35" s="44">
        <f t="shared" si="1"/>
        <v>-7.8523352353676001</v>
      </c>
    </row>
    <row r="36" spans="1:19" ht="12" customHeight="1" x14ac:dyDescent="0.2">
      <c r="A36" s="37"/>
      <c r="B36" s="48"/>
      <c r="C36" s="49">
        <v>4.28</v>
      </c>
      <c r="D36" s="58"/>
      <c r="E36" s="39">
        <v>67</v>
      </c>
      <c r="F36" s="56">
        <v>6.43</v>
      </c>
      <c r="G36" s="51">
        <f>7.5-2.84-3.3+8</f>
        <v>9.36</v>
      </c>
      <c r="H36" s="44">
        <f t="shared" si="7"/>
        <v>-0.50504000000000004</v>
      </c>
      <c r="I36" s="52">
        <f t="shared" si="6"/>
        <v>-5.77</v>
      </c>
      <c r="J36" s="44">
        <f t="shared" si="2"/>
        <v>-5.2649599999999994</v>
      </c>
      <c r="K36" s="44">
        <f t="shared" si="3"/>
        <v>18.577859999999998</v>
      </c>
      <c r="L36" s="44">
        <f t="shared" si="4"/>
        <v>-170.17000000000004</v>
      </c>
      <c r="M36" s="53">
        <f t="shared" si="5"/>
        <v>-188.74786000000003</v>
      </c>
      <c r="N36" s="231"/>
      <c r="O36" s="229"/>
      <c r="P36" s="230"/>
      <c r="Q36" s="47">
        <v>44564.194444444445</v>
      </c>
      <c r="R36" s="44">
        <f t="shared" si="0"/>
        <v>-2.6770983051534154</v>
      </c>
      <c r="S36" s="44">
        <f t="shared" si="1"/>
        <v>-7.4505734210583388</v>
      </c>
    </row>
    <row r="37" spans="1:19" ht="12" customHeight="1" x14ac:dyDescent="0.2">
      <c r="A37" s="37"/>
      <c r="B37" s="48"/>
      <c r="C37" s="49">
        <v>4.28</v>
      </c>
      <c r="D37" s="58"/>
      <c r="E37" s="50">
        <v>67</v>
      </c>
      <c r="F37" s="56">
        <v>3.23</v>
      </c>
      <c r="G37" s="51"/>
      <c r="H37" s="44">
        <f t="shared" si="7"/>
        <v>0</v>
      </c>
      <c r="I37" s="52">
        <f t="shared" si="6"/>
        <v>-3.1999999999999997</v>
      </c>
      <c r="J37" s="44">
        <f t="shared" si="2"/>
        <v>-3.1999999999999997</v>
      </c>
      <c r="K37" s="44">
        <f t="shared" si="3"/>
        <v>18.577859999999998</v>
      </c>
      <c r="L37" s="44">
        <f t="shared" si="4"/>
        <v>-173.37000000000003</v>
      </c>
      <c r="M37" s="53">
        <f t="shared" si="5"/>
        <v>-191.94786000000002</v>
      </c>
      <c r="N37" s="228"/>
      <c r="O37" s="229"/>
      <c r="P37" s="230"/>
      <c r="Q37" s="47">
        <v>44564.238888888889</v>
      </c>
      <c r="R37" s="44">
        <f t="shared" si="0"/>
        <v>-3.0000000000436553</v>
      </c>
      <c r="S37" s="44">
        <f t="shared" si="1"/>
        <v>-7.2707522727368916</v>
      </c>
    </row>
    <row r="38" spans="1:19" ht="12" customHeight="1" x14ac:dyDescent="0.2">
      <c r="A38" s="37"/>
      <c r="B38" s="48"/>
      <c r="C38" s="49">
        <v>4.28</v>
      </c>
      <c r="D38" s="58"/>
      <c r="E38" s="50">
        <v>1</v>
      </c>
      <c r="F38" s="56">
        <v>7.87</v>
      </c>
      <c r="G38" s="51">
        <v>4.92</v>
      </c>
      <c r="H38" s="44">
        <f t="shared" si="7"/>
        <v>-0.28248000000000001</v>
      </c>
      <c r="I38" s="52">
        <f t="shared" si="6"/>
        <v>-0.27999999999999936</v>
      </c>
      <c r="J38" s="44">
        <f t="shared" si="2"/>
        <v>2.4800000000006484E-3</v>
      </c>
      <c r="K38" s="44">
        <f t="shared" si="3"/>
        <v>18.295379999999998</v>
      </c>
      <c r="L38" s="44">
        <f t="shared" si="4"/>
        <v>-173.65000000000003</v>
      </c>
      <c r="M38" s="53">
        <f t="shared" si="5"/>
        <v>-191.94538000000003</v>
      </c>
      <c r="N38" s="228"/>
      <c r="O38" s="229"/>
      <c r="P38" s="230"/>
      <c r="Q38" s="47">
        <v>44564.75</v>
      </c>
      <c r="R38" s="44">
        <f t="shared" si="0"/>
        <v>2.0217391304359507E-4</v>
      </c>
      <c r="S38" s="44">
        <f t="shared" si="1"/>
        <v>-4.9641046551773966</v>
      </c>
    </row>
    <row r="39" spans="1:19" ht="12" customHeight="1" x14ac:dyDescent="0.2">
      <c r="A39" s="37"/>
      <c r="B39" s="48"/>
      <c r="C39" s="49">
        <v>4.28</v>
      </c>
      <c r="D39" s="58"/>
      <c r="E39" s="50">
        <v>1</v>
      </c>
      <c r="F39" s="56">
        <v>4.1500000000000004</v>
      </c>
      <c r="G39" s="51"/>
      <c r="H39" s="44">
        <f t="shared" si="7"/>
        <v>0</v>
      </c>
      <c r="I39" s="52">
        <f t="shared" si="6"/>
        <v>-3.7199999999999998</v>
      </c>
      <c r="J39" s="44">
        <f t="shared" si="2"/>
        <v>-3.7199999999999998</v>
      </c>
      <c r="K39" s="44">
        <f t="shared" si="3"/>
        <v>18.295379999999998</v>
      </c>
      <c r="L39" s="44">
        <f t="shared" si="4"/>
        <v>-177.37000000000003</v>
      </c>
      <c r="M39" s="53">
        <f t="shared" si="5"/>
        <v>-195.66538000000003</v>
      </c>
      <c r="N39" s="228"/>
      <c r="O39" s="229"/>
      <c r="P39" s="230"/>
      <c r="Q39" s="47">
        <v>44564.8125</v>
      </c>
      <c r="R39" s="44">
        <f t="shared" si="0"/>
        <v>-2.48</v>
      </c>
      <c r="S39" s="44">
        <f t="shared" si="1"/>
        <v>-4.8713372614154951</v>
      </c>
    </row>
    <row r="40" spans="1:19" ht="12" customHeight="1" x14ac:dyDescent="0.2">
      <c r="A40" s="37"/>
      <c r="B40" s="48"/>
      <c r="C40" s="49">
        <v>4.28</v>
      </c>
      <c r="D40" s="58"/>
      <c r="E40" s="50">
        <v>1</v>
      </c>
      <c r="F40" s="56">
        <v>4.1500000000000004</v>
      </c>
      <c r="G40" s="51">
        <f>8.13-4.11</f>
        <v>4.0200000000000005</v>
      </c>
      <c r="H40" s="44">
        <f t="shared" si="7"/>
        <v>0</v>
      </c>
      <c r="I40" s="52">
        <f t="shared" si="6"/>
        <v>-4.0200000000000005</v>
      </c>
      <c r="J40" s="44">
        <f t="shared" si="2"/>
        <v>-4.0200000000000005</v>
      </c>
      <c r="K40" s="44">
        <f t="shared" si="3"/>
        <v>18.295379999999998</v>
      </c>
      <c r="L40" s="44">
        <f t="shared" si="4"/>
        <v>-181.39000000000004</v>
      </c>
      <c r="M40" s="53">
        <f t="shared" si="5"/>
        <v>-199.68538000000004</v>
      </c>
      <c r="N40" s="231"/>
      <c r="O40" s="229"/>
      <c r="P40" s="230"/>
      <c r="Q40" s="47">
        <v>44564.879861111112</v>
      </c>
      <c r="R40" s="44">
        <f t="shared" si="0"/>
        <v>-2.486597938096581</v>
      </c>
      <c r="S40" s="44">
        <f t="shared" si="1"/>
        <v>-4.7790677303558944</v>
      </c>
    </row>
    <row r="41" spans="1:19" ht="12" customHeight="1" x14ac:dyDescent="0.2">
      <c r="A41" s="37"/>
      <c r="B41" s="48"/>
      <c r="C41" s="49">
        <v>4.28</v>
      </c>
      <c r="D41" s="58"/>
      <c r="E41" s="50">
        <v>1</v>
      </c>
      <c r="F41" s="40">
        <v>4.4000000000000004</v>
      </c>
      <c r="G41" s="51">
        <f>-2.74+7.56+0.22</f>
        <v>5.0399999999999991</v>
      </c>
      <c r="H41" s="44">
        <f t="shared" si="7"/>
        <v>0</v>
      </c>
      <c r="I41" s="52">
        <f t="shared" si="6"/>
        <v>-4.7899999999999991</v>
      </c>
      <c r="J41" s="44">
        <f t="shared" si="2"/>
        <v>-4.7899999999999991</v>
      </c>
      <c r="K41" s="44">
        <f t="shared" si="3"/>
        <v>18.295379999999998</v>
      </c>
      <c r="L41" s="44">
        <f t="shared" si="4"/>
        <v>-186.18000000000004</v>
      </c>
      <c r="M41" s="53">
        <f t="shared" si="5"/>
        <v>-204.47538000000003</v>
      </c>
      <c r="N41" s="228"/>
      <c r="O41" s="229"/>
      <c r="P41" s="230"/>
      <c r="Q41" s="47">
        <v>44564.974305555559</v>
      </c>
      <c r="R41" s="44">
        <f t="shared" si="0"/>
        <v>-2.1132352940669969</v>
      </c>
      <c r="S41" s="44">
        <f t="shared" si="1"/>
        <v>-4.6418928490302811</v>
      </c>
    </row>
    <row r="42" spans="1:19" ht="12" customHeight="1" x14ac:dyDescent="0.2">
      <c r="A42" s="37"/>
      <c r="B42" s="48"/>
      <c r="C42" s="49">
        <v>4.28</v>
      </c>
      <c r="D42" s="58"/>
      <c r="E42" s="50">
        <v>1</v>
      </c>
      <c r="F42" s="40">
        <v>6.21</v>
      </c>
      <c r="G42" s="51">
        <f>-3.25+8.27</f>
        <v>5.0199999999999996</v>
      </c>
      <c r="H42" s="44">
        <f t="shared" si="7"/>
        <v>0</v>
      </c>
      <c r="I42" s="52">
        <f t="shared" si="6"/>
        <v>-3.21</v>
      </c>
      <c r="J42" s="44">
        <f t="shared" si="2"/>
        <v>-3.21</v>
      </c>
      <c r="K42" s="44">
        <f t="shared" si="3"/>
        <v>18.295379999999998</v>
      </c>
      <c r="L42" s="44">
        <f t="shared" si="4"/>
        <v>-189.39000000000004</v>
      </c>
      <c r="M42" s="53">
        <f t="shared" si="5"/>
        <v>-207.68538000000004</v>
      </c>
      <c r="N42" s="228"/>
      <c r="O42" s="229"/>
      <c r="P42" s="230"/>
      <c r="Q42" s="47">
        <v>44565.042361111111</v>
      </c>
      <c r="R42" s="44">
        <f t="shared" si="0"/>
        <v>-1.9653061225563717</v>
      </c>
      <c r="S42" s="44">
        <f t="shared" si="1"/>
        <v>-4.5461958409382142</v>
      </c>
    </row>
    <row r="43" spans="1:19" ht="12" customHeight="1" x14ac:dyDescent="0.2">
      <c r="A43" s="37"/>
      <c r="B43" s="48"/>
      <c r="C43" s="49">
        <v>4.28</v>
      </c>
      <c r="D43" s="58"/>
      <c r="E43" s="50">
        <v>1</v>
      </c>
      <c r="F43" s="40">
        <v>8.43</v>
      </c>
      <c r="G43" s="51">
        <f>8.5-2.11</f>
        <v>6.3900000000000006</v>
      </c>
      <c r="H43" s="44">
        <f t="shared" si="7"/>
        <v>0</v>
      </c>
      <c r="I43" s="52">
        <f t="shared" si="6"/>
        <v>-4.1700000000000008</v>
      </c>
      <c r="J43" s="44">
        <f t="shared" si="2"/>
        <v>-4.1700000000000008</v>
      </c>
      <c r="K43" s="44">
        <f t="shared" si="3"/>
        <v>18.295379999999998</v>
      </c>
      <c r="L43" s="44">
        <f t="shared" si="4"/>
        <v>-193.56000000000003</v>
      </c>
      <c r="M43" s="53">
        <f t="shared" si="5"/>
        <v>-211.85538000000003</v>
      </c>
      <c r="N43" s="228"/>
      <c r="O43" s="229"/>
      <c r="P43" s="230"/>
      <c r="Q43" s="47">
        <v>44565.128472222219</v>
      </c>
      <c r="R43" s="44">
        <f t="shared" si="0"/>
        <v>-2.0177419355558555</v>
      </c>
      <c r="S43" s="44">
        <f t="shared" si="1"/>
        <v>-4.4367618848275709</v>
      </c>
    </row>
    <row r="44" spans="1:19" ht="12" customHeight="1" x14ac:dyDescent="0.2">
      <c r="A44" s="37"/>
      <c r="B44" s="48"/>
      <c r="C44" s="49">
        <v>4.28</v>
      </c>
      <c r="D44" s="58"/>
      <c r="E44" s="50">
        <v>1</v>
      </c>
      <c r="F44" s="56">
        <v>5.0999999999999996</v>
      </c>
      <c r="G44" s="51"/>
      <c r="H44" s="44">
        <f t="shared" si="7"/>
        <v>0</v>
      </c>
      <c r="I44" s="52">
        <f t="shared" si="6"/>
        <v>-3.33</v>
      </c>
      <c r="J44" s="44">
        <f t="shared" si="2"/>
        <v>-3.33</v>
      </c>
      <c r="K44" s="44">
        <f t="shared" si="3"/>
        <v>18.295379999999998</v>
      </c>
      <c r="L44" s="44">
        <f t="shared" si="4"/>
        <v>-196.89000000000004</v>
      </c>
      <c r="M44" s="53">
        <f t="shared" si="5"/>
        <v>-215.18538000000004</v>
      </c>
      <c r="N44" s="243"/>
      <c r="O44" s="244"/>
      <c r="P44" s="245"/>
      <c r="Q44" s="47">
        <v>44565.202777777777</v>
      </c>
      <c r="R44" s="44">
        <f t="shared" si="0"/>
        <v>-1.8672897195733467</v>
      </c>
      <c r="S44" s="44">
        <f t="shared" si="1"/>
        <v>-4.3442539703960961</v>
      </c>
    </row>
    <row r="45" spans="1:19" ht="12" customHeight="1" x14ac:dyDescent="0.2">
      <c r="A45" s="37"/>
      <c r="B45" s="48"/>
      <c r="C45" s="49">
        <v>4.28</v>
      </c>
      <c r="D45" s="58"/>
      <c r="E45" s="50">
        <v>1</v>
      </c>
      <c r="F45" s="40">
        <v>8.1</v>
      </c>
      <c r="G45" s="51">
        <f>-1.91+8.2</f>
        <v>6.2899999999999991</v>
      </c>
      <c r="H45" s="44">
        <f t="shared" si="7"/>
        <v>0</v>
      </c>
      <c r="I45" s="52">
        <f t="shared" si="6"/>
        <v>-3.2899999999999991</v>
      </c>
      <c r="J45" s="44">
        <f t="shared" si="2"/>
        <v>-3.2899999999999991</v>
      </c>
      <c r="K45" s="44">
        <f t="shared" si="3"/>
        <v>18.295379999999998</v>
      </c>
      <c r="L45" s="44">
        <f t="shared" si="4"/>
        <v>-200.18000000000004</v>
      </c>
      <c r="M45" s="53">
        <f t="shared" si="5"/>
        <v>-218.47538000000003</v>
      </c>
      <c r="N45" s="243"/>
      <c r="O45" s="244"/>
      <c r="P45" s="245"/>
      <c r="Q45" s="47">
        <v>44565.270138888889</v>
      </c>
      <c r="R45" s="44">
        <f t="shared" si="0"/>
        <v>-2.0350515463526739</v>
      </c>
      <c r="S45" s="44">
        <f t="shared" si="1"/>
        <v>-4.2712684262003755</v>
      </c>
    </row>
    <row r="46" spans="1:19" ht="12" customHeight="1" x14ac:dyDescent="0.2">
      <c r="A46" s="37"/>
      <c r="B46" s="48"/>
      <c r="C46" s="49">
        <v>4.28</v>
      </c>
      <c r="D46" s="58"/>
      <c r="E46" s="50">
        <v>1</v>
      </c>
      <c r="F46" s="40">
        <v>5.7</v>
      </c>
      <c r="G46" s="51">
        <v>-2.4</v>
      </c>
      <c r="H46" s="44">
        <f t="shared" si="7"/>
        <v>0</v>
      </c>
      <c r="I46" s="52">
        <f t="shared" si="6"/>
        <v>4.4408920985006262E-16</v>
      </c>
      <c r="J46" s="44">
        <f t="shared" si="2"/>
        <v>4.4408920985006262E-16</v>
      </c>
      <c r="K46" s="44">
        <f t="shared" si="3"/>
        <v>18.295379999999998</v>
      </c>
      <c r="L46" s="44">
        <f t="shared" si="4"/>
        <v>-200.18000000000004</v>
      </c>
      <c r="M46" s="53">
        <f t="shared" si="5"/>
        <v>-218.47538000000003</v>
      </c>
      <c r="N46" s="243"/>
      <c r="O46" s="244"/>
      <c r="P46" s="245"/>
      <c r="Q46" s="47">
        <v>44565.791666666664</v>
      </c>
      <c r="R46" s="44">
        <f t="shared" si="0"/>
        <v>3.5479830347717616E-17</v>
      </c>
      <c r="S46" s="44">
        <f t="shared" si="1"/>
        <v>-3.4315504712094178</v>
      </c>
    </row>
    <row r="47" spans="1:19" ht="12" customHeight="1" x14ac:dyDescent="0.2">
      <c r="A47" s="37"/>
      <c r="B47" s="48"/>
      <c r="C47" s="49">
        <v>4.28</v>
      </c>
      <c r="D47" s="58"/>
      <c r="E47" s="50">
        <v>1</v>
      </c>
      <c r="F47" s="40">
        <v>7.85</v>
      </c>
      <c r="G47" s="51">
        <f>7.9-3.48</f>
        <v>4.42</v>
      </c>
      <c r="H47" s="44">
        <f t="shared" si="7"/>
        <v>0</v>
      </c>
      <c r="I47" s="52">
        <f t="shared" si="6"/>
        <v>-2.2700000000000005</v>
      </c>
      <c r="J47" s="44">
        <f t="shared" si="2"/>
        <v>-2.2700000000000005</v>
      </c>
      <c r="K47" s="44">
        <f t="shared" si="3"/>
        <v>18.295379999999998</v>
      </c>
      <c r="L47" s="44">
        <f t="shared" si="4"/>
        <v>-202.45000000000005</v>
      </c>
      <c r="M47" s="53">
        <f t="shared" si="5"/>
        <v>-220.74538000000004</v>
      </c>
      <c r="N47" s="243"/>
      <c r="O47" s="244"/>
      <c r="P47" s="245"/>
      <c r="Q47" s="47">
        <v>44565.845833333333</v>
      </c>
      <c r="R47" s="44">
        <f t="shared" si="0"/>
        <v>-1.7461538460912991</v>
      </c>
      <c r="S47" s="44">
        <f t="shared" si="1"/>
        <v>-3.3978252437173646</v>
      </c>
    </row>
    <row r="48" spans="1:19" ht="12" customHeight="1" x14ac:dyDescent="0.2">
      <c r="A48" s="37"/>
      <c r="B48" s="48"/>
      <c r="C48" s="49">
        <v>4.28</v>
      </c>
      <c r="D48" s="58"/>
      <c r="E48" s="50">
        <v>1</v>
      </c>
      <c r="F48" s="40">
        <v>3.1</v>
      </c>
      <c r="G48" s="51"/>
      <c r="H48" s="44">
        <f t="shared" si="7"/>
        <v>0</v>
      </c>
      <c r="I48" s="52">
        <f t="shared" si="6"/>
        <v>-4.75</v>
      </c>
      <c r="J48" s="44">
        <f t="shared" si="2"/>
        <v>-4.75</v>
      </c>
      <c r="K48" s="44">
        <f t="shared" si="3"/>
        <v>18.295379999999998</v>
      </c>
      <c r="L48" s="44">
        <f t="shared" si="4"/>
        <v>-207.20000000000005</v>
      </c>
      <c r="M48" s="53">
        <f t="shared" si="5"/>
        <v>-225.49538000000004</v>
      </c>
      <c r="N48" s="243"/>
      <c r="O48" s="244"/>
      <c r="P48" s="245"/>
      <c r="Q48" s="47">
        <v>44565.960416666669</v>
      </c>
      <c r="R48" s="44">
        <f t="shared" si="0"/>
        <v>-1.727272727236167</v>
      </c>
      <c r="S48" s="44">
        <f t="shared" si="1"/>
        <v>-3.3299834604967886</v>
      </c>
    </row>
    <row r="49" spans="1:19" ht="12" customHeight="1" x14ac:dyDescent="0.2">
      <c r="A49" s="37"/>
      <c r="B49" s="48"/>
      <c r="C49" s="49">
        <v>4.28</v>
      </c>
      <c r="D49" s="58"/>
      <c r="E49" s="50">
        <v>1</v>
      </c>
      <c r="F49" s="40"/>
      <c r="G49" s="40">
        <f>-2.9+8.2</f>
        <v>5.2999999999999989</v>
      </c>
      <c r="H49" s="44">
        <f>IF(E49="","",((E49-E48)*C49)/1000)</f>
        <v>0</v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4.28</v>
      </c>
      <c r="D50" s="58"/>
      <c r="E50" s="50">
        <v>1</v>
      </c>
      <c r="F50" s="40"/>
      <c r="G50" s="40"/>
      <c r="H50" s="44">
        <f>IF(E50="","",((E50-E49)*C50)/1000)</f>
        <v>0</v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4.28</v>
      </c>
      <c r="D51" s="58"/>
      <c r="E51" s="50">
        <v>1</v>
      </c>
      <c r="F51" s="40"/>
      <c r="G51" s="40"/>
      <c r="H51" s="44">
        <f>IF(E51="","",((E51-E50)*C51)/1000)</f>
        <v>0</v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U112"/>
  <sheetViews>
    <sheetView topLeftCell="A2" zoomScale="115" zoomScaleNormal="115" workbookViewId="0">
      <selection activeCell="G26" sqref="G2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75</v>
      </c>
      <c r="F6" s="40">
        <v>6.15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44562.527777777781</v>
      </c>
      <c r="R6" s="11"/>
      <c r="S6" s="11"/>
    </row>
    <row r="7" spans="1:20" ht="12" customHeight="1" x14ac:dyDescent="0.2">
      <c r="A7" s="37"/>
      <c r="B7" s="48" t="s">
        <v>87</v>
      </c>
      <c r="C7" s="49">
        <v>15.74</v>
      </c>
      <c r="D7" s="39"/>
      <c r="E7" s="39">
        <v>742</v>
      </c>
      <c r="F7" s="40">
        <v>3.85</v>
      </c>
      <c r="G7" s="51">
        <v>-11.5</v>
      </c>
      <c r="H7" s="44">
        <f>IF(E7="","",((E7-E6)*C7)/1000)</f>
        <v>10.49858</v>
      </c>
      <c r="I7" s="52">
        <f>IF(F7="","",F7-F6-G7)</f>
        <v>9.1999999999999993</v>
      </c>
      <c r="J7" s="44">
        <f>IF(F7="","",I7-H7)</f>
        <v>-1.2985800000000012</v>
      </c>
      <c r="K7" s="44">
        <f>IF(F7="","",K6+H7)</f>
        <v>10.49858</v>
      </c>
      <c r="L7" s="44">
        <f>IF(F7="","",L6+I7)</f>
        <v>9.1999999999999993</v>
      </c>
      <c r="M7" s="53">
        <f>IF(F7="","",L7-K7)</f>
        <v>-1.2985800000000012</v>
      </c>
      <c r="N7" s="231"/>
      <c r="O7" s="229"/>
      <c r="P7" s="230"/>
      <c r="Q7" s="47">
        <v>44562.561111111114</v>
      </c>
      <c r="R7" s="44">
        <f t="shared" ref="R7:R70" si="0">IF(Q7="","",J7/((Q7-Q6)*24))</f>
        <v>-1.6232250000236226</v>
      </c>
      <c r="S7" s="44">
        <f t="shared" ref="S7:S70" si="1">IF(Q7="","",M7/((Q7-$Q$6)*24))</f>
        <v>-1.6232250000236226</v>
      </c>
    </row>
    <row r="8" spans="1:20" ht="12" customHeight="1" x14ac:dyDescent="0.2">
      <c r="A8" s="37"/>
      <c r="B8" s="48"/>
      <c r="C8" s="49">
        <v>15.74</v>
      </c>
      <c r="D8" s="54"/>
      <c r="E8" s="39">
        <v>1870</v>
      </c>
      <c r="F8" s="40">
        <v>8.2899999999999991</v>
      </c>
      <c r="G8" s="51">
        <v>-11</v>
      </c>
      <c r="H8" s="44">
        <f>IF(E8="","",((E8-E7)*C8)/1000)</f>
        <v>17.754720000000002</v>
      </c>
      <c r="I8" s="52">
        <f>IF(F8="","",F8-F7-G8)</f>
        <v>15.44</v>
      </c>
      <c r="J8" s="44">
        <f>IF(F8="","",I8-H8)</f>
        <v>-2.314720000000003</v>
      </c>
      <c r="K8" s="44">
        <f>IF(F8="","",K7+H8)</f>
        <v>28.253300000000003</v>
      </c>
      <c r="L8" s="44">
        <f>IF(F8="","",L7+I8)</f>
        <v>24.64</v>
      </c>
      <c r="M8" s="53">
        <f>IF(F8="","",L8-K8)</f>
        <v>-3.6133000000000024</v>
      </c>
      <c r="N8" s="231"/>
      <c r="O8" s="229"/>
      <c r="P8" s="230"/>
      <c r="Q8" s="47">
        <v>44562.626388888886</v>
      </c>
      <c r="R8" s="44">
        <f t="shared" si="0"/>
        <v>-1.4774808511882582</v>
      </c>
      <c r="S8" s="44">
        <f t="shared" si="1"/>
        <v>-1.5267464789658638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1870</v>
      </c>
      <c r="F9" s="40">
        <v>7.74</v>
      </c>
      <c r="G9" s="51"/>
      <c r="H9" s="44">
        <f>IF(E9="","",((E9-E8)*C9)/1000)</f>
        <v>0</v>
      </c>
      <c r="I9" s="52">
        <f>IF(F9="","",F9-F8-G9)</f>
        <v>-0.54999999999999893</v>
      </c>
      <c r="J9" s="44">
        <f>IF(F9="","",I9-H9)</f>
        <v>-0.54999999999999893</v>
      </c>
      <c r="K9" s="44">
        <f>IF(F9="","",K8+H9)</f>
        <v>28.253300000000003</v>
      </c>
      <c r="L9" s="44">
        <f>IF(F9="","",L8+I9)</f>
        <v>24.090000000000003</v>
      </c>
      <c r="M9" s="53">
        <f>IF(F9="","",L9-K9)</f>
        <v>-4.1632999999999996</v>
      </c>
      <c r="N9" s="228"/>
      <c r="O9" s="229"/>
      <c r="P9" s="230"/>
      <c r="Q9" s="47">
        <v>44562.675694444442</v>
      </c>
      <c r="R9" s="44">
        <f t="shared" si="0"/>
        <v>-0.46478873238826857</v>
      </c>
      <c r="S9" s="44">
        <f t="shared" si="1"/>
        <v>-1.1727605634225857</v>
      </c>
    </row>
    <row r="10" spans="1:20" ht="12" customHeight="1" x14ac:dyDescent="0.2">
      <c r="A10" s="37"/>
      <c r="B10" s="48"/>
      <c r="C10" s="49">
        <v>4.37</v>
      </c>
      <c r="D10" s="54"/>
      <c r="E10" s="39">
        <v>1870</v>
      </c>
      <c r="F10" s="40">
        <v>7.64</v>
      </c>
      <c r="G10" s="51"/>
      <c r="H10" s="44">
        <f>IF(E10="","",((E10-E9)*C10)/1000)</f>
        <v>0</v>
      </c>
      <c r="I10" s="52">
        <f>IF(F10="","",F10-F9-G10)</f>
        <v>-0.10000000000000053</v>
      </c>
      <c r="J10" s="44">
        <f t="shared" ref="J10:J73" si="2">IF(F10="","",I10-H10)</f>
        <v>-0.10000000000000053</v>
      </c>
      <c r="K10" s="44">
        <f t="shared" ref="K10:K73" si="3">IF(F10="","",K9+H10)</f>
        <v>28.253300000000003</v>
      </c>
      <c r="L10" s="44">
        <f t="shared" ref="L10:L73" si="4">IF(F10="","",L9+I10)</f>
        <v>23.990000000000002</v>
      </c>
      <c r="M10" s="53">
        <f t="shared" ref="M10:M73" si="5">IF(F10="","",L10-K10)</f>
        <v>-4.263300000000001</v>
      </c>
      <c r="N10" s="249" t="s">
        <v>88</v>
      </c>
      <c r="O10" s="250"/>
      <c r="P10" s="251"/>
      <c r="Q10" s="47">
        <v>44562.679861111108</v>
      </c>
      <c r="R10" s="44">
        <f t="shared" si="0"/>
        <v>-1.000000000232836</v>
      </c>
      <c r="S10" s="44">
        <f t="shared" si="1"/>
        <v>-1.1680273973087041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1148</v>
      </c>
      <c r="F11" s="40">
        <v>7.94</v>
      </c>
      <c r="G11" s="51">
        <v>5</v>
      </c>
      <c r="H11" s="44">
        <f>IF(E11="","",((E11-E10)*C11)/1000)</f>
        <v>-3.1551399999999998</v>
      </c>
      <c r="I11" s="52">
        <f t="shared" ref="I11:I74" si="6">IF(F11="","",F11-F10-G11)</f>
        <v>-4.6999999999999993</v>
      </c>
      <c r="J11" s="44">
        <f t="shared" si="2"/>
        <v>-1.5448599999999995</v>
      </c>
      <c r="K11" s="44">
        <f t="shared" si="3"/>
        <v>25.098160000000004</v>
      </c>
      <c r="L11" s="44">
        <f t="shared" si="4"/>
        <v>19.290000000000003</v>
      </c>
      <c r="M11" s="53">
        <f t="shared" si="5"/>
        <v>-5.8081600000000009</v>
      </c>
      <c r="N11" s="228"/>
      <c r="O11" s="229"/>
      <c r="P11" s="230"/>
      <c r="Q11" s="47">
        <v>44562.732638888891</v>
      </c>
      <c r="R11" s="44">
        <f t="shared" si="0"/>
        <v>-1.2196263156811176</v>
      </c>
      <c r="S11" s="44">
        <f t="shared" si="1"/>
        <v>-1.1813206779754255</v>
      </c>
    </row>
    <row r="12" spans="1:20" ht="12" customHeight="1" x14ac:dyDescent="0.2">
      <c r="A12" s="37"/>
      <c r="B12" s="48"/>
      <c r="C12" s="49">
        <v>4.37</v>
      </c>
      <c r="D12" s="54"/>
      <c r="E12" s="39">
        <v>624</v>
      </c>
      <c r="F12" s="56">
        <v>5.48</v>
      </c>
      <c r="G12" s="51"/>
      <c r="H12" s="44">
        <f t="shared" ref="H12:H74" si="7">IF(E12="","",((E12-E11)*C12)/1000)</f>
        <v>-2.2898800000000001</v>
      </c>
      <c r="I12" s="52">
        <f t="shared" si="6"/>
        <v>-2.46</v>
      </c>
      <c r="J12" s="44">
        <f t="shared" si="2"/>
        <v>-0.17011999999999983</v>
      </c>
      <c r="K12" s="44">
        <f t="shared" si="3"/>
        <v>22.808280000000003</v>
      </c>
      <c r="L12" s="44">
        <f t="shared" si="4"/>
        <v>16.830000000000002</v>
      </c>
      <c r="M12" s="53">
        <f t="shared" si="5"/>
        <v>-5.9782800000000016</v>
      </c>
      <c r="N12" s="228"/>
      <c r="O12" s="229"/>
      <c r="P12" s="230"/>
      <c r="Q12" s="47">
        <v>44562.756944444445</v>
      </c>
      <c r="R12" s="44">
        <f t="shared" si="0"/>
        <v>-0.29163428572398564</v>
      </c>
      <c r="S12" s="44">
        <f t="shared" si="1"/>
        <v>-1.0869600000115038</v>
      </c>
    </row>
    <row r="13" spans="1:20" ht="12" customHeight="1" x14ac:dyDescent="0.2">
      <c r="A13" s="37"/>
      <c r="B13" s="48"/>
      <c r="C13" s="49">
        <v>4.37</v>
      </c>
      <c r="D13" s="54"/>
      <c r="E13" s="39">
        <v>624</v>
      </c>
      <c r="F13" s="56">
        <v>5.26</v>
      </c>
      <c r="G13" s="51"/>
      <c r="H13" s="44">
        <f>IF(E13="","",((E13-E12)*C13)/1000)</f>
        <v>0</v>
      </c>
      <c r="I13" s="52">
        <f t="shared" si="6"/>
        <v>-0.22000000000000064</v>
      </c>
      <c r="J13" s="44">
        <f t="shared" si="2"/>
        <v>-0.22000000000000064</v>
      </c>
      <c r="K13" s="44">
        <f t="shared" si="3"/>
        <v>22.808280000000003</v>
      </c>
      <c r="L13" s="44">
        <f t="shared" si="4"/>
        <v>16.61</v>
      </c>
      <c r="M13" s="53">
        <f t="shared" si="5"/>
        <v>-6.198280000000004</v>
      </c>
      <c r="N13" s="231" t="s">
        <v>88</v>
      </c>
      <c r="O13" s="229"/>
      <c r="P13" s="230"/>
      <c r="Q13" s="47">
        <v>44562.762499999997</v>
      </c>
      <c r="R13" s="44">
        <f t="shared" si="0"/>
        <v>-1.6500000011044951</v>
      </c>
      <c r="S13" s="44">
        <f t="shared" si="1"/>
        <v>-1.1002863905613465</v>
      </c>
    </row>
    <row r="14" spans="1:20" ht="12" customHeight="1" x14ac:dyDescent="0.2">
      <c r="A14" s="37"/>
      <c r="B14" s="48"/>
      <c r="C14" s="49">
        <v>4.37</v>
      </c>
      <c r="D14" s="54"/>
      <c r="E14" s="39">
        <v>71</v>
      </c>
      <c r="F14" s="56">
        <v>4.37</v>
      </c>
      <c r="G14" s="51">
        <f>-2.15+8.15</f>
        <v>6</v>
      </c>
      <c r="H14" s="44">
        <f t="shared" si="7"/>
        <v>-2.4166099999999999</v>
      </c>
      <c r="I14" s="52">
        <f t="shared" si="6"/>
        <v>-6.89</v>
      </c>
      <c r="J14" s="44">
        <f t="shared" si="2"/>
        <v>-4.4733900000000002</v>
      </c>
      <c r="K14" s="44">
        <f t="shared" si="3"/>
        <v>20.391670000000005</v>
      </c>
      <c r="L14" s="44">
        <f t="shared" si="4"/>
        <v>9.7199999999999989</v>
      </c>
      <c r="M14" s="53">
        <f t="shared" si="5"/>
        <v>-10.671670000000006</v>
      </c>
      <c r="N14" s="231"/>
      <c r="O14" s="229"/>
      <c r="P14" s="230"/>
      <c r="Q14" s="47">
        <v>44562.836805555555</v>
      </c>
      <c r="R14" s="44">
        <f t="shared" si="0"/>
        <v>-2.5084429905832475</v>
      </c>
      <c r="S14" s="44">
        <f t="shared" si="1"/>
        <v>-1.4388768539514061</v>
      </c>
    </row>
    <row r="15" spans="1:20" ht="12" customHeight="1" x14ac:dyDescent="0.2">
      <c r="A15" s="37"/>
      <c r="B15" s="48"/>
      <c r="C15" s="49">
        <v>4.37</v>
      </c>
      <c r="D15" s="54"/>
      <c r="E15" s="39">
        <v>61</v>
      </c>
      <c r="F15" s="40">
        <v>3.62</v>
      </c>
      <c r="G15" s="51"/>
      <c r="H15" s="44">
        <f t="shared" si="7"/>
        <v>-4.3700000000000003E-2</v>
      </c>
      <c r="I15" s="52">
        <f t="shared" si="6"/>
        <v>-0.75</v>
      </c>
      <c r="J15" s="44">
        <f t="shared" si="2"/>
        <v>-0.70630000000000004</v>
      </c>
      <c r="K15" s="44">
        <f t="shared" si="3"/>
        <v>20.347970000000004</v>
      </c>
      <c r="L15" s="44">
        <f t="shared" si="4"/>
        <v>8.9699999999999989</v>
      </c>
      <c r="M15" s="53">
        <f t="shared" si="5"/>
        <v>-11.377970000000005</v>
      </c>
      <c r="N15" s="231"/>
      <c r="O15" s="229"/>
      <c r="P15" s="230"/>
      <c r="Q15" s="47">
        <v>44562.850694444445</v>
      </c>
      <c r="R15" s="44">
        <f t="shared" si="0"/>
        <v>-2.1188999997533275</v>
      </c>
      <c r="S15" s="44">
        <f t="shared" si="1"/>
        <v>-1.4681251613013497</v>
      </c>
    </row>
    <row r="16" spans="1:20" ht="12" customHeight="1" x14ac:dyDescent="0.2">
      <c r="A16" s="37"/>
      <c r="B16" s="48"/>
      <c r="C16" s="49">
        <v>10.58</v>
      </c>
      <c r="D16" s="57"/>
      <c r="E16" s="39">
        <v>1</v>
      </c>
      <c r="F16" s="40">
        <v>7.82</v>
      </c>
      <c r="G16" s="51">
        <f>7.82-2.54</f>
        <v>5.28</v>
      </c>
      <c r="H16" s="44">
        <f t="shared" si="7"/>
        <v>-0.63479999999999992</v>
      </c>
      <c r="I16" s="52">
        <f t="shared" si="6"/>
        <v>-1.08</v>
      </c>
      <c r="J16" s="44">
        <f t="shared" si="2"/>
        <v>-0.44520000000000015</v>
      </c>
      <c r="K16" s="44">
        <f t="shared" si="3"/>
        <v>19.713170000000005</v>
      </c>
      <c r="L16" s="44">
        <f t="shared" si="4"/>
        <v>7.8899999999999988</v>
      </c>
      <c r="M16" s="53">
        <f t="shared" si="5"/>
        <v>-11.823170000000006</v>
      </c>
      <c r="N16" s="228"/>
      <c r="O16" s="229"/>
      <c r="P16" s="230"/>
      <c r="Q16" s="47">
        <v>44562.864583333336</v>
      </c>
      <c r="R16" s="44">
        <f t="shared" si="0"/>
        <v>-1.3355999998445161</v>
      </c>
      <c r="S16" s="44">
        <f t="shared" si="1"/>
        <v>-1.4626602061890785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1</v>
      </c>
      <c r="F17" s="40">
        <v>5.98</v>
      </c>
      <c r="G17" s="51"/>
      <c r="H17" s="44">
        <f t="shared" si="7"/>
        <v>0</v>
      </c>
      <c r="I17" s="52">
        <f t="shared" si="6"/>
        <v>-1.8399999999999999</v>
      </c>
      <c r="J17" s="44">
        <f t="shared" si="2"/>
        <v>-1.8399999999999999</v>
      </c>
      <c r="K17" s="44">
        <f t="shared" si="3"/>
        <v>19.713170000000005</v>
      </c>
      <c r="L17" s="44">
        <f t="shared" si="4"/>
        <v>6.0499999999999989</v>
      </c>
      <c r="M17" s="53">
        <f t="shared" si="5"/>
        <v>-13.663170000000006</v>
      </c>
      <c r="N17" s="231"/>
      <c r="O17" s="229"/>
      <c r="P17" s="230"/>
      <c r="Q17" s="47">
        <v>44562.918055555558</v>
      </c>
      <c r="R17" s="44">
        <f t="shared" si="0"/>
        <v>-1.4337662337749044</v>
      </c>
      <c r="S17" s="44">
        <f t="shared" si="1"/>
        <v>-1.4587014234917755</v>
      </c>
    </row>
    <row r="18" spans="1:19" ht="12" customHeight="1" x14ac:dyDescent="0.2">
      <c r="A18" s="37"/>
      <c r="B18" s="48"/>
      <c r="C18" s="49">
        <v>10.58</v>
      </c>
      <c r="D18" s="54"/>
      <c r="E18" s="39">
        <v>1</v>
      </c>
      <c r="F18" s="40">
        <v>4.0599999999999996</v>
      </c>
      <c r="G18" s="40"/>
      <c r="H18" s="44">
        <f t="shared" si="7"/>
        <v>0</v>
      </c>
      <c r="I18" s="52">
        <f t="shared" si="6"/>
        <v>-1.9200000000000008</v>
      </c>
      <c r="J18" s="44">
        <f t="shared" si="2"/>
        <v>-1.9200000000000008</v>
      </c>
      <c r="K18" s="44">
        <f t="shared" si="3"/>
        <v>19.713170000000005</v>
      </c>
      <c r="L18" s="44">
        <f t="shared" si="4"/>
        <v>4.1299999999999981</v>
      </c>
      <c r="M18" s="53">
        <f t="shared" si="5"/>
        <v>-15.583170000000006</v>
      </c>
      <c r="N18" s="228"/>
      <c r="O18" s="229"/>
      <c r="P18" s="230"/>
      <c r="Q18" s="47">
        <v>44562.96875</v>
      </c>
      <c r="R18" s="44">
        <f t="shared" si="0"/>
        <v>-1.5780821918462546</v>
      </c>
      <c r="S18" s="44">
        <f t="shared" si="1"/>
        <v>-1.4724255118218219</v>
      </c>
    </row>
    <row r="19" spans="1:19" ht="12" customHeight="1" x14ac:dyDescent="0.2">
      <c r="A19" s="37"/>
      <c r="B19" s="48"/>
      <c r="C19" s="49">
        <v>10.58</v>
      </c>
      <c r="D19" s="54"/>
      <c r="E19" s="39">
        <v>1</v>
      </c>
      <c r="F19" s="40">
        <v>2.2799999999999998</v>
      </c>
      <c r="G19" s="40"/>
      <c r="H19" s="44">
        <f t="shared" si="7"/>
        <v>0</v>
      </c>
      <c r="I19" s="52">
        <f t="shared" si="6"/>
        <v>-1.7799999999999998</v>
      </c>
      <c r="J19" s="44">
        <f t="shared" si="2"/>
        <v>-1.7799999999999998</v>
      </c>
      <c r="K19" s="44">
        <f t="shared" si="3"/>
        <v>19.713170000000005</v>
      </c>
      <c r="L19" s="44">
        <f t="shared" si="4"/>
        <v>2.3499999999999983</v>
      </c>
      <c r="M19" s="53">
        <f t="shared" si="5"/>
        <v>-17.363170000000007</v>
      </c>
      <c r="N19" s="228"/>
      <c r="O19" s="229"/>
      <c r="P19" s="230"/>
      <c r="Q19" s="47">
        <v>44563.020138888889</v>
      </c>
      <c r="R19" s="44">
        <f t="shared" si="0"/>
        <v>-1.4432432432387021</v>
      </c>
      <c r="S19" s="44">
        <f t="shared" si="1"/>
        <v>-1.4693796897129769</v>
      </c>
    </row>
    <row r="20" spans="1:19" ht="12" customHeight="1" x14ac:dyDescent="0.2">
      <c r="A20" s="37"/>
      <c r="B20" s="48"/>
      <c r="C20" s="49">
        <v>10.58</v>
      </c>
      <c r="D20" s="54"/>
      <c r="E20" s="39">
        <v>1</v>
      </c>
      <c r="F20" s="40">
        <v>8.26</v>
      </c>
      <c r="G20" s="40">
        <f>8.26-2.24</f>
        <v>6.02</v>
      </c>
      <c r="H20" s="44">
        <f t="shared" si="7"/>
        <v>0</v>
      </c>
      <c r="I20" s="52">
        <f t="shared" si="6"/>
        <v>-3.9999999999999147E-2</v>
      </c>
      <c r="J20" s="44">
        <f t="shared" si="2"/>
        <v>-3.9999999999999147E-2</v>
      </c>
      <c r="K20" s="44">
        <f t="shared" si="3"/>
        <v>19.713170000000005</v>
      </c>
      <c r="L20" s="44">
        <f t="shared" si="4"/>
        <v>2.3099999999999992</v>
      </c>
      <c r="M20" s="53">
        <f t="shared" si="5"/>
        <v>-17.403170000000006</v>
      </c>
      <c r="N20" s="242"/>
      <c r="O20" s="229"/>
      <c r="P20" s="230"/>
      <c r="Q20" s="47">
        <v>44563.027777777781</v>
      </c>
      <c r="R20" s="44">
        <f t="shared" si="0"/>
        <v>-0.21818181809406909</v>
      </c>
      <c r="S20" s="44">
        <f t="shared" si="1"/>
        <v>-1.4502641666666671</v>
      </c>
    </row>
    <row r="21" spans="1:19" ht="12" customHeight="1" x14ac:dyDescent="0.2">
      <c r="A21" s="37"/>
      <c r="B21" s="48"/>
      <c r="C21" s="49">
        <v>15.74</v>
      </c>
      <c r="D21" s="54"/>
      <c r="E21" s="39">
        <v>1</v>
      </c>
      <c r="F21" s="40">
        <v>7.27</v>
      </c>
      <c r="G21" s="51"/>
      <c r="H21" s="44">
        <f t="shared" si="7"/>
        <v>0</v>
      </c>
      <c r="I21" s="52">
        <f t="shared" si="6"/>
        <v>-0.99000000000000021</v>
      </c>
      <c r="J21" s="44">
        <f t="shared" si="2"/>
        <v>-0.99000000000000021</v>
      </c>
      <c r="K21" s="44">
        <f t="shared" si="3"/>
        <v>19.713170000000005</v>
      </c>
      <c r="L21" s="44">
        <f t="shared" si="4"/>
        <v>1.319999999999999</v>
      </c>
      <c r="M21" s="53">
        <f t="shared" si="5"/>
        <v>-18.393170000000005</v>
      </c>
      <c r="N21" s="228"/>
      <c r="O21" s="229"/>
      <c r="P21" s="230"/>
      <c r="Q21" s="47">
        <v>44563.070833333331</v>
      </c>
      <c r="R21" s="44">
        <f t="shared" si="0"/>
        <v>-0.95806451624416367</v>
      </c>
      <c r="S21" s="44">
        <f t="shared" si="1"/>
        <v>-1.4112406649750828</v>
      </c>
    </row>
    <row r="22" spans="1:19" ht="12" customHeight="1" x14ac:dyDescent="0.2">
      <c r="A22" s="37"/>
      <c r="B22" s="48"/>
      <c r="C22" s="49">
        <v>15.74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15.74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15.74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15.74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U112"/>
  <sheetViews>
    <sheetView topLeftCell="G1" zoomScaleNormal="100" workbookViewId="0">
      <selection activeCell="L28" sqref="L28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228</v>
      </c>
      <c r="F6" s="40">
        <v>3.71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44561.586805555555</v>
      </c>
      <c r="R6" s="11"/>
      <c r="S6" s="11"/>
    </row>
    <row r="7" spans="1:20" ht="12" customHeight="1" x14ac:dyDescent="0.2">
      <c r="A7" s="37"/>
      <c r="B7" s="48" t="s">
        <v>87</v>
      </c>
      <c r="C7" s="49">
        <v>15.74</v>
      </c>
      <c r="D7" s="39"/>
      <c r="E7" s="39">
        <v>696</v>
      </c>
      <c r="F7" s="40">
        <v>3.41</v>
      </c>
      <c r="G7" s="51">
        <v>-5</v>
      </c>
      <c r="H7" s="44">
        <f>IF(E7="","",((E7-E6)*C7)/1000)</f>
        <v>7.36632</v>
      </c>
      <c r="I7" s="52">
        <f>IF(F7="","",F7-F6-G7)</f>
        <v>4.7</v>
      </c>
      <c r="J7" s="44">
        <f>IF(F7="","",I7-H7)</f>
        <v>-2.6663199999999998</v>
      </c>
      <c r="K7" s="44">
        <f>IF(F7="","",K6+H7)</f>
        <v>7.36632</v>
      </c>
      <c r="L7" s="44">
        <f>IF(F7="","",L6+I7)</f>
        <v>4.7</v>
      </c>
      <c r="M7" s="53">
        <f>IF(F7="","",L7-K7)</f>
        <v>-2.6663199999999998</v>
      </c>
      <c r="N7" s="231" t="s">
        <v>89</v>
      </c>
      <c r="O7" s="229"/>
      <c r="P7" s="230"/>
      <c r="Q7" s="47">
        <v>44561.611805555556</v>
      </c>
      <c r="R7" s="44">
        <f t="shared" ref="R7:R70" si="0">IF(Q7="","",J7/((Q7-Q6)*24))</f>
        <v>-4.4438666664079989</v>
      </c>
      <c r="S7" s="44">
        <f t="shared" ref="S7:S70" si="1">IF(Q7="","",M7/((Q7-$Q$6)*24))</f>
        <v>-4.4438666664079989</v>
      </c>
    </row>
    <row r="8" spans="1:20" ht="12" customHeight="1" x14ac:dyDescent="0.2">
      <c r="A8" s="37"/>
      <c r="B8" s="48"/>
      <c r="C8" s="49">
        <v>15.74</v>
      </c>
      <c r="D8" s="54"/>
      <c r="E8" s="39">
        <v>887</v>
      </c>
      <c r="F8" s="40">
        <v>6.16</v>
      </c>
      <c r="G8" s="51"/>
      <c r="H8" s="44">
        <f>IF(E8="","",((E8-E7)*C8)/1000)</f>
        <v>3.0063400000000002</v>
      </c>
      <c r="I8" s="52">
        <f>IF(F8="","",F8-F7-G8)</f>
        <v>2.75</v>
      </c>
      <c r="J8" s="44">
        <f>IF(F8="","",I8-H8)</f>
        <v>-0.25634000000000023</v>
      </c>
      <c r="K8" s="44">
        <f>IF(F8="","",K7+H8)</f>
        <v>10.37266</v>
      </c>
      <c r="L8" s="44">
        <f>IF(F8="","",L7+I8)</f>
        <v>7.45</v>
      </c>
      <c r="M8" s="53">
        <f>IF(F8="","",L8-K8)</f>
        <v>-2.9226599999999996</v>
      </c>
      <c r="N8" s="231"/>
      <c r="O8" s="229"/>
      <c r="P8" s="230"/>
      <c r="Q8" s="47">
        <v>44561.620138888888</v>
      </c>
      <c r="R8" s="44">
        <f t="shared" si="0"/>
        <v>-1.2817000002984202</v>
      </c>
      <c r="S8" s="44">
        <f t="shared" si="1"/>
        <v>-3.6533250000531625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1876</v>
      </c>
      <c r="F9" s="40">
        <v>8.32</v>
      </c>
      <c r="G9" s="51">
        <v>-9</v>
      </c>
      <c r="H9" s="44">
        <f>IF(E9="","",((E9-E8)*C9)/1000)</f>
        <v>15.56686</v>
      </c>
      <c r="I9" s="52">
        <f>IF(F9="","",F9-F8-G9)</f>
        <v>11.16</v>
      </c>
      <c r="J9" s="44">
        <f>IF(F9="","",I9-H9)</f>
        <v>-4.40686</v>
      </c>
      <c r="K9" s="44">
        <f>IF(F9="","",K8+H9)</f>
        <v>25.939520000000002</v>
      </c>
      <c r="L9" s="44">
        <f>IF(F9="","",L8+I9)</f>
        <v>18.61</v>
      </c>
      <c r="M9" s="53">
        <f>IF(F9="","",L9-K9)</f>
        <v>-7.3295200000000023</v>
      </c>
      <c r="N9" s="228"/>
      <c r="O9" s="229"/>
      <c r="P9" s="230"/>
      <c r="Q9" s="47">
        <v>44561.73541666667</v>
      </c>
      <c r="R9" s="44">
        <f t="shared" si="0"/>
        <v>-1.5928409637906324</v>
      </c>
      <c r="S9" s="44">
        <f t="shared" si="1"/>
        <v>-2.0550056074185044</v>
      </c>
    </row>
    <row r="10" spans="1:20" ht="12" customHeight="1" x14ac:dyDescent="0.2">
      <c r="A10" s="37"/>
      <c r="B10" s="48"/>
      <c r="C10" s="49">
        <v>4.37</v>
      </c>
      <c r="D10" s="54"/>
      <c r="E10" s="39">
        <v>1876</v>
      </c>
      <c r="F10" s="40">
        <v>7.43</v>
      </c>
      <c r="G10" s="51"/>
      <c r="H10" s="44">
        <f>IF(E10="","",((E10-E9)*C10)/1000)</f>
        <v>0</v>
      </c>
      <c r="I10" s="52">
        <f>IF(F10="","",F10-F9-G10)</f>
        <v>-0.89000000000000057</v>
      </c>
      <c r="J10" s="44">
        <f t="shared" ref="J10:J73" si="2">IF(F10="","",I10-H10)</f>
        <v>-0.89000000000000057</v>
      </c>
      <c r="K10" s="44">
        <f t="shared" ref="K10:K73" si="3">IF(F10="","",K9+H10)</f>
        <v>25.939520000000002</v>
      </c>
      <c r="L10" s="44">
        <f t="shared" ref="L10:L73" si="4">IF(F10="","",L9+I10)</f>
        <v>17.72</v>
      </c>
      <c r="M10" s="53">
        <f t="shared" ref="M10:M73" si="5">IF(F10="","",L10-K10)</f>
        <v>-8.2195200000000028</v>
      </c>
      <c r="N10" s="249"/>
      <c r="O10" s="250"/>
      <c r="P10" s="251"/>
      <c r="Q10" s="47">
        <v>44561.739583333336</v>
      </c>
      <c r="R10" s="44">
        <f t="shared" si="0"/>
        <v>-8.9000000020721988</v>
      </c>
      <c r="S10" s="44">
        <f t="shared" si="1"/>
        <v>-2.2416872726798251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1876</v>
      </c>
      <c r="F11" s="40">
        <v>7.36</v>
      </c>
      <c r="G11" s="51"/>
      <c r="H11" s="44">
        <f>IF(E11="","",((E11-E10)*C11)/1000)</f>
        <v>0</v>
      </c>
      <c r="I11" s="52">
        <f t="shared" ref="I11:I74" si="6">IF(F11="","",F11-F10-G11)</f>
        <v>-6.9999999999999396E-2</v>
      </c>
      <c r="J11" s="44">
        <f t="shared" si="2"/>
        <v>-6.9999999999999396E-2</v>
      </c>
      <c r="K11" s="44">
        <f t="shared" si="3"/>
        <v>25.939520000000002</v>
      </c>
      <c r="L11" s="44">
        <f t="shared" si="4"/>
        <v>17.649999999999999</v>
      </c>
      <c r="M11" s="53">
        <f t="shared" si="5"/>
        <v>-8.2895200000000031</v>
      </c>
      <c r="N11" s="228" t="s">
        <v>88</v>
      </c>
      <c r="O11" s="229"/>
      <c r="P11" s="230"/>
      <c r="Q11" s="47">
        <v>44561.743055555555</v>
      </c>
      <c r="R11" s="44">
        <f t="shared" si="0"/>
        <v>-0.84000000078230375</v>
      </c>
      <c r="S11" s="44">
        <f t="shared" si="1"/>
        <v>-2.2105386666666673</v>
      </c>
    </row>
    <row r="12" spans="1:20" ht="12" customHeight="1" x14ac:dyDescent="0.2">
      <c r="A12" s="37"/>
      <c r="B12" s="48"/>
      <c r="C12" s="49">
        <v>4.37</v>
      </c>
      <c r="D12" s="54"/>
      <c r="E12" s="39">
        <v>912</v>
      </c>
      <c r="F12" s="56">
        <v>6.14</v>
      </c>
      <c r="G12" s="51">
        <f>8.4-3.06</f>
        <v>5.34</v>
      </c>
      <c r="H12" s="44">
        <f t="shared" ref="H12:H74" si="7">IF(E12="","",((E12-E11)*C12)/1000)</f>
        <v>-4.2126800000000006</v>
      </c>
      <c r="I12" s="52">
        <f t="shared" si="6"/>
        <v>-6.5600000000000005</v>
      </c>
      <c r="J12" s="44">
        <f t="shared" si="2"/>
        <v>-2.3473199999999999</v>
      </c>
      <c r="K12" s="44">
        <f t="shared" si="3"/>
        <v>21.726840000000003</v>
      </c>
      <c r="L12" s="44">
        <f t="shared" si="4"/>
        <v>11.089999999999998</v>
      </c>
      <c r="M12" s="53">
        <f t="shared" si="5"/>
        <v>-10.636840000000005</v>
      </c>
      <c r="N12" s="228"/>
      <c r="O12" s="229"/>
      <c r="P12" s="230"/>
      <c r="Q12" s="47">
        <v>44561.805555555555</v>
      </c>
      <c r="R12" s="44">
        <f t="shared" si="0"/>
        <v>-1.5648799999999998</v>
      </c>
      <c r="S12" s="44">
        <f t="shared" si="1"/>
        <v>-2.0260647619047627</v>
      </c>
    </row>
    <row r="13" spans="1:20" ht="12" customHeight="1" x14ac:dyDescent="0.2">
      <c r="A13" s="37"/>
      <c r="B13" s="48"/>
      <c r="C13" s="49">
        <v>4.37</v>
      </c>
      <c r="D13" s="54"/>
      <c r="E13" s="39">
        <v>618</v>
      </c>
      <c r="F13" s="56">
        <v>4.5199999999999996</v>
      </c>
      <c r="G13" s="51"/>
      <c r="H13" s="44">
        <f>IF(E13="","",((E13-E12)*C13)/1000)</f>
        <v>-1.28478</v>
      </c>
      <c r="I13" s="52">
        <f t="shared" si="6"/>
        <v>-1.62</v>
      </c>
      <c r="J13" s="44">
        <f t="shared" si="2"/>
        <v>-0.33522000000000007</v>
      </c>
      <c r="K13" s="44">
        <f t="shared" si="3"/>
        <v>20.442060000000001</v>
      </c>
      <c r="L13" s="44">
        <f t="shared" si="4"/>
        <v>9.4699999999999989</v>
      </c>
      <c r="M13" s="53">
        <f t="shared" si="5"/>
        <v>-10.972060000000003</v>
      </c>
      <c r="N13" s="231" t="s">
        <v>88</v>
      </c>
      <c r="O13" s="229"/>
      <c r="P13" s="230"/>
      <c r="Q13" s="47">
        <v>44561.822222222225</v>
      </c>
      <c r="R13" s="44">
        <f t="shared" si="0"/>
        <v>-0.83804999982926698</v>
      </c>
      <c r="S13" s="44">
        <f t="shared" si="1"/>
        <v>-1.9419575220958851</v>
      </c>
    </row>
    <row r="14" spans="1:20" ht="12" customHeight="1" x14ac:dyDescent="0.2">
      <c r="A14" s="37"/>
      <c r="B14" s="48"/>
      <c r="C14" s="49">
        <v>4.37</v>
      </c>
      <c r="D14" s="54"/>
      <c r="E14" s="39">
        <v>618</v>
      </c>
      <c r="F14" s="56">
        <v>4.18</v>
      </c>
      <c r="G14" s="51"/>
      <c r="H14" s="44">
        <f t="shared" si="7"/>
        <v>0</v>
      </c>
      <c r="I14" s="52">
        <f t="shared" si="6"/>
        <v>-0.33999999999999986</v>
      </c>
      <c r="J14" s="44">
        <f t="shared" si="2"/>
        <v>-0.33999999999999986</v>
      </c>
      <c r="K14" s="44">
        <f t="shared" si="3"/>
        <v>20.442060000000001</v>
      </c>
      <c r="L14" s="44">
        <f t="shared" si="4"/>
        <v>9.129999999999999</v>
      </c>
      <c r="M14" s="53">
        <f t="shared" si="5"/>
        <v>-11.312060000000002</v>
      </c>
      <c r="N14" s="231"/>
      <c r="O14" s="229"/>
      <c r="P14" s="230"/>
      <c r="Q14" s="47">
        <v>44561.829861111109</v>
      </c>
      <c r="R14" s="44">
        <f t="shared" si="0"/>
        <v>-1.8545454555660601</v>
      </c>
      <c r="S14" s="44">
        <f t="shared" si="1"/>
        <v>-1.9392102857207363</v>
      </c>
    </row>
    <row r="15" spans="1:20" ht="12" customHeight="1" x14ac:dyDescent="0.2">
      <c r="A15" s="37"/>
      <c r="B15" s="48"/>
      <c r="C15" s="49">
        <v>4.37</v>
      </c>
      <c r="D15" s="54"/>
      <c r="E15" s="39">
        <v>220</v>
      </c>
      <c r="F15" s="40">
        <v>4.62</v>
      </c>
      <c r="G15" s="51">
        <f>7.22-2.88</f>
        <v>4.34</v>
      </c>
      <c r="H15" s="44">
        <f t="shared" si="7"/>
        <v>-1.73926</v>
      </c>
      <c r="I15" s="52">
        <f t="shared" si="6"/>
        <v>-3.8999999999999995</v>
      </c>
      <c r="J15" s="44">
        <f t="shared" si="2"/>
        <v>-2.1607399999999997</v>
      </c>
      <c r="K15" s="44">
        <f t="shared" si="3"/>
        <v>18.7028</v>
      </c>
      <c r="L15" s="44">
        <f t="shared" si="4"/>
        <v>5.2299999999999995</v>
      </c>
      <c r="M15" s="53">
        <f t="shared" si="5"/>
        <v>-13.472799999999999</v>
      </c>
      <c r="N15" s="231"/>
      <c r="O15" s="229"/>
      <c r="P15" s="230"/>
      <c r="Q15" s="47">
        <v>44561.868055555555</v>
      </c>
      <c r="R15" s="44">
        <f t="shared" si="0"/>
        <v>-2.3571709090410158</v>
      </c>
      <c r="S15" s="44">
        <f t="shared" si="1"/>
        <v>-1.9959703703703704</v>
      </c>
    </row>
    <row r="16" spans="1:20" ht="12" customHeight="1" x14ac:dyDescent="0.2">
      <c r="A16" s="37"/>
      <c r="B16" s="48"/>
      <c r="C16" s="49">
        <v>10.58</v>
      </c>
      <c r="D16" s="57"/>
      <c r="E16" s="39">
        <v>47</v>
      </c>
      <c r="F16" s="40">
        <v>7.49</v>
      </c>
      <c r="G16" s="51">
        <f>8.44-2.2</f>
        <v>6.2399999999999993</v>
      </c>
      <c r="H16" s="44">
        <f t="shared" si="7"/>
        <v>-1.8303399999999999</v>
      </c>
      <c r="I16" s="52">
        <f t="shared" si="6"/>
        <v>-3.3699999999999992</v>
      </c>
      <c r="J16" s="44">
        <f t="shared" si="2"/>
        <v>-1.5396599999999994</v>
      </c>
      <c r="K16" s="44">
        <f t="shared" si="3"/>
        <v>16.87246</v>
      </c>
      <c r="L16" s="44">
        <f t="shared" si="4"/>
        <v>1.8600000000000003</v>
      </c>
      <c r="M16" s="53">
        <f t="shared" si="5"/>
        <v>-15.012460000000001</v>
      </c>
      <c r="N16" s="228"/>
      <c r="O16" s="229"/>
      <c r="P16" s="230"/>
      <c r="Q16" s="47">
        <v>44561.914583333331</v>
      </c>
      <c r="R16" s="44">
        <f t="shared" si="0"/>
        <v>-1.3788000000335396</v>
      </c>
      <c r="S16" s="44">
        <f t="shared" si="1"/>
        <v>-1.9083635593286237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1</v>
      </c>
      <c r="F17" s="40">
        <v>5.79</v>
      </c>
      <c r="G17" s="51"/>
      <c r="H17" s="44">
        <f t="shared" si="7"/>
        <v>-0.48668</v>
      </c>
      <c r="I17" s="52">
        <f t="shared" si="6"/>
        <v>-1.7000000000000002</v>
      </c>
      <c r="J17" s="44">
        <f t="shared" si="2"/>
        <v>-1.2133200000000002</v>
      </c>
      <c r="K17" s="44">
        <f t="shared" si="3"/>
        <v>16.38578</v>
      </c>
      <c r="L17" s="44">
        <f t="shared" si="4"/>
        <v>0.16000000000000014</v>
      </c>
      <c r="M17" s="53">
        <f t="shared" si="5"/>
        <v>-16.22578</v>
      </c>
      <c r="N17" s="231"/>
      <c r="O17" s="229"/>
      <c r="P17" s="230"/>
      <c r="Q17" s="47">
        <v>44561.9375</v>
      </c>
      <c r="R17" s="44">
        <f t="shared" si="0"/>
        <v>-2.2060363634495883</v>
      </c>
      <c r="S17" s="44">
        <f t="shared" si="1"/>
        <v>-1.9278154455401104</v>
      </c>
    </row>
    <row r="18" spans="1:19" ht="12" customHeight="1" x14ac:dyDescent="0.2">
      <c r="A18" s="37"/>
      <c r="B18" s="48"/>
      <c r="C18" s="49">
        <v>10.58</v>
      </c>
      <c r="D18" s="54"/>
      <c r="E18" s="39">
        <v>1</v>
      </c>
      <c r="F18" s="40">
        <v>4.1100000000000003</v>
      </c>
      <c r="G18" s="40"/>
      <c r="H18" s="44">
        <f t="shared" si="7"/>
        <v>0</v>
      </c>
      <c r="I18" s="52">
        <f t="shared" si="6"/>
        <v>-1.6799999999999997</v>
      </c>
      <c r="J18" s="44">
        <f t="shared" si="2"/>
        <v>-1.6799999999999997</v>
      </c>
      <c r="K18" s="44">
        <f t="shared" si="3"/>
        <v>16.38578</v>
      </c>
      <c r="L18" s="44">
        <f t="shared" si="4"/>
        <v>-1.5199999999999996</v>
      </c>
      <c r="M18" s="53">
        <f t="shared" si="5"/>
        <v>-17.90578</v>
      </c>
      <c r="N18" s="228"/>
      <c r="O18" s="229"/>
      <c r="P18" s="230"/>
      <c r="Q18" s="47">
        <v>44561.981944444444</v>
      </c>
      <c r="R18" s="44">
        <f t="shared" si="0"/>
        <v>-1.575000000022919</v>
      </c>
      <c r="S18" s="44">
        <f t="shared" si="1"/>
        <v>-1.8881314586987001</v>
      </c>
    </row>
    <row r="19" spans="1:19" ht="12" customHeight="1" x14ac:dyDescent="0.2">
      <c r="A19" s="37"/>
      <c r="B19" s="48"/>
      <c r="C19" s="49">
        <v>10.58</v>
      </c>
      <c r="D19" s="54"/>
      <c r="E19" s="39">
        <v>69</v>
      </c>
      <c r="F19" s="40">
        <v>3.24</v>
      </c>
      <c r="G19" s="40"/>
      <c r="H19" s="44">
        <f t="shared" si="7"/>
        <v>0.71944000000000008</v>
      </c>
      <c r="I19" s="52">
        <f t="shared" si="6"/>
        <v>-0.87000000000000011</v>
      </c>
      <c r="J19" s="44">
        <f t="shared" si="2"/>
        <v>-1.5894400000000002</v>
      </c>
      <c r="K19" s="44">
        <f t="shared" si="3"/>
        <v>17.105219999999999</v>
      </c>
      <c r="L19" s="44">
        <f t="shared" si="4"/>
        <v>-2.3899999999999997</v>
      </c>
      <c r="M19" s="53">
        <f t="shared" si="5"/>
        <v>-19.49522</v>
      </c>
      <c r="N19" s="228" t="s">
        <v>90</v>
      </c>
      <c r="O19" s="229"/>
      <c r="P19" s="230"/>
      <c r="Q19" s="47">
        <v>44562.041666666664</v>
      </c>
      <c r="R19" s="44">
        <f t="shared" si="0"/>
        <v>-1.1089116279400011</v>
      </c>
      <c r="S19" s="44">
        <f t="shared" si="1"/>
        <v>-1.7858216793956609</v>
      </c>
    </row>
    <row r="20" spans="1:19" ht="12" customHeight="1" x14ac:dyDescent="0.2">
      <c r="A20" s="37"/>
      <c r="B20" s="48"/>
      <c r="C20" s="49">
        <v>10.58</v>
      </c>
      <c r="D20" s="54"/>
      <c r="E20" s="39">
        <v>236</v>
      </c>
      <c r="F20" s="40">
        <v>4.68</v>
      </c>
      <c r="G20" s="40"/>
      <c r="H20" s="44">
        <f t="shared" si="7"/>
        <v>1.7668599999999999</v>
      </c>
      <c r="I20" s="52">
        <f t="shared" si="6"/>
        <v>1.4399999999999995</v>
      </c>
      <c r="J20" s="44">
        <f t="shared" si="2"/>
        <v>-0.32686000000000037</v>
      </c>
      <c r="K20" s="44">
        <f t="shared" si="3"/>
        <v>18.87208</v>
      </c>
      <c r="L20" s="44">
        <f t="shared" si="4"/>
        <v>-0.95000000000000018</v>
      </c>
      <c r="M20" s="53">
        <f t="shared" si="5"/>
        <v>-19.82208</v>
      </c>
      <c r="N20" s="242"/>
      <c r="O20" s="229"/>
      <c r="P20" s="230"/>
      <c r="Q20" s="47">
        <v>44562.05972222222</v>
      </c>
      <c r="R20" s="44">
        <f t="shared" si="0"/>
        <v>-0.75429230766528976</v>
      </c>
      <c r="S20" s="44">
        <f t="shared" si="1"/>
        <v>-1.7464387665234065</v>
      </c>
    </row>
    <row r="21" spans="1:19" ht="12" customHeight="1" x14ac:dyDescent="0.2">
      <c r="A21" s="37"/>
      <c r="B21" s="48"/>
      <c r="C21" s="49">
        <v>15.74</v>
      </c>
      <c r="D21" s="54"/>
      <c r="E21" s="39">
        <v>643</v>
      </c>
      <c r="F21" s="40">
        <v>9.06</v>
      </c>
      <c r="G21" s="51"/>
      <c r="H21" s="44">
        <f t="shared" si="7"/>
        <v>6.40618</v>
      </c>
      <c r="I21" s="52">
        <f t="shared" si="6"/>
        <v>4.3800000000000008</v>
      </c>
      <c r="J21" s="44">
        <f t="shared" si="2"/>
        <v>-2.0261799999999992</v>
      </c>
      <c r="K21" s="44">
        <f t="shared" si="3"/>
        <v>25.27826</v>
      </c>
      <c r="L21" s="44">
        <f t="shared" si="4"/>
        <v>3.4300000000000006</v>
      </c>
      <c r="M21" s="53">
        <f t="shared" si="5"/>
        <v>-21.84826</v>
      </c>
      <c r="N21" s="228"/>
      <c r="O21" s="229"/>
      <c r="P21" s="230"/>
      <c r="Q21" s="47">
        <v>44562.088194444441</v>
      </c>
      <c r="R21" s="44">
        <f t="shared" si="0"/>
        <v>-2.9651414635998559</v>
      </c>
      <c r="S21" s="44">
        <f t="shared" si="1"/>
        <v>-1.815644875356214</v>
      </c>
    </row>
    <row r="22" spans="1:19" ht="12" customHeight="1" x14ac:dyDescent="0.2">
      <c r="A22" s="37"/>
      <c r="B22" s="48"/>
      <c r="C22" s="49">
        <v>15.74</v>
      </c>
      <c r="D22" s="54"/>
      <c r="E22" s="39">
        <v>1053</v>
      </c>
      <c r="F22" s="40">
        <v>4.0599999999999996</v>
      </c>
      <c r="G22" s="51">
        <f>-9.06+3.7+4.06-8.92</f>
        <v>-10.220000000000001</v>
      </c>
      <c r="H22" s="44">
        <f t="shared" si="7"/>
        <v>6.4533999999999994</v>
      </c>
      <c r="I22" s="52">
        <f t="shared" si="6"/>
        <v>5.22</v>
      </c>
      <c r="J22" s="44">
        <f t="shared" si="2"/>
        <v>-1.2333999999999996</v>
      </c>
      <c r="K22" s="44">
        <f t="shared" si="3"/>
        <v>31.731659999999998</v>
      </c>
      <c r="L22" s="44">
        <f t="shared" si="4"/>
        <v>8.65</v>
      </c>
      <c r="M22" s="53">
        <f t="shared" si="5"/>
        <v>-23.081659999999999</v>
      </c>
      <c r="N22" s="228"/>
      <c r="O22" s="229"/>
      <c r="P22" s="230"/>
      <c r="Q22" s="47">
        <v>44562.129166666666</v>
      </c>
      <c r="R22" s="44">
        <f t="shared" si="0"/>
        <v>-1.2543050846665649</v>
      </c>
      <c r="S22" s="44">
        <f t="shared" si="1"/>
        <v>-1.7732389244563544</v>
      </c>
    </row>
    <row r="23" spans="1:19" ht="12" customHeight="1" x14ac:dyDescent="0.2">
      <c r="A23" s="37"/>
      <c r="B23" s="48"/>
      <c r="C23" s="49">
        <v>15.74</v>
      </c>
      <c r="D23" s="54"/>
      <c r="E23" s="39">
        <v>1869</v>
      </c>
      <c r="F23" s="40">
        <v>8.82</v>
      </c>
      <c r="G23" s="51"/>
      <c r="H23" s="44">
        <f t="shared" si="7"/>
        <v>12.84384</v>
      </c>
      <c r="I23" s="52">
        <f t="shared" si="6"/>
        <v>4.7600000000000007</v>
      </c>
      <c r="J23" s="44">
        <f t="shared" si="2"/>
        <v>-8.0838399999999986</v>
      </c>
      <c r="K23" s="44">
        <f t="shared" si="3"/>
        <v>44.575499999999998</v>
      </c>
      <c r="L23" s="44">
        <f t="shared" si="4"/>
        <v>13.41</v>
      </c>
      <c r="M23" s="53">
        <f t="shared" si="5"/>
        <v>-31.165499999999998</v>
      </c>
      <c r="N23" s="228"/>
      <c r="O23" s="229"/>
      <c r="P23" s="230"/>
      <c r="Q23" s="47">
        <v>44562.173611111109</v>
      </c>
      <c r="R23" s="44">
        <f t="shared" si="0"/>
        <v>-7.5786000001102822</v>
      </c>
      <c r="S23" s="44">
        <f t="shared" si="1"/>
        <v>-2.212934911245652</v>
      </c>
    </row>
    <row r="24" spans="1:19" ht="12" customHeight="1" x14ac:dyDescent="0.2">
      <c r="A24" s="37"/>
      <c r="B24" s="48"/>
      <c r="C24" s="49">
        <v>15.74</v>
      </c>
      <c r="D24" s="54"/>
      <c r="E24" s="39">
        <v>1866</v>
      </c>
      <c r="F24" s="40">
        <v>7.91</v>
      </c>
      <c r="G24" s="51">
        <v>-0.86</v>
      </c>
      <c r="H24" s="44">
        <f t="shared" si="7"/>
        <v>-4.7219999999999998E-2</v>
      </c>
      <c r="I24" s="52">
        <f t="shared" si="6"/>
        <v>-5.0000000000000155E-2</v>
      </c>
      <c r="J24" s="44">
        <f t="shared" si="2"/>
        <v>-2.7800000000001573E-3</v>
      </c>
      <c r="K24" s="44">
        <f t="shared" si="3"/>
        <v>44.528279999999995</v>
      </c>
      <c r="L24" s="44">
        <f t="shared" si="4"/>
        <v>13.36</v>
      </c>
      <c r="M24" s="53">
        <f t="shared" si="5"/>
        <v>-31.168279999999996</v>
      </c>
      <c r="N24" s="231" t="s">
        <v>88</v>
      </c>
      <c r="O24" s="229"/>
      <c r="P24" s="230"/>
      <c r="Q24" s="47">
        <v>44562.200694444444</v>
      </c>
      <c r="R24" s="44">
        <f t="shared" si="0"/>
        <v>-4.2769230767701191E-3</v>
      </c>
      <c r="S24" s="44">
        <f t="shared" si="1"/>
        <v>-2.1154941176465014</v>
      </c>
    </row>
    <row r="25" spans="1:19" ht="12" customHeight="1" x14ac:dyDescent="0.2">
      <c r="A25" s="37"/>
      <c r="B25" s="48"/>
      <c r="C25" s="49">
        <v>15.74</v>
      </c>
      <c r="D25" s="54"/>
      <c r="E25" s="39">
        <v>1866</v>
      </c>
      <c r="F25" s="40">
        <v>7.83</v>
      </c>
      <c r="G25" s="51"/>
      <c r="H25" s="44">
        <f t="shared" si="7"/>
        <v>0</v>
      </c>
      <c r="I25" s="52">
        <f t="shared" si="6"/>
        <v>-8.0000000000000071E-2</v>
      </c>
      <c r="J25" s="44">
        <f t="shared" si="2"/>
        <v>-8.0000000000000071E-2</v>
      </c>
      <c r="K25" s="44">
        <f t="shared" si="3"/>
        <v>44.528279999999995</v>
      </c>
      <c r="L25" s="44">
        <f t="shared" si="4"/>
        <v>13.28</v>
      </c>
      <c r="M25" s="53">
        <f t="shared" si="5"/>
        <v>-31.248279999999994</v>
      </c>
      <c r="N25" s="228"/>
      <c r="O25" s="229"/>
      <c r="P25" s="230"/>
      <c r="Q25" s="47">
        <v>44562.207638888889</v>
      </c>
      <c r="R25" s="44">
        <f t="shared" si="0"/>
        <v>-0.47999999994412107</v>
      </c>
      <c r="S25" s="44">
        <f t="shared" si="1"/>
        <v>-2.0971999999967226</v>
      </c>
    </row>
    <row r="26" spans="1:19" ht="12" customHeight="1" x14ac:dyDescent="0.2">
      <c r="A26" s="37"/>
      <c r="B26" s="48"/>
      <c r="C26" s="49">
        <v>4.37</v>
      </c>
      <c r="D26" s="54"/>
      <c r="E26" s="39">
        <v>1812</v>
      </c>
      <c r="F26" s="40">
        <v>8.2799999999999994</v>
      </c>
      <c r="G26" s="51">
        <v>0.69</v>
      </c>
      <c r="H26" s="44">
        <f>IF(E26="","",((E26-E25)*C26)/1000)</f>
        <v>-0.23598000000000002</v>
      </c>
      <c r="I26" s="52">
        <f>IF(F26="","",F26-F25-G26)</f>
        <v>-0.24000000000000066</v>
      </c>
      <c r="J26" s="44">
        <f t="shared" si="2"/>
        <v>-4.0200000000006342E-3</v>
      </c>
      <c r="K26" s="44">
        <f t="shared" si="3"/>
        <v>44.292299999999997</v>
      </c>
      <c r="L26" s="44">
        <f t="shared" si="4"/>
        <v>13.04</v>
      </c>
      <c r="M26" s="53">
        <f t="shared" si="5"/>
        <v>-31.252299999999998</v>
      </c>
      <c r="N26" s="228"/>
      <c r="O26" s="229"/>
      <c r="P26" s="230"/>
      <c r="Q26" s="47">
        <v>44562.222222222219</v>
      </c>
      <c r="R26" s="44">
        <f t="shared" si="0"/>
        <v>-1.1485714288390323E-2</v>
      </c>
      <c r="S26" s="44">
        <f t="shared" si="1"/>
        <v>-2.0493311475488056</v>
      </c>
    </row>
    <row r="27" spans="1:19" ht="12" customHeight="1" x14ac:dyDescent="0.2">
      <c r="A27" s="37"/>
      <c r="B27" s="48"/>
      <c r="C27" s="49">
        <v>4.37</v>
      </c>
      <c r="D27" s="58"/>
      <c r="E27" s="39">
        <v>1131</v>
      </c>
      <c r="F27" s="40">
        <v>3.18</v>
      </c>
      <c r="G27" s="51"/>
      <c r="H27" s="44">
        <f t="shared" si="7"/>
        <v>-2.9759700000000002</v>
      </c>
      <c r="I27" s="52">
        <f>IF(F27="","",F27-F26-G27)</f>
        <v>-5.0999999999999996</v>
      </c>
      <c r="J27" s="44">
        <f>IF(F27="","",I27-H27)</f>
        <v>-2.1240299999999994</v>
      </c>
      <c r="K27" s="44">
        <f>IF(F27="","",K26+H27)</f>
        <v>41.316329999999994</v>
      </c>
      <c r="L27" s="44">
        <f>IF(F27="","",L26+I27)</f>
        <v>7.9399999999999995</v>
      </c>
      <c r="M27" s="53">
        <f>IF(F27="","",L27-K27)</f>
        <v>-33.376329999999996</v>
      </c>
      <c r="N27" s="231"/>
      <c r="O27" s="229"/>
      <c r="P27" s="230"/>
      <c r="Q27" s="47">
        <v>44562.263888888891</v>
      </c>
      <c r="R27" s="44">
        <f t="shared" si="0"/>
        <v>-2.1240299997527297</v>
      </c>
      <c r="S27" s="44">
        <f t="shared" si="1"/>
        <v>-2.0539279999926428</v>
      </c>
    </row>
    <row r="28" spans="1:19" ht="12" customHeight="1" x14ac:dyDescent="0.2">
      <c r="A28" s="37"/>
      <c r="B28" s="48"/>
      <c r="C28" s="49">
        <v>4.37</v>
      </c>
      <c r="D28" s="58"/>
      <c r="E28" s="39">
        <v>614</v>
      </c>
      <c r="F28" s="40">
        <v>4.6399999999999997</v>
      </c>
      <c r="G28" s="51">
        <f>-1.81+6.46</f>
        <v>4.6500000000000004</v>
      </c>
      <c r="H28" s="44">
        <f t="shared" si="7"/>
        <v>-2.25929</v>
      </c>
      <c r="I28" s="52">
        <f>IF(F28="","",F28-F27-G28)</f>
        <v>-3.1900000000000008</v>
      </c>
      <c r="J28" s="44">
        <f t="shared" si="2"/>
        <v>-0.93071000000000081</v>
      </c>
      <c r="K28" s="44">
        <f t="shared" si="3"/>
        <v>39.057039999999994</v>
      </c>
      <c r="L28" s="44">
        <f t="shared" si="4"/>
        <v>4.7499999999999982</v>
      </c>
      <c r="M28" s="53">
        <f t="shared" si="5"/>
        <v>-34.307039999999994</v>
      </c>
      <c r="N28" s="231"/>
      <c r="O28" s="229"/>
      <c r="P28" s="230"/>
      <c r="Q28" s="47">
        <v>44562.291666666664</v>
      </c>
      <c r="R28" s="44">
        <f t="shared" si="0"/>
        <v>-1.3960650002031554</v>
      </c>
      <c r="S28" s="44">
        <f t="shared" si="1"/>
        <v>-2.0280023645366714</v>
      </c>
    </row>
    <row r="29" spans="1:19" ht="12" customHeight="1" x14ac:dyDescent="0.2">
      <c r="A29" s="37"/>
      <c r="B29" s="48"/>
      <c r="C29" s="49">
        <v>4.37</v>
      </c>
      <c r="D29" s="58"/>
      <c r="E29" s="39">
        <v>614</v>
      </c>
      <c r="F29" s="40">
        <v>4.46</v>
      </c>
      <c r="G29" s="51"/>
      <c r="H29" s="44">
        <f t="shared" si="7"/>
        <v>0</v>
      </c>
      <c r="I29" s="52">
        <f t="shared" si="6"/>
        <v>-0.17999999999999972</v>
      </c>
      <c r="J29" s="44">
        <f t="shared" si="2"/>
        <v>-0.17999999999999972</v>
      </c>
      <c r="K29" s="44">
        <f t="shared" si="3"/>
        <v>39.057039999999994</v>
      </c>
      <c r="L29" s="44">
        <f t="shared" si="4"/>
        <v>4.5699999999999985</v>
      </c>
      <c r="M29" s="53">
        <f t="shared" si="5"/>
        <v>-34.487039999999993</v>
      </c>
      <c r="N29" s="228" t="s">
        <v>88</v>
      </c>
      <c r="O29" s="229"/>
      <c r="P29" s="230"/>
      <c r="Q29" s="47">
        <v>44562.297222222223</v>
      </c>
      <c r="R29" s="44">
        <f t="shared" si="0"/>
        <v>-1.3499999991356142</v>
      </c>
      <c r="S29" s="44">
        <f t="shared" si="1"/>
        <v>-2.0227002932496072</v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U112"/>
  <sheetViews>
    <sheetView topLeftCell="G1" zoomScaleNormal="100" workbookViewId="0">
      <selection activeCell="Q17" sqref="Q1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17</v>
      </c>
      <c r="F6" s="40">
        <v>2.1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44560.974999999999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200</v>
      </c>
      <c r="F7" s="40">
        <v>3.86</v>
      </c>
      <c r="G7" s="51"/>
      <c r="H7" s="44">
        <f>IF(E7="","",((E7-E6)*C7)/1000)</f>
        <v>1.9361400000000002</v>
      </c>
      <c r="I7" s="52">
        <f>IF(F7="","",F7-F6-G7)</f>
        <v>1.7599999999999998</v>
      </c>
      <c r="J7" s="44">
        <f>IF(F7="","",I7-H7)</f>
        <v>-0.17614000000000041</v>
      </c>
      <c r="K7" s="44">
        <f>IF(F7="","",K6+H7)</f>
        <v>1.9361400000000002</v>
      </c>
      <c r="L7" s="44">
        <f>IF(F7="","",L6+I7)</f>
        <v>1.7599999999999998</v>
      </c>
      <c r="M7" s="53">
        <f>IF(F7="","",L7-K7)</f>
        <v>-0.17614000000000041</v>
      </c>
      <c r="N7" s="231"/>
      <c r="O7" s="229"/>
      <c r="P7" s="230"/>
      <c r="Q7" s="47">
        <v>44560.986111111109</v>
      </c>
      <c r="R7" s="44">
        <f t="shared" ref="R7:R70" si="0">IF(Q7="","",J7/((Q7-Q6)*24))</f>
        <v>-0.66052500000961345</v>
      </c>
      <c r="S7" s="44">
        <f t="shared" ref="S7:S70" si="1">IF(Q7="","",M7/((Q7-$Q$6)*24))</f>
        <v>-0.66052500000961345</v>
      </c>
    </row>
    <row r="8" spans="1:20" ht="12" customHeight="1" x14ac:dyDescent="0.2">
      <c r="A8" s="37"/>
      <c r="B8" s="48" t="s">
        <v>85</v>
      </c>
      <c r="C8" s="49">
        <v>4.37</v>
      </c>
      <c r="D8" s="54"/>
      <c r="E8" s="39">
        <v>552</v>
      </c>
      <c r="F8" s="40">
        <v>4.67</v>
      </c>
      <c r="G8" s="51"/>
      <c r="H8" s="44">
        <f>IF(E8="","",((E8-E7)*C8)/1000)</f>
        <v>1.5382400000000001</v>
      </c>
      <c r="I8" s="52">
        <f>IF(F8="","",F8-F7-G8)</f>
        <v>0.81</v>
      </c>
      <c r="J8" s="44">
        <f>IF(F8="","",I8-H8)</f>
        <v>-0.72824</v>
      </c>
      <c r="K8" s="44">
        <f>IF(F8="","",K7+H8)</f>
        <v>3.47438</v>
      </c>
      <c r="L8" s="44">
        <f>IF(F8="","",L7+I8)</f>
        <v>2.57</v>
      </c>
      <c r="M8" s="53">
        <f>IF(F8="","",L8-K8)</f>
        <v>-0.90438000000000018</v>
      </c>
      <c r="N8" s="231"/>
      <c r="O8" s="229"/>
      <c r="P8" s="230"/>
      <c r="Q8" s="47">
        <v>44561.006944444445</v>
      </c>
      <c r="R8" s="44">
        <f t="shared" si="0"/>
        <v>-1.4564799998304434</v>
      </c>
      <c r="S8" s="44">
        <f t="shared" si="1"/>
        <v>-1.1796260868729318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1748</v>
      </c>
      <c r="F9" s="40">
        <v>7.96</v>
      </c>
      <c r="G9" s="51"/>
      <c r="H9" s="44">
        <f>IF(E9="","",((E9-E8)*C9)/1000)</f>
        <v>5.2265200000000007</v>
      </c>
      <c r="I9" s="52">
        <f>IF(F9="","",F9-F8-G9)</f>
        <v>3.29</v>
      </c>
      <c r="J9" s="44">
        <f>IF(F9="","",I9-H9)</f>
        <v>-1.9365200000000007</v>
      </c>
      <c r="K9" s="44">
        <f>IF(F9="","",K8+H9)</f>
        <v>8.7009000000000007</v>
      </c>
      <c r="L9" s="44">
        <f>IF(F9="","",L8+I9)</f>
        <v>5.8599999999999994</v>
      </c>
      <c r="M9" s="53">
        <f>IF(F9="","",L9-K9)</f>
        <v>-2.8409000000000013</v>
      </c>
      <c r="N9" s="228" t="s">
        <v>86</v>
      </c>
      <c r="O9" s="229"/>
      <c r="P9" s="230"/>
      <c r="Q9" s="47">
        <v>44561.069444444445</v>
      </c>
      <c r="R9" s="44">
        <f t="shared" si="0"/>
        <v>-1.2910133333333338</v>
      </c>
      <c r="S9" s="44">
        <f t="shared" si="1"/>
        <v>-1.2533382352640783</v>
      </c>
    </row>
    <row r="10" spans="1:20" ht="12" customHeight="1" x14ac:dyDescent="0.2">
      <c r="A10" s="37"/>
      <c r="B10" s="48"/>
      <c r="C10" s="49">
        <v>4.37</v>
      </c>
      <c r="D10" s="54"/>
      <c r="E10" s="39">
        <v>1817</v>
      </c>
      <c r="F10" s="40">
        <v>7.27</v>
      </c>
      <c r="G10" s="51"/>
      <c r="H10" s="44">
        <f>IF(E10="","",((E10-E9)*C10)/1000)</f>
        <v>0.30153000000000002</v>
      </c>
      <c r="I10" s="52">
        <f>IF(F10="","",F10-F9-G10)</f>
        <v>-0.69000000000000039</v>
      </c>
      <c r="J10" s="44">
        <f t="shared" ref="J10:J73" si="2">IF(F10="","",I10-H10)</f>
        <v>-0.99153000000000047</v>
      </c>
      <c r="K10" s="44">
        <f t="shared" ref="K10:K73" si="3">IF(F10="","",K9+H10)</f>
        <v>9.0024300000000004</v>
      </c>
      <c r="L10" s="44">
        <f t="shared" ref="L10:L73" si="4">IF(F10="","",L9+I10)</f>
        <v>5.169999999999999</v>
      </c>
      <c r="M10" s="53">
        <f t="shared" ref="M10:M73" si="5">IF(F10="","",L10-K10)</f>
        <v>-3.8324300000000013</v>
      </c>
      <c r="N10" s="249" t="s">
        <v>66</v>
      </c>
      <c r="O10" s="250"/>
      <c r="P10" s="251"/>
      <c r="Q10" s="47">
        <v>44561.094444444447</v>
      </c>
      <c r="R10" s="44">
        <f t="shared" si="0"/>
        <v>-1.6525499999038098</v>
      </c>
      <c r="S10" s="44">
        <f t="shared" si="1"/>
        <v>-1.3368941860048889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1817</v>
      </c>
      <c r="F11" s="40">
        <v>7.03</v>
      </c>
      <c r="G11" s="51"/>
      <c r="H11" s="44">
        <f>IF(E11="","",((E11-E10)*C11)/1000)</f>
        <v>0</v>
      </c>
      <c r="I11" s="52">
        <f t="shared" ref="I11:I74" si="6">IF(F11="","",F11-F10-G11)</f>
        <v>-0.23999999999999932</v>
      </c>
      <c r="J11" s="44">
        <f t="shared" si="2"/>
        <v>-0.23999999999999932</v>
      </c>
      <c r="K11" s="44">
        <f t="shared" si="3"/>
        <v>9.0024300000000004</v>
      </c>
      <c r="L11" s="44">
        <f t="shared" si="4"/>
        <v>4.93</v>
      </c>
      <c r="M11" s="53">
        <f t="shared" si="5"/>
        <v>-4.0724300000000007</v>
      </c>
      <c r="N11" s="228"/>
      <c r="O11" s="229"/>
      <c r="P11" s="230"/>
      <c r="Q11" s="47">
        <v>44561.101388888892</v>
      </c>
      <c r="R11" s="44">
        <f t="shared" si="0"/>
        <v>-1.4399999998323578</v>
      </c>
      <c r="S11" s="44">
        <f t="shared" si="1"/>
        <v>-1.3425593406112504</v>
      </c>
    </row>
    <row r="12" spans="1:20" ht="12" customHeight="1" x14ac:dyDescent="0.2">
      <c r="A12" s="37"/>
      <c r="B12" s="48"/>
      <c r="C12" s="49">
        <v>4.37</v>
      </c>
      <c r="D12" s="54"/>
      <c r="E12" s="39">
        <v>1803</v>
      </c>
      <c r="F12" s="56">
        <v>8.66</v>
      </c>
      <c r="G12" s="51">
        <v>1.69</v>
      </c>
      <c r="H12" s="44">
        <f t="shared" ref="H12:H74" si="7">IF(E12="","",((E12-E11)*C12)/1000)</f>
        <v>-6.1179999999999998E-2</v>
      </c>
      <c r="I12" s="52">
        <f t="shared" si="6"/>
        <v>-6.0000000000000053E-2</v>
      </c>
      <c r="J12" s="44">
        <f t="shared" si="2"/>
        <v>1.179999999999945E-3</v>
      </c>
      <c r="K12" s="44">
        <f t="shared" si="3"/>
        <v>8.9412500000000001</v>
      </c>
      <c r="L12" s="44">
        <f t="shared" si="4"/>
        <v>4.8699999999999992</v>
      </c>
      <c r="M12" s="53">
        <f t="shared" si="5"/>
        <v>-4.0712500000000009</v>
      </c>
      <c r="N12" s="228"/>
      <c r="O12" s="229"/>
      <c r="P12" s="230"/>
      <c r="Q12" s="47">
        <v>44561.122916666667</v>
      </c>
      <c r="R12" s="44">
        <f t="shared" si="0"/>
        <v>2.2838709680162834E-3</v>
      </c>
      <c r="S12" s="44">
        <f t="shared" si="1"/>
        <v>-1.14683098590045</v>
      </c>
    </row>
    <row r="13" spans="1:20" ht="12" customHeight="1" x14ac:dyDescent="0.2">
      <c r="A13" s="37"/>
      <c r="B13" s="48"/>
      <c r="C13" s="49">
        <v>4.37</v>
      </c>
      <c r="D13" s="54"/>
      <c r="E13" s="39">
        <v>1341</v>
      </c>
      <c r="F13" s="56">
        <v>5.7</v>
      </c>
      <c r="G13" s="51"/>
      <c r="H13" s="44">
        <f>IF(E13="","",((E13-E12)*C13)/1000)</f>
        <v>-2.0189400000000002</v>
      </c>
      <c r="I13" s="52">
        <f t="shared" si="6"/>
        <v>-2.96</v>
      </c>
      <c r="J13" s="44">
        <f t="shared" si="2"/>
        <v>-0.94105999999999979</v>
      </c>
      <c r="K13" s="44">
        <f t="shared" si="3"/>
        <v>6.9223099999999995</v>
      </c>
      <c r="L13" s="44">
        <f t="shared" si="4"/>
        <v>1.9099999999999993</v>
      </c>
      <c r="M13" s="53">
        <f t="shared" si="5"/>
        <v>-5.0123100000000003</v>
      </c>
      <c r="N13" s="231"/>
      <c r="O13" s="229"/>
      <c r="P13" s="230"/>
      <c r="Q13" s="47">
        <v>44561.157638888886</v>
      </c>
      <c r="R13" s="44">
        <f t="shared" si="0"/>
        <v>-1.1292720001051715</v>
      </c>
      <c r="S13" s="44">
        <f t="shared" si="1"/>
        <v>-1.1434927756734978</v>
      </c>
    </row>
    <row r="14" spans="1:20" ht="12" customHeight="1" x14ac:dyDescent="0.2">
      <c r="A14" s="37"/>
      <c r="B14" s="48"/>
      <c r="C14" s="49">
        <v>4.37</v>
      </c>
      <c r="D14" s="54"/>
      <c r="E14" s="39">
        <v>606</v>
      </c>
      <c r="F14" s="56">
        <v>6.51</v>
      </c>
      <c r="G14" s="51">
        <f>7.82-2.7</f>
        <v>5.12</v>
      </c>
      <c r="H14" s="44">
        <f t="shared" si="7"/>
        <v>-3.2119500000000003</v>
      </c>
      <c r="I14" s="52">
        <f t="shared" si="6"/>
        <v>-4.3100000000000005</v>
      </c>
      <c r="J14" s="44">
        <f t="shared" si="2"/>
        <v>-1.0980500000000002</v>
      </c>
      <c r="K14" s="44">
        <f t="shared" si="3"/>
        <v>3.7103599999999992</v>
      </c>
      <c r="L14" s="44">
        <f t="shared" si="4"/>
        <v>-2.4000000000000012</v>
      </c>
      <c r="M14" s="53">
        <f t="shared" si="5"/>
        <v>-6.11036</v>
      </c>
      <c r="N14" s="231"/>
      <c r="O14" s="229"/>
      <c r="P14" s="230"/>
      <c r="Q14" s="47">
        <v>44561.200694444444</v>
      </c>
      <c r="R14" s="44">
        <f t="shared" si="0"/>
        <v>-1.0626290322061878</v>
      </c>
      <c r="S14" s="44">
        <f t="shared" si="1"/>
        <v>-1.1280664615344207</v>
      </c>
    </row>
    <row r="15" spans="1:20" ht="12" customHeight="1" x14ac:dyDescent="0.2">
      <c r="A15" s="37"/>
      <c r="B15" s="48"/>
      <c r="C15" s="49">
        <v>4.37</v>
      </c>
      <c r="D15" s="54"/>
      <c r="E15" s="39">
        <v>606</v>
      </c>
      <c r="F15" s="40">
        <v>6.16</v>
      </c>
      <c r="G15" s="51"/>
      <c r="H15" s="44">
        <f t="shared" si="7"/>
        <v>0</v>
      </c>
      <c r="I15" s="52">
        <f t="shared" si="6"/>
        <v>-0.34999999999999964</v>
      </c>
      <c r="J15" s="44">
        <f t="shared" si="2"/>
        <v>-0.34999999999999964</v>
      </c>
      <c r="K15" s="44">
        <f t="shared" si="3"/>
        <v>3.7103599999999992</v>
      </c>
      <c r="L15" s="44">
        <f t="shared" si="4"/>
        <v>-2.7500000000000009</v>
      </c>
      <c r="M15" s="53">
        <f t="shared" si="5"/>
        <v>-6.4603599999999997</v>
      </c>
      <c r="N15" s="231"/>
      <c r="O15" s="229"/>
      <c r="P15" s="230"/>
      <c r="Q15" s="47">
        <v>44561.207638888889</v>
      </c>
      <c r="R15" s="44">
        <f t="shared" si="0"/>
        <v>-2.0999999997555259</v>
      </c>
      <c r="S15" s="44">
        <f t="shared" si="1"/>
        <v>-1.1570794029770326</v>
      </c>
    </row>
    <row r="16" spans="1:20" ht="12" customHeight="1" x14ac:dyDescent="0.2">
      <c r="A16" s="37"/>
      <c r="B16" s="48"/>
      <c r="C16" s="49">
        <v>4.37</v>
      </c>
      <c r="D16" s="57"/>
      <c r="E16" s="39">
        <v>200</v>
      </c>
      <c r="F16" s="40">
        <v>8.16</v>
      </c>
      <c r="G16" s="51">
        <f>-2.54+8.16</f>
        <v>5.62</v>
      </c>
      <c r="H16" s="44">
        <f t="shared" si="7"/>
        <v>-1.7742200000000001</v>
      </c>
      <c r="I16" s="52">
        <f t="shared" si="6"/>
        <v>-3.62</v>
      </c>
      <c r="J16" s="44">
        <f t="shared" si="2"/>
        <v>-1.84578</v>
      </c>
      <c r="K16" s="44">
        <f t="shared" si="3"/>
        <v>1.9361399999999991</v>
      </c>
      <c r="L16" s="44">
        <f t="shared" si="4"/>
        <v>-6.370000000000001</v>
      </c>
      <c r="M16" s="53">
        <f t="shared" si="5"/>
        <v>-8.3061399999999992</v>
      </c>
      <c r="N16" s="228"/>
      <c r="O16" s="229"/>
      <c r="P16" s="230"/>
      <c r="Q16" s="47">
        <v>44561.244444444441</v>
      </c>
      <c r="R16" s="44">
        <f t="shared" si="0"/>
        <v>-2.0895622643620722</v>
      </c>
      <c r="S16" s="44">
        <f t="shared" si="1"/>
        <v>-1.2844546391852776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>
        <v>4.37</v>
      </c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>
        <v>4.37</v>
      </c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>
        <v>4.37</v>
      </c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4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10.58</v>
      </c>
      <c r="D24" s="54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U112"/>
  <sheetViews>
    <sheetView zoomScaleNormal="100" workbookViewId="0">
      <selection activeCell="G21" sqref="G21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70</v>
      </c>
      <c r="F6" s="40">
        <v>3.82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44560.42291666667</v>
      </c>
      <c r="R6" s="11"/>
      <c r="S6" s="11"/>
    </row>
    <row r="7" spans="1:20" ht="12" customHeight="1" x14ac:dyDescent="0.2">
      <c r="A7" s="37"/>
      <c r="B7" s="48" t="s">
        <v>82</v>
      </c>
      <c r="C7" s="49">
        <v>15.9</v>
      </c>
      <c r="D7" s="39"/>
      <c r="E7" s="39">
        <v>255</v>
      </c>
      <c r="F7" s="40">
        <v>6.44</v>
      </c>
      <c r="G7" s="51"/>
      <c r="H7" s="44">
        <f>IF(E7="","",((E7-E6)*C7)/1000)</f>
        <v>2.9415</v>
      </c>
      <c r="I7" s="52">
        <f>IF(F7="","",F7-F6-G7)</f>
        <v>2.6200000000000006</v>
      </c>
      <c r="J7" s="44">
        <f>IF(F7="","",I7-H7)</f>
        <v>-0.32149999999999945</v>
      </c>
      <c r="K7" s="44">
        <f>IF(F7="","",K6+H7)</f>
        <v>2.9415</v>
      </c>
      <c r="L7" s="44">
        <f>IF(F7="","",L6+I7)</f>
        <v>2.6200000000000006</v>
      </c>
      <c r="M7" s="53">
        <f>IF(F7="","",L7-K7)</f>
        <v>-0.32149999999999945</v>
      </c>
      <c r="N7" s="231"/>
      <c r="O7" s="229"/>
      <c r="P7" s="230"/>
      <c r="Q7" s="47">
        <v>44560.431944444441</v>
      </c>
      <c r="R7" s="44">
        <f t="shared" ref="R7:R70" si="0">IF(Q7="","",J7/((Q7-Q6)*24))</f>
        <v>-1.4838461549889088</v>
      </c>
      <c r="S7" s="44">
        <f t="shared" ref="S7:S70" si="1">IF(Q7="","",M7/((Q7-$Q$6)*24))</f>
        <v>-1.4838461549889088</v>
      </c>
    </row>
    <row r="8" spans="1:20" ht="12" customHeight="1" x14ac:dyDescent="0.2">
      <c r="A8" s="37"/>
      <c r="B8" s="48" t="s">
        <v>83</v>
      </c>
      <c r="C8" s="49">
        <v>15.74</v>
      </c>
      <c r="D8" s="54"/>
      <c r="E8" s="39">
        <v>377</v>
      </c>
      <c r="F8" s="40">
        <v>7.84</v>
      </c>
      <c r="G8" s="51"/>
      <c r="H8" s="44">
        <f>IF(E8="","",((E8-E7)*C8)/1000)</f>
        <v>1.92028</v>
      </c>
      <c r="I8" s="52">
        <f>IF(F8="","",F8-F7-G8)</f>
        <v>1.3999999999999995</v>
      </c>
      <c r="J8" s="44">
        <f>IF(F8="","",I8-H8)</f>
        <v>-0.52028000000000052</v>
      </c>
      <c r="K8" s="44">
        <f>IF(F8="","",K7+H8)</f>
        <v>4.8617799999999995</v>
      </c>
      <c r="L8" s="44">
        <f>IF(F8="","",L7+I8)</f>
        <v>4.0199999999999996</v>
      </c>
      <c r="M8" s="53">
        <f>IF(F8="","",L8-K8)</f>
        <v>-0.84177999999999997</v>
      </c>
      <c r="N8" s="231"/>
      <c r="O8" s="229"/>
      <c r="P8" s="230"/>
      <c r="Q8" s="47">
        <v>44560.441666666666</v>
      </c>
      <c r="R8" s="44">
        <f t="shared" si="0"/>
        <v>-2.2297714279781062</v>
      </c>
      <c r="S8" s="44">
        <f t="shared" si="1"/>
        <v>-1.8706222226577602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757</v>
      </c>
      <c r="F9" s="40">
        <v>7.69</v>
      </c>
      <c r="G9" s="51">
        <v>-5</v>
      </c>
      <c r="H9" s="44">
        <f>IF(E9="","",((E9-E8)*C9)/1000)</f>
        <v>5.9811999999999994</v>
      </c>
      <c r="I9" s="52">
        <f>IF(F9="","",F9-F8-G9)</f>
        <v>4.8500000000000005</v>
      </c>
      <c r="J9" s="44">
        <f>IF(F9="","",I9-H9)</f>
        <v>-1.1311999999999989</v>
      </c>
      <c r="K9" s="44">
        <f>IF(F9="","",K8+H9)</f>
        <v>10.842979999999999</v>
      </c>
      <c r="L9" s="44">
        <f>IF(F9="","",L8+I9)</f>
        <v>8.870000000000001</v>
      </c>
      <c r="M9" s="53">
        <f>IF(F9="","",L9-K9)</f>
        <v>-1.972979999999998</v>
      </c>
      <c r="N9" s="228"/>
      <c r="O9" s="229"/>
      <c r="P9" s="230"/>
      <c r="Q9" s="47">
        <v>44560.461111111108</v>
      </c>
      <c r="R9" s="44">
        <f t="shared" si="0"/>
        <v>-2.4240000002620317</v>
      </c>
      <c r="S9" s="44">
        <f t="shared" si="1"/>
        <v>-2.152341818546275</v>
      </c>
    </row>
    <row r="10" spans="1:20" ht="12" customHeight="1" x14ac:dyDescent="0.2">
      <c r="A10" s="37"/>
      <c r="B10" s="48"/>
      <c r="C10" s="49">
        <v>15.74</v>
      </c>
      <c r="D10" s="54"/>
      <c r="E10" s="39">
        <v>1600</v>
      </c>
      <c r="F10" s="40">
        <v>6.89</v>
      </c>
      <c r="G10" s="51">
        <v>-11.5</v>
      </c>
      <c r="H10" s="44">
        <f>IF(E10="","",((E10-E9)*C10)/1000)</f>
        <v>13.26882</v>
      </c>
      <c r="I10" s="52">
        <f>IF(F10="","",F10-F9-G10)</f>
        <v>10.7</v>
      </c>
      <c r="J10" s="44">
        <f t="shared" ref="J10:J73" si="2">IF(F10="","",I10-H10)</f>
        <v>-2.5688200000000005</v>
      </c>
      <c r="K10" s="44">
        <f t="shared" ref="K10:K73" si="3">IF(F10="","",K9+H10)</f>
        <v>24.111799999999999</v>
      </c>
      <c r="L10" s="44">
        <f t="shared" ref="L10:L73" si="4">IF(F10="","",L9+I10)</f>
        <v>19.57</v>
      </c>
      <c r="M10" s="53">
        <f t="shared" ref="M10:M73" si="5">IF(F10="","",L10-K10)</f>
        <v>-4.5417999999999985</v>
      </c>
      <c r="N10" s="249"/>
      <c r="O10" s="250"/>
      <c r="P10" s="251"/>
      <c r="Q10" s="47">
        <v>44560.525694444441</v>
      </c>
      <c r="R10" s="44">
        <f t="shared" si="0"/>
        <v>-1.6573032258188993</v>
      </c>
      <c r="S10" s="44">
        <f t="shared" si="1"/>
        <v>-1.8412702703948256</v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>
        <v>1890.4</v>
      </c>
      <c r="F11" s="40">
        <v>6.51</v>
      </c>
      <c r="G11" s="51">
        <v>-4.5</v>
      </c>
      <c r="H11" s="44">
        <f>IF(E11="","",((E11-E10)*C11)/1000)</f>
        <v>4.5708960000000012</v>
      </c>
      <c r="I11" s="52">
        <f t="shared" ref="I11:I74" si="6">IF(F11="","",F11-F10-G11)</f>
        <v>4.12</v>
      </c>
      <c r="J11" s="44">
        <f t="shared" si="2"/>
        <v>-0.45089600000000107</v>
      </c>
      <c r="K11" s="44">
        <f t="shared" si="3"/>
        <v>28.682696</v>
      </c>
      <c r="L11" s="44">
        <f t="shared" si="4"/>
        <v>23.69</v>
      </c>
      <c r="M11" s="53">
        <f t="shared" si="5"/>
        <v>-4.9926959999999987</v>
      </c>
      <c r="N11" s="228"/>
      <c r="O11" s="229"/>
      <c r="P11" s="230"/>
      <c r="Q11" s="47">
        <v>44560.638888888891</v>
      </c>
      <c r="R11" s="44">
        <f t="shared" si="0"/>
        <v>-0.16597398772247524</v>
      </c>
      <c r="S11" s="44">
        <f t="shared" si="1"/>
        <v>-0.96322109325552041</v>
      </c>
    </row>
    <row r="12" spans="1:20" ht="12" customHeight="1" x14ac:dyDescent="0.2">
      <c r="A12" s="37"/>
      <c r="B12" s="48"/>
      <c r="C12" s="49">
        <v>15.74</v>
      </c>
      <c r="D12" s="54"/>
      <c r="E12" s="39">
        <v>1890</v>
      </c>
      <c r="F12" s="56">
        <v>6.42</v>
      </c>
      <c r="G12" s="51"/>
      <c r="H12" s="44">
        <f t="shared" ref="H12:H74" si="7">IF(E12="","",((E12-E11)*C12)/1000)</f>
        <v>-6.2960000000014324E-3</v>
      </c>
      <c r="I12" s="52">
        <f t="shared" si="6"/>
        <v>-8.9999999999999858E-2</v>
      </c>
      <c r="J12" s="44">
        <f t="shared" si="2"/>
        <v>-8.3703999999998419E-2</v>
      </c>
      <c r="K12" s="44">
        <f t="shared" si="3"/>
        <v>28.676399999999997</v>
      </c>
      <c r="L12" s="44">
        <f t="shared" si="4"/>
        <v>23.6</v>
      </c>
      <c r="M12" s="53">
        <f t="shared" si="5"/>
        <v>-5.076399999999996</v>
      </c>
      <c r="N12" s="228"/>
      <c r="O12" s="229"/>
      <c r="P12" s="230"/>
      <c r="Q12" s="47">
        <v>44560.644444444442</v>
      </c>
      <c r="R12" s="44">
        <f t="shared" si="0"/>
        <v>-0.62778000042021664</v>
      </c>
      <c r="S12" s="44">
        <f t="shared" si="1"/>
        <v>-0.95480877745316073</v>
      </c>
    </row>
    <row r="13" spans="1:20" ht="12" customHeight="1" x14ac:dyDescent="0.2">
      <c r="A13" s="37"/>
      <c r="B13" s="48"/>
      <c r="C13" s="49">
        <v>4.37</v>
      </c>
      <c r="D13" s="54"/>
      <c r="E13" s="39">
        <v>1409</v>
      </c>
      <c r="F13" s="56">
        <v>7.71</v>
      </c>
      <c r="G13" s="51">
        <v>5</v>
      </c>
      <c r="H13" s="44">
        <f>IF(E13="","",((E13-E12)*C13)/1000)</f>
        <v>-2.1019700000000001</v>
      </c>
      <c r="I13" s="52">
        <f t="shared" si="6"/>
        <v>-3.71</v>
      </c>
      <c r="J13" s="44">
        <f t="shared" si="2"/>
        <v>-1.6080299999999998</v>
      </c>
      <c r="K13" s="44">
        <f t="shared" si="3"/>
        <v>26.574429999999996</v>
      </c>
      <c r="L13" s="44">
        <f t="shared" si="4"/>
        <v>19.89</v>
      </c>
      <c r="M13" s="53">
        <f t="shared" si="5"/>
        <v>-6.6844299999999954</v>
      </c>
      <c r="N13" s="231"/>
      <c r="O13" s="229"/>
      <c r="P13" s="230"/>
      <c r="Q13" s="47">
        <v>44560.706250000003</v>
      </c>
      <c r="R13" s="44">
        <f t="shared" si="0"/>
        <v>-1.08406516845141</v>
      </c>
      <c r="S13" s="44">
        <f t="shared" si="1"/>
        <v>-0.98300441176638809</v>
      </c>
    </row>
    <row r="14" spans="1:20" ht="12" customHeight="1" x14ac:dyDescent="0.2">
      <c r="A14" s="37"/>
      <c r="B14" s="48"/>
      <c r="C14" s="49">
        <v>4.37</v>
      </c>
      <c r="D14" s="54"/>
      <c r="E14" s="39">
        <v>646</v>
      </c>
      <c r="F14" s="56">
        <v>8.2200000000000006</v>
      </c>
      <c r="G14" s="51">
        <v>5</v>
      </c>
      <c r="H14" s="44">
        <f t="shared" si="7"/>
        <v>-3.3343099999999999</v>
      </c>
      <c r="I14" s="52">
        <f t="shared" si="6"/>
        <v>-4.4899999999999993</v>
      </c>
      <c r="J14" s="44">
        <f t="shared" si="2"/>
        <v>-1.1556899999999994</v>
      </c>
      <c r="K14" s="44">
        <f t="shared" si="3"/>
        <v>23.240119999999997</v>
      </c>
      <c r="L14" s="44">
        <f t="shared" si="4"/>
        <v>15.400000000000002</v>
      </c>
      <c r="M14" s="53">
        <f t="shared" si="5"/>
        <v>-7.8401199999999953</v>
      </c>
      <c r="N14" s="231"/>
      <c r="O14" s="229"/>
      <c r="P14" s="230"/>
      <c r="Q14" s="47">
        <v>44560.745138888888</v>
      </c>
      <c r="R14" s="44">
        <f t="shared" si="0"/>
        <v>-1.2382392858481388</v>
      </c>
      <c r="S14" s="44">
        <f t="shared" si="1"/>
        <v>-1.0138086207044075</v>
      </c>
    </row>
    <row r="15" spans="1:20" ht="12" customHeight="1" x14ac:dyDescent="0.2">
      <c r="A15" s="37"/>
      <c r="B15" s="48"/>
      <c r="C15" s="49">
        <v>4.37</v>
      </c>
      <c r="D15" s="54"/>
      <c r="E15" s="39">
        <v>646</v>
      </c>
      <c r="F15" s="56">
        <v>8.1300000000000008</v>
      </c>
      <c r="G15" s="51"/>
      <c r="H15" s="44">
        <f t="shared" si="7"/>
        <v>0</v>
      </c>
      <c r="I15" s="52">
        <f t="shared" si="6"/>
        <v>-8.9999999999999858E-2</v>
      </c>
      <c r="J15" s="44">
        <f t="shared" si="2"/>
        <v>-8.9999999999999858E-2</v>
      </c>
      <c r="K15" s="44">
        <f t="shared" si="3"/>
        <v>23.240119999999997</v>
      </c>
      <c r="L15" s="44">
        <f t="shared" si="4"/>
        <v>15.310000000000002</v>
      </c>
      <c r="M15" s="53">
        <f t="shared" si="5"/>
        <v>-7.9301199999999952</v>
      </c>
      <c r="N15" s="231"/>
      <c r="O15" s="229"/>
      <c r="P15" s="230"/>
      <c r="Q15" s="47">
        <v>44560.751388888886</v>
      </c>
      <c r="R15" s="44">
        <f t="shared" si="0"/>
        <v>-0.60000000013969745</v>
      </c>
      <c r="S15" s="44">
        <f t="shared" si="1"/>
        <v>-1.0059348837397459</v>
      </c>
    </row>
    <row r="16" spans="1:20" ht="12" customHeight="1" x14ac:dyDescent="0.2">
      <c r="A16" s="37"/>
      <c r="B16" s="48"/>
      <c r="C16" s="49">
        <v>4.37</v>
      </c>
      <c r="D16" s="57"/>
      <c r="E16" s="39">
        <v>292</v>
      </c>
      <c r="F16" s="40">
        <v>5.43</v>
      </c>
      <c r="G16" s="51"/>
      <c r="H16" s="44">
        <f t="shared" si="7"/>
        <v>-1.54698</v>
      </c>
      <c r="I16" s="52">
        <f t="shared" si="6"/>
        <v>-2.7000000000000011</v>
      </c>
      <c r="J16" s="44">
        <f t="shared" si="2"/>
        <v>-1.153020000000001</v>
      </c>
      <c r="K16" s="44">
        <f t="shared" si="3"/>
        <v>21.693139999999996</v>
      </c>
      <c r="L16" s="44">
        <f t="shared" si="4"/>
        <v>12.610000000000001</v>
      </c>
      <c r="M16" s="53">
        <f t="shared" si="5"/>
        <v>-9.0831399999999949</v>
      </c>
      <c r="N16" s="228"/>
      <c r="O16" s="229"/>
      <c r="P16" s="230"/>
      <c r="Q16" s="47">
        <v>44560.771527777775</v>
      </c>
      <c r="R16" s="44">
        <f t="shared" si="0"/>
        <v>-2.3855586206705044</v>
      </c>
      <c r="S16" s="44">
        <f t="shared" si="1"/>
        <v>-1.085634262966837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39">
        <v>113</v>
      </c>
      <c r="F17" s="40">
        <v>8</v>
      </c>
      <c r="G17" s="51">
        <f>8-2.37</f>
        <v>5.63</v>
      </c>
      <c r="H17" s="44">
        <f t="shared" si="7"/>
        <v>-1.8938199999999998</v>
      </c>
      <c r="I17" s="52">
        <f t="shared" si="6"/>
        <v>-3.0599999999999996</v>
      </c>
      <c r="J17" s="44">
        <f t="shared" si="2"/>
        <v>-1.1661799999999998</v>
      </c>
      <c r="K17" s="44">
        <f t="shared" si="3"/>
        <v>19.799319999999994</v>
      </c>
      <c r="L17" s="44">
        <f t="shared" si="4"/>
        <v>9.5500000000000007</v>
      </c>
      <c r="M17" s="53">
        <f t="shared" si="5"/>
        <v>-10.249319999999994</v>
      </c>
      <c r="N17" s="231"/>
      <c r="O17" s="229"/>
      <c r="P17" s="230"/>
      <c r="Q17" s="47">
        <v>44560.795138888891</v>
      </c>
      <c r="R17" s="44">
        <f t="shared" si="0"/>
        <v>-2.0579647055159382</v>
      </c>
      <c r="S17" s="44">
        <f t="shared" si="1"/>
        <v>-1.1473119403039889</v>
      </c>
    </row>
    <row r="18" spans="1:19" ht="12" customHeight="1" x14ac:dyDescent="0.2">
      <c r="A18" s="37"/>
      <c r="B18" s="48"/>
      <c r="C18" s="49">
        <v>10.58</v>
      </c>
      <c r="D18" s="54"/>
      <c r="E18" s="39">
        <v>113</v>
      </c>
      <c r="F18" s="40">
        <v>6.94</v>
      </c>
      <c r="G18" s="40"/>
      <c r="H18" s="44">
        <f t="shared" si="7"/>
        <v>0</v>
      </c>
      <c r="I18" s="52">
        <f t="shared" si="6"/>
        <v>-1.0599999999999996</v>
      </c>
      <c r="J18" s="44">
        <f t="shared" si="2"/>
        <v>-1.0599999999999996</v>
      </c>
      <c r="K18" s="44">
        <f t="shared" si="3"/>
        <v>19.799319999999994</v>
      </c>
      <c r="L18" s="44">
        <f t="shared" si="4"/>
        <v>8.490000000000002</v>
      </c>
      <c r="M18" s="53">
        <f t="shared" si="5"/>
        <v>-11.309319999999992</v>
      </c>
      <c r="N18" s="228"/>
      <c r="O18" s="229"/>
      <c r="P18" s="230"/>
      <c r="Q18" s="47">
        <v>44560.828472222223</v>
      </c>
      <c r="R18" s="44">
        <f t="shared" si="0"/>
        <v>-1.3250000000192808</v>
      </c>
      <c r="S18" s="44">
        <f t="shared" si="1"/>
        <v>-1.161916438362649</v>
      </c>
    </row>
    <row r="19" spans="1:19" ht="12" customHeight="1" x14ac:dyDescent="0.2">
      <c r="A19" s="37"/>
      <c r="B19" s="48"/>
      <c r="C19" s="49">
        <v>10.58</v>
      </c>
      <c r="D19" s="54"/>
      <c r="E19" s="39">
        <v>113</v>
      </c>
      <c r="F19" s="40">
        <v>5.04</v>
      </c>
      <c r="G19" s="40"/>
      <c r="H19" s="44">
        <f t="shared" si="7"/>
        <v>0</v>
      </c>
      <c r="I19" s="52">
        <f t="shared" si="6"/>
        <v>-1.9000000000000004</v>
      </c>
      <c r="J19" s="44">
        <f t="shared" si="2"/>
        <v>-1.9000000000000004</v>
      </c>
      <c r="K19" s="44">
        <f t="shared" si="3"/>
        <v>19.799319999999994</v>
      </c>
      <c r="L19" s="44">
        <f t="shared" si="4"/>
        <v>6.5900000000000016</v>
      </c>
      <c r="M19" s="53">
        <f t="shared" si="5"/>
        <v>-13.209319999999993</v>
      </c>
      <c r="N19" s="228"/>
      <c r="O19" s="229"/>
      <c r="P19" s="230"/>
      <c r="Q19" s="47">
        <v>44560.874305555553</v>
      </c>
      <c r="R19" s="44">
        <f t="shared" si="0"/>
        <v>-1.7272727274006883</v>
      </c>
      <c r="S19" s="44">
        <f t="shared" si="1"/>
        <v>-1.2193218461691322</v>
      </c>
    </row>
    <row r="20" spans="1:19" ht="12" customHeight="1" x14ac:dyDescent="0.2">
      <c r="A20" s="37"/>
      <c r="B20" s="48"/>
      <c r="C20" s="49">
        <v>4.37</v>
      </c>
      <c r="D20" s="54"/>
      <c r="E20" s="39">
        <v>113</v>
      </c>
      <c r="F20" s="40">
        <v>4.05</v>
      </c>
      <c r="G20" s="40">
        <f>5.01-4.24</f>
        <v>0.76999999999999957</v>
      </c>
      <c r="H20" s="44">
        <f t="shared" si="7"/>
        <v>0</v>
      </c>
      <c r="I20" s="52">
        <f t="shared" si="6"/>
        <v>-1.7599999999999998</v>
      </c>
      <c r="J20" s="44">
        <f t="shared" si="2"/>
        <v>-1.7599999999999998</v>
      </c>
      <c r="K20" s="44">
        <f t="shared" si="3"/>
        <v>19.799319999999994</v>
      </c>
      <c r="L20" s="44">
        <f t="shared" si="4"/>
        <v>4.8300000000000018</v>
      </c>
      <c r="M20" s="53">
        <f t="shared" si="5"/>
        <v>-14.969319999999993</v>
      </c>
      <c r="N20" s="242"/>
      <c r="O20" s="229"/>
      <c r="P20" s="230"/>
      <c r="Q20" s="47">
        <v>44560.92083333333</v>
      </c>
      <c r="R20" s="44">
        <f t="shared" si="0"/>
        <v>-1.5761194030234145</v>
      </c>
      <c r="S20" s="44">
        <f t="shared" si="1"/>
        <v>-1.2526627615233601</v>
      </c>
    </row>
    <row r="21" spans="1:19" ht="12" customHeight="1" x14ac:dyDescent="0.2">
      <c r="A21" s="37"/>
      <c r="B21" s="48"/>
      <c r="C21" s="49">
        <v>4.37</v>
      </c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>
        <v>4.37</v>
      </c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8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8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8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8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  <c r="T107" s="48" t="s">
        <v>80</v>
      </c>
      <c r="U107" s="49">
        <v>1.98</v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  <c r="T108" s="48" t="s">
        <v>81</v>
      </c>
      <c r="U108" s="49">
        <v>4.2699999999999996</v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U112"/>
  <sheetViews>
    <sheetView zoomScaleNormal="100" workbookViewId="0">
      <selection activeCell="G27" sqref="G2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82</v>
      </c>
      <c r="F6" s="40">
        <v>3.61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44559.756944444445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213</v>
      </c>
      <c r="F7" s="40">
        <v>4.6900000000000004</v>
      </c>
      <c r="G7" s="51"/>
      <c r="H7" s="44">
        <f>IF(E7="","",((E7-E6)*C7)/1000)</f>
        <v>1.38598</v>
      </c>
      <c r="I7" s="52">
        <f>IF(F7="","",F7-F6-G7)</f>
        <v>1.0800000000000005</v>
      </c>
      <c r="J7" s="44">
        <f>IF(F7="","",I7-H7)</f>
        <v>-0.30597999999999947</v>
      </c>
      <c r="K7" s="44">
        <f>IF(F7="","",K6+H7)</f>
        <v>1.38598</v>
      </c>
      <c r="L7" s="44">
        <f>IF(F7="","",L6+I7)</f>
        <v>1.0800000000000005</v>
      </c>
      <c r="M7" s="53">
        <f>IF(F7="","",L7-K7)</f>
        <v>-0.30597999999999947</v>
      </c>
      <c r="N7" s="231"/>
      <c r="O7" s="229"/>
      <c r="P7" s="230"/>
      <c r="Q7" s="47">
        <v>44559.771527777775</v>
      </c>
      <c r="R7" s="44">
        <f t="shared" ref="R7:R70" si="0">IF(Q7="","",J7/((Q7-Q6)*24))</f>
        <v>-0.87422857163211709</v>
      </c>
      <c r="S7" s="44">
        <f t="shared" ref="S7:S70" si="1">IF(Q7="","",M7/((Q7-$Q$6)*24))</f>
        <v>-0.87422857163211709</v>
      </c>
    </row>
    <row r="8" spans="1:20" ht="12" customHeight="1" x14ac:dyDescent="0.2">
      <c r="A8" s="37"/>
      <c r="B8" s="48" t="s">
        <v>85</v>
      </c>
      <c r="C8" s="49">
        <v>4.37</v>
      </c>
      <c r="D8" s="54"/>
      <c r="E8" s="39">
        <v>525</v>
      </c>
      <c r="F8" s="40">
        <v>5.27</v>
      </c>
      <c r="G8" s="51"/>
      <c r="H8" s="44">
        <f>IF(E8="","",((E8-E7)*C8)/1000)</f>
        <v>1.36344</v>
      </c>
      <c r="I8" s="52">
        <f>IF(F8="","",F8-F7-G8)</f>
        <v>0.57999999999999918</v>
      </c>
      <c r="J8" s="44">
        <f>IF(F8="","",I8-H8)</f>
        <v>-0.7834400000000008</v>
      </c>
      <c r="K8" s="44">
        <f>IF(F8="","",K7+H8)</f>
        <v>2.7494199999999998</v>
      </c>
      <c r="L8" s="44">
        <f>IF(F8="","",L7+I8)</f>
        <v>1.6599999999999997</v>
      </c>
      <c r="M8" s="53">
        <f>IF(F8="","",L8-K8)</f>
        <v>-1.0894200000000001</v>
      </c>
      <c r="N8" s="231"/>
      <c r="O8" s="229"/>
      <c r="P8" s="230"/>
      <c r="Q8" s="47">
        <v>44559.793749999997</v>
      </c>
      <c r="R8" s="44">
        <f t="shared" si="0"/>
        <v>-1.4689500000213775</v>
      </c>
      <c r="S8" s="44">
        <f t="shared" si="1"/>
        <v>-1.2333056605019714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525</v>
      </c>
      <c r="F9" s="40">
        <v>4.92</v>
      </c>
      <c r="G9" s="51"/>
      <c r="H9" s="44">
        <f>IF(E9="","",((E9-E8)*C9)/1000)</f>
        <v>0</v>
      </c>
      <c r="I9" s="52">
        <f>IF(F9="","",F9-F8-G9)</f>
        <v>-0.34999999999999964</v>
      </c>
      <c r="J9" s="44">
        <f>IF(F9="","",I9-H9)</f>
        <v>-0.34999999999999964</v>
      </c>
      <c r="K9" s="44">
        <f>IF(F9="","",K8+H9)</f>
        <v>2.7494199999999998</v>
      </c>
      <c r="L9" s="44">
        <f>IF(F9="","",L8+I9)</f>
        <v>1.31</v>
      </c>
      <c r="M9" s="53">
        <f>IF(F9="","",L9-K9)</f>
        <v>-1.4394199999999997</v>
      </c>
      <c r="N9" s="228" t="s">
        <v>86</v>
      </c>
      <c r="O9" s="229"/>
      <c r="P9" s="230"/>
      <c r="Q9" s="47">
        <v>44559.800694444442</v>
      </c>
      <c r="R9" s="44">
        <f t="shared" si="0"/>
        <v>-2.0999999997555259</v>
      </c>
      <c r="S9" s="44">
        <f t="shared" si="1"/>
        <v>-1.370876190567385</v>
      </c>
    </row>
    <row r="10" spans="1:20" ht="12" customHeight="1" x14ac:dyDescent="0.2">
      <c r="A10" s="37"/>
      <c r="B10" s="48"/>
      <c r="C10" s="49">
        <v>4.37</v>
      </c>
      <c r="D10" s="54"/>
      <c r="E10" s="39">
        <v>1068</v>
      </c>
      <c r="F10" s="40">
        <v>6.74</v>
      </c>
      <c r="G10" s="51"/>
      <c r="H10" s="44">
        <f>IF(E10="","",((E10-E9)*C10)/1000)</f>
        <v>2.3729100000000001</v>
      </c>
      <c r="I10" s="52">
        <f>IF(F10="","",F10-F9-G10)</f>
        <v>1.8200000000000003</v>
      </c>
      <c r="J10" s="44">
        <f t="shared" ref="J10:J73" si="2">IF(F10="","",I10-H10)</f>
        <v>-0.55290999999999979</v>
      </c>
      <c r="K10" s="44">
        <f t="shared" ref="K10:K73" si="3">IF(F10="","",K9+H10)</f>
        <v>5.1223299999999998</v>
      </c>
      <c r="L10" s="44">
        <f t="shared" ref="L10:L73" si="4">IF(F10="","",L9+I10)</f>
        <v>3.1300000000000003</v>
      </c>
      <c r="M10" s="53">
        <f t="shared" ref="M10:M73" si="5">IF(F10="","",L10-K10)</f>
        <v>-1.9923299999999995</v>
      </c>
      <c r="N10" s="249"/>
      <c r="O10" s="250"/>
      <c r="P10" s="251"/>
      <c r="Q10" s="47">
        <v>44559.824999999997</v>
      </c>
      <c r="R10" s="44">
        <f t="shared" si="0"/>
        <v>-0.94784571431724074</v>
      </c>
      <c r="S10" s="44">
        <f t="shared" si="1"/>
        <v>-1.2197938776176744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1801</v>
      </c>
      <c r="F11" s="40">
        <v>8.2100000000000009</v>
      </c>
      <c r="G11" s="51"/>
      <c r="H11" s="44">
        <f>IF(E11="","",((E11-E10)*C11)/1000)</f>
        <v>3.2032099999999999</v>
      </c>
      <c r="I11" s="52">
        <f t="shared" ref="I11:I74" si="6">IF(F11="","",F11-F10-G11)</f>
        <v>1.4700000000000006</v>
      </c>
      <c r="J11" s="44">
        <f t="shared" si="2"/>
        <v>-1.7332099999999993</v>
      </c>
      <c r="K11" s="44">
        <f t="shared" si="3"/>
        <v>8.3255400000000002</v>
      </c>
      <c r="L11" s="44">
        <f t="shared" si="4"/>
        <v>4.6000000000000014</v>
      </c>
      <c r="M11" s="53">
        <f t="shared" si="5"/>
        <v>-3.7255399999999987</v>
      </c>
      <c r="N11" s="228"/>
      <c r="O11" s="229"/>
      <c r="P11" s="230"/>
      <c r="Q11" s="47">
        <v>44559.861111111109</v>
      </c>
      <c r="R11" s="44">
        <f t="shared" si="0"/>
        <v>-1.9998576922360563</v>
      </c>
      <c r="S11" s="44">
        <f t="shared" si="1"/>
        <v>-1.4902160000346962</v>
      </c>
    </row>
    <row r="12" spans="1:20" ht="12" customHeight="1" x14ac:dyDescent="0.2">
      <c r="A12" s="37"/>
      <c r="B12" s="48"/>
      <c r="C12" s="49">
        <v>4.37</v>
      </c>
      <c r="D12" s="54"/>
      <c r="E12" s="39">
        <v>1829</v>
      </c>
      <c r="F12" s="56">
        <v>7.43</v>
      </c>
      <c r="G12" s="51"/>
      <c r="H12" s="44">
        <f t="shared" ref="H12:H74" si="7">IF(E12="","",((E12-E11)*C12)/1000)</f>
        <v>0.12236</v>
      </c>
      <c r="I12" s="52">
        <f t="shared" si="6"/>
        <v>-0.78000000000000114</v>
      </c>
      <c r="J12" s="44">
        <f t="shared" si="2"/>
        <v>-0.90236000000000116</v>
      </c>
      <c r="K12" s="44">
        <f t="shared" si="3"/>
        <v>8.4479000000000006</v>
      </c>
      <c r="L12" s="44">
        <f t="shared" si="4"/>
        <v>3.8200000000000003</v>
      </c>
      <c r="M12" s="53">
        <f t="shared" si="5"/>
        <v>-4.6279000000000003</v>
      </c>
      <c r="N12" s="228"/>
      <c r="O12" s="229"/>
      <c r="P12" s="230"/>
      <c r="Q12" s="47">
        <v>44559.925694444442</v>
      </c>
      <c r="R12" s="44">
        <f t="shared" si="0"/>
        <v>-0.5821677419398571</v>
      </c>
      <c r="S12" s="44">
        <f t="shared" si="1"/>
        <v>-1.1426913580443991</v>
      </c>
    </row>
    <row r="13" spans="1:20" ht="12" customHeight="1" x14ac:dyDescent="0.2">
      <c r="A13" s="37"/>
      <c r="B13" s="48"/>
      <c r="C13" s="49">
        <v>4.37</v>
      </c>
      <c r="D13" s="54"/>
      <c r="E13" s="39">
        <v>1829</v>
      </c>
      <c r="F13" s="56">
        <v>6.94</v>
      </c>
      <c r="G13" s="51"/>
      <c r="H13" s="44">
        <f>IF(E13="","",((E13-E12)*C13)/1000)</f>
        <v>0</v>
      </c>
      <c r="I13" s="52">
        <f t="shared" si="6"/>
        <v>-0.48999999999999932</v>
      </c>
      <c r="J13" s="44">
        <f t="shared" si="2"/>
        <v>-0.48999999999999932</v>
      </c>
      <c r="K13" s="44">
        <f t="shared" si="3"/>
        <v>8.4479000000000006</v>
      </c>
      <c r="L13" s="44">
        <f t="shared" si="4"/>
        <v>3.330000000000001</v>
      </c>
      <c r="M13" s="53">
        <f t="shared" si="5"/>
        <v>-5.1178999999999997</v>
      </c>
      <c r="N13" s="231"/>
      <c r="O13" s="229"/>
      <c r="P13" s="230"/>
      <c r="Q13" s="47">
        <v>44559.9375</v>
      </c>
      <c r="R13" s="44">
        <f t="shared" si="0"/>
        <v>-1.7294117643979634</v>
      </c>
      <c r="S13" s="44">
        <f t="shared" si="1"/>
        <v>-1.1810538461591342</v>
      </c>
    </row>
    <row r="14" spans="1:20" ht="12" customHeight="1" x14ac:dyDescent="0.2">
      <c r="A14" s="37"/>
      <c r="B14" s="48"/>
      <c r="C14" s="49">
        <v>4.37</v>
      </c>
      <c r="D14" s="54"/>
      <c r="E14" s="39">
        <v>1829</v>
      </c>
      <c r="F14" s="56">
        <v>4.67</v>
      </c>
      <c r="G14" s="51"/>
      <c r="H14" s="44">
        <f t="shared" si="7"/>
        <v>0</v>
      </c>
      <c r="I14" s="52">
        <f t="shared" si="6"/>
        <v>-2.2700000000000005</v>
      </c>
      <c r="J14" s="44">
        <f t="shared" si="2"/>
        <v>-2.2700000000000005</v>
      </c>
      <c r="K14" s="44">
        <f t="shared" si="3"/>
        <v>8.4479000000000006</v>
      </c>
      <c r="L14" s="44">
        <f t="shared" si="4"/>
        <v>1.0600000000000005</v>
      </c>
      <c r="M14" s="53">
        <f t="shared" si="5"/>
        <v>-7.3879000000000001</v>
      </c>
      <c r="N14" s="231"/>
      <c r="O14" s="229"/>
      <c r="P14" s="230"/>
      <c r="Q14" s="47">
        <v>44559.982638888891</v>
      </c>
      <c r="R14" s="44">
        <f t="shared" si="0"/>
        <v>-2.095384615309559</v>
      </c>
      <c r="S14" s="44">
        <f t="shared" si="1"/>
        <v>-1.3639199999951144</v>
      </c>
    </row>
    <row r="15" spans="1:20" ht="12" customHeight="1" x14ac:dyDescent="0.2">
      <c r="A15" s="37"/>
      <c r="B15" s="48"/>
      <c r="C15" s="49">
        <v>4.37</v>
      </c>
      <c r="D15" s="54"/>
      <c r="E15" s="39">
        <v>1817</v>
      </c>
      <c r="F15" s="40">
        <v>3.2</v>
      </c>
      <c r="G15" s="51"/>
      <c r="H15" s="44">
        <f t="shared" si="7"/>
        <v>-5.2440000000000001E-2</v>
      </c>
      <c r="I15" s="52">
        <f t="shared" si="6"/>
        <v>-1.4699999999999998</v>
      </c>
      <c r="J15" s="44">
        <f t="shared" si="2"/>
        <v>-1.4175599999999997</v>
      </c>
      <c r="K15" s="44">
        <f t="shared" si="3"/>
        <v>8.3954599999999999</v>
      </c>
      <c r="L15" s="44">
        <f t="shared" si="4"/>
        <v>-0.40999999999999925</v>
      </c>
      <c r="M15" s="53">
        <f t="shared" si="5"/>
        <v>-8.8054600000000001</v>
      </c>
      <c r="N15" s="231"/>
      <c r="O15" s="229"/>
      <c r="P15" s="230"/>
      <c r="Q15" s="47">
        <v>44560.017361111109</v>
      </c>
      <c r="R15" s="44">
        <f t="shared" si="0"/>
        <v>-1.7010720001584243</v>
      </c>
      <c r="S15" s="44">
        <f t="shared" si="1"/>
        <v>-1.4088736000131212</v>
      </c>
    </row>
    <row r="16" spans="1:20" ht="12" customHeight="1" x14ac:dyDescent="0.2">
      <c r="A16" s="37"/>
      <c r="B16" s="48"/>
      <c r="C16" s="49">
        <v>4.37</v>
      </c>
      <c r="D16" s="57"/>
      <c r="E16" s="39">
        <v>1817</v>
      </c>
      <c r="F16" s="40">
        <v>7.16</v>
      </c>
      <c r="G16" s="51">
        <f>-3.17+7.22</f>
        <v>4.05</v>
      </c>
      <c r="H16" s="44">
        <f t="shared" si="7"/>
        <v>0</v>
      </c>
      <c r="I16" s="52">
        <f t="shared" si="6"/>
        <v>-8.9999999999999858E-2</v>
      </c>
      <c r="J16" s="44">
        <f t="shared" si="2"/>
        <v>-8.9999999999999858E-2</v>
      </c>
      <c r="K16" s="44">
        <f t="shared" si="3"/>
        <v>8.3954599999999999</v>
      </c>
      <c r="L16" s="44">
        <f t="shared" si="4"/>
        <v>-0.49999999999999911</v>
      </c>
      <c r="M16" s="53">
        <f t="shared" si="5"/>
        <v>-8.8954599999999999</v>
      </c>
      <c r="N16" s="228"/>
      <c r="O16" s="229"/>
      <c r="P16" s="230"/>
      <c r="Q16" s="47">
        <v>44560.024305555555</v>
      </c>
      <c r="R16" s="44">
        <f t="shared" si="0"/>
        <v>-0.53999999993713488</v>
      </c>
      <c r="S16" s="44">
        <f t="shared" si="1"/>
        <v>-1.3863054545538382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1817</v>
      </c>
      <c r="F17" s="40">
        <v>6.85</v>
      </c>
      <c r="G17" s="51"/>
      <c r="H17" s="44">
        <f t="shared" si="7"/>
        <v>0</v>
      </c>
      <c r="I17" s="52">
        <f t="shared" si="6"/>
        <v>-0.3100000000000005</v>
      </c>
      <c r="J17" s="44">
        <f t="shared" si="2"/>
        <v>-0.3100000000000005</v>
      </c>
      <c r="K17" s="44">
        <f t="shared" si="3"/>
        <v>8.3954599999999999</v>
      </c>
      <c r="L17" s="44">
        <f t="shared" si="4"/>
        <v>-0.80999999999999961</v>
      </c>
      <c r="M17" s="53">
        <f t="shared" si="5"/>
        <v>-9.2054599999999986</v>
      </c>
      <c r="N17" s="231"/>
      <c r="O17" s="229"/>
      <c r="P17" s="230"/>
      <c r="Q17" s="47">
        <v>44560.035416666666</v>
      </c>
      <c r="R17" s="44">
        <f t="shared" si="0"/>
        <v>-1.1625000000169186</v>
      </c>
      <c r="S17" s="44">
        <f t="shared" si="1"/>
        <v>-1.3773755611060539</v>
      </c>
    </row>
    <row r="18" spans="1:19" ht="12" customHeight="1" x14ac:dyDescent="0.2">
      <c r="A18" s="37"/>
      <c r="B18" s="48"/>
      <c r="C18" s="49">
        <v>4.37</v>
      </c>
      <c r="D18" s="54"/>
      <c r="E18" s="39">
        <v>1803</v>
      </c>
      <c r="F18" s="40">
        <v>7.85</v>
      </c>
      <c r="G18" s="40">
        <f>8.1-6.82</f>
        <v>1.2799999999999994</v>
      </c>
      <c r="H18" s="44">
        <f t="shared" si="7"/>
        <v>-6.1179999999999998E-2</v>
      </c>
      <c r="I18" s="52">
        <f t="shared" si="6"/>
        <v>-0.27999999999999936</v>
      </c>
      <c r="J18" s="44">
        <f t="shared" si="2"/>
        <v>-0.21881999999999935</v>
      </c>
      <c r="K18" s="44">
        <f t="shared" si="3"/>
        <v>8.3342799999999997</v>
      </c>
      <c r="L18" s="44">
        <f t="shared" si="4"/>
        <v>-1.089999999999999</v>
      </c>
      <c r="M18" s="53">
        <f t="shared" si="5"/>
        <v>-9.4242799999999995</v>
      </c>
      <c r="N18" s="228"/>
      <c r="O18" s="229"/>
      <c r="P18" s="230"/>
      <c r="Q18" s="47">
        <v>44560.0625</v>
      </c>
      <c r="R18" s="44">
        <f t="shared" si="0"/>
        <v>-0.33664615383409413</v>
      </c>
      <c r="S18" s="44">
        <f t="shared" si="1"/>
        <v>-1.2851290909124911</v>
      </c>
    </row>
    <row r="19" spans="1:19" ht="12" customHeight="1" x14ac:dyDescent="0.2">
      <c r="A19" s="37"/>
      <c r="B19" s="48"/>
      <c r="C19" s="49">
        <v>4.37</v>
      </c>
      <c r="D19" s="54"/>
      <c r="E19" s="39">
        <v>1150</v>
      </c>
      <c r="F19" s="40">
        <v>2.42</v>
      </c>
      <c r="G19" s="40"/>
      <c r="H19" s="44">
        <f t="shared" si="7"/>
        <v>-2.8536100000000002</v>
      </c>
      <c r="I19" s="52">
        <f t="shared" si="6"/>
        <v>-5.43</v>
      </c>
      <c r="J19" s="44">
        <f t="shared" si="2"/>
        <v>-2.5763899999999995</v>
      </c>
      <c r="K19" s="44">
        <f t="shared" si="3"/>
        <v>5.4806699999999999</v>
      </c>
      <c r="L19" s="44">
        <f t="shared" si="4"/>
        <v>-6.5199999999999987</v>
      </c>
      <c r="M19" s="53">
        <f t="shared" si="5"/>
        <v>-12.00067</v>
      </c>
      <c r="N19" s="228"/>
      <c r="O19" s="229"/>
      <c r="P19" s="230"/>
      <c r="Q19" s="47">
        <v>44560.105555555558</v>
      </c>
      <c r="R19" s="44">
        <f t="shared" si="0"/>
        <v>-2.4932806450395697</v>
      </c>
      <c r="S19" s="44">
        <f t="shared" si="1"/>
        <v>-1.4343430278831242</v>
      </c>
    </row>
    <row r="20" spans="1:19" ht="12" customHeight="1" x14ac:dyDescent="0.2">
      <c r="A20" s="37"/>
      <c r="B20" s="48"/>
      <c r="C20" s="49">
        <v>4.37</v>
      </c>
      <c r="D20" s="54"/>
      <c r="E20" s="39">
        <v>579</v>
      </c>
      <c r="F20" s="40">
        <v>5.03</v>
      </c>
      <c r="G20" s="40">
        <f>8.02-2.5</f>
        <v>5.52</v>
      </c>
      <c r="H20" s="44">
        <f t="shared" si="7"/>
        <v>-2.4952700000000001</v>
      </c>
      <c r="I20" s="52">
        <f t="shared" si="6"/>
        <v>-2.9099999999999993</v>
      </c>
      <c r="J20" s="44">
        <f t="shared" si="2"/>
        <v>-0.41472999999999915</v>
      </c>
      <c r="K20" s="44">
        <f t="shared" si="3"/>
        <v>2.9853999999999998</v>
      </c>
      <c r="L20" s="44">
        <f t="shared" si="4"/>
        <v>-9.4299999999999979</v>
      </c>
      <c r="M20" s="53">
        <f t="shared" si="5"/>
        <v>-12.415399999999998</v>
      </c>
      <c r="N20" s="242"/>
      <c r="O20" s="229"/>
      <c r="P20" s="230"/>
      <c r="Q20" s="47">
        <v>44560.134027777778</v>
      </c>
      <c r="R20" s="44">
        <f t="shared" si="0"/>
        <v>-0.60692195125742343</v>
      </c>
      <c r="S20" s="44">
        <f t="shared" si="1"/>
        <v>-1.3718674033166816</v>
      </c>
    </row>
    <row r="21" spans="1:19" ht="12" customHeight="1" x14ac:dyDescent="0.2">
      <c r="A21" s="37"/>
      <c r="B21" s="48"/>
      <c r="C21" s="49">
        <v>4.37</v>
      </c>
      <c r="D21" s="54"/>
      <c r="E21" s="39">
        <v>579</v>
      </c>
      <c r="F21" s="40">
        <v>4.8499999999999996</v>
      </c>
      <c r="G21" s="51"/>
      <c r="H21" s="44">
        <f t="shared" si="7"/>
        <v>0</v>
      </c>
      <c r="I21" s="52">
        <f t="shared" si="6"/>
        <v>-0.1800000000000006</v>
      </c>
      <c r="J21" s="44">
        <f t="shared" si="2"/>
        <v>-0.1800000000000006</v>
      </c>
      <c r="K21" s="44">
        <f t="shared" si="3"/>
        <v>2.9853999999999998</v>
      </c>
      <c r="L21" s="44">
        <f t="shared" si="4"/>
        <v>-9.61</v>
      </c>
      <c r="M21" s="53">
        <f t="shared" si="5"/>
        <v>-12.5954</v>
      </c>
      <c r="N21" s="228"/>
      <c r="O21" s="229"/>
      <c r="P21" s="230"/>
      <c r="Q21" s="47">
        <v>44560.140972222223</v>
      </c>
      <c r="R21" s="44">
        <f t="shared" si="0"/>
        <v>-1.0799999998742751</v>
      </c>
      <c r="S21" s="44">
        <f t="shared" si="1"/>
        <v>-1.3665895117529179</v>
      </c>
    </row>
    <row r="22" spans="1:19" ht="12" customHeight="1" x14ac:dyDescent="0.2">
      <c r="A22" s="37"/>
      <c r="B22" s="48"/>
      <c r="C22" s="49">
        <v>4.37</v>
      </c>
      <c r="D22" s="54"/>
      <c r="E22" s="39">
        <v>579</v>
      </c>
      <c r="F22" s="40">
        <v>4.6100000000000003</v>
      </c>
      <c r="G22" s="51"/>
      <c r="H22" s="44">
        <f t="shared" si="7"/>
        <v>0</v>
      </c>
      <c r="I22" s="52">
        <f t="shared" si="6"/>
        <v>-0.23999999999999932</v>
      </c>
      <c r="J22" s="44">
        <f t="shared" si="2"/>
        <v>-0.23999999999999932</v>
      </c>
      <c r="K22" s="44">
        <f t="shared" si="3"/>
        <v>2.9853999999999998</v>
      </c>
      <c r="L22" s="44">
        <f t="shared" si="4"/>
        <v>-9.8499999999999979</v>
      </c>
      <c r="M22" s="53">
        <f t="shared" si="5"/>
        <v>-12.835399999999998</v>
      </c>
      <c r="N22" s="228"/>
      <c r="O22" s="229"/>
      <c r="P22" s="230"/>
      <c r="Q22" s="47">
        <v>44560.147222222222</v>
      </c>
      <c r="R22" s="44">
        <f t="shared" si="0"/>
        <v>-1.6000000003725245</v>
      </c>
      <c r="S22" s="44">
        <f t="shared" si="1"/>
        <v>-1.3703274021392051</v>
      </c>
    </row>
    <row r="23" spans="1:19" ht="12" customHeight="1" x14ac:dyDescent="0.2">
      <c r="A23" s="37"/>
      <c r="B23" s="48"/>
      <c r="C23" s="49">
        <v>4.37</v>
      </c>
      <c r="D23" s="54"/>
      <c r="E23" s="39">
        <v>213</v>
      </c>
      <c r="F23" s="40">
        <v>5.33</v>
      </c>
      <c r="G23" s="51">
        <f>7.34-3.76</f>
        <v>3.58</v>
      </c>
      <c r="H23" s="44">
        <f t="shared" si="7"/>
        <v>-1.5994200000000001</v>
      </c>
      <c r="I23" s="52">
        <f t="shared" si="6"/>
        <v>-2.8600000000000003</v>
      </c>
      <c r="J23" s="44">
        <f t="shared" si="2"/>
        <v>-1.2605800000000003</v>
      </c>
      <c r="K23" s="44">
        <f t="shared" si="3"/>
        <v>1.3859799999999998</v>
      </c>
      <c r="L23" s="44">
        <f t="shared" si="4"/>
        <v>-12.709999999999997</v>
      </c>
      <c r="M23" s="53">
        <f t="shared" si="5"/>
        <v>-14.095979999999997</v>
      </c>
      <c r="N23" s="228"/>
      <c r="O23" s="229"/>
      <c r="P23" s="230"/>
      <c r="Q23" s="47">
        <v>44560.171527777777</v>
      </c>
      <c r="R23" s="44">
        <f t="shared" si="0"/>
        <v>-2.1609942857861641</v>
      </c>
      <c r="S23" s="44">
        <f t="shared" si="1"/>
        <v>-1.4166814070418057</v>
      </c>
    </row>
    <row r="24" spans="1:19" ht="12" customHeight="1" x14ac:dyDescent="0.2">
      <c r="A24" s="37"/>
      <c r="B24" s="48"/>
      <c r="C24" s="49">
        <v>10.58</v>
      </c>
      <c r="D24" s="54"/>
      <c r="E24" s="39">
        <v>70</v>
      </c>
      <c r="F24" s="40">
        <v>7.51</v>
      </c>
      <c r="G24" s="51">
        <v>5.08</v>
      </c>
      <c r="H24" s="44">
        <f t="shared" si="7"/>
        <v>-1.51294</v>
      </c>
      <c r="I24" s="52">
        <f t="shared" si="6"/>
        <v>-2.9000000000000004</v>
      </c>
      <c r="J24" s="44">
        <f t="shared" si="2"/>
        <v>-1.3870600000000004</v>
      </c>
      <c r="K24" s="44">
        <f t="shared" si="3"/>
        <v>-0.12696000000000018</v>
      </c>
      <c r="L24" s="44">
        <f t="shared" si="4"/>
        <v>-15.609999999999998</v>
      </c>
      <c r="M24" s="53">
        <f t="shared" si="5"/>
        <v>-15.483039999999997</v>
      </c>
      <c r="N24" s="231"/>
      <c r="O24" s="229"/>
      <c r="P24" s="230"/>
      <c r="Q24" s="47">
        <v>44560.215277777781</v>
      </c>
      <c r="R24" s="44">
        <f t="shared" si="0"/>
        <v>-1.3210095236777077</v>
      </c>
      <c r="S24" s="44">
        <f t="shared" si="1"/>
        <v>-1.4075490909016424</v>
      </c>
    </row>
    <row r="25" spans="1:19" ht="12" customHeight="1" x14ac:dyDescent="0.2">
      <c r="A25" s="37"/>
      <c r="B25" s="48"/>
      <c r="C25" s="49">
        <v>4.37</v>
      </c>
      <c r="D25" s="54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4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U112"/>
  <sheetViews>
    <sheetView zoomScaleNormal="100" workbookViewId="0">
      <selection activeCell="E23" sqref="E23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89</v>
      </c>
      <c r="F6" s="40">
        <v>3.96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44559.03125</v>
      </c>
      <c r="R6" s="11"/>
      <c r="S6" s="11"/>
    </row>
    <row r="7" spans="1:20" ht="12" customHeight="1" x14ac:dyDescent="0.2">
      <c r="A7" s="37"/>
      <c r="B7" s="48" t="s">
        <v>82</v>
      </c>
      <c r="C7" s="49">
        <v>19.59</v>
      </c>
      <c r="D7" s="39"/>
      <c r="E7" s="39">
        <v>263</v>
      </c>
      <c r="F7" s="40">
        <v>6.2</v>
      </c>
      <c r="G7" s="51"/>
      <c r="H7" s="44">
        <f>IF(E7="","",((E7-E6)*C7)/1000)</f>
        <v>3.4086599999999998</v>
      </c>
      <c r="I7" s="52">
        <f>IF(F7="","",F7-F6-G7)</f>
        <v>2.2400000000000002</v>
      </c>
      <c r="J7" s="44">
        <f>IF(F7="","",I7-H7)</f>
        <v>-1.1686599999999996</v>
      </c>
      <c r="K7" s="44">
        <f>IF(F7="","",K6+H7)</f>
        <v>3.4086599999999998</v>
      </c>
      <c r="L7" s="44">
        <f>IF(F7="","",L6+I7)</f>
        <v>2.2400000000000002</v>
      </c>
      <c r="M7" s="53">
        <f>IF(F7="","",L7-K7)</f>
        <v>-1.1686599999999996</v>
      </c>
      <c r="N7" s="231"/>
      <c r="O7" s="229"/>
      <c r="P7" s="230"/>
      <c r="Q7" s="47">
        <v>44559.043055555558</v>
      </c>
      <c r="R7" s="44">
        <f t="shared" ref="R7:R70" si="0">IF(Q7="","",J7/((Q7-Q6)*24))</f>
        <v>-4.1246823522067881</v>
      </c>
      <c r="S7" s="44">
        <f t="shared" ref="S7:S70" si="1">IF(Q7="","",M7/((Q7-$Q$6)*24))</f>
        <v>-4.1246823522067881</v>
      </c>
    </row>
    <row r="8" spans="1:20" ht="12" customHeight="1" x14ac:dyDescent="0.2">
      <c r="A8" s="37"/>
      <c r="B8" s="48" t="s">
        <v>83</v>
      </c>
      <c r="C8" s="49">
        <v>15.74</v>
      </c>
      <c r="D8" s="54"/>
      <c r="E8" s="39">
        <v>683</v>
      </c>
      <c r="F8" s="40">
        <v>6.68</v>
      </c>
      <c r="G8" s="51">
        <f>-7.89+2.7</f>
        <v>-5.1899999999999995</v>
      </c>
      <c r="H8" s="44">
        <f>IF(E8="","",((E8-E7)*C8)/1000)</f>
        <v>6.6108000000000002</v>
      </c>
      <c r="I8" s="52">
        <f>IF(F8="","",F8-F7-G8)</f>
        <v>5.669999999999999</v>
      </c>
      <c r="J8" s="44">
        <f>IF(F8="","",I8-H8)</f>
        <v>-0.94080000000000119</v>
      </c>
      <c r="K8" s="44">
        <f>IF(F8="","",K7+H8)</f>
        <v>10.01946</v>
      </c>
      <c r="L8" s="44">
        <f>IF(F8="","",L7+I8)</f>
        <v>7.9099999999999993</v>
      </c>
      <c r="M8" s="53">
        <f>IF(F8="","",L8-K8)</f>
        <v>-2.1094600000000012</v>
      </c>
      <c r="N8" s="231"/>
      <c r="O8" s="229"/>
      <c r="P8" s="230"/>
      <c r="Q8" s="47">
        <v>44559.069444444445</v>
      </c>
      <c r="R8" s="44">
        <f t="shared" si="0"/>
        <v>-1.4854736842833416</v>
      </c>
      <c r="S8" s="44">
        <f t="shared" si="1"/>
        <v>-2.3012290908603834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1470</v>
      </c>
      <c r="F9" s="40">
        <v>3.28</v>
      </c>
      <c r="G9" s="51">
        <f>-13.5</f>
        <v>-13.5</v>
      </c>
      <c r="H9" s="44">
        <f>IF(E9="","",((E9-E8)*C9)/1000)</f>
        <v>12.38738</v>
      </c>
      <c r="I9" s="52">
        <f>IF(F9="","",F9-F8-G9)</f>
        <v>10.1</v>
      </c>
      <c r="J9" s="44">
        <f>IF(F9="","",I9-H9)</f>
        <v>-2.2873800000000006</v>
      </c>
      <c r="K9" s="44">
        <f>IF(F9="","",K8+H9)</f>
        <v>22.406840000000003</v>
      </c>
      <c r="L9" s="44">
        <f>IF(F9="","",L8+I9)</f>
        <v>18.009999999999998</v>
      </c>
      <c r="M9" s="53">
        <f>IF(F9="","",L9-K9)</f>
        <v>-4.3968400000000045</v>
      </c>
      <c r="N9" s="228"/>
      <c r="O9" s="229"/>
      <c r="P9" s="230"/>
      <c r="Q9" s="47">
        <v>44559.128472222219</v>
      </c>
      <c r="R9" s="44">
        <f t="shared" si="0"/>
        <v>-1.6146211765811573</v>
      </c>
      <c r="S9" s="44">
        <f t="shared" si="1"/>
        <v>-1.8843600000626786</v>
      </c>
    </row>
    <row r="10" spans="1:20" ht="12" customHeight="1" x14ac:dyDescent="0.2">
      <c r="A10" s="37"/>
      <c r="B10" s="48"/>
      <c r="C10" s="49">
        <v>15.74</v>
      </c>
      <c r="D10" s="54"/>
      <c r="E10" s="39">
        <v>1879</v>
      </c>
      <c r="F10" s="40">
        <v>8.3800000000000008</v>
      </c>
      <c r="G10" s="51"/>
      <c r="H10" s="44">
        <f>IF(E10="","",((E10-E9)*C10)/1000)</f>
        <v>6.4376600000000002</v>
      </c>
      <c r="I10" s="52">
        <f>IF(F10="","",F10-F9-G10)</f>
        <v>5.1000000000000014</v>
      </c>
      <c r="J10" s="44">
        <f t="shared" ref="J10:J73" si="2">IF(F10="","",I10-H10)</f>
        <v>-1.3376599999999987</v>
      </c>
      <c r="K10" s="44">
        <f t="shared" ref="K10:K73" si="3">IF(F10="","",K9+H10)</f>
        <v>28.844500000000004</v>
      </c>
      <c r="L10" s="44">
        <f t="shared" ref="L10:L73" si="4">IF(F10="","",L9+I10)</f>
        <v>23.11</v>
      </c>
      <c r="M10" s="53">
        <f t="shared" ref="M10:M73" si="5">IF(F10="","",L10-K10)</f>
        <v>-5.7345000000000041</v>
      </c>
      <c r="N10" s="249"/>
      <c r="O10" s="250"/>
      <c r="P10" s="251"/>
      <c r="Q10" s="47">
        <v>44559.160416666666</v>
      </c>
      <c r="R10" s="44">
        <f t="shared" si="0"/>
        <v>-1.7447739129198394</v>
      </c>
      <c r="S10" s="44">
        <f t="shared" si="1"/>
        <v>-1.8498387096913143</v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>
        <v>1899</v>
      </c>
      <c r="F11" s="40">
        <v>168.42</v>
      </c>
      <c r="G11" s="51">
        <v>159.72999999999999</v>
      </c>
      <c r="H11" s="44">
        <f>IF(E11="","",((E11-E10)*C11)/1000)</f>
        <v>0.31480000000000002</v>
      </c>
      <c r="I11" s="52">
        <f t="shared" ref="I11:I74" si="6">IF(F11="","",F11-F10-G11)</f>
        <v>0.31000000000000227</v>
      </c>
      <c r="J11" s="44">
        <f t="shared" si="2"/>
        <v>-4.7999999999977505E-3</v>
      </c>
      <c r="K11" s="44">
        <f t="shared" si="3"/>
        <v>29.159300000000005</v>
      </c>
      <c r="L11" s="44">
        <f t="shared" si="4"/>
        <v>23.42</v>
      </c>
      <c r="M11" s="53">
        <f t="shared" si="5"/>
        <v>-5.7393000000000036</v>
      </c>
      <c r="N11" s="228" t="s">
        <v>84</v>
      </c>
      <c r="O11" s="229"/>
      <c r="P11" s="230"/>
      <c r="Q11" s="47">
        <v>44559.1875</v>
      </c>
      <c r="R11" s="44">
        <f t="shared" si="0"/>
        <v>-7.3846153843474061E-3</v>
      </c>
      <c r="S11" s="44">
        <f t="shared" si="1"/>
        <v>-1.530480000000001</v>
      </c>
    </row>
    <row r="12" spans="1:20" ht="12" customHeight="1" x14ac:dyDescent="0.2">
      <c r="A12" s="37"/>
      <c r="B12" s="48"/>
      <c r="C12" s="49">
        <v>15.74</v>
      </c>
      <c r="D12" s="54"/>
      <c r="E12" s="39">
        <v>1900</v>
      </c>
      <c r="F12" s="56">
        <v>159.5</v>
      </c>
      <c r="G12" s="51"/>
      <c r="H12" s="44">
        <f t="shared" ref="H12:H74" si="7">IF(E12="","",((E12-E11)*C12)/1000)</f>
        <v>1.5740000000000001E-2</v>
      </c>
      <c r="I12" s="52">
        <f t="shared" si="6"/>
        <v>-8.9199999999999875</v>
      </c>
      <c r="J12" s="44">
        <f t="shared" si="2"/>
        <v>-8.9357399999999867</v>
      </c>
      <c r="K12" s="44">
        <f t="shared" si="3"/>
        <v>29.175040000000006</v>
      </c>
      <c r="L12" s="44">
        <f t="shared" si="4"/>
        <v>14.500000000000014</v>
      </c>
      <c r="M12" s="53">
        <f t="shared" si="5"/>
        <v>-14.675039999999992</v>
      </c>
      <c r="N12" s="228"/>
      <c r="O12" s="229"/>
      <c r="P12" s="230"/>
      <c r="Q12" s="47">
        <v>44559.256249999999</v>
      </c>
      <c r="R12" s="44">
        <f t="shared" si="0"/>
        <v>-5.4156000001146207</v>
      </c>
      <c r="S12" s="44">
        <f t="shared" si="1"/>
        <v>-2.7176000000175748</v>
      </c>
    </row>
    <row r="13" spans="1:20" ht="12" customHeight="1" x14ac:dyDescent="0.2">
      <c r="A13" s="37"/>
      <c r="B13" s="48"/>
      <c r="C13" s="49">
        <v>15.74</v>
      </c>
      <c r="D13" s="54"/>
      <c r="E13" s="39">
        <v>1900</v>
      </c>
      <c r="F13" s="56">
        <v>159.65</v>
      </c>
      <c r="G13" s="51"/>
      <c r="H13" s="44">
        <f>IF(E13="","",((E13-E12)*C13)/1000)</f>
        <v>0</v>
      </c>
      <c r="I13" s="52">
        <f t="shared" si="6"/>
        <v>0.15000000000000568</v>
      </c>
      <c r="J13" s="44">
        <f t="shared" si="2"/>
        <v>0.15000000000000568</v>
      </c>
      <c r="K13" s="44">
        <f t="shared" si="3"/>
        <v>29.175040000000006</v>
      </c>
      <c r="L13" s="44">
        <f t="shared" si="4"/>
        <v>14.65000000000002</v>
      </c>
      <c r="M13" s="53">
        <f t="shared" si="5"/>
        <v>-14.525039999999986</v>
      </c>
      <c r="N13" s="231"/>
      <c r="O13" s="229"/>
      <c r="P13" s="230"/>
      <c r="Q13" s="47">
        <v>44559.246527777781</v>
      </c>
      <c r="R13" s="44">
        <f t="shared" si="0"/>
        <v>-0.6428571431672121</v>
      </c>
      <c r="S13" s="44">
        <f t="shared" si="1"/>
        <v>-2.8112980644738967</v>
      </c>
    </row>
    <row r="14" spans="1:20" ht="12" customHeight="1" x14ac:dyDescent="0.2">
      <c r="A14" s="37"/>
      <c r="B14" s="48"/>
      <c r="C14" s="49">
        <v>15.74</v>
      </c>
      <c r="D14" s="54"/>
      <c r="E14" s="39">
        <v>1900</v>
      </c>
      <c r="F14" s="56">
        <v>159.1</v>
      </c>
      <c r="G14" s="51"/>
      <c r="H14" s="44">
        <f t="shared" si="7"/>
        <v>0</v>
      </c>
      <c r="I14" s="52">
        <f t="shared" si="6"/>
        <v>-0.55000000000001137</v>
      </c>
      <c r="J14" s="44">
        <f t="shared" si="2"/>
        <v>-0.55000000000001137</v>
      </c>
      <c r="K14" s="44">
        <f t="shared" si="3"/>
        <v>29.175040000000006</v>
      </c>
      <c r="L14" s="44">
        <f t="shared" si="4"/>
        <v>14.100000000000009</v>
      </c>
      <c r="M14" s="53">
        <f t="shared" si="5"/>
        <v>-15.075039999999998</v>
      </c>
      <c r="N14" s="231"/>
      <c r="O14" s="229"/>
      <c r="P14" s="230"/>
      <c r="Q14" s="47">
        <v>44559.26458333333</v>
      </c>
      <c r="R14" s="44">
        <f t="shared" si="0"/>
        <v>-1.2692307696968013</v>
      </c>
      <c r="S14" s="44">
        <f t="shared" si="1"/>
        <v>-2.6919714286106013</v>
      </c>
    </row>
    <row r="15" spans="1:20" ht="12" customHeight="1" x14ac:dyDescent="0.2">
      <c r="A15" s="37"/>
      <c r="B15" s="48"/>
      <c r="C15" s="49">
        <v>4.37</v>
      </c>
      <c r="D15" s="54"/>
      <c r="E15" s="39">
        <v>1900</v>
      </c>
      <c r="F15" s="56">
        <v>8.24</v>
      </c>
      <c r="G15" s="51">
        <v>-150</v>
      </c>
      <c r="H15" s="44">
        <f t="shared" si="7"/>
        <v>0</v>
      </c>
      <c r="I15" s="52">
        <f t="shared" si="6"/>
        <v>-0.85999999999998522</v>
      </c>
      <c r="J15" s="44">
        <f t="shared" si="2"/>
        <v>-0.85999999999998522</v>
      </c>
      <c r="K15" s="44">
        <f t="shared" si="3"/>
        <v>29.175040000000006</v>
      </c>
      <c r="L15" s="44">
        <f t="shared" si="4"/>
        <v>13.240000000000023</v>
      </c>
      <c r="M15" s="53">
        <f t="shared" si="5"/>
        <v>-15.935039999999983</v>
      </c>
      <c r="N15" s="231"/>
      <c r="O15" s="229"/>
      <c r="P15" s="230"/>
      <c r="Q15" s="47">
        <v>44559.29791666667</v>
      </c>
      <c r="R15" s="44">
        <f t="shared" si="0"/>
        <v>-1.0749999997809752</v>
      </c>
      <c r="S15" s="44">
        <f t="shared" si="1"/>
        <v>-2.4898499999682944</v>
      </c>
    </row>
    <row r="16" spans="1:20" ht="12" customHeight="1" x14ac:dyDescent="0.2">
      <c r="A16" s="37"/>
      <c r="B16" s="48"/>
      <c r="C16" s="49">
        <v>4.37</v>
      </c>
      <c r="D16" s="57"/>
      <c r="E16" s="39">
        <v>1900</v>
      </c>
      <c r="F16" s="40">
        <v>8.0399999999999991</v>
      </c>
      <c r="G16" s="51"/>
      <c r="H16" s="44">
        <f t="shared" si="7"/>
        <v>0</v>
      </c>
      <c r="I16" s="52">
        <f t="shared" si="6"/>
        <v>-0.20000000000000107</v>
      </c>
      <c r="J16" s="44">
        <f t="shared" si="2"/>
        <v>-0.20000000000000107</v>
      </c>
      <c r="K16" s="44">
        <f t="shared" si="3"/>
        <v>29.175040000000006</v>
      </c>
      <c r="L16" s="44">
        <f t="shared" si="4"/>
        <v>13.040000000000022</v>
      </c>
      <c r="M16" s="53">
        <f t="shared" si="5"/>
        <v>-16.135039999999982</v>
      </c>
      <c r="N16" s="228" t="s">
        <v>66</v>
      </c>
      <c r="O16" s="229"/>
      <c r="P16" s="230"/>
      <c r="Q16" s="47">
        <v>44559.305555555555</v>
      </c>
      <c r="R16" s="44">
        <f t="shared" si="0"/>
        <v>-1.0909090915094535</v>
      </c>
      <c r="S16" s="44">
        <f t="shared" si="1"/>
        <v>-2.450892151905955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1900</v>
      </c>
      <c r="F17" s="40">
        <v>8.23</v>
      </c>
      <c r="G17" s="51"/>
      <c r="H17" s="44">
        <f t="shared" si="7"/>
        <v>0</v>
      </c>
      <c r="I17" s="52">
        <f t="shared" si="6"/>
        <v>0.19000000000000128</v>
      </c>
      <c r="J17" s="44">
        <f t="shared" si="2"/>
        <v>0.19000000000000128</v>
      </c>
      <c r="K17" s="44">
        <f t="shared" si="3"/>
        <v>29.175040000000006</v>
      </c>
      <c r="L17" s="44">
        <f t="shared" si="4"/>
        <v>13.230000000000024</v>
      </c>
      <c r="M17" s="53">
        <f t="shared" si="5"/>
        <v>-15.945039999999983</v>
      </c>
      <c r="N17" s="231"/>
      <c r="O17" s="229"/>
      <c r="P17" s="230"/>
      <c r="Q17" s="47">
        <v>44559.298611111109</v>
      </c>
      <c r="R17" s="44">
        <f t="shared" si="0"/>
        <v>-1.1399999998672943</v>
      </c>
      <c r="S17" s="44">
        <f t="shared" si="1"/>
        <v>-2.4849412987163237</v>
      </c>
    </row>
    <row r="18" spans="1:19" ht="12" customHeight="1" x14ac:dyDescent="0.2">
      <c r="A18" s="37"/>
      <c r="B18" s="48"/>
      <c r="C18" s="49">
        <v>4.37</v>
      </c>
      <c r="D18" s="54"/>
      <c r="E18" s="39">
        <v>1900</v>
      </c>
      <c r="F18" s="40">
        <v>8.0399999999999991</v>
      </c>
      <c r="G18" s="40"/>
      <c r="H18" s="44">
        <f t="shared" si="7"/>
        <v>0</v>
      </c>
      <c r="I18" s="52">
        <f t="shared" si="6"/>
        <v>-0.19000000000000128</v>
      </c>
      <c r="J18" s="44">
        <f t="shared" si="2"/>
        <v>-0.19000000000000128</v>
      </c>
      <c r="K18" s="44">
        <f t="shared" si="3"/>
        <v>29.175040000000006</v>
      </c>
      <c r="L18" s="44">
        <f t="shared" si="4"/>
        <v>13.040000000000022</v>
      </c>
      <c r="M18" s="53">
        <f t="shared" si="5"/>
        <v>-16.135039999999982</v>
      </c>
      <c r="N18" s="228"/>
      <c r="O18" s="229"/>
      <c r="P18" s="230"/>
      <c r="Q18" s="47">
        <v>44559.305555555555</v>
      </c>
      <c r="R18" s="44">
        <f t="shared" si="0"/>
        <v>-1.1399999998672943</v>
      </c>
      <c r="S18" s="44">
        <f t="shared" si="1"/>
        <v>-2.450892151905955</v>
      </c>
    </row>
    <row r="19" spans="1:19" ht="12" customHeight="1" x14ac:dyDescent="0.2">
      <c r="A19" s="37"/>
      <c r="B19" s="48"/>
      <c r="C19" s="49">
        <v>4.37</v>
      </c>
      <c r="D19" s="54"/>
      <c r="E19" s="39">
        <v>1335</v>
      </c>
      <c r="F19" s="40">
        <v>3.2</v>
      </c>
      <c r="G19" s="40"/>
      <c r="H19" s="44">
        <f t="shared" si="7"/>
        <v>-2.4690500000000002</v>
      </c>
      <c r="I19" s="52">
        <f t="shared" si="6"/>
        <v>-4.839999999999999</v>
      </c>
      <c r="J19" s="44">
        <f t="shared" si="2"/>
        <v>-2.3709499999999988</v>
      </c>
      <c r="K19" s="44">
        <f t="shared" si="3"/>
        <v>26.705990000000007</v>
      </c>
      <c r="L19" s="44">
        <f t="shared" si="4"/>
        <v>8.2000000000000242</v>
      </c>
      <c r="M19" s="53">
        <f t="shared" si="5"/>
        <v>-18.505989999999983</v>
      </c>
      <c r="N19" s="228"/>
      <c r="O19" s="229"/>
      <c r="P19" s="230"/>
      <c r="Q19" s="47">
        <v>44559.352777777778</v>
      </c>
      <c r="R19" s="44">
        <f t="shared" si="0"/>
        <v>-2.0920147058322107</v>
      </c>
      <c r="S19" s="44">
        <f t="shared" si="1"/>
        <v>-2.3981844492416462</v>
      </c>
    </row>
    <row r="20" spans="1:19" ht="12" customHeight="1" x14ac:dyDescent="0.2">
      <c r="A20" s="37"/>
      <c r="B20" s="48"/>
      <c r="C20" s="49">
        <v>4.37</v>
      </c>
      <c r="D20" s="54"/>
      <c r="E20" s="39">
        <v>1281</v>
      </c>
      <c r="F20" s="40">
        <v>8.0500000000000007</v>
      </c>
      <c r="G20" s="40">
        <v>5.0999999999999996</v>
      </c>
      <c r="H20" s="44">
        <f t="shared" si="7"/>
        <v>-0.23598000000000002</v>
      </c>
      <c r="I20" s="52">
        <f t="shared" si="6"/>
        <v>-0.24999999999999911</v>
      </c>
      <c r="J20" s="44">
        <f t="shared" si="2"/>
        <v>-1.4019999999999089E-2</v>
      </c>
      <c r="K20" s="44">
        <f t="shared" si="3"/>
        <v>26.470010000000006</v>
      </c>
      <c r="L20" s="44">
        <f t="shared" si="4"/>
        <v>7.950000000000025</v>
      </c>
      <c r="M20" s="53">
        <f t="shared" si="5"/>
        <v>-18.520009999999981</v>
      </c>
      <c r="N20" s="242"/>
      <c r="O20" s="229"/>
      <c r="P20" s="230"/>
      <c r="Q20" s="47">
        <v>44559.355555555558</v>
      </c>
      <c r="R20" s="44">
        <f t="shared" si="0"/>
        <v>-0.21029999986533454</v>
      </c>
      <c r="S20" s="44">
        <f t="shared" si="1"/>
        <v>-2.3794445395991364</v>
      </c>
    </row>
    <row r="21" spans="1:19" ht="12" customHeight="1" x14ac:dyDescent="0.2">
      <c r="A21" s="37"/>
      <c r="B21" s="48"/>
      <c r="C21" s="49">
        <v>4.37</v>
      </c>
      <c r="D21" s="54"/>
      <c r="E21" s="39">
        <v>655</v>
      </c>
      <c r="F21" s="40">
        <v>3.96</v>
      </c>
      <c r="G21" s="51"/>
      <c r="H21" s="44">
        <f t="shared" si="7"/>
        <v>-2.7356199999999999</v>
      </c>
      <c r="I21" s="52">
        <f t="shared" si="6"/>
        <v>-4.0900000000000007</v>
      </c>
      <c r="J21" s="44">
        <f t="shared" si="2"/>
        <v>-1.3543800000000008</v>
      </c>
      <c r="K21" s="44">
        <f t="shared" si="3"/>
        <v>23.734390000000005</v>
      </c>
      <c r="L21" s="44">
        <f t="shared" si="4"/>
        <v>3.8600000000000243</v>
      </c>
      <c r="M21" s="53">
        <f t="shared" si="5"/>
        <v>-19.87438999999998</v>
      </c>
      <c r="N21" s="228"/>
      <c r="O21" s="229"/>
      <c r="P21" s="230"/>
      <c r="Q21" s="47">
        <v>44559.388888888891</v>
      </c>
      <c r="R21" s="44">
        <f t="shared" si="0"/>
        <v>-1.6929750000246371</v>
      </c>
      <c r="S21" s="44">
        <f t="shared" si="1"/>
        <v>-2.3154629126108888</v>
      </c>
    </row>
    <row r="22" spans="1:19" ht="12" customHeight="1" x14ac:dyDescent="0.2">
      <c r="A22" s="37"/>
      <c r="B22" s="48"/>
      <c r="C22" s="49">
        <v>4.37</v>
      </c>
      <c r="D22" s="54"/>
      <c r="E22" s="39">
        <v>655</v>
      </c>
      <c r="F22" s="40">
        <v>3.86</v>
      </c>
      <c r="G22" s="51"/>
      <c r="H22" s="44">
        <f t="shared" si="7"/>
        <v>0</v>
      </c>
      <c r="I22" s="52">
        <f t="shared" si="6"/>
        <v>-0.10000000000000009</v>
      </c>
      <c r="J22" s="44">
        <f t="shared" si="2"/>
        <v>-0.10000000000000009</v>
      </c>
      <c r="K22" s="44">
        <f t="shared" si="3"/>
        <v>23.734390000000005</v>
      </c>
      <c r="L22" s="44">
        <f t="shared" si="4"/>
        <v>3.7600000000000242</v>
      </c>
      <c r="M22" s="53">
        <f t="shared" si="5"/>
        <v>-19.974389999999982</v>
      </c>
      <c r="N22" s="228" t="s">
        <v>63</v>
      </c>
      <c r="O22" s="229"/>
      <c r="P22" s="230"/>
      <c r="Q22" s="47">
        <v>44559.393055555556</v>
      </c>
      <c r="R22" s="44">
        <f t="shared" si="0"/>
        <v>-1.0000000002328315</v>
      </c>
      <c r="S22" s="44">
        <f t="shared" si="1"/>
        <v>-2.3003136276350413</v>
      </c>
    </row>
    <row r="23" spans="1:19" ht="12" customHeight="1" x14ac:dyDescent="0.2">
      <c r="A23" s="37"/>
      <c r="B23" s="48"/>
      <c r="C23" s="49">
        <v>4.37</v>
      </c>
      <c r="D23" s="58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8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8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8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  <c r="T107" s="48" t="s">
        <v>80</v>
      </c>
      <c r="U107" s="49">
        <v>1.98</v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  <c r="T108" s="48" t="s">
        <v>81</v>
      </c>
      <c r="U108" s="49">
        <v>4.2699999999999996</v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U112"/>
  <sheetViews>
    <sheetView zoomScaleNormal="100" workbookViewId="0">
      <selection activeCell="Q24" sqref="Q2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17</v>
      </c>
      <c r="F6" s="40">
        <v>2.94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44558.447916666664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200</v>
      </c>
      <c r="F7" s="40">
        <v>4.76</v>
      </c>
      <c r="G7" s="51"/>
      <c r="H7" s="44">
        <f>IF(E7="","",((E7-E6)*C7)/1000)</f>
        <v>1.9361400000000002</v>
      </c>
      <c r="I7" s="52">
        <f>IF(F7="","",F7-F6-G7)</f>
        <v>1.8199999999999998</v>
      </c>
      <c r="J7" s="44">
        <f>IF(F7="","",I7-H7)</f>
        <v>-0.11614000000000035</v>
      </c>
      <c r="K7" s="44">
        <f>IF(F7="","",K6+H7)</f>
        <v>1.9361400000000002</v>
      </c>
      <c r="L7" s="44">
        <f>IF(F7="","",L6+I7)</f>
        <v>1.8199999999999998</v>
      </c>
      <c r="M7" s="53">
        <f>IF(F7="","",L7-K7)</f>
        <v>-0.11614000000000035</v>
      </c>
      <c r="N7" s="231"/>
      <c r="O7" s="229"/>
      <c r="P7" s="230"/>
      <c r="Q7" s="47">
        <v>44558.459027777775</v>
      </c>
      <c r="R7" s="44">
        <f t="shared" ref="R7:R70" si="0">IF(Q7="","",J7/((Q7-Q6)*24))</f>
        <v>-0.43552500000633904</v>
      </c>
      <c r="S7" s="44">
        <f t="shared" ref="S7:S70" si="1">IF(Q7="","",M7/((Q7-$Q$6)*24))</f>
        <v>-0.43552500000633904</v>
      </c>
    </row>
    <row r="8" spans="1:20" ht="12" customHeight="1" x14ac:dyDescent="0.2">
      <c r="A8" s="37"/>
      <c r="B8" s="48" t="s">
        <v>38</v>
      </c>
      <c r="C8" s="49">
        <v>4.37</v>
      </c>
      <c r="D8" s="54"/>
      <c r="E8" s="39">
        <v>608</v>
      </c>
      <c r="F8" s="40">
        <v>6</v>
      </c>
      <c r="G8" s="51"/>
      <c r="H8" s="44">
        <f>IF(E8="","",((E8-E7)*C8)/1000)</f>
        <v>1.7829600000000001</v>
      </c>
      <c r="I8" s="52">
        <f>IF(F8="","",F8-F7-G8)</f>
        <v>1.2400000000000002</v>
      </c>
      <c r="J8" s="44">
        <f>IF(F8="","",I8-H8)</f>
        <v>-0.54295999999999989</v>
      </c>
      <c r="K8" s="44">
        <f>IF(F8="","",K7+H8)</f>
        <v>3.7191000000000001</v>
      </c>
      <c r="L8" s="44">
        <f>IF(F8="","",L7+I8)</f>
        <v>3.06</v>
      </c>
      <c r="M8" s="53">
        <f>IF(F8="","",L8-K8)</f>
        <v>-0.65910000000000002</v>
      </c>
      <c r="N8" s="231"/>
      <c r="O8" s="229"/>
      <c r="P8" s="230"/>
      <c r="Q8" s="47">
        <v>44558.479166666664</v>
      </c>
      <c r="R8" s="44">
        <f t="shared" si="0"/>
        <v>-1.12336551723236</v>
      </c>
      <c r="S8" s="44">
        <f t="shared" si="1"/>
        <v>-0.87880000000000003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1765</v>
      </c>
      <c r="F9" s="40">
        <v>8.6</v>
      </c>
      <c r="G9" s="51"/>
      <c r="H9" s="44">
        <f>IF(E9="","",((E9-E8)*C9)/1000)</f>
        <v>5.0560900000000002</v>
      </c>
      <c r="I9" s="52">
        <f>IF(F9="","",F9-F8-G9)</f>
        <v>2.5999999999999996</v>
      </c>
      <c r="J9" s="44">
        <f>IF(F9="","",I9-H9)</f>
        <v>-2.4560900000000006</v>
      </c>
      <c r="K9" s="44">
        <f>IF(F9="","",K8+H9)</f>
        <v>8.7751900000000003</v>
      </c>
      <c r="L9" s="44">
        <f>IF(F9="","",L8+I9)</f>
        <v>5.66</v>
      </c>
      <c r="M9" s="53">
        <f>IF(F9="","",L9-K9)</f>
        <v>-3.1151900000000001</v>
      </c>
      <c r="N9" s="228"/>
      <c r="O9" s="229"/>
      <c r="P9" s="230"/>
      <c r="Q9" s="47">
        <v>44558.533333333333</v>
      </c>
      <c r="R9" s="44">
        <f t="shared" si="0"/>
        <v>-1.8892999999323254</v>
      </c>
      <c r="S9" s="44">
        <f t="shared" si="1"/>
        <v>-1.5196048780142624</v>
      </c>
    </row>
    <row r="10" spans="1:20" ht="12" customHeight="1" x14ac:dyDescent="0.2">
      <c r="A10" s="37"/>
      <c r="B10" s="48"/>
      <c r="C10" s="49">
        <v>4.37</v>
      </c>
      <c r="D10" s="54"/>
      <c r="E10" s="39">
        <v>1827</v>
      </c>
      <c r="F10" s="40">
        <v>7.75</v>
      </c>
      <c r="G10" s="51"/>
      <c r="H10" s="44">
        <f>IF(E10="","",((E10-E9)*C10)/1000)</f>
        <v>0.27094000000000001</v>
      </c>
      <c r="I10" s="52">
        <f>IF(F10="","",F10-F9-G10)</f>
        <v>-0.84999999999999964</v>
      </c>
      <c r="J10" s="44">
        <f t="shared" ref="J10:J73" si="2">IF(F10="","",I10-H10)</f>
        <v>-1.1209399999999996</v>
      </c>
      <c r="K10" s="44">
        <f t="shared" ref="K10:K73" si="3">IF(F10="","",K9+H10)</f>
        <v>9.0461299999999998</v>
      </c>
      <c r="L10" s="44">
        <f t="shared" ref="L10:L73" si="4">IF(F10="","",L9+I10)</f>
        <v>4.8100000000000005</v>
      </c>
      <c r="M10" s="53">
        <f t="shared" ref="M10:M73" si="5">IF(F10="","",L10-K10)</f>
        <v>-4.2361299999999993</v>
      </c>
      <c r="N10" s="249"/>
      <c r="O10" s="250"/>
      <c r="P10" s="251"/>
      <c r="Q10" s="47">
        <v>44558.662499999999</v>
      </c>
      <c r="R10" s="44">
        <f t="shared" si="0"/>
        <v>-0.36159354838981245</v>
      </c>
      <c r="S10" s="44">
        <f t="shared" si="1"/>
        <v>-0.82254951455938796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1827</v>
      </c>
      <c r="F11" s="40">
        <v>7.5</v>
      </c>
      <c r="G11" s="51"/>
      <c r="H11" s="44">
        <f>IF(E11="","",((E11-E10)*C11)/1000)</f>
        <v>0</v>
      </c>
      <c r="I11" s="52">
        <f t="shared" ref="I11:I74" si="6">IF(F11="","",F11-F10-G11)</f>
        <v>-0.25</v>
      </c>
      <c r="J11" s="44">
        <f t="shared" si="2"/>
        <v>-0.25</v>
      </c>
      <c r="K11" s="44">
        <f t="shared" si="3"/>
        <v>9.0461299999999998</v>
      </c>
      <c r="L11" s="44">
        <f t="shared" si="4"/>
        <v>4.5600000000000005</v>
      </c>
      <c r="M11" s="53">
        <f t="shared" si="5"/>
        <v>-4.4861299999999993</v>
      </c>
      <c r="N11" s="228" t="s">
        <v>63</v>
      </c>
      <c r="O11" s="229"/>
      <c r="P11" s="230"/>
      <c r="Q11" s="47">
        <v>44558.668749999997</v>
      </c>
      <c r="R11" s="44">
        <f t="shared" si="0"/>
        <v>-1.6666666670547177</v>
      </c>
      <c r="S11" s="44">
        <f t="shared" si="1"/>
        <v>-0.84643962264336847</v>
      </c>
    </row>
    <row r="12" spans="1:20" ht="12" customHeight="1" x14ac:dyDescent="0.2">
      <c r="A12" s="37"/>
      <c r="B12" s="48"/>
      <c r="C12" s="49">
        <v>4.37</v>
      </c>
      <c r="D12" s="54"/>
      <c r="E12" s="39">
        <v>1803</v>
      </c>
      <c r="F12" s="56">
        <v>6.97</v>
      </c>
      <c r="G12" s="51"/>
      <c r="H12" s="44">
        <f t="shared" ref="H12:H74" si="7">IF(E12="","",((E12-E11)*C12)/1000)</f>
        <v>-0.10488</v>
      </c>
      <c r="I12" s="52">
        <f t="shared" si="6"/>
        <v>-0.53000000000000025</v>
      </c>
      <c r="J12" s="44">
        <f t="shared" si="2"/>
        <v>-0.42512000000000028</v>
      </c>
      <c r="K12" s="44">
        <f t="shared" si="3"/>
        <v>8.9412500000000001</v>
      </c>
      <c r="L12" s="44">
        <f t="shared" si="4"/>
        <v>4.03</v>
      </c>
      <c r="M12" s="53">
        <f t="shared" si="5"/>
        <v>-4.9112499999999999</v>
      </c>
      <c r="N12" s="228"/>
      <c r="O12" s="229"/>
      <c r="P12" s="230"/>
      <c r="Q12" s="47">
        <v>44558.696527777778</v>
      </c>
      <c r="R12" s="44">
        <f t="shared" si="0"/>
        <v>-0.63767999992576474</v>
      </c>
      <c r="S12" s="44">
        <f t="shared" si="1"/>
        <v>-0.82311452513056427</v>
      </c>
    </row>
    <row r="13" spans="1:20" ht="12" customHeight="1" x14ac:dyDescent="0.2">
      <c r="A13" s="37"/>
      <c r="B13" s="48"/>
      <c r="C13" s="49">
        <v>4.37</v>
      </c>
      <c r="D13" s="54"/>
      <c r="E13" s="39">
        <v>1722</v>
      </c>
      <c r="F13" s="56">
        <v>5.91</v>
      </c>
      <c r="G13" s="51"/>
      <c r="H13" s="44">
        <f>IF(E13="","",((E13-E12)*C13)/1000)</f>
        <v>-0.35397000000000001</v>
      </c>
      <c r="I13" s="52">
        <f t="shared" si="6"/>
        <v>-1.0599999999999996</v>
      </c>
      <c r="J13" s="44">
        <f t="shared" si="2"/>
        <v>-0.7060299999999996</v>
      </c>
      <c r="K13" s="44">
        <f t="shared" si="3"/>
        <v>8.5872799999999998</v>
      </c>
      <c r="L13" s="44">
        <f t="shared" si="4"/>
        <v>2.9700000000000006</v>
      </c>
      <c r="M13" s="53">
        <f t="shared" si="5"/>
        <v>-5.6172799999999992</v>
      </c>
      <c r="N13" s="231"/>
      <c r="O13" s="229"/>
      <c r="P13" s="230"/>
      <c r="Q13" s="47">
        <v>44558.70208333333</v>
      </c>
      <c r="R13" s="44">
        <f t="shared" si="0"/>
        <v>-5.2952250035445578</v>
      </c>
      <c r="S13" s="44">
        <f t="shared" si="1"/>
        <v>-0.92086557377400646</v>
      </c>
    </row>
    <row r="14" spans="1:20" ht="12" customHeight="1" x14ac:dyDescent="0.2">
      <c r="A14" s="37"/>
      <c r="B14" s="48"/>
      <c r="C14" s="49">
        <v>4.37</v>
      </c>
      <c r="D14" s="54"/>
      <c r="E14" s="39">
        <v>1342</v>
      </c>
      <c r="F14" s="56">
        <v>7.99</v>
      </c>
      <c r="G14" s="51">
        <v>4.7</v>
      </c>
      <c r="H14" s="44">
        <f t="shared" si="7"/>
        <v>-1.6606000000000001</v>
      </c>
      <c r="I14" s="52">
        <f t="shared" si="6"/>
        <v>-2.62</v>
      </c>
      <c r="J14" s="44">
        <f t="shared" si="2"/>
        <v>-0.95940000000000003</v>
      </c>
      <c r="K14" s="44">
        <f t="shared" si="3"/>
        <v>6.9266799999999993</v>
      </c>
      <c r="L14" s="44">
        <f t="shared" si="4"/>
        <v>0.35000000000000053</v>
      </c>
      <c r="M14" s="53">
        <f t="shared" si="5"/>
        <v>-6.5766799999999987</v>
      </c>
      <c r="N14" s="231"/>
      <c r="O14" s="229"/>
      <c r="P14" s="230"/>
      <c r="Q14" s="47">
        <v>44558.718055555553</v>
      </c>
      <c r="R14" s="44">
        <f t="shared" si="0"/>
        <v>-2.5027826085183014</v>
      </c>
      <c r="S14" s="44">
        <f t="shared" si="1"/>
        <v>-1.0143979434441228</v>
      </c>
    </row>
    <row r="15" spans="1:20" ht="12" customHeight="1" x14ac:dyDescent="0.2">
      <c r="A15" s="37"/>
      <c r="B15" s="48"/>
      <c r="C15" s="49">
        <v>4.37</v>
      </c>
      <c r="D15" s="54"/>
      <c r="E15" s="39">
        <v>909</v>
      </c>
      <c r="F15" s="40">
        <v>5.13</v>
      </c>
      <c r="G15" s="51"/>
      <c r="H15" s="44">
        <f t="shared" si="7"/>
        <v>-1.8922099999999999</v>
      </c>
      <c r="I15" s="52">
        <f t="shared" si="6"/>
        <v>-2.8600000000000003</v>
      </c>
      <c r="J15" s="44">
        <f t="shared" si="2"/>
        <v>-0.96779000000000037</v>
      </c>
      <c r="K15" s="44">
        <f t="shared" si="3"/>
        <v>5.0344699999999989</v>
      </c>
      <c r="L15" s="44">
        <f t="shared" si="4"/>
        <v>-2.5099999999999998</v>
      </c>
      <c r="M15" s="53">
        <f t="shared" si="5"/>
        <v>-7.5444699999999987</v>
      </c>
      <c r="N15" s="231"/>
      <c r="O15" s="229"/>
      <c r="P15" s="230"/>
      <c r="Q15" s="47">
        <v>44558.736111111109</v>
      </c>
      <c r="R15" s="44">
        <f t="shared" si="0"/>
        <v>-2.2333615383815402</v>
      </c>
      <c r="S15" s="44">
        <f t="shared" si="1"/>
        <v>-1.0907667469848918</v>
      </c>
    </row>
    <row r="16" spans="1:20" ht="12" customHeight="1" x14ac:dyDescent="0.2">
      <c r="A16" s="37"/>
      <c r="B16" s="48"/>
      <c r="C16" s="49">
        <v>4.37</v>
      </c>
      <c r="D16" s="57"/>
      <c r="E16" s="39">
        <v>583</v>
      </c>
      <c r="F16" s="40">
        <v>3.22</v>
      </c>
      <c r="G16" s="51"/>
      <c r="H16" s="44">
        <f t="shared" si="7"/>
        <v>-1.4246200000000002</v>
      </c>
      <c r="I16" s="52">
        <f t="shared" si="6"/>
        <v>-1.9099999999999997</v>
      </c>
      <c r="J16" s="44">
        <f t="shared" si="2"/>
        <v>-0.48537999999999948</v>
      </c>
      <c r="K16" s="44">
        <f t="shared" si="3"/>
        <v>3.6098499999999989</v>
      </c>
      <c r="L16" s="44">
        <f t="shared" si="4"/>
        <v>-4.42</v>
      </c>
      <c r="M16" s="53">
        <f t="shared" si="5"/>
        <v>-8.0298499999999997</v>
      </c>
      <c r="N16" s="228"/>
      <c r="O16" s="229"/>
      <c r="P16" s="230"/>
      <c r="Q16" s="47">
        <v>44558.75277777778</v>
      </c>
      <c r="R16" s="44">
        <f t="shared" si="0"/>
        <v>-1.2134499997527863</v>
      </c>
      <c r="S16" s="44">
        <f t="shared" si="1"/>
        <v>-1.0974738040850942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583</v>
      </c>
      <c r="F17" s="40">
        <v>3.04</v>
      </c>
      <c r="G17" s="51"/>
      <c r="H17" s="44">
        <f t="shared" si="7"/>
        <v>0</v>
      </c>
      <c r="I17" s="52">
        <f t="shared" si="6"/>
        <v>-0.18000000000000016</v>
      </c>
      <c r="J17" s="44">
        <f t="shared" si="2"/>
        <v>-0.18000000000000016</v>
      </c>
      <c r="K17" s="44">
        <f t="shared" si="3"/>
        <v>3.6098499999999989</v>
      </c>
      <c r="L17" s="44">
        <f t="shared" si="4"/>
        <v>-4.5999999999999996</v>
      </c>
      <c r="M17" s="53">
        <f t="shared" si="5"/>
        <v>-8.2098499999999994</v>
      </c>
      <c r="N17" s="231" t="s">
        <v>63</v>
      </c>
      <c r="O17" s="229"/>
      <c r="P17" s="230"/>
      <c r="Q17" s="47">
        <v>44558.757638888892</v>
      </c>
      <c r="R17" s="44">
        <f t="shared" si="0"/>
        <v>-1.542857142446602</v>
      </c>
      <c r="S17" s="44">
        <f t="shared" si="1"/>
        <v>-1.1044641255409344</v>
      </c>
    </row>
    <row r="18" spans="1:19" ht="12" customHeight="1" x14ac:dyDescent="0.2">
      <c r="A18" s="37"/>
      <c r="B18" s="48"/>
      <c r="C18" s="49">
        <v>4.37</v>
      </c>
      <c r="D18" s="54"/>
      <c r="E18" s="39">
        <v>200</v>
      </c>
      <c r="F18" s="40">
        <v>3.78</v>
      </c>
      <c r="G18" s="40">
        <f>7.62-3.04</f>
        <v>4.58</v>
      </c>
      <c r="H18" s="44">
        <f t="shared" si="7"/>
        <v>-1.67371</v>
      </c>
      <c r="I18" s="52">
        <f t="shared" si="6"/>
        <v>-3.8400000000000003</v>
      </c>
      <c r="J18" s="44">
        <f t="shared" si="2"/>
        <v>-2.16629</v>
      </c>
      <c r="K18" s="44">
        <f t="shared" si="3"/>
        <v>1.9361399999999989</v>
      </c>
      <c r="L18" s="44">
        <f t="shared" si="4"/>
        <v>-8.44</v>
      </c>
      <c r="M18" s="53">
        <f t="shared" si="5"/>
        <v>-10.376139999999998</v>
      </c>
      <c r="N18" s="228"/>
      <c r="O18" s="229"/>
      <c r="P18" s="230"/>
      <c r="Q18" s="47">
        <v>44558.779861111114</v>
      </c>
      <c r="R18" s="44">
        <f t="shared" si="0"/>
        <v>-4.061793750059107</v>
      </c>
      <c r="S18" s="44">
        <f t="shared" si="1"/>
        <v>-1.3024443514441337</v>
      </c>
    </row>
    <row r="19" spans="1:19" ht="12" customHeight="1" x14ac:dyDescent="0.2">
      <c r="A19" s="37"/>
      <c r="B19" s="48" t="s">
        <v>29</v>
      </c>
      <c r="C19" s="49">
        <v>10.58</v>
      </c>
      <c r="D19" s="54"/>
      <c r="E19" s="39">
        <v>37</v>
      </c>
      <c r="F19" s="40">
        <v>7.3</v>
      </c>
      <c r="G19" s="40">
        <f>7.39-2.23</f>
        <v>5.16</v>
      </c>
      <c r="H19" s="44">
        <f t="shared" si="7"/>
        <v>-1.72454</v>
      </c>
      <c r="I19" s="52">
        <f t="shared" si="6"/>
        <v>-1.6400000000000001</v>
      </c>
      <c r="J19" s="44">
        <f t="shared" si="2"/>
        <v>8.4539999999999837E-2</v>
      </c>
      <c r="K19" s="44">
        <f t="shared" si="3"/>
        <v>0.2115999999999989</v>
      </c>
      <c r="L19" s="44">
        <f t="shared" si="4"/>
        <v>-10.08</v>
      </c>
      <c r="M19" s="53">
        <f t="shared" si="5"/>
        <v>-10.291599999999999</v>
      </c>
      <c r="N19" s="228"/>
      <c r="O19" s="229"/>
      <c r="P19" s="230"/>
      <c r="Q19" s="47">
        <v>44558.791666666664</v>
      </c>
      <c r="R19" s="44">
        <f t="shared" si="0"/>
        <v>0.29837647071900403</v>
      </c>
      <c r="S19" s="44">
        <f t="shared" si="1"/>
        <v>-1.2474666666666665</v>
      </c>
    </row>
    <row r="20" spans="1:19" ht="12" customHeight="1" x14ac:dyDescent="0.2">
      <c r="A20" s="37"/>
      <c r="B20" s="48"/>
      <c r="C20" s="49">
        <v>10.58</v>
      </c>
      <c r="D20" s="54"/>
      <c r="E20" s="39">
        <v>37</v>
      </c>
      <c r="F20" s="40">
        <v>5.69</v>
      </c>
      <c r="G20" s="40"/>
      <c r="H20" s="44">
        <f t="shared" si="7"/>
        <v>0</v>
      </c>
      <c r="I20" s="52">
        <f t="shared" si="6"/>
        <v>-1.6099999999999994</v>
      </c>
      <c r="J20" s="44">
        <f t="shared" si="2"/>
        <v>-1.6099999999999994</v>
      </c>
      <c r="K20" s="44">
        <f t="shared" si="3"/>
        <v>0.2115999999999989</v>
      </c>
      <c r="L20" s="44">
        <f t="shared" si="4"/>
        <v>-11.69</v>
      </c>
      <c r="M20" s="53">
        <f t="shared" si="5"/>
        <v>-11.901599999999998</v>
      </c>
      <c r="N20" s="242"/>
      <c r="O20" s="229"/>
      <c r="P20" s="230"/>
      <c r="Q20" s="47">
        <v>44558.829861111109</v>
      </c>
      <c r="R20" s="44">
        <f t="shared" si="0"/>
        <v>-1.7563636363264599</v>
      </c>
      <c r="S20" s="44">
        <f t="shared" si="1"/>
        <v>-1.2983563636336153</v>
      </c>
    </row>
    <row r="21" spans="1:19" ht="12" customHeight="1" x14ac:dyDescent="0.2">
      <c r="A21" s="37"/>
      <c r="B21" s="48"/>
      <c r="C21" s="49">
        <v>10.58</v>
      </c>
      <c r="D21" s="54"/>
      <c r="E21" s="39">
        <v>1</v>
      </c>
      <c r="F21" s="40">
        <v>8.67</v>
      </c>
      <c r="G21" s="51">
        <f>8.67-3.63</f>
        <v>5.04</v>
      </c>
      <c r="H21" s="44">
        <f t="shared" si="7"/>
        <v>-0.38088</v>
      </c>
      <c r="I21" s="52">
        <f t="shared" si="6"/>
        <v>-2.0600000000000005</v>
      </c>
      <c r="J21" s="44">
        <f t="shared" si="2"/>
        <v>-1.6791200000000006</v>
      </c>
      <c r="K21" s="44">
        <f t="shared" si="3"/>
        <v>-0.1692800000000011</v>
      </c>
      <c r="L21" s="44">
        <f t="shared" si="4"/>
        <v>-13.75</v>
      </c>
      <c r="M21" s="53">
        <f t="shared" si="5"/>
        <v>-13.580719999999999</v>
      </c>
      <c r="N21" s="228"/>
      <c r="O21" s="229"/>
      <c r="P21" s="230"/>
      <c r="Q21" s="47">
        <v>44558.875</v>
      </c>
      <c r="R21" s="44">
        <f t="shared" si="0"/>
        <v>-1.5499569230214041</v>
      </c>
      <c r="S21" s="44">
        <f t="shared" si="1"/>
        <v>-1.3249482926754026</v>
      </c>
    </row>
    <row r="22" spans="1:19" ht="12" customHeight="1" x14ac:dyDescent="0.2">
      <c r="A22" s="37"/>
      <c r="B22" s="48"/>
      <c r="C22" s="49">
        <v>10.58</v>
      </c>
      <c r="D22" s="54"/>
      <c r="E22" s="39">
        <v>1</v>
      </c>
      <c r="F22" s="40">
        <v>7.83</v>
      </c>
      <c r="G22" s="51"/>
      <c r="H22" s="44">
        <f t="shared" si="7"/>
        <v>0</v>
      </c>
      <c r="I22" s="52">
        <f t="shared" si="6"/>
        <v>-0.83999999999999986</v>
      </c>
      <c r="J22" s="44">
        <f t="shared" si="2"/>
        <v>-0.83999999999999986</v>
      </c>
      <c r="K22" s="44">
        <f t="shared" si="3"/>
        <v>-0.1692800000000011</v>
      </c>
      <c r="L22" s="44">
        <f t="shared" si="4"/>
        <v>-14.59</v>
      </c>
      <c r="M22" s="53">
        <f t="shared" si="5"/>
        <v>-14.420719999999999</v>
      </c>
      <c r="N22" s="228"/>
      <c r="O22" s="229"/>
      <c r="P22" s="230"/>
      <c r="Q22" s="47">
        <v>44558.90625</v>
      </c>
      <c r="R22" s="44">
        <f t="shared" si="0"/>
        <v>-1.1199999999999999</v>
      </c>
      <c r="S22" s="44">
        <f t="shared" si="1"/>
        <v>-1.3109745454476083</v>
      </c>
    </row>
    <row r="23" spans="1:19" ht="12" customHeight="1" x14ac:dyDescent="0.2">
      <c r="A23" s="37"/>
      <c r="B23" s="48"/>
      <c r="C23" s="49">
        <v>10.58</v>
      </c>
      <c r="D23" s="54"/>
      <c r="E23" s="39">
        <v>1</v>
      </c>
      <c r="F23" s="40">
        <v>6.05</v>
      </c>
      <c r="G23" s="51"/>
      <c r="H23" s="44">
        <f t="shared" si="7"/>
        <v>0</v>
      </c>
      <c r="I23" s="52">
        <f t="shared" si="6"/>
        <v>-1.7800000000000002</v>
      </c>
      <c r="J23" s="44">
        <f t="shared" si="2"/>
        <v>-1.7800000000000002</v>
      </c>
      <c r="K23" s="44">
        <f t="shared" si="3"/>
        <v>-0.1692800000000011</v>
      </c>
      <c r="L23" s="44">
        <f t="shared" si="4"/>
        <v>-16.37</v>
      </c>
      <c r="M23" s="53">
        <f t="shared" si="5"/>
        <v>-16.20072</v>
      </c>
      <c r="N23" s="228"/>
      <c r="O23" s="229"/>
      <c r="P23" s="230"/>
      <c r="Q23" s="47">
        <v>44558.95</v>
      </c>
      <c r="R23" s="44">
        <f t="shared" si="0"/>
        <v>-1.6952380953508679</v>
      </c>
      <c r="S23" s="44">
        <f t="shared" si="1"/>
        <v>-1.3444580912876061</v>
      </c>
    </row>
    <row r="24" spans="1:19" ht="12" customHeight="1" x14ac:dyDescent="0.2">
      <c r="A24" s="37"/>
      <c r="B24" s="48"/>
      <c r="C24" s="49">
        <v>10.58</v>
      </c>
      <c r="D24" s="54"/>
      <c r="E24" s="39">
        <v>1</v>
      </c>
      <c r="F24" s="40"/>
      <c r="G24" s="51"/>
      <c r="H24" s="44">
        <f t="shared" si="7"/>
        <v>0</v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10.58</v>
      </c>
      <c r="D25" s="54"/>
      <c r="E25" s="39">
        <v>1</v>
      </c>
      <c r="F25" s="40"/>
      <c r="G25" s="51"/>
      <c r="H25" s="44">
        <f t="shared" si="7"/>
        <v>0</v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10.58</v>
      </c>
      <c r="D26" s="54"/>
      <c r="E26" s="39">
        <v>1</v>
      </c>
      <c r="F26" s="40"/>
      <c r="G26" s="51"/>
      <c r="H26" s="44">
        <f>IF(E26="","",((E26-E25)*C26)/1000)</f>
        <v>0</v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U112"/>
  <sheetViews>
    <sheetView zoomScaleNormal="100" workbookViewId="0">
      <selection activeCell="H34" sqref="H34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22</v>
      </c>
      <c r="F6" s="40">
        <v>7.92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44557.708333333336</v>
      </c>
      <c r="R6" s="11"/>
      <c r="S6" s="11"/>
    </row>
    <row r="7" spans="1:20" ht="12" customHeight="1" x14ac:dyDescent="0.2">
      <c r="A7" s="37"/>
      <c r="B7" s="48" t="s">
        <v>81</v>
      </c>
      <c r="C7" s="49">
        <v>4.2699999999999996</v>
      </c>
      <c r="D7" s="39"/>
      <c r="E7" s="39">
        <v>137</v>
      </c>
      <c r="F7" s="40">
        <v>6.52</v>
      </c>
      <c r="G7" s="51"/>
      <c r="H7" s="44">
        <f>IF(E7="","",((E7-E6)*C7)/1000)</f>
        <v>0.49104999999999993</v>
      </c>
      <c r="I7" s="52">
        <f>IF(F7="","",F7-F6-G7)</f>
        <v>-1.4000000000000004</v>
      </c>
      <c r="J7" s="44">
        <f>IF(F7="","",I7-H7)</f>
        <v>-1.8910500000000003</v>
      </c>
      <c r="K7" s="44">
        <f>IF(F7="","",K6+H7)</f>
        <v>0.49104999999999993</v>
      </c>
      <c r="L7" s="44">
        <f>IF(F7="","",L6+I7)</f>
        <v>-1.4000000000000004</v>
      </c>
      <c r="M7" s="53">
        <f>IF(F7="","",L7-K7)</f>
        <v>-1.8910500000000003</v>
      </c>
      <c r="N7" s="231"/>
      <c r="O7" s="229"/>
      <c r="P7" s="230"/>
      <c r="Q7" s="47">
        <v>44557.744444444441</v>
      </c>
      <c r="R7" s="44">
        <f t="shared" ref="R7:R70" si="0">IF(Q7="","",J7/((Q7-Q6)*24))</f>
        <v>-2.1819807695922537</v>
      </c>
      <c r="S7" s="44">
        <f t="shared" ref="S7:S70" si="1">IF(Q7="","",M7/((Q7-$Q$6)*24))</f>
        <v>-2.1819807695922537</v>
      </c>
    </row>
    <row r="8" spans="1:20" ht="12" customHeight="1" x14ac:dyDescent="0.2">
      <c r="A8" s="37"/>
      <c r="B8" s="48"/>
      <c r="C8" s="49">
        <v>4.2699999999999996</v>
      </c>
      <c r="D8" s="54"/>
      <c r="E8" s="39">
        <v>243</v>
      </c>
      <c r="F8" s="40">
        <v>5.24</v>
      </c>
      <c r="G8" s="51"/>
      <c r="H8" s="44">
        <f>IF(E8="","",((E8-E7)*C8)/1000)</f>
        <v>0.45261999999999997</v>
      </c>
      <c r="I8" s="52">
        <f>IF(F8="","",F8-F7-G8)</f>
        <v>-1.2799999999999994</v>
      </c>
      <c r="J8" s="44">
        <f>IF(F8="","",I8-H8)</f>
        <v>-1.7326199999999994</v>
      </c>
      <c r="K8" s="44">
        <f>IF(F8="","",K7+H8)</f>
        <v>0.9436699999999999</v>
      </c>
      <c r="L8" s="44">
        <f>IF(F8="","",L7+I8)</f>
        <v>-2.6799999999999997</v>
      </c>
      <c r="M8" s="53">
        <f>IF(F8="","",L8-K8)</f>
        <v>-3.6236699999999997</v>
      </c>
      <c r="N8" s="231"/>
      <c r="O8" s="229"/>
      <c r="P8" s="230"/>
      <c r="Q8" s="47">
        <v>44557.772222222222</v>
      </c>
      <c r="R8" s="44">
        <f t="shared" si="0"/>
        <v>-2.598929999697444</v>
      </c>
      <c r="S8" s="44">
        <f t="shared" si="1"/>
        <v>-2.3632630435799356</v>
      </c>
      <c r="T8" s="55"/>
    </row>
    <row r="9" spans="1:20" ht="12" customHeight="1" x14ac:dyDescent="0.2">
      <c r="A9" s="37"/>
      <c r="B9" s="48"/>
      <c r="C9" s="49">
        <v>4.2699999999999996</v>
      </c>
      <c r="D9" s="54"/>
      <c r="E9" s="39">
        <v>247</v>
      </c>
      <c r="F9" s="40">
        <v>2.91</v>
      </c>
      <c r="G9" s="51"/>
      <c r="H9" s="44">
        <f>IF(E9="","",((E9-E8)*C9)/1000)</f>
        <v>1.7079999999999998E-2</v>
      </c>
      <c r="I9" s="52">
        <f>IF(F9="","",F9-F8-G9)</f>
        <v>-2.33</v>
      </c>
      <c r="J9" s="44">
        <f>IF(F9="","",I9-H9)</f>
        <v>-2.3470800000000001</v>
      </c>
      <c r="K9" s="44">
        <f>IF(F9="","",K8+H9)</f>
        <v>0.96074999999999988</v>
      </c>
      <c r="L9" s="44">
        <f>IF(F9="","",L8+I9)</f>
        <v>-5.01</v>
      </c>
      <c r="M9" s="53">
        <f>IF(F9="","",L9-K9)</f>
        <v>-5.9707499999999998</v>
      </c>
      <c r="N9" s="228"/>
      <c r="O9" s="229"/>
      <c r="P9" s="230"/>
      <c r="Q9" s="47">
        <v>44557.819444444445</v>
      </c>
      <c r="R9" s="44">
        <f t="shared" si="0"/>
        <v>-2.0709529411268344</v>
      </c>
      <c r="S9" s="44">
        <f t="shared" si="1"/>
        <v>-2.239031250032582</v>
      </c>
    </row>
    <row r="10" spans="1:20" ht="12" customHeight="1" x14ac:dyDescent="0.2">
      <c r="A10" s="37"/>
      <c r="B10" s="48" t="s">
        <v>82</v>
      </c>
      <c r="C10" s="49">
        <v>19.59</v>
      </c>
      <c r="D10" s="54"/>
      <c r="E10" s="39">
        <v>458</v>
      </c>
      <c r="F10" s="40">
        <v>4.8099999999999996</v>
      </c>
      <c r="G10" s="51"/>
      <c r="H10" s="44">
        <f>IF(E10="","",((E10-E9)*C10)/1000)</f>
        <v>4.1334900000000001</v>
      </c>
      <c r="I10" s="52">
        <f>IF(F10="","",F10-F9-G10)</f>
        <v>1.8999999999999995</v>
      </c>
      <c r="J10" s="44">
        <f t="shared" ref="J10:J73" si="2">IF(F10="","",I10-H10)</f>
        <v>-2.2334900000000006</v>
      </c>
      <c r="K10" s="44">
        <f t="shared" ref="K10:K73" si="3">IF(F10="","",K9+H10)</f>
        <v>5.0942400000000001</v>
      </c>
      <c r="L10" s="44">
        <f t="shared" ref="L10:L73" si="4">IF(F10="","",L9+I10)</f>
        <v>-3.1100000000000003</v>
      </c>
      <c r="M10" s="53">
        <f t="shared" ref="M10:M73" si="5">IF(F10="","",L10-K10)</f>
        <v>-8.2042400000000004</v>
      </c>
      <c r="N10" s="249"/>
      <c r="O10" s="250"/>
      <c r="P10" s="251"/>
      <c r="Q10" s="47">
        <v>44557.848611111112</v>
      </c>
      <c r="R10" s="44">
        <f t="shared" si="0"/>
        <v>-3.1906999999469372</v>
      </c>
      <c r="S10" s="44">
        <f t="shared" si="1"/>
        <v>-2.4369029703166918</v>
      </c>
      <c r="T10" s="55"/>
    </row>
    <row r="11" spans="1:20" ht="12" customHeight="1" x14ac:dyDescent="0.2">
      <c r="A11" s="37"/>
      <c r="B11" s="48" t="s">
        <v>83</v>
      </c>
      <c r="C11" s="49">
        <v>15.74</v>
      </c>
      <c r="D11" s="54"/>
      <c r="E11" s="39">
        <v>1001</v>
      </c>
      <c r="F11" s="40">
        <v>6.72</v>
      </c>
      <c r="G11" s="51">
        <f>-8.32+2.85</f>
        <v>-5.4700000000000006</v>
      </c>
      <c r="H11" s="44">
        <f>IF(E11="","",((E11-E10)*C11)/1000)</f>
        <v>8.5468200000000003</v>
      </c>
      <c r="I11" s="52">
        <f t="shared" ref="I11:I74" si="6">IF(F11="","",F11-F10-G11)</f>
        <v>7.3800000000000008</v>
      </c>
      <c r="J11" s="44">
        <f t="shared" si="2"/>
        <v>-1.1668199999999995</v>
      </c>
      <c r="K11" s="44">
        <f t="shared" si="3"/>
        <v>13.64106</v>
      </c>
      <c r="L11" s="44">
        <f t="shared" si="4"/>
        <v>4.2700000000000005</v>
      </c>
      <c r="M11" s="53">
        <f t="shared" si="5"/>
        <v>-9.3710599999999999</v>
      </c>
      <c r="N11" s="228"/>
      <c r="O11" s="229"/>
      <c r="P11" s="230"/>
      <c r="Q11" s="47">
        <v>44557.875</v>
      </c>
      <c r="R11" s="44">
        <f t="shared" si="0"/>
        <v>-1.8423473685113583</v>
      </c>
      <c r="S11" s="44">
        <f t="shared" si="1"/>
        <v>-2.3427650000340918</v>
      </c>
    </row>
    <row r="12" spans="1:20" ht="12" customHeight="1" x14ac:dyDescent="0.2">
      <c r="A12" s="37"/>
      <c r="B12" s="48"/>
      <c r="C12" s="49">
        <v>15.74</v>
      </c>
      <c r="D12" s="54"/>
      <c r="E12" s="39">
        <v>1298</v>
      </c>
      <c r="F12" s="56">
        <v>4.1100000000000003</v>
      </c>
      <c r="G12" s="51">
        <f>-8.95+3.51</f>
        <v>-5.4399999999999995</v>
      </c>
      <c r="H12" s="44">
        <f t="shared" ref="H12:H74" si="7">IF(E12="","",((E12-E11)*C12)/1000)</f>
        <v>4.6747800000000002</v>
      </c>
      <c r="I12" s="52">
        <f t="shared" si="6"/>
        <v>2.83</v>
      </c>
      <c r="J12" s="44">
        <f t="shared" si="2"/>
        <v>-1.8447800000000001</v>
      </c>
      <c r="K12" s="44">
        <f t="shared" si="3"/>
        <v>18.315840000000001</v>
      </c>
      <c r="L12" s="44">
        <f t="shared" si="4"/>
        <v>7.1000000000000005</v>
      </c>
      <c r="M12" s="53">
        <f t="shared" si="5"/>
        <v>-11.21584</v>
      </c>
      <c r="N12" s="228"/>
      <c r="O12" s="229"/>
      <c r="P12" s="230"/>
      <c r="Q12" s="47">
        <v>44557.902083333334</v>
      </c>
      <c r="R12" s="44">
        <f t="shared" si="0"/>
        <v>-2.8381230768214154</v>
      </c>
      <c r="S12" s="44">
        <f t="shared" si="1"/>
        <v>-2.4120086021686533</v>
      </c>
    </row>
    <row r="13" spans="1:20" ht="12" customHeight="1" x14ac:dyDescent="0.2">
      <c r="A13" s="37"/>
      <c r="B13" s="48"/>
      <c r="C13" s="49">
        <v>15.74</v>
      </c>
      <c r="D13" s="54"/>
      <c r="E13" s="39">
        <v>1677</v>
      </c>
      <c r="F13" s="56">
        <v>8.94</v>
      </c>
      <c r="G13" s="51"/>
      <c r="H13" s="44">
        <f>IF(E13="","",((E13-E12)*C13)/1000)</f>
        <v>5.9654600000000002</v>
      </c>
      <c r="I13" s="52">
        <f t="shared" si="6"/>
        <v>4.8299999999999992</v>
      </c>
      <c r="J13" s="44">
        <f t="shared" si="2"/>
        <v>-1.135460000000001</v>
      </c>
      <c r="K13" s="44">
        <f t="shared" si="3"/>
        <v>24.281300000000002</v>
      </c>
      <c r="L13" s="44">
        <f t="shared" si="4"/>
        <v>11.93</v>
      </c>
      <c r="M13" s="53">
        <f t="shared" si="5"/>
        <v>-12.351300000000002</v>
      </c>
      <c r="N13" s="231"/>
      <c r="O13" s="229"/>
      <c r="P13" s="230"/>
      <c r="Q13" s="47">
        <v>44557.917361111111</v>
      </c>
      <c r="R13" s="44">
        <f t="shared" si="0"/>
        <v>-3.0967090911385058</v>
      </c>
      <c r="S13" s="44">
        <f t="shared" si="1"/>
        <v>-2.4620531561766512</v>
      </c>
    </row>
    <row r="14" spans="1:20" ht="12" customHeight="1" x14ac:dyDescent="0.2">
      <c r="A14" s="37"/>
      <c r="B14" s="48"/>
      <c r="C14" s="49">
        <v>15.74</v>
      </c>
      <c r="D14" s="54"/>
      <c r="E14" s="39">
        <v>2076</v>
      </c>
      <c r="F14" s="56">
        <v>7.48</v>
      </c>
      <c r="G14" s="51">
        <f>-9.58+2.32</f>
        <v>-7.26</v>
      </c>
      <c r="H14" s="44">
        <f t="shared" si="7"/>
        <v>6.2802600000000002</v>
      </c>
      <c r="I14" s="52">
        <f t="shared" si="6"/>
        <v>5.8000000000000007</v>
      </c>
      <c r="J14" s="44">
        <f t="shared" si="2"/>
        <v>-0.48025999999999947</v>
      </c>
      <c r="K14" s="44">
        <f t="shared" si="3"/>
        <v>30.56156</v>
      </c>
      <c r="L14" s="44">
        <f t="shared" si="4"/>
        <v>17.73</v>
      </c>
      <c r="M14" s="53">
        <f t="shared" si="5"/>
        <v>-12.83156</v>
      </c>
      <c r="N14" s="231"/>
      <c r="O14" s="229"/>
      <c r="P14" s="230"/>
      <c r="Q14" s="47">
        <v>44557.958333333336</v>
      </c>
      <c r="R14" s="44">
        <f t="shared" si="0"/>
        <v>-0.48839999996916161</v>
      </c>
      <c r="S14" s="44">
        <f t="shared" si="1"/>
        <v>-2.1385933333333331</v>
      </c>
    </row>
    <row r="15" spans="1:20" ht="12" customHeight="1" x14ac:dyDescent="0.2">
      <c r="A15" s="37"/>
      <c r="B15" s="48"/>
      <c r="C15" s="49">
        <v>15.74</v>
      </c>
      <c r="D15" s="54"/>
      <c r="E15" s="39">
        <v>2076</v>
      </c>
      <c r="F15" s="56">
        <v>6.96</v>
      </c>
      <c r="G15" s="51"/>
      <c r="H15" s="44">
        <f t="shared" si="7"/>
        <v>0</v>
      </c>
      <c r="I15" s="52">
        <f t="shared" si="6"/>
        <v>-0.52000000000000046</v>
      </c>
      <c r="J15" s="44">
        <f t="shared" si="2"/>
        <v>-0.52000000000000046</v>
      </c>
      <c r="K15" s="44">
        <f t="shared" si="3"/>
        <v>30.56156</v>
      </c>
      <c r="L15" s="44">
        <f t="shared" si="4"/>
        <v>17.21</v>
      </c>
      <c r="M15" s="53">
        <f t="shared" si="5"/>
        <v>-13.351559999999999</v>
      </c>
      <c r="N15" s="231"/>
      <c r="O15" s="229"/>
      <c r="P15" s="230"/>
      <c r="Q15" s="47">
        <v>44557.972222222219</v>
      </c>
      <c r="R15" s="44">
        <f t="shared" si="0"/>
        <v>-1.5600000006356289</v>
      </c>
      <c r="S15" s="44">
        <f t="shared" si="1"/>
        <v>-2.1081410526767876</v>
      </c>
    </row>
    <row r="16" spans="1:20" ht="12" customHeight="1" x14ac:dyDescent="0.2">
      <c r="A16" s="37"/>
      <c r="B16" s="48"/>
      <c r="C16" s="49">
        <v>15.74</v>
      </c>
      <c r="D16" s="57"/>
      <c r="E16" s="39">
        <v>2094</v>
      </c>
      <c r="F16" s="40">
        <v>100.25</v>
      </c>
      <c r="G16" s="51">
        <v>93.29</v>
      </c>
      <c r="H16" s="44">
        <f t="shared" si="7"/>
        <v>0.28332000000000002</v>
      </c>
      <c r="I16" s="52">
        <f t="shared" si="6"/>
        <v>0</v>
      </c>
      <c r="J16" s="44">
        <f t="shared" si="2"/>
        <v>-0.28332000000000002</v>
      </c>
      <c r="K16" s="44">
        <f t="shared" si="3"/>
        <v>30.84488</v>
      </c>
      <c r="L16" s="44">
        <f t="shared" si="4"/>
        <v>17.21</v>
      </c>
      <c r="M16" s="53">
        <f t="shared" si="5"/>
        <v>-13.634879999999999</v>
      </c>
      <c r="N16" s="228"/>
      <c r="O16" s="229"/>
      <c r="P16" s="230"/>
      <c r="Q16" s="47">
        <v>44557.979166666664</v>
      </c>
      <c r="R16" s="44">
        <f t="shared" si="0"/>
        <v>-1.6999199998021033</v>
      </c>
      <c r="S16" s="44">
        <f t="shared" si="1"/>
        <v>-2.0976738461914155</v>
      </c>
      <c r="T16" s="55"/>
    </row>
    <row r="17" spans="1:19" ht="12" customHeight="1" x14ac:dyDescent="0.2">
      <c r="A17" s="37"/>
      <c r="B17" s="48"/>
      <c r="C17" s="49">
        <v>15.74</v>
      </c>
      <c r="D17" s="54"/>
      <c r="E17" s="39">
        <v>2094</v>
      </c>
      <c r="F17" s="40">
        <v>93.38</v>
      </c>
      <c r="G17" s="51"/>
      <c r="H17" s="44">
        <f t="shared" si="7"/>
        <v>0</v>
      </c>
      <c r="I17" s="52">
        <f t="shared" si="6"/>
        <v>-6.8700000000000045</v>
      </c>
      <c r="J17" s="44">
        <f t="shared" si="2"/>
        <v>-6.8700000000000045</v>
      </c>
      <c r="K17" s="44">
        <f t="shared" si="3"/>
        <v>30.84488</v>
      </c>
      <c r="L17" s="44">
        <f t="shared" si="4"/>
        <v>10.339999999999996</v>
      </c>
      <c r="M17" s="53">
        <f t="shared" si="5"/>
        <v>-20.504880000000004</v>
      </c>
      <c r="N17" s="231"/>
      <c r="O17" s="229"/>
      <c r="P17" s="230"/>
      <c r="Q17" s="47">
        <v>44558</v>
      </c>
      <c r="R17" s="44">
        <f t="shared" si="0"/>
        <v>-13.739999998400462</v>
      </c>
      <c r="S17" s="44">
        <f t="shared" si="1"/>
        <v>-2.9292685714529298</v>
      </c>
    </row>
    <row r="18" spans="1:19" ht="12" customHeight="1" x14ac:dyDescent="0.2">
      <c r="A18" s="37"/>
      <c r="B18" s="48"/>
      <c r="C18" s="49">
        <v>15.74</v>
      </c>
      <c r="D18" s="54"/>
      <c r="E18" s="39">
        <v>2094</v>
      </c>
      <c r="F18" s="40">
        <v>92.91</v>
      </c>
      <c r="G18" s="40"/>
      <c r="H18" s="44">
        <f t="shared" si="7"/>
        <v>0</v>
      </c>
      <c r="I18" s="52">
        <f t="shared" si="6"/>
        <v>-0.46999999999999886</v>
      </c>
      <c r="J18" s="44">
        <f t="shared" si="2"/>
        <v>-0.46999999999999886</v>
      </c>
      <c r="K18" s="44">
        <f t="shared" si="3"/>
        <v>30.84488</v>
      </c>
      <c r="L18" s="44">
        <f t="shared" si="4"/>
        <v>9.8699999999999974</v>
      </c>
      <c r="M18" s="53">
        <f t="shared" si="5"/>
        <v>-20.974880000000002</v>
      </c>
      <c r="N18" s="228"/>
      <c r="O18" s="229"/>
      <c r="P18" s="230"/>
      <c r="Q18" s="47">
        <v>44558.011111111111</v>
      </c>
      <c r="R18" s="44">
        <f t="shared" si="0"/>
        <v>-1.7625000000256434</v>
      </c>
      <c r="S18" s="44">
        <f t="shared" si="1"/>
        <v>-2.8864513761714519</v>
      </c>
    </row>
    <row r="19" spans="1:19" ht="12" customHeight="1" x14ac:dyDescent="0.2">
      <c r="A19" s="37"/>
      <c r="B19" s="48"/>
      <c r="C19" s="49">
        <v>15.74</v>
      </c>
      <c r="D19" s="54"/>
      <c r="E19" s="39">
        <v>2094</v>
      </c>
      <c r="F19" s="40">
        <v>153.43</v>
      </c>
      <c r="G19" s="40">
        <v>63.8</v>
      </c>
      <c r="H19" s="44">
        <f t="shared" si="7"/>
        <v>0</v>
      </c>
      <c r="I19" s="52">
        <f t="shared" si="6"/>
        <v>-3.2799999999999869</v>
      </c>
      <c r="J19" s="44">
        <f t="shared" si="2"/>
        <v>-3.2799999999999869</v>
      </c>
      <c r="K19" s="44">
        <f t="shared" si="3"/>
        <v>30.84488</v>
      </c>
      <c r="L19" s="44">
        <f t="shared" si="4"/>
        <v>6.5900000000000105</v>
      </c>
      <c r="M19" s="53">
        <f t="shared" si="5"/>
        <v>-24.254879999999989</v>
      </c>
      <c r="N19" s="228" t="s">
        <v>75</v>
      </c>
      <c r="O19" s="229"/>
      <c r="P19" s="230"/>
      <c r="Q19" s="47">
        <v>44558.073611111111</v>
      </c>
      <c r="R19" s="44">
        <f t="shared" si="0"/>
        <v>-2.1866666666666581</v>
      </c>
      <c r="S19" s="44">
        <f t="shared" si="1"/>
        <v>-2.7667163498294793</v>
      </c>
    </row>
    <row r="20" spans="1:19" ht="12" customHeight="1" x14ac:dyDescent="0.2">
      <c r="A20" s="37"/>
      <c r="B20" s="48"/>
      <c r="C20" s="49">
        <v>15.74</v>
      </c>
      <c r="D20" s="54"/>
      <c r="E20" s="39">
        <v>2094</v>
      </c>
      <c r="F20" s="40">
        <v>6.87</v>
      </c>
      <c r="G20" s="40">
        <v>-146.56</v>
      </c>
      <c r="H20" s="44">
        <f t="shared" si="7"/>
        <v>0</v>
      </c>
      <c r="I20" s="52">
        <f t="shared" si="6"/>
        <v>0</v>
      </c>
      <c r="J20" s="44">
        <f t="shared" si="2"/>
        <v>0</v>
      </c>
      <c r="K20" s="44">
        <f t="shared" si="3"/>
        <v>30.84488</v>
      </c>
      <c r="L20" s="44">
        <f t="shared" si="4"/>
        <v>6.5900000000000105</v>
      </c>
      <c r="M20" s="53">
        <f t="shared" si="5"/>
        <v>-24.254879999999989</v>
      </c>
      <c r="N20" s="242" t="s">
        <v>66</v>
      </c>
      <c r="O20" s="229"/>
      <c r="P20" s="230"/>
      <c r="Q20" s="47">
        <v>44558.074305555558</v>
      </c>
      <c r="R20" s="44">
        <f t="shared" si="0"/>
        <v>0</v>
      </c>
      <c r="S20" s="44">
        <f t="shared" si="1"/>
        <v>-2.761466413664678</v>
      </c>
    </row>
    <row r="21" spans="1:19" ht="12" customHeight="1" x14ac:dyDescent="0.2">
      <c r="A21" s="37"/>
      <c r="B21" s="48"/>
      <c r="C21" s="49">
        <v>4.37</v>
      </c>
      <c r="D21" s="54"/>
      <c r="E21" s="39">
        <v>2094</v>
      </c>
      <c r="F21" s="40">
        <v>6.48</v>
      </c>
      <c r="G21" s="51"/>
      <c r="H21" s="44">
        <f t="shared" si="7"/>
        <v>0</v>
      </c>
      <c r="I21" s="52">
        <f t="shared" si="6"/>
        <v>-0.38999999999999968</v>
      </c>
      <c r="J21" s="44">
        <f t="shared" si="2"/>
        <v>-0.38999999999999968</v>
      </c>
      <c r="K21" s="44">
        <f t="shared" si="3"/>
        <v>30.84488</v>
      </c>
      <c r="L21" s="44">
        <f t="shared" si="4"/>
        <v>6.2000000000000108</v>
      </c>
      <c r="M21" s="53">
        <f t="shared" si="5"/>
        <v>-24.64487999999999</v>
      </c>
      <c r="N21" s="228"/>
      <c r="O21" s="229"/>
      <c r="P21" s="230"/>
      <c r="Q21" s="47">
        <v>44558.081250000003</v>
      </c>
      <c r="R21" s="44">
        <f t="shared" si="0"/>
        <v>-2.3399999997275862</v>
      </c>
      <c r="S21" s="44">
        <f t="shared" si="1"/>
        <v>-2.7536178770913891</v>
      </c>
    </row>
    <row r="22" spans="1:19" ht="12" customHeight="1" x14ac:dyDescent="0.2">
      <c r="A22" s="37"/>
      <c r="B22" s="48"/>
      <c r="C22" s="49">
        <v>4.37</v>
      </c>
      <c r="D22" s="54"/>
      <c r="E22" s="39">
        <v>2077</v>
      </c>
      <c r="F22" s="40">
        <v>8.3800000000000008</v>
      </c>
      <c r="G22" s="51">
        <f>8.38-6.41</f>
        <v>1.9700000000000006</v>
      </c>
      <c r="H22" s="44">
        <f t="shared" si="7"/>
        <v>-7.4290000000000009E-2</v>
      </c>
      <c r="I22" s="52">
        <f t="shared" si="6"/>
        <v>-7.0000000000000284E-2</v>
      </c>
      <c r="J22" s="44">
        <f t="shared" si="2"/>
        <v>4.2899999999997246E-3</v>
      </c>
      <c r="K22" s="44">
        <f t="shared" si="3"/>
        <v>30.770589999999999</v>
      </c>
      <c r="L22" s="44">
        <f t="shared" si="4"/>
        <v>6.1300000000000106</v>
      </c>
      <c r="M22" s="53">
        <f t="shared" si="5"/>
        <v>-24.640589999999989</v>
      </c>
      <c r="N22" s="228"/>
      <c r="O22" s="229"/>
      <c r="P22" s="230"/>
      <c r="Q22" s="47">
        <v>44558.090277777781</v>
      </c>
      <c r="R22" s="44">
        <f t="shared" si="0"/>
        <v>1.979999999928949E-2</v>
      </c>
      <c r="S22" s="44">
        <f t="shared" si="1"/>
        <v>-2.6880643636306729</v>
      </c>
    </row>
    <row r="23" spans="1:19" ht="12" customHeight="1" x14ac:dyDescent="0.2">
      <c r="A23" s="37"/>
      <c r="B23" s="48"/>
      <c r="C23" s="49">
        <v>4.37</v>
      </c>
      <c r="D23" s="58"/>
      <c r="E23" s="39">
        <v>2034</v>
      </c>
      <c r="F23" s="40">
        <v>7.81</v>
      </c>
      <c r="G23" s="51"/>
      <c r="H23" s="44">
        <f t="shared" si="7"/>
        <v>-0.18790999999999999</v>
      </c>
      <c r="I23" s="52">
        <f t="shared" si="6"/>
        <v>-0.57000000000000117</v>
      </c>
      <c r="J23" s="44">
        <f t="shared" si="2"/>
        <v>-0.38209000000000115</v>
      </c>
      <c r="K23" s="44">
        <f t="shared" si="3"/>
        <v>30.58268</v>
      </c>
      <c r="L23" s="44">
        <f t="shared" si="4"/>
        <v>5.5600000000000094</v>
      </c>
      <c r="M23" s="53">
        <f t="shared" si="5"/>
        <v>-25.02267999999999</v>
      </c>
      <c r="N23" s="228"/>
      <c r="O23" s="229"/>
      <c r="P23" s="230"/>
      <c r="Q23" s="47">
        <v>44558.104166666664</v>
      </c>
      <c r="R23" s="44">
        <f t="shared" si="0"/>
        <v>-1.1462700004670554</v>
      </c>
      <c r="S23" s="44">
        <f t="shared" si="1"/>
        <v>-2.6339663158217501</v>
      </c>
    </row>
    <row r="24" spans="1:19" ht="12" customHeight="1" x14ac:dyDescent="0.2">
      <c r="A24" s="37"/>
      <c r="B24" s="48"/>
      <c r="C24" s="49">
        <v>4.37</v>
      </c>
      <c r="D24" s="58"/>
      <c r="E24" s="39">
        <v>1789</v>
      </c>
      <c r="F24" s="40">
        <v>5.81</v>
      </c>
      <c r="G24" s="51"/>
      <c r="H24" s="44">
        <f t="shared" si="7"/>
        <v>-1.0706500000000001</v>
      </c>
      <c r="I24" s="52">
        <f t="shared" si="6"/>
        <v>-2</v>
      </c>
      <c r="J24" s="44">
        <f t="shared" si="2"/>
        <v>-0.9293499999999999</v>
      </c>
      <c r="K24" s="44">
        <f t="shared" si="3"/>
        <v>29.512029999999999</v>
      </c>
      <c r="L24" s="44">
        <f t="shared" si="4"/>
        <v>3.5600000000000094</v>
      </c>
      <c r="M24" s="53">
        <f t="shared" si="5"/>
        <v>-25.95202999999999</v>
      </c>
      <c r="N24" s="231"/>
      <c r="O24" s="229"/>
      <c r="P24" s="230"/>
      <c r="Q24" s="47">
        <v>44558.118055555555</v>
      </c>
      <c r="R24" s="44">
        <f t="shared" si="0"/>
        <v>-2.7880499996754278</v>
      </c>
      <c r="S24" s="44">
        <f t="shared" si="1"/>
        <v>-2.6391894915462526</v>
      </c>
    </row>
    <row r="25" spans="1:19" ht="12" customHeight="1" x14ac:dyDescent="0.2">
      <c r="A25" s="37"/>
      <c r="B25" s="48"/>
      <c r="C25" s="49">
        <v>4.37</v>
      </c>
      <c r="D25" s="58"/>
      <c r="E25" s="39">
        <v>890</v>
      </c>
      <c r="F25" s="40">
        <v>5.39</v>
      </c>
      <c r="G25" s="51">
        <f>8.43-3.05</f>
        <v>5.38</v>
      </c>
      <c r="H25" s="44">
        <f t="shared" si="7"/>
        <v>-3.9286300000000001</v>
      </c>
      <c r="I25" s="52">
        <f t="shared" si="6"/>
        <v>-5.8</v>
      </c>
      <c r="J25" s="44">
        <f t="shared" si="2"/>
        <v>-1.8713699999999998</v>
      </c>
      <c r="K25" s="44">
        <f t="shared" si="3"/>
        <v>25.583399999999997</v>
      </c>
      <c r="L25" s="44">
        <f t="shared" si="4"/>
        <v>-2.2399999999999904</v>
      </c>
      <c r="M25" s="53">
        <f t="shared" si="5"/>
        <v>-27.823399999999989</v>
      </c>
      <c r="N25" s="228"/>
      <c r="O25" s="229"/>
      <c r="P25" s="230"/>
      <c r="Q25" s="47">
        <v>44558.155555555553</v>
      </c>
      <c r="R25" s="44">
        <f t="shared" si="0"/>
        <v>-2.0793000000806874</v>
      </c>
      <c r="S25" s="44">
        <f t="shared" si="1"/>
        <v>-2.5922422360520225</v>
      </c>
    </row>
    <row r="26" spans="1:19" ht="12" customHeight="1" x14ac:dyDescent="0.2">
      <c r="A26" s="37"/>
      <c r="B26" s="48"/>
      <c r="C26" s="49">
        <v>4.37</v>
      </c>
      <c r="D26" s="58"/>
      <c r="E26" s="39">
        <v>645</v>
      </c>
      <c r="F26" s="40">
        <v>3.35</v>
      </c>
      <c r="G26" s="51"/>
      <c r="H26" s="44">
        <f>IF(E26="","",((E26-E25)*C26)/1000)</f>
        <v>-1.0706500000000001</v>
      </c>
      <c r="I26" s="52">
        <f>IF(F26="","",F26-F25-G26)</f>
        <v>-2.0399999999999996</v>
      </c>
      <c r="J26" s="44">
        <f t="shared" si="2"/>
        <v>-0.96934999999999949</v>
      </c>
      <c r="K26" s="44">
        <f t="shared" si="3"/>
        <v>24.512749999999997</v>
      </c>
      <c r="L26" s="44">
        <f t="shared" si="4"/>
        <v>-4.2799999999999905</v>
      </c>
      <c r="M26" s="53">
        <f t="shared" si="5"/>
        <v>-28.792749999999987</v>
      </c>
      <c r="N26" s="228" t="s">
        <v>66</v>
      </c>
      <c r="O26" s="229"/>
      <c r="P26" s="230"/>
      <c r="Q26" s="47">
        <v>44558.167361111111</v>
      </c>
      <c r="R26" s="44">
        <f t="shared" si="0"/>
        <v>-3.4212352935085049</v>
      </c>
      <c r="S26" s="44">
        <f t="shared" si="1"/>
        <v>-2.6135627836758482</v>
      </c>
    </row>
    <row r="27" spans="1:19" ht="12" customHeight="1" x14ac:dyDescent="0.2">
      <c r="A27" s="37"/>
      <c r="B27" s="48"/>
      <c r="C27" s="49">
        <v>4.37</v>
      </c>
      <c r="D27" s="58"/>
      <c r="E27" s="39">
        <v>645</v>
      </c>
      <c r="F27" s="40">
        <v>3.04</v>
      </c>
      <c r="G27" s="51"/>
      <c r="H27" s="44">
        <f t="shared" si="7"/>
        <v>0</v>
      </c>
      <c r="I27" s="52">
        <f>IF(F27="","",F27-F26-G27)</f>
        <v>-0.31000000000000005</v>
      </c>
      <c r="J27" s="44">
        <f>IF(F27="","",I27-H27)</f>
        <v>-0.31000000000000005</v>
      </c>
      <c r="K27" s="44">
        <f>IF(F27="","",K26+H27)</f>
        <v>24.512749999999997</v>
      </c>
      <c r="L27" s="44">
        <f>IF(F27="","",L26+I27)</f>
        <v>-4.589999999999991</v>
      </c>
      <c r="M27" s="53">
        <f>IF(F27="","",L27-K27)</f>
        <v>-29.102749999999986</v>
      </c>
      <c r="N27" s="231"/>
      <c r="O27" s="229"/>
      <c r="P27" s="230"/>
      <c r="Q27" s="47">
        <v>44558.174305555556</v>
      </c>
      <c r="R27" s="44">
        <f t="shared" si="0"/>
        <v>-1.8599999997834678</v>
      </c>
      <c r="S27" s="44">
        <f t="shared" si="1"/>
        <v>-2.6023323398012876</v>
      </c>
    </row>
    <row r="28" spans="1:19" ht="12" customHeight="1" x14ac:dyDescent="0.2">
      <c r="A28" s="37"/>
      <c r="B28" s="48"/>
      <c r="C28" s="49">
        <v>4.37</v>
      </c>
      <c r="D28" s="58"/>
      <c r="E28" s="39">
        <v>269</v>
      </c>
      <c r="F28" s="40">
        <v>3.91</v>
      </c>
      <c r="G28" s="51">
        <f>8.59-2.43</f>
        <v>6.16</v>
      </c>
      <c r="H28" s="44">
        <f t="shared" si="7"/>
        <v>-1.6431200000000001</v>
      </c>
      <c r="I28" s="52">
        <f>IF(F28="","",F28-F27-G28)</f>
        <v>-5.29</v>
      </c>
      <c r="J28" s="44">
        <f t="shared" si="2"/>
        <v>-3.6468799999999999</v>
      </c>
      <c r="K28" s="44">
        <f t="shared" si="3"/>
        <v>22.869629999999997</v>
      </c>
      <c r="L28" s="44">
        <f t="shared" si="4"/>
        <v>-9.8799999999999919</v>
      </c>
      <c r="M28" s="53">
        <f t="shared" si="5"/>
        <v>-32.749629999999989</v>
      </c>
      <c r="N28" s="231"/>
      <c r="O28" s="229"/>
      <c r="P28" s="230"/>
      <c r="Q28" s="47">
        <v>44558.229166666664</v>
      </c>
      <c r="R28" s="44">
        <f t="shared" si="0"/>
        <v>-2.7697822786361126</v>
      </c>
      <c r="S28" s="44">
        <f t="shared" si="1"/>
        <v>-2.6199704000243993</v>
      </c>
    </row>
    <row r="29" spans="1:19" ht="12" customHeight="1" x14ac:dyDescent="0.2">
      <c r="A29" s="37"/>
      <c r="B29" s="48"/>
      <c r="C29" s="49">
        <v>4.37</v>
      </c>
      <c r="D29" s="58"/>
      <c r="E29" s="39">
        <v>269</v>
      </c>
      <c r="F29" s="40">
        <v>2.94</v>
      </c>
      <c r="G29" s="51"/>
      <c r="H29" s="44">
        <f t="shared" si="7"/>
        <v>0</v>
      </c>
      <c r="I29" s="52">
        <f t="shared" si="6"/>
        <v>-0.9700000000000002</v>
      </c>
      <c r="J29" s="44">
        <f t="shared" si="2"/>
        <v>-0.9700000000000002</v>
      </c>
      <c r="K29" s="44">
        <f t="shared" si="3"/>
        <v>22.869629999999997</v>
      </c>
      <c r="L29" s="44">
        <f t="shared" si="4"/>
        <v>-10.849999999999993</v>
      </c>
      <c r="M29" s="53">
        <f t="shared" si="5"/>
        <v>-33.719629999999988</v>
      </c>
      <c r="N29" s="228"/>
      <c r="O29" s="229"/>
      <c r="P29" s="230"/>
      <c r="Q29" s="47">
        <v>44558.25</v>
      </c>
      <c r="R29" s="44">
        <f t="shared" si="0"/>
        <v>-1.9399999997741546</v>
      </c>
      <c r="S29" s="44">
        <f t="shared" si="1"/>
        <v>-2.593817692319305</v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  <c r="T107" s="48" t="s">
        <v>80</v>
      </c>
      <c r="U107" s="49">
        <v>1.98</v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  <c r="T108" s="48" t="s">
        <v>81</v>
      </c>
      <c r="U108" s="49">
        <v>4.2699999999999996</v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U112"/>
  <sheetViews>
    <sheetView zoomScaleNormal="100" workbookViewId="0">
      <selection activeCell="G26" sqref="G2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277</v>
      </c>
      <c r="F6" s="40">
        <v>2.7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44556.959027777775</v>
      </c>
      <c r="R6" s="11"/>
      <c r="S6" s="11"/>
    </row>
    <row r="7" spans="1:20" ht="12" customHeight="1" x14ac:dyDescent="0.2">
      <c r="A7" s="37"/>
      <c r="B7" s="48" t="s">
        <v>39</v>
      </c>
      <c r="C7" s="49">
        <v>15.93</v>
      </c>
      <c r="D7" s="39"/>
      <c r="E7" s="39">
        <v>277</v>
      </c>
      <c r="F7" s="40">
        <v>2.7</v>
      </c>
      <c r="G7" s="51"/>
      <c r="H7" s="44">
        <f>IF(E7="","",((E7-E6)*C7)/1000)</f>
        <v>0</v>
      </c>
      <c r="I7" s="52">
        <f>IF(F7="","",F7-F6-G7)</f>
        <v>0</v>
      </c>
      <c r="J7" s="44">
        <f>IF(F7="","",I7-H7)</f>
        <v>0</v>
      </c>
      <c r="K7" s="44">
        <f>IF(F7="","",K6+H7)</f>
        <v>0</v>
      </c>
      <c r="L7" s="44">
        <f>IF(F7="","",L6+I7)</f>
        <v>0</v>
      </c>
      <c r="M7" s="53">
        <f>IF(F7="","",L7-K7)</f>
        <v>0</v>
      </c>
      <c r="N7" s="231"/>
      <c r="O7" s="229"/>
      <c r="P7" s="230"/>
      <c r="Q7" s="47">
        <v>44556.959722222222</v>
      </c>
      <c r="R7" s="44">
        <f t="shared" ref="R7:R70" si="0">IF(Q7="","",J7/((Q7-Q6)*24))</f>
        <v>0</v>
      </c>
      <c r="S7" s="44">
        <f t="shared" ref="S7:S70" si="1">IF(Q7="","",M7/((Q7-$Q$6)*24))</f>
        <v>0</v>
      </c>
    </row>
    <row r="8" spans="1:20" ht="12" customHeight="1" x14ac:dyDescent="0.2">
      <c r="A8" s="37"/>
      <c r="B8" s="48" t="s">
        <v>37</v>
      </c>
      <c r="C8" s="49">
        <v>15.74</v>
      </c>
      <c r="D8" s="54"/>
      <c r="E8" s="39">
        <v>357</v>
      </c>
      <c r="F8" s="40">
        <v>3.69</v>
      </c>
      <c r="G8" s="51"/>
      <c r="H8" s="44">
        <f>IF(E8="","",((E8-E7)*C8)/1000)</f>
        <v>1.2592000000000001</v>
      </c>
      <c r="I8" s="52">
        <f>IF(F8="","",F8-F7-G8)</f>
        <v>0.98999999999999977</v>
      </c>
      <c r="J8" s="44">
        <f>IF(F8="","",I8-H8)</f>
        <v>-0.26920000000000033</v>
      </c>
      <c r="K8" s="44">
        <f>IF(F8="","",K7+H8)</f>
        <v>1.2592000000000001</v>
      </c>
      <c r="L8" s="44">
        <f>IF(F8="","",L7+I8)</f>
        <v>0.98999999999999977</v>
      </c>
      <c r="M8" s="53">
        <f>IF(F8="","",L8-K8)</f>
        <v>-0.26920000000000033</v>
      </c>
      <c r="N8" s="231"/>
      <c r="O8" s="229"/>
      <c r="P8" s="230"/>
      <c r="Q8" s="47">
        <v>44556.965277777781</v>
      </c>
      <c r="R8" s="44">
        <f t="shared" si="0"/>
        <v>-2.0189999987072684</v>
      </c>
      <c r="S8" s="44">
        <f t="shared" si="1"/>
        <v>-1.7946666649952552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793</v>
      </c>
      <c r="F9" s="40">
        <v>8.98</v>
      </c>
      <c r="G9" s="51"/>
      <c r="H9" s="44">
        <f>IF(E9="","",((E9-E8)*C9)/1000)</f>
        <v>6.8626400000000007</v>
      </c>
      <c r="I9" s="52">
        <f>IF(F9="","",F9-F8-G9)</f>
        <v>5.2900000000000009</v>
      </c>
      <c r="J9" s="44">
        <f>IF(F9="","",I9-H9)</f>
        <v>-1.5726399999999998</v>
      </c>
      <c r="K9" s="44">
        <f>IF(F9="","",K8+H9)</f>
        <v>8.1218400000000006</v>
      </c>
      <c r="L9" s="44">
        <f>IF(F9="","",L8+I9)</f>
        <v>6.2800000000000011</v>
      </c>
      <c r="M9" s="53">
        <f>IF(F9="","",L9-K9)</f>
        <v>-1.8418399999999995</v>
      </c>
      <c r="N9" s="228"/>
      <c r="O9" s="229"/>
      <c r="P9" s="230"/>
      <c r="Q9" s="47">
        <v>44556.98333333333</v>
      </c>
      <c r="R9" s="44">
        <f t="shared" si="0"/>
        <v>-3.6291692321017015</v>
      </c>
      <c r="S9" s="44">
        <f t="shared" si="1"/>
        <v>-3.1574400001050202</v>
      </c>
    </row>
    <row r="10" spans="1:20" ht="12" customHeight="1" x14ac:dyDescent="0.2">
      <c r="A10" s="37"/>
      <c r="B10" s="48"/>
      <c r="C10" s="49">
        <v>15.74</v>
      </c>
      <c r="D10" s="54"/>
      <c r="E10" s="39">
        <v>1609</v>
      </c>
      <c r="F10" s="40">
        <v>2.13</v>
      </c>
      <c r="G10" s="51">
        <f>-9.08+2.61+2.2-8.61</f>
        <v>-12.879999999999999</v>
      </c>
      <c r="H10" s="44">
        <f>IF(E10="","",((E10-E9)*C10)/1000)</f>
        <v>12.84384</v>
      </c>
      <c r="I10" s="52">
        <f>IF(F10="","",F10-F9-G10)</f>
        <v>6.0299999999999985</v>
      </c>
      <c r="J10" s="44">
        <f t="shared" ref="J10:J73" si="2">IF(F10="","",I10-H10)</f>
        <v>-6.8138400000000017</v>
      </c>
      <c r="K10" s="44">
        <f t="shared" ref="K10:K73" si="3">IF(F10="","",K9+H10)</f>
        <v>20.965679999999999</v>
      </c>
      <c r="L10" s="44">
        <f t="shared" ref="L10:L73" si="4">IF(F10="","",L9+I10)</f>
        <v>12.309999999999999</v>
      </c>
      <c r="M10" s="53">
        <f t="shared" ref="M10:M73" si="5">IF(F10="","",L10-K10)</f>
        <v>-8.6556800000000003</v>
      </c>
      <c r="N10" s="249"/>
      <c r="O10" s="250"/>
      <c r="P10" s="251"/>
      <c r="Q10" s="47">
        <v>44557.045138888891</v>
      </c>
      <c r="R10" s="44">
        <f t="shared" si="0"/>
        <v>-4.5935999996274681</v>
      </c>
      <c r="S10" s="44">
        <f t="shared" si="1"/>
        <v>-4.1882322578600499</v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>
        <v>1879</v>
      </c>
      <c r="F11" s="40">
        <v>3.92</v>
      </c>
      <c r="G11" s="51">
        <f>2.57-9</f>
        <v>-6.43</v>
      </c>
      <c r="H11" s="44">
        <f>IF(E11="","",((E11-E10)*C11)/1000)</f>
        <v>4.2498000000000005</v>
      </c>
      <c r="I11" s="52">
        <f t="shared" ref="I11:I74" si="6">IF(F11="","",F11-F10-G11)</f>
        <v>8.2199999999999989</v>
      </c>
      <c r="J11" s="44">
        <f t="shared" si="2"/>
        <v>3.9701999999999984</v>
      </c>
      <c r="K11" s="44">
        <f t="shared" si="3"/>
        <v>25.215479999999999</v>
      </c>
      <c r="L11" s="44">
        <f t="shared" si="4"/>
        <v>20.529999999999998</v>
      </c>
      <c r="M11" s="53">
        <f t="shared" si="5"/>
        <v>-4.6854800000000019</v>
      </c>
      <c r="N11" s="228"/>
      <c r="O11" s="229"/>
      <c r="P11" s="230"/>
      <c r="Q11" s="47">
        <v>44557.069444444445</v>
      </c>
      <c r="R11" s="44">
        <f t="shared" si="0"/>
        <v>6.8060571430835202</v>
      </c>
      <c r="S11" s="44">
        <f t="shared" si="1"/>
        <v>-1.7681056603229879</v>
      </c>
    </row>
    <row r="12" spans="1:20" ht="12" customHeight="1" x14ac:dyDescent="0.2">
      <c r="A12" s="37"/>
      <c r="B12" s="48"/>
      <c r="C12" s="49">
        <v>15.74</v>
      </c>
      <c r="D12" s="54"/>
      <c r="E12" s="39">
        <v>1899</v>
      </c>
      <c r="F12" s="56">
        <v>87.07</v>
      </c>
      <c r="G12" s="51">
        <v>83.15</v>
      </c>
      <c r="H12" s="44">
        <f t="shared" ref="H12:H74" si="7">IF(E12="","",((E12-E11)*C12)/1000)</f>
        <v>0.31480000000000002</v>
      </c>
      <c r="I12" s="52">
        <f t="shared" si="6"/>
        <v>-1.4210854715202004E-14</v>
      </c>
      <c r="J12" s="44">
        <f t="shared" si="2"/>
        <v>-0.31480000000001424</v>
      </c>
      <c r="K12" s="44">
        <f t="shared" si="3"/>
        <v>25.530280000000001</v>
      </c>
      <c r="L12" s="44">
        <f t="shared" si="4"/>
        <v>20.529999999999983</v>
      </c>
      <c r="M12" s="53">
        <f t="shared" si="5"/>
        <v>-5.0002800000000178</v>
      </c>
      <c r="N12" s="228" t="s">
        <v>79</v>
      </c>
      <c r="O12" s="229"/>
      <c r="P12" s="230"/>
      <c r="Q12" s="47">
        <v>44557.097222222219</v>
      </c>
      <c r="R12" s="44">
        <f t="shared" si="0"/>
        <v>-0.47220000006873547</v>
      </c>
      <c r="S12" s="44">
        <f t="shared" si="1"/>
        <v>-1.5076221105598249</v>
      </c>
    </row>
    <row r="13" spans="1:20" ht="12" customHeight="1" x14ac:dyDescent="0.2">
      <c r="A13" s="37"/>
      <c r="B13" s="48"/>
      <c r="C13" s="49">
        <v>15.74</v>
      </c>
      <c r="D13" s="54"/>
      <c r="E13" s="39">
        <v>1899</v>
      </c>
      <c r="F13" s="56">
        <v>98.97</v>
      </c>
      <c r="G13" s="51">
        <f>22-2.9</f>
        <v>19.100000000000001</v>
      </c>
      <c r="H13" s="44">
        <f>IF(E13="","",((E13-E12)*C13)/1000)</f>
        <v>0</v>
      </c>
      <c r="I13" s="52">
        <f t="shared" si="6"/>
        <v>-7.1999999999999957</v>
      </c>
      <c r="J13" s="44">
        <f t="shared" si="2"/>
        <v>-7.1999999999999957</v>
      </c>
      <c r="K13" s="44">
        <f t="shared" si="3"/>
        <v>25.530280000000001</v>
      </c>
      <c r="L13" s="44">
        <f t="shared" si="4"/>
        <v>13.329999999999988</v>
      </c>
      <c r="M13" s="53">
        <f t="shared" si="5"/>
        <v>-12.200280000000014</v>
      </c>
      <c r="N13" s="231"/>
      <c r="O13" s="229"/>
      <c r="P13" s="230"/>
      <c r="Q13" s="47">
        <v>44557.125</v>
      </c>
      <c r="R13" s="44">
        <f t="shared" si="0"/>
        <v>-10.799999998742708</v>
      </c>
      <c r="S13" s="44">
        <f t="shared" si="1"/>
        <v>-3.0628317991154428</v>
      </c>
    </row>
    <row r="14" spans="1:20" ht="12" customHeight="1" x14ac:dyDescent="0.2">
      <c r="A14" s="37"/>
      <c r="B14" s="48"/>
      <c r="C14" s="49">
        <v>15.74</v>
      </c>
      <c r="D14" s="54"/>
      <c r="E14" s="39">
        <v>1899</v>
      </c>
      <c r="F14" s="56">
        <v>97.73</v>
      </c>
      <c r="G14" s="51"/>
      <c r="H14" s="44">
        <f t="shared" si="7"/>
        <v>0</v>
      </c>
      <c r="I14" s="52">
        <f t="shared" si="6"/>
        <v>-1.2399999999999949</v>
      </c>
      <c r="J14" s="44">
        <f t="shared" si="2"/>
        <v>-1.2399999999999949</v>
      </c>
      <c r="K14" s="44">
        <f t="shared" si="3"/>
        <v>25.530280000000001</v>
      </c>
      <c r="L14" s="44">
        <f t="shared" si="4"/>
        <v>12.089999999999993</v>
      </c>
      <c r="M14" s="53">
        <f t="shared" si="5"/>
        <v>-13.440280000000008</v>
      </c>
      <c r="N14" s="231"/>
      <c r="O14" s="229"/>
      <c r="P14" s="230"/>
      <c r="Q14" s="47">
        <v>44557.138888888891</v>
      </c>
      <c r="R14" s="44">
        <f t="shared" si="0"/>
        <v>-3.7199999995669195</v>
      </c>
      <c r="S14" s="44">
        <f t="shared" si="1"/>
        <v>-3.1135783783056068</v>
      </c>
    </row>
    <row r="15" spans="1:20" ht="12" customHeight="1" x14ac:dyDescent="0.2">
      <c r="A15" s="37"/>
      <c r="B15" s="48"/>
      <c r="C15" s="49">
        <v>15.74</v>
      </c>
      <c r="D15" s="54"/>
      <c r="E15" s="39">
        <v>1899</v>
      </c>
      <c r="F15" s="40">
        <v>95.77</v>
      </c>
      <c r="G15" s="51"/>
      <c r="H15" s="44">
        <f t="shared" si="7"/>
        <v>0</v>
      </c>
      <c r="I15" s="52">
        <f t="shared" si="6"/>
        <v>-1.960000000000008</v>
      </c>
      <c r="J15" s="44">
        <f t="shared" si="2"/>
        <v>-1.960000000000008</v>
      </c>
      <c r="K15" s="44">
        <f t="shared" si="3"/>
        <v>25.530280000000001</v>
      </c>
      <c r="L15" s="44">
        <f t="shared" si="4"/>
        <v>10.129999999999985</v>
      </c>
      <c r="M15" s="53">
        <f t="shared" si="5"/>
        <v>-15.400280000000016</v>
      </c>
      <c r="N15" s="231"/>
      <c r="O15" s="229"/>
      <c r="P15" s="230"/>
      <c r="Q15" s="47">
        <v>44557.166666666664</v>
      </c>
      <c r="R15" s="44">
        <f t="shared" si="0"/>
        <v>-2.9400000004278382</v>
      </c>
      <c r="S15" s="44">
        <f t="shared" si="1"/>
        <v>-3.0903571906330485</v>
      </c>
    </row>
    <row r="16" spans="1:20" ht="12" customHeight="1" x14ac:dyDescent="0.2">
      <c r="A16" s="37"/>
      <c r="B16" s="48"/>
      <c r="C16" s="49">
        <v>15.74</v>
      </c>
      <c r="D16" s="57"/>
      <c r="E16" s="39">
        <v>1899</v>
      </c>
      <c r="F16" s="40">
        <v>94.38</v>
      </c>
      <c r="G16" s="51"/>
      <c r="H16" s="44">
        <f t="shared" si="7"/>
        <v>0</v>
      </c>
      <c r="I16" s="52">
        <f t="shared" si="6"/>
        <v>-1.3900000000000006</v>
      </c>
      <c r="J16" s="44">
        <f t="shared" si="2"/>
        <v>-1.3900000000000006</v>
      </c>
      <c r="K16" s="44">
        <f t="shared" si="3"/>
        <v>25.530280000000001</v>
      </c>
      <c r="L16" s="44">
        <f t="shared" si="4"/>
        <v>8.7399999999999842</v>
      </c>
      <c r="M16" s="53">
        <f t="shared" si="5"/>
        <v>-16.790280000000017</v>
      </c>
      <c r="N16" s="228"/>
      <c r="O16" s="229"/>
      <c r="P16" s="230"/>
      <c r="Q16" s="47">
        <v>44557.190972222219</v>
      </c>
      <c r="R16" s="44">
        <f t="shared" si="0"/>
        <v>-2.3828571429364014</v>
      </c>
      <c r="S16" s="44">
        <f t="shared" si="1"/>
        <v>-3.0162179640802695</v>
      </c>
      <c r="T16" s="55"/>
    </row>
    <row r="17" spans="1:19" ht="12" customHeight="1" x14ac:dyDescent="0.2">
      <c r="A17" s="37"/>
      <c r="B17" s="48"/>
      <c r="C17" s="49">
        <v>15.74</v>
      </c>
      <c r="D17" s="54"/>
      <c r="E17" s="39">
        <v>1899</v>
      </c>
      <c r="F17" s="40">
        <v>93.34</v>
      </c>
      <c r="G17" s="51"/>
      <c r="H17" s="44">
        <f t="shared" si="7"/>
        <v>0</v>
      </c>
      <c r="I17" s="52">
        <f t="shared" si="6"/>
        <v>-1.039999999999992</v>
      </c>
      <c r="J17" s="44">
        <f t="shared" si="2"/>
        <v>-1.039999999999992</v>
      </c>
      <c r="K17" s="44">
        <f t="shared" si="3"/>
        <v>25.530280000000001</v>
      </c>
      <c r="L17" s="44">
        <f t="shared" si="4"/>
        <v>7.6999999999999922</v>
      </c>
      <c r="M17" s="53">
        <f t="shared" si="5"/>
        <v>-17.830280000000009</v>
      </c>
      <c r="N17" s="231"/>
      <c r="O17" s="229"/>
      <c r="P17" s="230"/>
      <c r="Q17" s="47">
        <v>44557.208333333336</v>
      </c>
      <c r="R17" s="44">
        <f t="shared" si="0"/>
        <v>-2.4959999991863775</v>
      </c>
      <c r="S17" s="44">
        <f t="shared" si="1"/>
        <v>-2.9799910862910632</v>
      </c>
    </row>
    <row r="18" spans="1:19" ht="12" customHeight="1" x14ac:dyDescent="0.2">
      <c r="A18" s="37"/>
      <c r="B18" s="48"/>
      <c r="C18" s="49">
        <v>15.74</v>
      </c>
      <c r="D18" s="54"/>
      <c r="E18" s="39">
        <v>1899</v>
      </c>
      <c r="F18" s="40">
        <v>91.76</v>
      </c>
      <c r="G18" s="40"/>
      <c r="H18" s="44">
        <f t="shared" si="7"/>
        <v>0</v>
      </c>
      <c r="I18" s="52">
        <f t="shared" si="6"/>
        <v>-1.5799999999999983</v>
      </c>
      <c r="J18" s="44">
        <f t="shared" si="2"/>
        <v>-1.5799999999999983</v>
      </c>
      <c r="K18" s="44">
        <f t="shared" si="3"/>
        <v>25.530280000000001</v>
      </c>
      <c r="L18" s="44">
        <f t="shared" si="4"/>
        <v>6.1199999999999939</v>
      </c>
      <c r="M18" s="53">
        <f t="shared" si="5"/>
        <v>-19.410280000000007</v>
      </c>
      <c r="N18" s="228"/>
      <c r="O18" s="229"/>
      <c r="P18" s="230"/>
      <c r="Q18" s="47">
        <v>44557.229166666664</v>
      </c>
      <c r="R18" s="44">
        <f t="shared" si="0"/>
        <v>-3.1600000007357414</v>
      </c>
      <c r="S18" s="44">
        <f t="shared" si="1"/>
        <v>-2.993873521849109</v>
      </c>
    </row>
    <row r="19" spans="1:19" ht="12" customHeight="1" x14ac:dyDescent="0.2">
      <c r="A19" s="37"/>
      <c r="B19" s="48"/>
      <c r="C19" s="49">
        <v>15.74</v>
      </c>
      <c r="D19" s="54"/>
      <c r="E19" s="39">
        <v>1899</v>
      </c>
      <c r="F19" s="40">
        <v>90.35</v>
      </c>
      <c r="G19" s="40"/>
      <c r="H19" s="44">
        <f t="shared" si="7"/>
        <v>0</v>
      </c>
      <c r="I19" s="52">
        <f t="shared" si="6"/>
        <v>-1.4100000000000108</v>
      </c>
      <c r="J19" s="44">
        <f t="shared" si="2"/>
        <v>-1.4100000000000108</v>
      </c>
      <c r="K19" s="44">
        <f t="shared" si="3"/>
        <v>25.530280000000001</v>
      </c>
      <c r="L19" s="44">
        <f t="shared" si="4"/>
        <v>4.7099999999999831</v>
      </c>
      <c r="M19" s="53">
        <f t="shared" si="5"/>
        <v>-20.820280000000018</v>
      </c>
      <c r="N19" s="228"/>
      <c r="O19" s="229"/>
      <c r="P19" s="230"/>
      <c r="Q19" s="47">
        <v>44557.25</v>
      </c>
      <c r="R19" s="44">
        <f t="shared" si="0"/>
        <v>-2.8199999996717304</v>
      </c>
      <c r="S19" s="44">
        <f t="shared" si="1"/>
        <v>-2.9814243436489125</v>
      </c>
    </row>
    <row r="20" spans="1:19" ht="12" customHeight="1" x14ac:dyDescent="0.2">
      <c r="A20" s="37"/>
      <c r="B20" s="48"/>
      <c r="C20" s="49">
        <v>15.74</v>
      </c>
      <c r="D20" s="54"/>
      <c r="E20" s="39">
        <v>1899</v>
      </c>
      <c r="F20" s="40">
        <v>9.06</v>
      </c>
      <c r="G20" s="40">
        <v>-81.290000000000006</v>
      </c>
      <c r="H20" s="44">
        <f t="shared" si="7"/>
        <v>0</v>
      </c>
      <c r="I20" s="52">
        <f t="shared" si="6"/>
        <v>1.4210854715202004E-14</v>
      </c>
      <c r="J20" s="44">
        <f t="shared" si="2"/>
        <v>1.4210854715202004E-14</v>
      </c>
      <c r="K20" s="44">
        <f t="shared" si="3"/>
        <v>25.530280000000001</v>
      </c>
      <c r="L20" s="44">
        <f t="shared" si="4"/>
        <v>4.7099999999999973</v>
      </c>
      <c r="M20" s="53">
        <f t="shared" si="5"/>
        <v>-20.820280000000004</v>
      </c>
      <c r="N20" s="242" t="s">
        <v>66</v>
      </c>
      <c r="O20" s="229"/>
      <c r="P20" s="230"/>
      <c r="Q20" s="47">
        <v>44557.265277777777</v>
      </c>
      <c r="R20" s="44">
        <f t="shared" si="0"/>
        <v>3.8756876498876669E-14</v>
      </c>
      <c r="S20" s="44">
        <f t="shared" si="1"/>
        <v>-2.8326911564491257</v>
      </c>
    </row>
    <row r="21" spans="1:19" ht="12" customHeight="1" x14ac:dyDescent="0.2">
      <c r="A21" s="37"/>
      <c r="B21" s="48"/>
      <c r="C21" s="49">
        <v>15.74</v>
      </c>
      <c r="D21" s="54"/>
      <c r="E21" s="39">
        <v>1899</v>
      </c>
      <c r="F21" s="40">
        <v>8.9</v>
      </c>
      <c r="G21" s="51"/>
      <c r="H21" s="44">
        <f t="shared" si="7"/>
        <v>0</v>
      </c>
      <c r="I21" s="52">
        <f t="shared" si="6"/>
        <v>-0.16000000000000014</v>
      </c>
      <c r="J21" s="44">
        <f t="shared" si="2"/>
        <v>-0.16000000000000014</v>
      </c>
      <c r="K21" s="44">
        <f t="shared" si="3"/>
        <v>25.530280000000001</v>
      </c>
      <c r="L21" s="44">
        <f t="shared" si="4"/>
        <v>4.5499999999999972</v>
      </c>
      <c r="M21" s="53">
        <f t="shared" si="5"/>
        <v>-20.980280000000004</v>
      </c>
      <c r="N21" s="228"/>
      <c r="O21" s="229"/>
      <c r="P21" s="230"/>
      <c r="Q21" s="47">
        <v>44557.272222222222</v>
      </c>
      <c r="R21" s="44">
        <f t="shared" si="0"/>
        <v>-0.95999999988824214</v>
      </c>
      <c r="S21" s="44">
        <f t="shared" si="1"/>
        <v>-2.791168070933264</v>
      </c>
    </row>
    <row r="22" spans="1:19" ht="12" customHeight="1" x14ac:dyDescent="0.2">
      <c r="A22" s="37"/>
      <c r="B22" s="48"/>
      <c r="C22" s="49">
        <v>15.74</v>
      </c>
      <c r="D22" s="54"/>
      <c r="E22" s="39">
        <v>1899</v>
      </c>
      <c r="F22" s="40">
        <v>8.32</v>
      </c>
      <c r="G22" s="51"/>
      <c r="H22" s="44">
        <f t="shared" si="7"/>
        <v>0</v>
      </c>
      <c r="I22" s="52">
        <f t="shared" si="6"/>
        <v>-0.58000000000000007</v>
      </c>
      <c r="J22" s="44">
        <f t="shared" si="2"/>
        <v>-0.58000000000000007</v>
      </c>
      <c r="K22" s="44">
        <f t="shared" si="3"/>
        <v>25.530280000000001</v>
      </c>
      <c r="L22" s="44">
        <f t="shared" si="4"/>
        <v>3.9699999999999971</v>
      </c>
      <c r="M22" s="53">
        <f t="shared" si="5"/>
        <v>-21.560280000000006</v>
      </c>
      <c r="N22" s="228" t="s">
        <v>66</v>
      </c>
      <c r="O22" s="229"/>
      <c r="P22" s="230"/>
      <c r="Q22" s="47">
        <v>44557.292361111111</v>
      </c>
      <c r="R22" s="44">
        <f t="shared" si="0"/>
        <v>-1.1999999999903659</v>
      </c>
      <c r="S22" s="44">
        <f t="shared" si="1"/>
        <v>-2.695034999980392</v>
      </c>
    </row>
    <row r="23" spans="1:19" ht="12" customHeight="1" x14ac:dyDescent="0.2">
      <c r="A23" s="37"/>
      <c r="B23" s="48"/>
      <c r="C23" s="49">
        <v>4.37</v>
      </c>
      <c r="D23" s="58"/>
      <c r="E23" s="39">
        <v>1899</v>
      </c>
      <c r="F23" s="40">
        <v>8.11</v>
      </c>
      <c r="G23" s="51"/>
      <c r="H23" s="44">
        <f t="shared" si="7"/>
        <v>0</v>
      </c>
      <c r="I23" s="52">
        <f t="shared" si="6"/>
        <v>-0.21000000000000085</v>
      </c>
      <c r="J23" s="44">
        <f t="shared" si="2"/>
        <v>-0.21000000000000085</v>
      </c>
      <c r="K23" s="44">
        <f t="shared" si="3"/>
        <v>25.530280000000001</v>
      </c>
      <c r="L23" s="44">
        <f t="shared" si="4"/>
        <v>3.7599999999999962</v>
      </c>
      <c r="M23" s="53">
        <f t="shared" si="5"/>
        <v>-21.770280000000007</v>
      </c>
      <c r="N23" s="228"/>
      <c r="O23" s="229"/>
      <c r="P23" s="230"/>
      <c r="Q23" s="47">
        <v>44557.299305555556</v>
      </c>
      <c r="R23" s="44">
        <f t="shared" si="0"/>
        <v>-1.2599999998533218</v>
      </c>
      <c r="S23" s="44">
        <f t="shared" si="1"/>
        <v>-2.6657485714032387</v>
      </c>
    </row>
    <row r="24" spans="1:19" ht="12" customHeight="1" x14ac:dyDescent="0.2">
      <c r="A24" s="37"/>
      <c r="B24" s="48"/>
      <c r="C24" s="49">
        <v>4.37</v>
      </c>
      <c r="D24" s="58"/>
      <c r="E24" s="39">
        <v>1282</v>
      </c>
      <c r="F24" s="40">
        <v>3.2</v>
      </c>
      <c r="G24" s="51"/>
      <c r="H24" s="44">
        <f t="shared" si="7"/>
        <v>-2.6962899999999999</v>
      </c>
      <c r="I24" s="52">
        <f t="shared" si="6"/>
        <v>-4.9099999999999993</v>
      </c>
      <c r="J24" s="44">
        <f t="shared" si="2"/>
        <v>-2.2137099999999994</v>
      </c>
      <c r="K24" s="44">
        <f t="shared" si="3"/>
        <v>22.83399</v>
      </c>
      <c r="L24" s="44">
        <f t="shared" si="4"/>
        <v>-1.150000000000003</v>
      </c>
      <c r="M24" s="53">
        <f t="shared" si="5"/>
        <v>-23.983990000000002</v>
      </c>
      <c r="N24" s="231" t="s">
        <v>65</v>
      </c>
      <c r="O24" s="229"/>
      <c r="P24" s="230"/>
      <c r="Q24" s="47">
        <v>44557.34375</v>
      </c>
      <c r="R24" s="44">
        <f t="shared" si="0"/>
        <v>-2.0753531250301998</v>
      </c>
      <c r="S24" s="44">
        <f t="shared" si="1"/>
        <v>-2.597544043303833</v>
      </c>
    </row>
    <row r="25" spans="1:19" ht="12" customHeight="1" x14ac:dyDescent="0.2">
      <c r="A25" s="37"/>
      <c r="B25" s="48"/>
      <c r="C25" s="49">
        <v>4.37</v>
      </c>
      <c r="D25" s="58"/>
      <c r="E25" s="39"/>
      <c r="F25" s="40"/>
      <c r="G25" s="51">
        <v>5.5</v>
      </c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8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>
        <v>4.37</v>
      </c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U112"/>
  <sheetViews>
    <sheetView zoomScaleNormal="100" workbookViewId="0">
      <selection activeCell="E15" sqref="E15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16</v>
      </c>
      <c r="F6" s="40">
        <v>3.19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44556.440972222219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200</v>
      </c>
      <c r="F7" s="40">
        <v>4.82</v>
      </c>
      <c r="G7" s="51"/>
      <c r="H7" s="44">
        <f>IF(E7="","",((E7-E6)*C7)/1000)</f>
        <v>1.94672</v>
      </c>
      <c r="I7" s="52">
        <f>IF(F7="","",F7-F6-G7)</f>
        <v>1.6300000000000003</v>
      </c>
      <c r="J7" s="44">
        <f>IF(F7="","",I7-H7)</f>
        <v>-0.31671999999999967</v>
      </c>
      <c r="K7" s="44">
        <f>IF(F7="","",K6+H7)</f>
        <v>1.94672</v>
      </c>
      <c r="L7" s="44">
        <f>IF(F7="","",L6+I7)</f>
        <v>1.6300000000000003</v>
      </c>
      <c r="M7" s="53">
        <f>IF(F7="","",L7-K7)</f>
        <v>-0.31671999999999967</v>
      </c>
      <c r="N7" s="231"/>
      <c r="O7" s="229"/>
      <c r="P7" s="230"/>
      <c r="Q7" s="47">
        <v>44556.454861111109</v>
      </c>
      <c r="R7" s="44">
        <f t="shared" ref="R7:R70" si="0">IF(Q7="","",J7/((Q7-Q6)*24))</f>
        <v>-0.95015999988938582</v>
      </c>
      <c r="S7" s="44">
        <f t="shared" ref="S7:S70" si="1">IF(Q7="","",M7/((Q7-$Q$6)*24))</f>
        <v>-0.95015999988938582</v>
      </c>
    </row>
    <row r="8" spans="1:20" ht="12" customHeight="1" x14ac:dyDescent="0.2">
      <c r="A8" s="37"/>
      <c r="B8" s="48" t="s">
        <v>38</v>
      </c>
      <c r="C8" s="49">
        <v>4.37</v>
      </c>
      <c r="D8" s="54"/>
      <c r="E8" s="39">
        <v>988</v>
      </c>
      <c r="F8" s="40">
        <v>6.86</v>
      </c>
      <c r="G8" s="51"/>
      <c r="H8" s="44">
        <f>IF(E8="","",((E8-E7)*C8)/1000)</f>
        <v>3.4435599999999997</v>
      </c>
      <c r="I8" s="52">
        <f>IF(F8="","",F8-F7-G8)</f>
        <v>2.04</v>
      </c>
      <c r="J8" s="44">
        <f>IF(F8="","",I8-H8)</f>
        <v>-1.4035599999999997</v>
      </c>
      <c r="K8" s="44">
        <f>IF(F8="","",K7+H8)</f>
        <v>5.3902799999999997</v>
      </c>
      <c r="L8" s="44">
        <f>IF(F8="","",L7+I8)</f>
        <v>3.6700000000000004</v>
      </c>
      <c r="M8" s="53">
        <f>IF(F8="","",L8-K8)</f>
        <v>-1.7202799999999994</v>
      </c>
      <c r="N8" s="231"/>
      <c r="O8" s="229"/>
      <c r="P8" s="230"/>
      <c r="Q8" s="47">
        <v>44556.490972222222</v>
      </c>
      <c r="R8" s="44">
        <f t="shared" si="0"/>
        <v>-1.6194923076342969</v>
      </c>
      <c r="S8" s="44">
        <f t="shared" si="1"/>
        <v>-1.4335666665832216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1818</v>
      </c>
      <c r="F9" s="40">
        <v>7.71</v>
      </c>
      <c r="G9" s="51"/>
      <c r="H9" s="44">
        <f>IF(E9="","",((E9-E8)*C9)/1000)</f>
        <v>3.6271</v>
      </c>
      <c r="I9" s="52">
        <f>IF(F9="","",F9-F8-G9)</f>
        <v>0.84999999999999964</v>
      </c>
      <c r="J9" s="44">
        <f>IF(F9="","",I9-H9)</f>
        <v>-2.7771000000000003</v>
      </c>
      <c r="K9" s="44">
        <f>IF(F9="","",K8+H9)</f>
        <v>9.0173799999999993</v>
      </c>
      <c r="L9" s="44">
        <f>IF(F9="","",L8+I9)</f>
        <v>4.5199999999999996</v>
      </c>
      <c r="M9" s="53">
        <f>IF(F9="","",L9-K9)</f>
        <v>-4.4973799999999997</v>
      </c>
      <c r="N9" s="228"/>
      <c r="O9" s="229"/>
      <c r="P9" s="230"/>
      <c r="Q9" s="47">
        <v>44556.566666666666</v>
      </c>
      <c r="R9" s="44">
        <f t="shared" si="0"/>
        <v>-1.5286788990956304</v>
      </c>
      <c r="S9" s="44">
        <f t="shared" si="1"/>
        <v>-1.4908441988681789</v>
      </c>
    </row>
    <row r="10" spans="1:20" ht="12" customHeight="1" x14ac:dyDescent="0.2">
      <c r="A10" s="37"/>
      <c r="B10" s="48"/>
      <c r="C10" s="49">
        <v>4.37</v>
      </c>
      <c r="D10" s="54"/>
      <c r="E10" s="39">
        <v>1560</v>
      </c>
      <c r="F10" s="40">
        <v>6</v>
      </c>
      <c r="G10" s="51"/>
      <c r="H10" s="44">
        <f>IF(E10="","",((E10-E9)*C10)/1000)</f>
        <v>-1.1274600000000001</v>
      </c>
      <c r="I10" s="52">
        <f>IF(F10="","",F10-F9-G10)</f>
        <v>-1.71</v>
      </c>
      <c r="J10" s="44">
        <f t="shared" ref="J10:J73" si="2">IF(F10="","",I10-H10)</f>
        <v>-0.58253999999999984</v>
      </c>
      <c r="K10" s="44">
        <f t="shared" ref="K10:K73" si="3">IF(F10="","",K9+H10)</f>
        <v>7.8899199999999992</v>
      </c>
      <c r="L10" s="44">
        <f t="shared" ref="L10:L73" si="4">IF(F10="","",L9+I10)</f>
        <v>2.8099999999999996</v>
      </c>
      <c r="M10" s="53">
        <f t="shared" ref="M10:M73" si="5">IF(F10="","",L10-K10)</f>
        <v>-5.0799199999999995</v>
      </c>
      <c r="N10" s="249"/>
      <c r="O10" s="250"/>
      <c r="P10" s="251"/>
      <c r="Q10" s="47">
        <v>44556.701388888891</v>
      </c>
      <c r="R10" s="44">
        <f t="shared" si="0"/>
        <v>-0.18016701030581864</v>
      </c>
      <c r="S10" s="44">
        <f t="shared" si="1"/>
        <v>-0.8127871999848606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1152</v>
      </c>
      <c r="F11" s="40">
        <v>2.93</v>
      </c>
      <c r="G11" s="51"/>
      <c r="H11" s="44">
        <f>IF(E11="","",((E11-E10)*C11)/1000)</f>
        <v>-1.7829600000000001</v>
      </c>
      <c r="I11" s="52">
        <f t="shared" ref="I11:I74" si="6">IF(F11="","",F11-F10-G11)</f>
        <v>-3.07</v>
      </c>
      <c r="J11" s="44">
        <f t="shared" si="2"/>
        <v>-1.2870399999999997</v>
      </c>
      <c r="K11" s="44">
        <f t="shared" si="3"/>
        <v>6.1069599999999991</v>
      </c>
      <c r="L11" s="44">
        <f t="shared" si="4"/>
        <v>-0.26000000000000023</v>
      </c>
      <c r="M11" s="53">
        <f t="shared" si="5"/>
        <v>-6.3669599999999988</v>
      </c>
      <c r="N11" s="228"/>
      <c r="O11" s="229"/>
      <c r="P11" s="230"/>
      <c r="Q11" s="47">
        <v>44556.720833333333</v>
      </c>
      <c r="R11" s="44">
        <f t="shared" si="0"/>
        <v>-2.7579428574409901</v>
      </c>
      <c r="S11" s="44">
        <f t="shared" si="1"/>
        <v>-0.94793449130582608</v>
      </c>
    </row>
    <row r="12" spans="1:20" ht="12" customHeight="1" x14ac:dyDescent="0.2">
      <c r="A12" s="37"/>
      <c r="B12" s="48"/>
      <c r="C12" s="49">
        <v>4.37</v>
      </c>
      <c r="D12" s="54"/>
      <c r="E12" s="39">
        <v>581</v>
      </c>
      <c r="F12" s="56">
        <v>4.34</v>
      </c>
      <c r="G12" s="51">
        <v>5.6</v>
      </c>
      <c r="H12" s="44">
        <f t="shared" ref="H12:H74" si="7">IF(E12="","",((E12-E11)*C12)/1000)</f>
        <v>-2.4952700000000001</v>
      </c>
      <c r="I12" s="52">
        <f t="shared" si="6"/>
        <v>-4.1899999999999995</v>
      </c>
      <c r="J12" s="44">
        <f t="shared" si="2"/>
        <v>-1.6947299999999994</v>
      </c>
      <c r="K12" s="44">
        <f t="shared" si="3"/>
        <v>3.611689999999999</v>
      </c>
      <c r="L12" s="44">
        <f t="shared" si="4"/>
        <v>-4.4499999999999993</v>
      </c>
      <c r="M12" s="53">
        <f t="shared" si="5"/>
        <v>-8.0616899999999987</v>
      </c>
      <c r="N12" s="228"/>
      <c r="O12" s="229"/>
      <c r="P12" s="230"/>
      <c r="Q12" s="47">
        <v>44556.74722222222</v>
      </c>
      <c r="R12" s="44">
        <f t="shared" si="0"/>
        <v>-2.6758894738153738</v>
      </c>
      <c r="S12" s="44">
        <f t="shared" si="1"/>
        <v>-1.0968285714233594</v>
      </c>
    </row>
    <row r="13" spans="1:20" ht="12" customHeight="1" x14ac:dyDescent="0.2">
      <c r="A13" s="37"/>
      <c r="B13" s="48"/>
      <c r="C13" s="49">
        <v>4.37</v>
      </c>
      <c r="D13" s="54"/>
      <c r="E13" s="39">
        <v>581</v>
      </c>
      <c r="F13" s="56">
        <v>4.0599999999999996</v>
      </c>
      <c r="G13" s="51"/>
      <c r="H13" s="44">
        <f>IF(E13="","",((E13-E12)*C13)/1000)</f>
        <v>0</v>
      </c>
      <c r="I13" s="52">
        <f t="shared" si="6"/>
        <v>-0.28000000000000025</v>
      </c>
      <c r="J13" s="44">
        <f t="shared" si="2"/>
        <v>-0.28000000000000025</v>
      </c>
      <c r="K13" s="44">
        <f t="shared" si="3"/>
        <v>3.611689999999999</v>
      </c>
      <c r="L13" s="44">
        <f t="shared" si="4"/>
        <v>-4.7299999999999995</v>
      </c>
      <c r="M13" s="53">
        <f t="shared" si="5"/>
        <v>-8.3416899999999981</v>
      </c>
      <c r="N13" s="231" t="s">
        <v>66</v>
      </c>
      <c r="O13" s="229"/>
      <c r="P13" s="230"/>
      <c r="Q13" s="47">
        <v>44556.75277777778</v>
      </c>
      <c r="R13" s="44">
        <f t="shared" si="0"/>
        <v>-2.099999998655405</v>
      </c>
      <c r="S13" s="44">
        <f t="shared" si="1"/>
        <v>-1.1147024498707221</v>
      </c>
    </row>
    <row r="14" spans="1:20" ht="12" customHeight="1" x14ac:dyDescent="0.2">
      <c r="A14" s="37"/>
      <c r="B14" s="48"/>
      <c r="C14" s="49">
        <v>4.37</v>
      </c>
      <c r="D14" s="54"/>
      <c r="E14" s="39">
        <v>200</v>
      </c>
      <c r="F14" s="56">
        <v>6.11</v>
      </c>
      <c r="G14" s="51">
        <v>5.2</v>
      </c>
      <c r="H14" s="44">
        <f t="shared" si="7"/>
        <v>-1.6649700000000001</v>
      </c>
      <c r="I14" s="52">
        <f t="shared" si="6"/>
        <v>-3.1499999999999995</v>
      </c>
      <c r="J14" s="44">
        <f t="shared" si="2"/>
        <v>-1.4850299999999994</v>
      </c>
      <c r="K14" s="44">
        <f t="shared" si="3"/>
        <v>1.9467199999999989</v>
      </c>
      <c r="L14" s="44">
        <f t="shared" si="4"/>
        <v>-7.879999999999999</v>
      </c>
      <c r="M14" s="53">
        <f t="shared" si="5"/>
        <v>-9.8267199999999981</v>
      </c>
      <c r="N14" s="231"/>
      <c r="O14" s="229"/>
      <c r="P14" s="230"/>
      <c r="Q14" s="47">
        <v>44556.772222222222</v>
      </c>
      <c r="R14" s="44">
        <f t="shared" si="0"/>
        <v>-3.1822071432011381</v>
      </c>
      <c r="S14" s="44">
        <f t="shared" si="1"/>
        <v>-1.2360654087941711</v>
      </c>
    </row>
    <row r="15" spans="1:20" ht="12" customHeight="1" x14ac:dyDescent="0.2">
      <c r="A15" s="37"/>
      <c r="B15" s="48" t="s">
        <v>29</v>
      </c>
      <c r="C15" s="49">
        <v>10.58</v>
      </c>
      <c r="D15" s="54"/>
      <c r="E15" s="39"/>
      <c r="F15" s="40"/>
      <c r="G15" s="51"/>
      <c r="H15" s="44" t="str">
        <f t="shared" si="7"/>
        <v/>
      </c>
      <c r="I15" s="52" t="str">
        <f t="shared" si="6"/>
        <v/>
      </c>
      <c r="J15" s="44" t="str">
        <f t="shared" si="2"/>
        <v/>
      </c>
      <c r="K15" s="44" t="str">
        <f t="shared" si="3"/>
        <v/>
      </c>
      <c r="L15" s="44" t="str">
        <f t="shared" si="4"/>
        <v/>
      </c>
      <c r="M15" s="53" t="str">
        <f t="shared" si="5"/>
        <v/>
      </c>
      <c r="N15" s="231"/>
      <c r="O15" s="229"/>
      <c r="P15" s="230"/>
      <c r="Q15" s="47"/>
      <c r="R15" s="44" t="str">
        <f t="shared" si="0"/>
        <v/>
      </c>
      <c r="S15" s="44" t="str">
        <f t="shared" si="1"/>
        <v/>
      </c>
    </row>
    <row r="16" spans="1:20" ht="12" customHeight="1" x14ac:dyDescent="0.2">
      <c r="A16" s="37"/>
      <c r="B16" s="48"/>
      <c r="C16" s="49">
        <v>10.58</v>
      </c>
      <c r="D16" s="57"/>
      <c r="E16" s="39"/>
      <c r="F16" s="40"/>
      <c r="G16" s="51"/>
      <c r="H16" s="44" t="str">
        <f t="shared" si="7"/>
        <v/>
      </c>
      <c r="I16" s="52" t="str">
        <f t="shared" si="6"/>
        <v/>
      </c>
      <c r="J16" s="44" t="str">
        <f t="shared" si="2"/>
        <v/>
      </c>
      <c r="K16" s="44" t="str">
        <f t="shared" si="3"/>
        <v/>
      </c>
      <c r="L16" s="44" t="str">
        <f t="shared" si="4"/>
        <v/>
      </c>
      <c r="M16" s="53" t="str">
        <f t="shared" si="5"/>
        <v/>
      </c>
      <c r="N16" s="228"/>
      <c r="O16" s="229"/>
      <c r="P16" s="230"/>
      <c r="Q16" s="47"/>
      <c r="R16" s="44" t="str">
        <f t="shared" si="0"/>
        <v/>
      </c>
      <c r="S16" s="44" t="str">
        <f t="shared" si="1"/>
        <v/>
      </c>
      <c r="T16" s="55"/>
    </row>
    <row r="17" spans="1:19" ht="12" customHeight="1" x14ac:dyDescent="0.2">
      <c r="A17" s="37"/>
      <c r="B17" s="48"/>
      <c r="C17" s="49"/>
      <c r="D17" s="54"/>
      <c r="E17" s="39"/>
      <c r="F17" s="40"/>
      <c r="G17" s="51"/>
      <c r="H17" s="44" t="str">
        <f t="shared" si="7"/>
        <v/>
      </c>
      <c r="I17" s="52" t="str">
        <f t="shared" si="6"/>
        <v/>
      </c>
      <c r="J17" s="44" t="str">
        <f t="shared" si="2"/>
        <v/>
      </c>
      <c r="K17" s="44" t="str">
        <f t="shared" si="3"/>
        <v/>
      </c>
      <c r="L17" s="44" t="str">
        <f t="shared" si="4"/>
        <v/>
      </c>
      <c r="M17" s="53" t="str">
        <f t="shared" si="5"/>
        <v/>
      </c>
      <c r="N17" s="231"/>
      <c r="O17" s="229"/>
      <c r="P17" s="230"/>
      <c r="Q17" s="47"/>
      <c r="R17" s="44" t="str">
        <f t="shared" si="0"/>
        <v/>
      </c>
      <c r="S17" s="44" t="str">
        <f t="shared" si="1"/>
        <v/>
      </c>
    </row>
    <row r="18" spans="1:19" ht="12" customHeight="1" x14ac:dyDescent="0.2">
      <c r="A18" s="37"/>
      <c r="B18" s="48"/>
      <c r="C18" s="49"/>
      <c r="D18" s="54"/>
      <c r="E18" s="39"/>
      <c r="F18" s="40"/>
      <c r="G18" s="40"/>
      <c r="H18" s="44" t="str">
        <f t="shared" si="7"/>
        <v/>
      </c>
      <c r="I18" s="52" t="str">
        <f t="shared" si="6"/>
        <v/>
      </c>
      <c r="J18" s="44" t="str">
        <f t="shared" si="2"/>
        <v/>
      </c>
      <c r="K18" s="44" t="str">
        <f t="shared" si="3"/>
        <v/>
      </c>
      <c r="L18" s="44" t="str">
        <f t="shared" si="4"/>
        <v/>
      </c>
      <c r="M18" s="53" t="str">
        <f t="shared" si="5"/>
        <v/>
      </c>
      <c r="N18" s="228"/>
      <c r="O18" s="229"/>
      <c r="P18" s="230"/>
      <c r="Q18" s="47"/>
      <c r="R18" s="44" t="str">
        <f t="shared" si="0"/>
        <v/>
      </c>
      <c r="S18" s="44" t="str">
        <f t="shared" si="1"/>
        <v/>
      </c>
    </row>
    <row r="19" spans="1:19" ht="12" customHeight="1" x14ac:dyDescent="0.2">
      <c r="A19" s="37"/>
      <c r="B19" s="48"/>
      <c r="C19" s="49"/>
      <c r="D19" s="54"/>
      <c r="E19" s="39"/>
      <c r="F19" s="40"/>
      <c r="G19" s="40"/>
      <c r="H19" s="44" t="str">
        <f t="shared" si="7"/>
        <v/>
      </c>
      <c r="I19" s="52" t="str">
        <f t="shared" si="6"/>
        <v/>
      </c>
      <c r="J19" s="44" t="str">
        <f t="shared" si="2"/>
        <v/>
      </c>
      <c r="K19" s="44" t="str">
        <f t="shared" si="3"/>
        <v/>
      </c>
      <c r="L19" s="44" t="str">
        <f t="shared" si="4"/>
        <v/>
      </c>
      <c r="M19" s="53" t="str">
        <f t="shared" si="5"/>
        <v/>
      </c>
      <c r="N19" s="228"/>
      <c r="O19" s="229"/>
      <c r="P19" s="230"/>
      <c r="Q19" s="47"/>
      <c r="R19" s="44" t="str">
        <f t="shared" si="0"/>
        <v/>
      </c>
      <c r="S19" s="44" t="str">
        <f t="shared" si="1"/>
        <v/>
      </c>
    </row>
    <row r="20" spans="1:19" ht="12" customHeight="1" x14ac:dyDescent="0.2">
      <c r="A20" s="37"/>
      <c r="B20" s="48"/>
      <c r="C20" s="49"/>
      <c r="D20" s="54"/>
      <c r="E20" s="39"/>
      <c r="F20" s="40"/>
      <c r="G20" s="40"/>
      <c r="H20" s="44" t="str">
        <f t="shared" si="7"/>
        <v/>
      </c>
      <c r="I20" s="52" t="str">
        <f t="shared" si="6"/>
        <v/>
      </c>
      <c r="J20" s="44" t="str">
        <f t="shared" si="2"/>
        <v/>
      </c>
      <c r="K20" s="44" t="str">
        <f t="shared" si="3"/>
        <v/>
      </c>
      <c r="L20" s="44" t="str">
        <f t="shared" si="4"/>
        <v/>
      </c>
      <c r="M20" s="53" t="str">
        <f t="shared" si="5"/>
        <v/>
      </c>
      <c r="N20" s="242"/>
      <c r="O20" s="229"/>
      <c r="P20" s="230"/>
      <c r="Q20" s="47"/>
      <c r="R20" s="44" t="str">
        <f t="shared" si="0"/>
        <v/>
      </c>
      <c r="S20" s="44" t="str">
        <f t="shared" si="1"/>
        <v/>
      </c>
    </row>
    <row r="21" spans="1:19" ht="12" customHeight="1" x14ac:dyDescent="0.2">
      <c r="A21" s="37"/>
      <c r="B21" s="48"/>
      <c r="C21" s="49"/>
      <c r="D21" s="54"/>
      <c r="E21" s="39"/>
      <c r="F21" s="40"/>
      <c r="G21" s="51"/>
      <c r="H21" s="44" t="str">
        <f t="shared" si="7"/>
        <v/>
      </c>
      <c r="I21" s="52" t="str">
        <f t="shared" si="6"/>
        <v/>
      </c>
      <c r="J21" s="44" t="str">
        <f t="shared" si="2"/>
        <v/>
      </c>
      <c r="K21" s="44" t="str">
        <f t="shared" si="3"/>
        <v/>
      </c>
      <c r="L21" s="44" t="str">
        <f t="shared" si="4"/>
        <v/>
      </c>
      <c r="M21" s="53" t="str">
        <f t="shared" si="5"/>
        <v/>
      </c>
      <c r="N21" s="228"/>
      <c r="O21" s="229"/>
      <c r="P21" s="230"/>
      <c r="Q21" s="47"/>
      <c r="R21" s="44" t="str">
        <f t="shared" si="0"/>
        <v/>
      </c>
      <c r="S21" s="44" t="str">
        <f t="shared" si="1"/>
        <v/>
      </c>
    </row>
    <row r="22" spans="1:19" ht="12" customHeight="1" x14ac:dyDescent="0.2">
      <c r="A22" s="37"/>
      <c r="B22" s="48"/>
      <c r="C22" s="49"/>
      <c r="D22" s="54"/>
      <c r="E22" s="39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/>
      <c r="D23" s="58"/>
      <c r="E23" s="39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/>
      <c r="D24" s="58"/>
      <c r="E24" s="39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/>
      <c r="D25" s="58"/>
      <c r="E25" s="39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/>
      <c r="D26" s="58"/>
      <c r="E26" s="39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39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U112"/>
  <sheetViews>
    <sheetView topLeftCell="A7" zoomScaleNormal="100" workbookViewId="0">
      <selection activeCell="R27" sqref="R27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80</v>
      </c>
      <c r="F6" s="40">
        <v>3.27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44555.701388888891</v>
      </c>
      <c r="R6" s="11"/>
      <c r="S6" s="11"/>
    </row>
    <row r="7" spans="1:20" ht="12" customHeight="1" x14ac:dyDescent="0.2">
      <c r="A7" s="37"/>
      <c r="B7" s="48" t="s">
        <v>39</v>
      </c>
      <c r="C7" s="49">
        <v>15.93</v>
      </c>
      <c r="D7" s="39"/>
      <c r="E7" s="39">
        <v>263</v>
      </c>
      <c r="F7" s="40">
        <v>5.0199999999999996</v>
      </c>
      <c r="G7" s="51"/>
      <c r="H7" s="44">
        <f>IF(E7="","",((E7-E6)*C7)/1000)</f>
        <v>2.9151899999999999</v>
      </c>
      <c r="I7" s="52">
        <f>IF(F7="","",F7-F6-G7)</f>
        <v>1.7499999999999996</v>
      </c>
      <c r="J7" s="44">
        <f>IF(F7="","",I7-H7)</f>
        <v>-1.1651900000000004</v>
      </c>
      <c r="K7" s="44">
        <f>IF(F7="","",K6+H7)</f>
        <v>2.9151899999999999</v>
      </c>
      <c r="L7" s="44">
        <f>IF(F7="","",L6+I7)</f>
        <v>1.7499999999999996</v>
      </c>
      <c r="M7" s="53">
        <f>IF(F7="","",L7-K7)</f>
        <v>-1.1651900000000004</v>
      </c>
      <c r="N7" s="231"/>
      <c r="O7" s="229"/>
      <c r="P7" s="230"/>
      <c r="Q7" s="47">
        <v>44555.724305555559</v>
      </c>
      <c r="R7" s="44">
        <f t="shared" ref="R7:R70" si="0">IF(Q7="","",J7/((Q7-Q6)*24))</f>
        <v>-2.1185272725479067</v>
      </c>
      <c r="S7" s="44">
        <f t="shared" ref="S7:S70" si="1">IF(Q7="","",M7/((Q7-$Q$6)*24))</f>
        <v>-2.1185272725479067</v>
      </c>
    </row>
    <row r="8" spans="1:20" ht="12" customHeight="1" x14ac:dyDescent="0.2">
      <c r="A8" s="37"/>
      <c r="B8" s="48" t="s">
        <v>37</v>
      </c>
      <c r="C8" s="49">
        <v>15.74</v>
      </c>
      <c r="D8" s="54"/>
      <c r="E8" s="39">
        <v>436</v>
      </c>
      <c r="F8" s="40">
        <v>7.18</v>
      </c>
      <c r="G8" s="51"/>
      <c r="H8" s="44">
        <f>IF(E8="","",((E8-E7)*C8)/1000)</f>
        <v>2.72302</v>
      </c>
      <c r="I8" s="52">
        <f>IF(F8="","",F8-F7-G8)</f>
        <v>2.16</v>
      </c>
      <c r="J8" s="44">
        <f>IF(F8="","",I8-H8)</f>
        <v>-0.56301999999999985</v>
      </c>
      <c r="K8" s="44">
        <f>IF(F8="","",K7+H8)</f>
        <v>5.6382099999999999</v>
      </c>
      <c r="L8" s="44">
        <f>IF(F8="","",L7+I8)</f>
        <v>3.9099999999999997</v>
      </c>
      <c r="M8" s="53">
        <f>IF(F8="","",L8-K8)</f>
        <v>-1.7282100000000002</v>
      </c>
      <c r="N8" s="231"/>
      <c r="O8" s="229"/>
      <c r="P8" s="230"/>
      <c r="Q8" s="47">
        <v>44555.738888888889</v>
      </c>
      <c r="R8" s="44">
        <f t="shared" si="0"/>
        <v>-1.608628571803109</v>
      </c>
      <c r="S8" s="44">
        <f t="shared" si="1"/>
        <v>-1.9202333334078485</v>
      </c>
      <c r="T8" s="55"/>
    </row>
    <row r="9" spans="1:20" ht="12" customHeight="1" x14ac:dyDescent="0.2">
      <c r="A9" s="37"/>
      <c r="B9" s="48"/>
      <c r="C9" s="49">
        <v>15.74</v>
      </c>
      <c r="D9" s="54"/>
      <c r="E9" s="39">
        <v>1582</v>
      </c>
      <c r="F9" s="40">
        <v>7.51</v>
      </c>
      <c r="G9" s="51">
        <f>-6.8+1.76-9.33</f>
        <v>-14.370000000000001</v>
      </c>
      <c r="H9" s="44">
        <f>IF(E9="","",((E9-E8)*C9)/1000)</f>
        <v>18.038040000000002</v>
      </c>
      <c r="I9" s="52">
        <f>IF(F9="","",F9-F8-G9)</f>
        <v>14.700000000000001</v>
      </c>
      <c r="J9" s="44">
        <f>IF(F9="","",I9-H9)</f>
        <v>-3.3380400000000012</v>
      </c>
      <c r="K9" s="44">
        <f>IF(F9="","",K8+H9)</f>
        <v>23.676250000000003</v>
      </c>
      <c r="L9" s="44">
        <f>IF(F9="","",L8+I9)</f>
        <v>18.61</v>
      </c>
      <c r="M9" s="53">
        <f>IF(F9="","",L9-K9)</f>
        <v>-5.0662500000000037</v>
      </c>
      <c r="N9" s="228"/>
      <c r="O9" s="229"/>
      <c r="P9" s="230"/>
      <c r="Q9" s="47">
        <v>44555.826388888891</v>
      </c>
      <c r="R9" s="44">
        <f t="shared" si="0"/>
        <v>-1.5895428571164225</v>
      </c>
      <c r="S9" s="44">
        <f t="shared" si="1"/>
        <v>-1.6887500000000013</v>
      </c>
    </row>
    <row r="10" spans="1:20" ht="12" customHeight="1" x14ac:dyDescent="0.2">
      <c r="A10" s="37"/>
      <c r="B10" s="48"/>
      <c r="C10" s="49">
        <v>15.74</v>
      </c>
      <c r="D10" s="54"/>
      <c r="E10" s="39">
        <v>1901</v>
      </c>
      <c r="F10" s="40">
        <v>4.9000000000000004</v>
      </c>
      <c r="G10" s="51">
        <f>-7.33+1.6</f>
        <v>-5.73</v>
      </c>
      <c r="H10" s="44">
        <f>IF(E10="","",((E10-E9)*C10)/1000)</f>
        <v>5.0210600000000003</v>
      </c>
      <c r="I10" s="52">
        <f>IF(F10="","",F10-F9-G10)</f>
        <v>3.120000000000001</v>
      </c>
      <c r="J10" s="44">
        <f t="shared" ref="J10:J73" si="2">IF(F10="","",I10-H10)</f>
        <v>-1.9010599999999993</v>
      </c>
      <c r="K10" s="44">
        <f t="shared" ref="K10:K73" si="3">IF(F10="","",K9+H10)</f>
        <v>28.697310000000002</v>
      </c>
      <c r="L10" s="44">
        <f t="shared" ref="L10:L73" si="4">IF(F10="","",L9+I10)</f>
        <v>21.73</v>
      </c>
      <c r="M10" s="53">
        <f t="shared" ref="M10:M73" si="5">IF(F10="","",L10-K10)</f>
        <v>-6.9673100000000012</v>
      </c>
      <c r="N10" s="249"/>
      <c r="O10" s="250"/>
      <c r="P10" s="251"/>
      <c r="Q10" s="47">
        <v>44555.869444444441</v>
      </c>
      <c r="R10" s="44">
        <f t="shared" si="0"/>
        <v>-1.8397354840920492</v>
      </c>
      <c r="S10" s="44">
        <f t="shared" si="1"/>
        <v>-1.7274322314581423</v>
      </c>
      <c r="T10" s="55"/>
    </row>
    <row r="11" spans="1:20" ht="12" customHeight="1" x14ac:dyDescent="0.2">
      <c r="A11" s="37"/>
      <c r="B11" s="48"/>
      <c r="C11" s="49">
        <v>15.74</v>
      </c>
      <c r="D11" s="54"/>
      <c r="E11" s="39">
        <v>1901</v>
      </c>
      <c r="F11" s="40">
        <v>82.6</v>
      </c>
      <c r="G11" s="51">
        <v>77.7</v>
      </c>
      <c r="H11" s="44">
        <f>IF(E11="","",((E11-E10)*C11)/1000)</f>
        <v>0</v>
      </c>
      <c r="I11" s="52">
        <f t="shared" ref="I11:I74" si="6">IF(F11="","",F11-F10-G11)</f>
        <v>-1.4210854715202004E-14</v>
      </c>
      <c r="J11" s="44">
        <f t="shared" si="2"/>
        <v>-1.4210854715202004E-14</v>
      </c>
      <c r="K11" s="44">
        <f t="shared" si="3"/>
        <v>28.697310000000002</v>
      </c>
      <c r="L11" s="44">
        <f t="shared" si="4"/>
        <v>21.729999999999986</v>
      </c>
      <c r="M11" s="53">
        <f t="shared" si="5"/>
        <v>-6.9673100000000154</v>
      </c>
      <c r="N11" s="228" t="s">
        <v>79</v>
      </c>
      <c r="O11" s="229"/>
      <c r="P11" s="230"/>
      <c r="Q11" s="47">
        <v>44555.875</v>
      </c>
      <c r="R11" s="44">
        <f t="shared" si="0"/>
        <v>-1.0658141029577263E-13</v>
      </c>
      <c r="S11" s="44">
        <f t="shared" si="1"/>
        <v>-1.6721544000155768</v>
      </c>
    </row>
    <row r="12" spans="1:20" ht="12" customHeight="1" x14ac:dyDescent="0.2">
      <c r="A12" s="37"/>
      <c r="B12" s="48"/>
      <c r="C12" s="49">
        <v>15.74</v>
      </c>
      <c r="D12" s="54"/>
      <c r="E12" s="39">
        <v>1901</v>
      </c>
      <c r="F12" s="56">
        <v>110.5</v>
      </c>
      <c r="G12" s="51">
        <f>44.9-8.95</f>
        <v>35.950000000000003</v>
      </c>
      <c r="H12" s="44">
        <f t="shared" ref="H12:H74" si="7">IF(E12="","",((E12-E11)*C12)/1000)</f>
        <v>0</v>
      </c>
      <c r="I12" s="52">
        <f t="shared" si="6"/>
        <v>-8.0499999999999972</v>
      </c>
      <c r="J12" s="44">
        <f t="shared" si="2"/>
        <v>-8.0499999999999972</v>
      </c>
      <c r="K12" s="44">
        <f t="shared" si="3"/>
        <v>28.697310000000002</v>
      </c>
      <c r="L12" s="44">
        <f t="shared" si="4"/>
        <v>13.679999999999989</v>
      </c>
      <c r="M12" s="53">
        <f t="shared" si="5"/>
        <v>-15.017310000000013</v>
      </c>
      <c r="N12" s="228"/>
      <c r="O12" s="229"/>
      <c r="P12" s="230"/>
      <c r="Q12" s="47">
        <v>44555.930555555555</v>
      </c>
      <c r="R12" s="44">
        <f t="shared" si="0"/>
        <v>-6.0375000000878547</v>
      </c>
      <c r="S12" s="44">
        <f t="shared" si="1"/>
        <v>-2.7304200000288987</v>
      </c>
    </row>
    <row r="13" spans="1:20" ht="12" customHeight="1" x14ac:dyDescent="0.2">
      <c r="A13" s="37"/>
      <c r="B13" s="48"/>
      <c r="C13" s="49">
        <v>15.74</v>
      </c>
      <c r="D13" s="54"/>
      <c r="E13" s="39">
        <v>1901</v>
      </c>
      <c r="F13" s="56">
        <v>116.43</v>
      </c>
      <c r="G13" s="51">
        <f>10.9</f>
        <v>10.9</v>
      </c>
      <c r="H13" s="44">
        <f>IF(E13="","",((E13-E12)*C13)/1000)</f>
        <v>0</v>
      </c>
      <c r="I13" s="52">
        <f t="shared" si="6"/>
        <v>-4.9699999999999935</v>
      </c>
      <c r="J13" s="44">
        <f t="shared" si="2"/>
        <v>-4.9699999999999935</v>
      </c>
      <c r="K13" s="44">
        <f t="shared" si="3"/>
        <v>28.697310000000002</v>
      </c>
      <c r="L13" s="44">
        <f t="shared" si="4"/>
        <v>8.7099999999999955</v>
      </c>
      <c r="M13" s="53">
        <f t="shared" si="5"/>
        <v>-19.987310000000008</v>
      </c>
      <c r="N13" s="231"/>
      <c r="O13" s="229"/>
      <c r="P13" s="230"/>
      <c r="Q13" s="47">
        <v>44555.961111111108</v>
      </c>
      <c r="R13" s="44">
        <f t="shared" si="0"/>
        <v>-6.7772727277747959</v>
      </c>
      <c r="S13" s="44">
        <f t="shared" si="1"/>
        <v>-3.2065203209135058</v>
      </c>
    </row>
    <row r="14" spans="1:20" ht="12" customHeight="1" x14ac:dyDescent="0.2">
      <c r="A14" s="37"/>
      <c r="B14" s="48"/>
      <c r="C14" s="49">
        <v>15.74</v>
      </c>
      <c r="D14" s="54"/>
      <c r="E14" s="39">
        <v>1901</v>
      </c>
      <c r="F14" s="56">
        <v>115.62</v>
      </c>
      <c r="G14" s="51"/>
      <c r="H14" s="44">
        <f t="shared" si="7"/>
        <v>0</v>
      </c>
      <c r="I14" s="52">
        <f t="shared" si="6"/>
        <v>-0.81000000000000227</v>
      </c>
      <c r="J14" s="44">
        <f t="shared" si="2"/>
        <v>-0.81000000000000227</v>
      </c>
      <c r="K14" s="44">
        <f t="shared" si="3"/>
        <v>28.697310000000002</v>
      </c>
      <c r="L14" s="44">
        <f t="shared" si="4"/>
        <v>7.8999999999999932</v>
      </c>
      <c r="M14" s="53">
        <f t="shared" si="5"/>
        <v>-20.79731000000001</v>
      </c>
      <c r="N14" s="231"/>
      <c r="O14" s="229"/>
      <c r="P14" s="230"/>
      <c r="Q14" s="47">
        <v>44555.972222222219</v>
      </c>
      <c r="R14" s="44">
        <f t="shared" si="0"/>
        <v>-3.0375000000442101</v>
      </c>
      <c r="S14" s="44">
        <f t="shared" si="1"/>
        <v>-3.1995861539034602</v>
      </c>
    </row>
    <row r="15" spans="1:20" ht="12" customHeight="1" x14ac:dyDescent="0.2">
      <c r="A15" s="37"/>
      <c r="B15" s="48"/>
      <c r="C15" s="49">
        <v>15.74</v>
      </c>
      <c r="D15" s="54"/>
      <c r="E15" s="39">
        <v>1901</v>
      </c>
      <c r="F15" s="40">
        <v>115.74</v>
      </c>
      <c r="G15" s="51"/>
      <c r="H15" s="44">
        <f t="shared" si="7"/>
        <v>0</v>
      </c>
      <c r="I15" s="52">
        <f t="shared" si="6"/>
        <v>0.11999999999999034</v>
      </c>
      <c r="J15" s="44">
        <f t="shared" si="2"/>
        <v>0.11999999999999034</v>
      </c>
      <c r="K15" s="44">
        <f t="shared" si="3"/>
        <v>28.697310000000002</v>
      </c>
      <c r="L15" s="44">
        <f t="shared" si="4"/>
        <v>8.0199999999999836</v>
      </c>
      <c r="M15" s="53">
        <f t="shared" si="5"/>
        <v>-20.67731000000002</v>
      </c>
      <c r="N15" s="231"/>
      <c r="O15" s="229"/>
      <c r="P15" s="230"/>
      <c r="Q15" s="47">
        <v>44555.979166666664</v>
      </c>
      <c r="R15" s="44">
        <f t="shared" si="0"/>
        <v>0.71999999991612296</v>
      </c>
      <c r="S15" s="44">
        <f t="shared" si="1"/>
        <v>-3.1015965000451371</v>
      </c>
    </row>
    <row r="16" spans="1:20" ht="12" customHeight="1" x14ac:dyDescent="0.2">
      <c r="A16" s="37"/>
      <c r="B16" s="48"/>
      <c r="C16" s="49">
        <v>15.74</v>
      </c>
      <c r="D16" s="57"/>
      <c r="E16" s="39">
        <v>1901</v>
      </c>
      <c r="F16" s="40">
        <v>113.52</v>
      </c>
      <c r="G16" s="51"/>
      <c r="H16" s="44">
        <f t="shared" si="7"/>
        <v>0</v>
      </c>
      <c r="I16" s="52">
        <f t="shared" si="6"/>
        <v>-2.2199999999999989</v>
      </c>
      <c r="J16" s="44">
        <f t="shared" si="2"/>
        <v>-2.2199999999999989</v>
      </c>
      <c r="K16" s="44">
        <f t="shared" si="3"/>
        <v>28.697310000000002</v>
      </c>
      <c r="L16" s="44">
        <f t="shared" si="4"/>
        <v>5.7999999999999847</v>
      </c>
      <c r="M16" s="53">
        <f t="shared" si="5"/>
        <v>-22.897310000000019</v>
      </c>
      <c r="N16" s="228"/>
      <c r="O16" s="229"/>
      <c r="P16" s="230"/>
      <c r="Q16" s="47">
        <v>44556.009027777778</v>
      </c>
      <c r="R16" s="44">
        <f t="shared" si="0"/>
        <v>-3.0976744183195106</v>
      </c>
      <c r="S16" s="44">
        <f t="shared" si="1"/>
        <v>-3.1012158013674438</v>
      </c>
      <c r="T16" s="55"/>
    </row>
    <row r="17" spans="1:19" ht="12" customHeight="1" x14ac:dyDescent="0.2">
      <c r="A17" s="37"/>
      <c r="B17" s="48"/>
      <c r="C17" s="49">
        <v>15.74</v>
      </c>
      <c r="D17" s="54"/>
      <c r="E17" s="39">
        <v>1901</v>
      </c>
      <c r="F17" s="40">
        <v>111.1</v>
      </c>
      <c r="G17" s="51"/>
      <c r="H17" s="44">
        <f t="shared" si="7"/>
        <v>0</v>
      </c>
      <c r="I17" s="52">
        <f t="shared" si="6"/>
        <v>-2.4200000000000017</v>
      </c>
      <c r="J17" s="44">
        <f t="shared" si="2"/>
        <v>-2.4200000000000017</v>
      </c>
      <c r="K17" s="44">
        <f t="shared" si="3"/>
        <v>28.697310000000002</v>
      </c>
      <c r="L17" s="44">
        <f t="shared" si="4"/>
        <v>3.379999999999983</v>
      </c>
      <c r="M17" s="53">
        <f t="shared" si="5"/>
        <v>-25.31731000000002</v>
      </c>
      <c r="N17" s="231"/>
      <c r="O17" s="229"/>
      <c r="P17" s="230"/>
      <c r="Q17" s="47">
        <v>44556.046527777777</v>
      </c>
      <c r="R17" s="44">
        <f t="shared" si="0"/>
        <v>-2.6888888889932332</v>
      </c>
      <c r="S17" s="44">
        <f t="shared" si="1"/>
        <v>-3.0564156941893339</v>
      </c>
    </row>
    <row r="18" spans="1:19" ht="12" customHeight="1" x14ac:dyDescent="0.2">
      <c r="A18" s="37"/>
      <c r="B18" s="48"/>
      <c r="C18" s="49">
        <v>15.74</v>
      </c>
      <c r="D18" s="54"/>
      <c r="E18" s="39">
        <v>1901</v>
      </c>
      <c r="F18" s="40">
        <v>107.23</v>
      </c>
      <c r="G18" s="40"/>
      <c r="H18" s="44">
        <f t="shared" si="7"/>
        <v>0</v>
      </c>
      <c r="I18" s="52">
        <f t="shared" si="6"/>
        <v>-3.8699999999999903</v>
      </c>
      <c r="J18" s="44">
        <f t="shared" si="2"/>
        <v>-3.8699999999999903</v>
      </c>
      <c r="K18" s="44">
        <f t="shared" si="3"/>
        <v>28.697310000000002</v>
      </c>
      <c r="L18" s="44">
        <f t="shared" si="4"/>
        <v>-0.49000000000000732</v>
      </c>
      <c r="M18" s="53">
        <f t="shared" si="5"/>
        <v>-29.187310000000011</v>
      </c>
      <c r="N18" s="228"/>
      <c r="O18" s="229"/>
      <c r="P18" s="230"/>
      <c r="Q18" s="47">
        <v>44556.104166666664</v>
      </c>
      <c r="R18" s="44">
        <f t="shared" si="0"/>
        <v>-2.7975903615085582</v>
      </c>
      <c r="S18" s="44">
        <f t="shared" si="1"/>
        <v>-3.0193768965820271</v>
      </c>
    </row>
    <row r="19" spans="1:19" ht="12" customHeight="1" x14ac:dyDescent="0.2">
      <c r="A19" s="37"/>
      <c r="B19" s="48"/>
      <c r="C19" s="49">
        <v>15.74</v>
      </c>
      <c r="D19" s="54"/>
      <c r="E19" s="39">
        <v>1901</v>
      </c>
      <c r="F19" s="40">
        <v>108</v>
      </c>
      <c r="G19" s="40"/>
      <c r="H19" s="44">
        <f t="shared" si="7"/>
        <v>0</v>
      </c>
      <c r="I19" s="52">
        <f t="shared" si="6"/>
        <v>0.76999999999999602</v>
      </c>
      <c r="J19" s="44">
        <f t="shared" si="2"/>
        <v>0.76999999999999602</v>
      </c>
      <c r="K19" s="44">
        <f t="shared" si="3"/>
        <v>28.697310000000002</v>
      </c>
      <c r="L19" s="44">
        <f t="shared" si="4"/>
        <v>0.2799999999999887</v>
      </c>
      <c r="M19" s="53">
        <f t="shared" si="5"/>
        <v>-28.417310000000015</v>
      </c>
      <c r="N19" s="228"/>
      <c r="O19" s="229"/>
      <c r="P19" s="230"/>
      <c r="Q19" s="47">
        <v>44556.116666666669</v>
      </c>
      <c r="R19" s="44">
        <f t="shared" si="0"/>
        <v>2.5666666657702555</v>
      </c>
      <c r="S19" s="44">
        <f t="shared" si="1"/>
        <v>-2.8512351170546375</v>
      </c>
    </row>
    <row r="20" spans="1:19" ht="12" customHeight="1" x14ac:dyDescent="0.2">
      <c r="A20" s="37"/>
      <c r="B20" s="48"/>
      <c r="C20" s="49">
        <v>15.74</v>
      </c>
      <c r="D20" s="54"/>
      <c r="E20" s="39">
        <v>1901</v>
      </c>
      <c r="F20" s="40">
        <v>8.1999999999999993</v>
      </c>
      <c r="G20" s="40">
        <v>-99.8</v>
      </c>
      <c r="H20" s="44">
        <f t="shared" si="7"/>
        <v>0</v>
      </c>
      <c r="I20" s="52">
        <f t="shared" si="6"/>
        <v>0</v>
      </c>
      <c r="J20" s="44">
        <f t="shared" si="2"/>
        <v>0</v>
      </c>
      <c r="K20" s="44">
        <f t="shared" si="3"/>
        <v>28.697310000000002</v>
      </c>
      <c r="L20" s="44">
        <f t="shared" si="4"/>
        <v>0.2799999999999887</v>
      </c>
      <c r="M20" s="53">
        <f t="shared" si="5"/>
        <v>-28.417310000000015</v>
      </c>
      <c r="N20" s="242" t="s">
        <v>66</v>
      </c>
      <c r="O20" s="229"/>
      <c r="P20" s="230"/>
      <c r="Q20" s="47">
        <v>44556.127083333333</v>
      </c>
      <c r="R20" s="44">
        <f t="shared" si="0"/>
        <v>0</v>
      </c>
      <c r="S20" s="44">
        <f t="shared" si="1"/>
        <v>-2.7814659053970958</v>
      </c>
    </row>
    <row r="21" spans="1:19" ht="12" customHeight="1" x14ac:dyDescent="0.2">
      <c r="A21" s="37"/>
      <c r="B21" s="48"/>
      <c r="C21" s="49">
        <v>15.74</v>
      </c>
      <c r="D21" s="54"/>
      <c r="E21" s="39">
        <v>1901</v>
      </c>
      <c r="F21" s="40">
        <v>8</v>
      </c>
      <c r="G21" s="51"/>
      <c r="H21" s="44">
        <f t="shared" si="7"/>
        <v>0</v>
      </c>
      <c r="I21" s="52">
        <f t="shared" si="6"/>
        <v>-0.19999999999999929</v>
      </c>
      <c r="J21" s="44">
        <f t="shared" si="2"/>
        <v>-0.19999999999999929</v>
      </c>
      <c r="K21" s="44">
        <f t="shared" si="3"/>
        <v>28.697310000000002</v>
      </c>
      <c r="L21" s="44">
        <f t="shared" si="4"/>
        <v>7.9999999999989413E-2</v>
      </c>
      <c r="M21" s="53">
        <f t="shared" si="5"/>
        <v>-28.61731000000001</v>
      </c>
      <c r="N21" s="228"/>
      <c r="O21" s="229"/>
      <c r="P21" s="230"/>
      <c r="Q21" s="47">
        <v>44556.134027777778</v>
      </c>
      <c r="R21" s="44">
        <f t="shared" si="0"/>
        <v>-1.1999999998602973</v>
      </c>
      <c r="S21" s="44">
        <f t="shared" si="1"/>
        <v>-2.7560812199119331</v>
      </c>
    </row>
    <row r="22" spans="1:19" ht="12" customHeight="1" x14ac:dyDescent="0.2">
      <c r="A22" s="37"/>
      <c r="B22" s="48"/>
      <c r="C22" s="49">
        <v>15.74</v>
      </c>
      <c r="D22" s="54"/>
      <c r="E22" s="39">
        <v>1901</v>
      </c>
      <c r="F22" s="40">
        <v>8.57</v>
      </c>
      <c r="G22" s="51">
        <v>0.56999999999999995</v>
      </c>
      <c r="H22" s="44">
        <f t="shared" si="7"/>
        <v>0</v>
      </c>
      <c r="I22" s="52">
        <f t="shared" si="6"/>
        <v>3.3306690738754696E-16</v>
      </c>
      <c r="J22" s="44">
        <f t="shared" si="2"/>
        <v>3.3306690738754696E-16</v>
      </c>
      <c r="K22" s="44">
        <f t="shared" si="3"/>
        <v>28.697310000000002</v>
      </c>
      <c r="L22" s="44">
        <f t="shared" si="4"/>
        <v>7.9999999999989746E-2</v>
      </c>
      <c r="M22" s="53">
        <f t="shared" si="5"/>
        <v>-28.61731000000001</v>
      </c>
      <c r="N22" s="228" t="s">
        <v>66</v>
      </c>
      <c r="O22" s="229"/>
      <c r="P22" s="230"/>
      <c r="Q22" s="47">
        <v>44556.15625</v>
      </c>
      <c r="R22" s="44">
        <f t="shared" si="0"/>
        <v>6.2450045136073823E-16</v>
      </c>
      <c r="S22" s="44">
        <f t="shared" si="1"/>
        <v>-2.6214329771085558</v>
      </c>
    </row>
    <row r="23" spans="1:19" ht="12" customHeight="1" x14ac:dyDescent="0.2">
      <c r="A23" s="37"/>
      <c r="B23" s="48"/>
      <c r="C23" s="49">
        <v>15.74</v>
      </c>
      <c r="D23" s="58"/>
      <c r="E23" s="39">
        <v>1901</v>
      </c>
      <c r="F23" s="40">
        <v>8.3699999999999992</v>
      </c>
      <c r="G23" s="51"/>
      <c r="H23" s="44">
        <f t="shared" si="7"/>
        <v>0</v>
      </c>
      <c r="I23" s="52">
        <f t="shared" si="6"/>
        <v>-0.20000000000000107</v>
      </c>
      <c r="J23" s="44">
        <f t="shared" si="2"/>
        <v>-0.20000000000000107</v>
      </c>
      <c r="K23" s="44">
        <f t="shared" si="3"/>
        <v>28.697310000000002</v>
      </c>
      <c r="L23" s="44">
        <f t="shared" si="4"/>
        <v>-0.12000000000001132</v>
      </c>
      <c r="M23" s="53">
        <f t="shared" si="5"/>
        <v>-28.817310000000013</v>
      </c>
      <c r="N23" s="228"/>
      <c r="O23" s="229"/>
      <c r="P23" s="230"/>
      <c r="Q23" s="47">
        <v>44556.163194444445</v>
      </c>
      <c r="R23" s="44">
        <f t="shared" si="0"/>
        <v>-1.1999999998603079</v>
      </c>
      <c r="S23" s="44">
        <f t="shared" si="1"/>
        <v>-2.600058045117335</v>
      </c>
    </row>
    <row r="24" spans="1:19" ht="12" customHeight="1" x14ac:dyDescent="0.2">
      <c r="A24" s="37"/>
      <c r="B24" s="48"/>
      <c r="C24" s="49">
        <v>4.37</v>
      </c>
      <c r="D24" s="58"/>
      <c r="E24" s="39">
        <v>1901</v>
      </c>
      <c r="F24" s="40">
        <v>8.11</v>
      </c>
      <c r="G24" s="51"/>
      <c r="H24" s="44">
        <f t="shared" si="7"/>
        <v>0</v>
      </c>
      <c r="I24" s="52">
        <f t="shared" si="6"/>
        <v>-0.25999999999999979</v>
      </c>
      <c r="J24" s="44">
        <f t="shared" si="2"/>
        <v>-0.25999999999999979</v>
      </c>
      <c r="K24" s="44">
        <f t="shared" si="3"/>
        <v>28.697310000000002</v>
      </c>
      <c r="L24" s="44">
        <f t="shared" si="4"/>
        <v>-0.38000000000001111</v>
      </c>
      <c r="M24" s="53">
        <f t="shared" si="5"/>
        <v>-29.077310000000011</v>
      </c>
      <c r="N24" s="231" t="s">
        <v>65</v>
      </c>
      <c r="O24" s="229"/>
      <c r="P24" s="230"/>
      <c r="Q24" s="47">
        <v>44556.173611111109</v>
      </c>
      <c r="R24" s="44">
        <f t="shared" si="0"/>
        <v>-1.040000000242143</v>
      </c>
      <c r="S24" s="44">
        <f t="shared" si="1"/>
        <v>-2.5656450000175703</v>
      </c>
    </row>
    <row r="25" spans="1:19" ht="12" customHeight="1" x14ac:dyDescent="0.2">
      <c r="A25" s="37"/>
      <c r="B25" s="48"/>
      <c r="C25" s="49">
        <v>4.37</v>
      </c>
      <c r="D25" s="58"/>
      <c r="E25" s="39">
        <v>1174</v>
      </c>
      <c r="F25" s="40">
        <v>2.68</v>
      </c>
      <c r="G25" s="51"/>
      <c r="H25" s="44">
        <f t="shared" si="7"/>
        <v>-3.1769900000000004</v>
      </c>
      <c r="I25" s="52">
        <f t="shared" si="6"/>
        <v>-5.43</v>
      </c>
      <c r="J25" s="44">
        <f t="shared" si="2"/>
        <v>-2.2530099999999993</v>
      </c>
      <c r="K25" s="44">
        <f t="shared" si="3"/>
        <v>25.520320000000002</v>
      </c>
      <c r="L25" s="44">
        <f t="shared" si="4"/>
        <v>-5.8100000000000112</v>
      </c>
      <c r="M25" s="53">
        <f t="shared" si="5"/>
        <v>-31.330320000000015</v>
      </c>
      <c r="N25" s="228"/>
      <c r="O25" s="229"/>
      <c r="P25" s="230"/>
      <c r="Q25" s="47">
        <v>44556.212500000001</v>
      </c>
      <c r="R25" s="44">
        <f t="shared" si="0"/>
        <v>-2.4139392855235933</v>
      </c>
      <c r="S25" s="44">
        <f t="shared" si="1"/>
        <v>-2.5541021739138525</v>
      </c>
    </row>
    <row r="26" spans="1:19" ht="12" customHeight="1" x14ac:dyDescent="0.2">
      <c r="A26" s="37"/>
      <c r="B26" s="48"/>
      <c r="C26" s="49">
        <v>4.37</v>
      </c>
      <c r="D26" s="58"/>
      <c r="E26" s="39">
        <v>657</v>
      </c>
      <c r="F26" s="40">
        <v>5.92</v>
      </c>
      <c r="G26" s="51">
        <f>8.9-2.32</f>
        <v>6.58</v>
      </c>
      <c r="H26" s="44">
        <f>IF(E26="","",((E26-E25)*C26)/1000)</f>
        <v>-2.25929</v>
      </c>
      <c r="I26" s="52">
        <f>IF(F26="","",F26-F25-G26)</f>
        <v>-3.3400000000000003</v>
      </c>
      <c r="J26" s="44">
        <f t="shared" si="2"/>
        <v>-1.0807100000000003</v>
      </c>
      <c r="K26" s="44">
        <f t="shared" si="3"/>
        <v>23.261030000000002</v>
      </c>
      <c r="L26" s="44">
        <f t="shared" si="4"/>
        <v>-9.150000000000011</v>
      </c>
      <c r="M26" s="53">
        <f t="shared" si="5"/>
        <v>-32.411030000000011</v>
      </c>
      <c r="N26" s="228" t="s">
        <v>66</v>
      </c>
      <c r="O26" s="229"/>
      <c r="P26" s="230"/>
      <c r="Q26" s="47">
        <v>44556.234027777777</v>
      </c>
      <c r="R26" s="44">
        <f t="shared" si="0"/>
        <v>-2.0916967744449093</v>
      </c>
      <c r="S26" s="44">
        <f t="shared" si="1"/>
        <v>-2.5354130378227331</v>
      </c>
    </row>
    <row r="27" spans="1:19" ht="12" customHeight="1" x14ac:dyDescent="0.2">
      <c r="A27" s="37"/>
      <c r="B27" s="48"/>
      <c r="C27" s="49">
        <v>4.37</v>
      </c>
      <c r="D27" s="58"/>
      <c r="E27" s="39">
        <v>657</v>
      </c>
      <c r="F27" s="40">
        <v>5.57</v>
      </c>
      <c r="G27" s="51"/>
      <c r="H27" s="44">
        <f t="shared" si="7"/>
        <v>0</v>
      </c>
      <c r="I27" s="52">
        <f>IF(F27="","",F27-F26-G27)</f>
        <v>-0.34999999999999964</v>
      </c>
      <c r="J27" s="44">
        <f>IF(F27="","",I27-H27)</f>
        <v>-0.34999999999999964</v>
      </c>
      <c r="K27" s="44">
        <f>IF(F27="","",K26+H27)</f>
        <v>23.261030000000002</v>
      </c>
      <c r="L27" s="44">
        <f>IF(F27="","",L26+I27)</f>
        <v>-9.5000000000000107</v>
      </c>
      <c r="M27" s="53">
        <f>IF(F27="","",L27-K27)</f>
        <v>-32.761030000000012</v>
      </c>
      <c r="N27" s="231"/>
      <c r="O27" s="229"/>
      <c r="P27" s="230"/>
      <c r="Q27" s="47">
        <v>44556.240972222222</v>
      </c>
      <c r="R27" s="44">
        <f t="shared" si="0"/>
        <v>-2.0999999997555259</v>
      </c>
      <c r="S27" s="44">
        <f t="shared" si="1"/>
        <v>-2.529809266418364</v>
      </c>
    </row>
    <row r="28" spans="1:19" ht="12" customHeight="1" x14ac:dyDescent="0.2">
      <c r="A28" s="37"/>
      <c r="B28" s="48"/>
      <c r="C28" s="49">
        <v>4.37</v>
      </c>
      <c r="D28" s="58"/>
      <c r="E28" s="39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>
        <v>4.37</v>
      </c>
      <c r="D29" s="58"/>
      <c r="E29" s="39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>
        <v>4.37</v>
      </c>
      <c r="D30" s="58"/>
      <c r="E30" s="39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>
        <v>4.37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4.37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4.37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4.37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4.37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4.37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>
        <v>4.37</v>
      </c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>
        <v>4.37</v>
      </c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U112"/>
  <sheetViews>
    <sheetView zoomScaleNormal="100" workbookViewId="0">
      <selection activeCell="G30" sqref="G30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288</v>
      </c>
      <c r="F6" s="40">
        <v>5.25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44554.673611111109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459</v>
      </c>
      <c r="F7" s="40">
        <v>5.62</v>
      </c>
      <c r="G7" s="51"/>
      <c r="H7" s="44">
        <f>IF(E7="","",((E7-E6)*C7)/1000)</f>
        <v>1.80918</v>
      </c>
      <c r="I7" s="52">
        <f>IF(F7="","",F7-F6-G7)</f>
        <v>0.37000000000000011</v>
      </c>
      <c r="J7" s="44">
        <f>IF(F7="","",I7-H7)</f>
        <v>-1.4391799999999999</v>
      </c>
      <c r="K7" s="44">
        <f>IF(F7="","",K6+H7)</f>
        <v>1.80918</v>
      </c>
      <c r="L7" s="44">
        <f>IF(F7="","",L6+I7)</f>
        <v>0.37000000000000011</v>
      </c>
      <c r="M7" s="53">
        <f>IF(F7="","",L7-K7)</f>
        <v>-1.4391799999999999</v>
      </c>
      <c r="N7" s="231"/>
      <c r="O7" s="229"/>
      <c r="P7" s="230"/>
      <c r="Q7" s="47">
        <v>44554.693749999999</v>
      </c>
      <c r="R7" s="44">
        <f t="shared" ref="R7:R70" si="0">IF(Q7="","",J7/((Q7-Q6)*24))</f>
        <v>-2.9776137930795419</v>
      </c>
      <c r="S7" s="44">
        <f t="shared" ref="S7:S70" si="1">IF(Q7="","",M7/((Q7-$Q$6)*24))</f>
        <v>-2.9776137930795419</v>
      </c>
    </row>
    <row r="8" spans="1:20" ht="12" customHeight="1" x14ac:dyDescent="0.2">
      <c r="A8" s="37"/>
      <c r="B8" s="48" t="s">
        <v>38</v>
      </c>
      <c r="C8" s="49">
        <v>4.37</v>
      </c>
      <c r="D8" s="54"/>
      <c r="E8" s="39">
        <v>785</v>
      </c>
      <c r="F8" s="40">
        <v>5.73</v>
      </c>
      <c r="G8" s="51"/>
      <c r="H8" s="44">
        <f>IF(E8="","",((E8-E7)*C8)/1000)</f>
        <v>1.4246200000000002</v>
      </c>
      <c r="I8" s="52">
        <f>IF(F8="","",F8-F7-G8)</f>
        <v>0.11000000000000032</v>
      </c>
      <c r="J8" s="44">
        <f>IF(F8="","",I8-H8)</f>
        <v>-1.3146199999999999</v>
      </c>
      <c r="K8" s="44">
        <f>IF(F8="","",K7+H8)</f>
        <v>3.2338000000000005</v>
      </c>
      <c r="L8" s="44">
        <f>IF(F8="","",L7+I8)</f>
        <v>0.48000000000000043</v>
      </c>
      <c r="M8" s="53">
        <f>IF(F8="","",L8-K8)</f>
        <v>-2.7538</v>
      </c>
      <c r="N8" s="231"/>
      <c r="O8" s="229"/>
      <c r="P8" s="230"/>
      <c r="Q8" s="47">
        <v>44554.714583333334</v>
      </c>
      <c r="R8" s="44">
        <f t="shared" si="0"/>
        <v>-2.6292399996939162</v>
      </c>
      <c r="S8" s="44">
        <f t="shared" si="1"/>
        <v>-2.8004745760943632</v>
      </c>
      <c r="T8" s="55"/>
    </row>
    <row r="9" spans="1:20" ht="12" customHeight="1" x14ac:dyDescent="0.2">
      <c r="A9" s="37"/>
      <c r="B9" s="48"/>
      <c r="C9" s="49">
        <v>4.37</v>
      </c>
      <c r="D9" s="54"/>
      <c r="E9" s="39">
        <v>1764</v>
      </c>
      <c r="F9" s="40">
        <v>6.1</v>
      </c>
      <c r="G9" s="51"/>
      <c r="H9" s="44">
        <f>IF(E9="","",((E9-E8)*C9)/1000)</f>
        <v>4.2782300000000006</v>
      </c>
      <c r="I9" s="52">
        <f>IF(F9="","",F9-F8-G9)</f>
        <v>0.36999999999999922</v>
      </c>
      <c r="J9" s="44">
        <f>IF(F9="","",I9-H9)</f>
        <v>-3.9082300000000014</v>
      </c>
      <c r="K9" s="44">
        <f>IF(F9="","",K8+H9)</f>
        <v>7.5120300000000011</v>
      </c>
      <c r="L9" s="44">
        <f>IF(F9="","",L8+I9)</f>
        <v>0.84999999999999964</v>
      </c>
      <c r="M9" s="53">
        <f>IF(F9="","",L9-K9)</f>
        <v>-6.6620300000000015</v>
      </c>
      <c r="N9" s="228"/>
      <c r="O9" s="229"/>
      <c r="P9" s="230"/>
      <c r="Q9" s="47">
        <v>44554.771527777775</v>
      </c>
      <c r="R9" s="44">
        <f t="shared" si="0"/>
        <v>-2.859680487983514</v>
      </c>
      <c r="S9" s="44">
        <f t="shared" si="1"/>
        <v>-2.8349063830068113</v>
      </c>
    </row>
    <row r="10" spans="1:20" ht="12" customHeight="1" x14ac:dyDescent="0.2">
      <c r="A10" s="37"/>
      <c r="B10" s="48"/>
      <c r="C10" s="49">
        <v>4.37</v>
      </c>
      <c r="D10" s="54"/>
      <c r="E10" s="39">
        <v>2110</v>
      </c>
      <c r="F10" s="40">
        <v>3.9</v>
      </c>
      <c r="G10" s="51"/>
      <c r="H10" s="44">
        <f>IF(E10="","",((E10-E9)*C10)/1000)</f>
        <v>1.5120199999999999</v>
      </c>
      <c r="I10" s="52">
        <f>IF(F10="","",F10-F9-G10)</f>
        <v>-2.1999999999999997</v>
      </c>
      <c r="J10" s="44">
        <f t="shared" ref="J10:J73" si="2">IF(F10="","",I10-H10)</f>
        <v>-3.7120199999999999</v>
      </c>
      <c r="K10" s="44">
        <f t="shared" ref="K10:K73" si="3">IF(F10="","",K9+H10)</f>
        <v>9.0240500000000008</v>
      </c>
      <c r="L10" s="44">
        <f t="shared" ref="L10:L73" si="4">IF(F10="","",L9+I10)</f>
        <v>-1.35</v>
      </c>
      <c r="M10" s="53">
        <f t="shared" ref="M10:M73" si="5">IF(F10="","",L10-K10)</f>
        <v>-10.37405</v>
      </c>
      <c r="N10" s="249"/>
      <c r="O10" s="250"/>
      <c r="P10" s="251"/>
      <c r="Q10" s="47">
        <v>44554.818749999999</v>
      </c>
      <c r="R10" s="44">
        <f t="shared" si="0"/>
        <v>-3.2753117646273799</v>
      </c>
      <c r="S10" s="44">
        <f t="shared" si="1"/>
        <v>-2.9781961722454864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2110</v>
      </c>
      <c r="F11" s="40">
        <v>98.21</v>
      </c>
      <c r="G11" s="51">
        <v>94.31</v>
      </c>
      <c r="H11" s="44">
        <f>IF(E11="","",((E11-E10)*C11)/1000)</f>
        <v>0</v>
      </c>
      <c r="I11" s="52">
        <f t="shared" ref="I11:I74" si="6">IF(F11="","",F11-F10-G11)</f>
        <v>-1.4210854715202004E-14</v>
      </c>
      <c r="J11" s="44">
        <f t="shared" si="2"/>
        <v>-1.4210854715202004E-14</v>
      </c>
      <c r="K11" s="44">
        <f t="shared" si="3"/>
        <v>9.0240500000000008</v>
      </c>
      <c r="L11" s="44">
        <f t="shared" si="4"/>
        <v>-1.3500000000000143</v>
      </c>
      <c r="M11" s="53">
        <f t="shared" si="5"/>
        <v>-10.374050000000015</v>
      </c>
      <c r="N11" s="228" t="s">
        <v>73</v>
      </c>
      <c r="O11" s="229"/>
      <c r="P11" s="230"/>
      <c r="Q11" s="47">
        <v>44554.820138888892</v>
      </c>
      <c r="R11" s="44">
        <f t="shared" si="0"/>
        <v>-4.2632564006639668E-13</v>
      </c>
      <c r="S11" s="44">
        <f t="shared" si="1"/>
        <v>-2.9499668245501538</v>
      </c>
    </row>
    <row r="12" spans="1:20" ht="12" customHeight="1" x14ac:dyDescent="0.2">
      <c r="A12" s="37"/>
      <c r="B12" s="48"/>
      <c r="C12" s="49">
        <v>4.37</v>
      </c>
      <c r="D12" s="54"/>
      <c r="E12" s="39">
        <v>2110</v>
      </c>
      <c r="F12" s="56">
        <v>98.6</v>
      </c>
      <c r="G12" s="51"/>
      <c r="H12" s="44">
        <f t="shared" ref="H12:H74" si="7">IF(E12="","",((E12-E11)*C12)/1000)</f>
        <v>0</v>
      </c>
      <c r="I12" s="52">
        <f t="shared" si="6"/>
        <v>0.39000000000000057</v>
      </c>
      <c r="J12" s="44">
        <f t="shared" si="2"/>
        <v>0.39000000000000057</v>
      </c>
      <c r="K12" s="44">
        <f t="shared" si="3"/>
        <v>9.0240500000000008</v>
      </c>
      <c r="L12" s="44">
        <f t="shared" si="4"/>
        <v>-0.96000000000001373</v>
      </c>
      <c r="M12" s="53">
        <f t="shared" si="5"/>
        <v>-9.9840500000000141</v>
      </c>
      <c r="N12" s="228"/>
      <c r="O12" s="229"/>
      <c r="P12" s="230"/>
      <c r="Q12" s="47">
        <v>44554.838194444441</v>
      </c>
      <c r="R12" s="44">
        <f t="shared" si="0"/>
        <v>0.9000000003304417</v>
      </c>
      <c r="S12" s="44">
        <f t="shared" si="1"/>
        <v>-2.52760759496651</v>
      </c>
    </row>
    <row r="13" spans="1:20" ht="12" customHeight="1" x14ac:dyDescent="0.2">
      <c r="A13" s="37"/>
      <c r="B13" s="48"/>
      <c r="C13" s="49">
        <v>4.37</v>
      </c>
      <c r="D13" s="54"/>
      <c r="E13" s="39">
        <v>2110</v>
      </c>
      <c r="F13" s="56">
        <v>103.87</v>
      </c>
      <c r="G13" s="51">
        <v>15</v>
      </c>
      <c r="H13" s="44">
        <f>IF(E13="","",((E13-E12)*C13)/1000)</f>
        <v>0</v>
      </c>
      <c r="I13" s="52">
        <f t="shared" si="6"/>
        <v>-9.7299999999999898</v>
      </c>
      <c r="J13" s="44">
        <f t="shared" si="2"/>
        <v>-9.7299999999999898</v>
      </c>
      <c r="K13" s="44">
        <f t="shared" si="3"/>
        <v>9.0240500000000008</v>
      </c>
      <c r="L13" s="44">
        <f t="shared" si="4"/>
        <v>-10.690000000000003</v>
      </c>
      <c r="M13" s="53">
        <f t="shared" si="5"/>
        <v>-19.714050000000004</v>
      </c>
      <c r="N13" s="231" t="s">
        <v>74</v>
      </c>
      <c r="O13" s="229"/>
      <c r="P13" s="230"/>
      <c r="Q13" s="47">
        <v>44554.899305555555</v>
      </c>
      <c r="R13" s="44">
        <f t="shared" si="0"/>
        <v>-6.6340909087925093</v>
      </c>
      <c r="S13" s="44">
        <f t="shared" si="1"/>
        <v>-3.6395169230638871</v>
      </c>
    </row>
    <row r="14" spans="1:20" ht="12" customHeight="1" x14ac:dyDescent="0.2">
      <c r="A14" s="37"/>
      <c r="B14" s="48"/>
      <c r="C14" s="49">
        <v>4.37</v>
      </c>
      <c r="D14" s="54"/>
      <c r="E14" s="39">
        <v>2110</v>
      </c>
      <c r="F14" s="56">
        <v>102.62</v>
      </c>
      <c r="G14" s="51"/>
      <c r="H14" s="44">
        <f t="shared" si="7"/>
        <v>0</v>
      </c>
      <c r="I14" s="52">
        <f t="shared" si="6"/>
        <v>-1.25</v>
      </c>
      <c r="J14" s="44">
        <f t="shared" si="2"/>
        <v>-1.25</v>
      </c>
      <c r="K14" s="44">
        <f t="shared" si="3"/>
        <v>9.0240500000000008</v>
      </c>
      <c r="L14" s="44">
        <f t="shared" si="4"/>
        <v>-11.940000000000003</v>
      </c>
      <c r="M14" s="53">
        <f t="shared" si="5"/>
        <v>-20.964050000000004</v>
      </c>
      <c r="N14" s="231"/>
      <c r="O14" s="229"/>
      <c r="P14" s="230"/>
      <c r="Q14" s="47">
        <v>44554.916666666664</v>
      </c>
      <c r="R14" s="44">
        <f t="shared" si="0"/>
        <v>-3.000000000279397</v>
      </c>
      <c r="S14" s="44">
        <f t="shared" si="1"/>
        <v>-3.5938371428690972</v>
      </c>
    </row>
    <row r="15" spans="1:20" ht="12" customHeight="1" x14ac:dyDescent="0.2">
      <c r="A15" s="37"/>
      <c r="B15" s="48"/>
      <c r="C15" s="49">
        <v>4.37</v>
      </c>
      <c r="D15" s="54"/>
      <c r="E15" s="39">
        <v>2110</v>
      </c>
      <c r="F15" s="40">
        <v>104.41</v>
      </c>
      <c r="G15" s="51"/>
      <c r="H15" s="44">
        <f t="shared" si="7"/>
        <v>0</v>
      </c>
      <c r="I15" s="52">
        <f t="shared" si="6"/>
        <v>1.789999999999992</v>
      </c>
      <c r="J15" s="44">
        <f t="shared" si="2"/>
        <v>1.789999999999992</v>
      </c>
      <c r="K15" s="44">
        <f t="shared" si="3"/>
        <v>9.0240500000000008</v>
      </c>
      <c r="L15" s="44">
        <f t="shared" si="4"/>
        <v>-10.150000000000011</v>
      </c>
      <c r="M15" s="53">
        <f t="shared" si="5"/>
        <v>-19.174050000000012</v>
      </c>
      <c r="N15" s="231" t="s">
        <v>75</v>
      </c>
      <c r="O15" s="229"/>
      <c r="P15" s="230"/>
      <c r="Q15" s="47">
        <v>44554.9375</v>
      </c>
      <c r="R15" s="44">
        <f t="shared" si="0"/>
        <v>3.579999999583217</v>
      </c>
      <c r="S15" s="44">
        <f t="shared" si="1"/>
        <v>-3.0274815789288207</v>
      </c>
    </row>
    <row r="16" spans="1:20" ht="12" customHeight="1" x14ac:dyDescent="0.2">
      <c r="A16" s="37"/>
      <c r="B16" s="48"/>
      <c r="C16" s="49">
        <v>4.37</v>
      </c>
      <c r="D16" s="57"/>
      <c r="E16" s="39">
        <v>2110</v>
      </c>
      <c r="F16" s="40">
        <v>171.52</v>
      </c>
      <c r="G16" s="51">
        <v>69.400000000000006</v>
      </c>
      <c r="H16" s="44">
        <f t="shared" si="7"/>
        <v>0</v>
      </c>
      <c r="I16" s="52">
        <f t="shared" si="6"/>
        <v>-2.289999999999992</v>
      </c>
      <c r="J16" s="44">
        <f t="shared" si="2"/>
        <v>-2.289999999999992</v>
      </c>
      <c r="K16" s="44">
        <f t="shared" si="3"/>
        <v>9.0240500000000008</v>
      </c>
      <c r="L16" s="44">
        <f t="shared" si="4"/>
        <v>-12.440000000000003</v>
      </c>
      <c r="M16" s="53">
        <f t="shared" si="5"/>
        <v>-21.464050000000004</v>
      </c>
      <c r="N16" s="228"/>
      <c r="O16" s="229"/>
      <c r="P16" s="230"/>
      <c r="Q16" s="47">
        <v>44554.951388888891</v>
      </c>
      <c r="R16" s="44">
        <f t="shared" si="0"/>
        <v>-6.8699999992002025</v>
      </c>
      <c r="S16" s="44">
        <f t="shared" si="1"/>
        <v>-3.2196074999625193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2110</v>
      </c>
      <c r="F17" s="40">
        <v>166.3</v>
      </c>
      <c r="G17" s="51"/>
      <c r="H17" s="44">
        <f t="shared" si="7"/>
        <v>0</v>
      </c>
      <c r="I17" s="52">
        <f t="shared" si="6"/>
        <v>-5.2199999999999989</v>
      </c>
      <c r="J17" s="44">
        <f t="shared" si="2"/>
        <v>-5.2199999999999989</v>
      </c>
      <c r="K17" s="44">
        <f t="shared" si="3"/>
        <v>9.0240500000000008</v>
      </c>
      <c r="L17" s="44">
        <f t="shared" si="4"/>
        <v>-17.660000000000004</v>
      </c>
      <c r="M17" s="53">
        <f t="shared" si="5"/>
        <v>-26.684050000000006</v>
      </c>
      <c r="N17" s="231"/>
      <c r="O17" s="229"/>
      <c r="P17" s="230"/>
      <c r="Q17" s="47">
        <v>44554.972222222219</v>
      </c>
      <c r="R17" s="44">
        <f t="shared" si="0"/>
        <v>-10.44000000243075</v>
      </c>
      <c r="S17" s="44">
        <f t="shared" si="1"/>
        <v>-3.72335581397365</v>
      </c>
    </row>
    <row r="18" spans="1:19" ht="12" customHeight="1" x14ac:dyDescent="0.2">
      <c r="A18" s="37"/>
      <c r="B18" s="48"/>
      <c r="C18" s="49">
        <v>4.37</v>
      </c>
      <c r="D18" s="54"/>
      <c r="E18" s="39">
        <v>2110</v>
      </c>
      <c r="F18" s="40">
        <v>109.3</v>
      </c>
      <c r="G18" s="51">
        <f>5.5-46.3-14.3</f>
        <v>-55.099999999999994</v>
      </c>
      <c r="H18" s="44">
        <f t="shared" si="7"/>
        <v>0</v>
      </c>
      <c r="I18" s="52">
        <f t="shared" si="6"/>
        <v>-1.9000000000000199</v>
      </c>
      <c r="J18" s="44">
        <f t="shared" si="2"/>
        <v>-1.9000000000000199</v>
      </c>
      <c r="K18" s="44">
        <f t="shared" si="3"/>
        <v>9.0240500000000008</v>
      </c>
      <c r="L18" s="44">
        <f t="shared" si="4"/>
        <v>-19.560000000000024</v>
      </c>
      <c r="M18" s="53">
        <f t="shared" si="5"/>
        <v>-28.584050000000026</v>
      </c>
      <c r="N18" s="228" t="s">
        <v>76</v>
      </c>
      <c r="O18" s="229"/>
      <c r="P18" s="230"/>
      <c r="Q18" s="47">
        <v>44555.009722222225</v>
      </c>
      <c r="R18" s="44">
        <f t="shared" si="0"/>
        <v>-2.1111111107834457</v>
      </c>
      <c r="S18" s="44">
        <f t="shared" si="1"/>
        <v>-3.543477272682956</v>
      </c>
    </row>
    <row r="19" spans="1:19" ht="12" customHeight="1" x14ac:dyDescent="0.2">
      <c r="A19" s="37"/>
      <c r="B19" s="48"/>
      <c r="C19" s="49">
        <v>4.37</v>
      </c>
      <c r="D19" s="54"/>
      <c r="E19" s="39">
        <v>2110</v>
      </c>
      <c r="F19" s="40">
        <v>107.31</v>
      </c>
      <c r="G19" s="51"/>
      <c r="H19" s="44">
        <f t="shared" si="7"/>
        <v>0</v>
      </c>
      <c r="I19" s="52">
        <f t="shared" si="6"/>
        <v>-1.9899999999999949</v>
      </c>
      <c r="J19" s="44">
        <f t="shared" si="2"/>
        <v>-1.9899999999999949</v>
      </c>
      <c r="K19" s="44">
        <f t="shared" si="3"/>
        <v>9.0240500000000008</v>
      </c>
      <c r="L19" s="44">
        <f t="shared" si="4"/>
        <v>-21.550000000000018</v>
      </c>
      <c r="M19" s="53">
        <f t="shared" si="5"/>
        <v>-30.574050000000021</v>
      </c>
      <c r="N19" s="228"/>
      <c r="O19" s="229"/>
      <c r="P19" s="230"/>
      <c r="Q19" s="47">
        <v>44555.025000000001</v>
      </c>
      <c r="R19" s="44">
        <f t="shared" si="0"/>
        <v>-5.4272727276747794</v>
      </c>
      <c r="S19" s="44">
        <f t="shared" si="1"/>
        <v>-3.6253814228932084</v>
      </c>
    </row>
    <row r="20" spans="1:19" ht="12" customHeight="1" x14ac:dyDescent="0.2">
      <c r="A20" s="37"/>
      <c r="B20" s="48"/>
      <c r="C20" s="49">
        <v>4.37</v>
      </c>
      <c r="D20" s="54"/>
      <c r="E20" s="39">
        <v>2110</v>
      </c>
      <c r="F20" s="40">
        <v>73.66</v>
      </c>
      <c r="G20" s="51">
        <v>-27.6</v>
      </c>
      <c r="H20" s="44">
        <f t="shared" si="7"/>
        <v>0</v>
      </c>
      <c r="I20" s="52">
        <f t="shared" si="6"/>
        <v>-6.0500000000000043</v>
      </c>
      <c r="J20" s="44">
        <f t="shared" si="2"/>
        <v>-6.0500000000000043</v>
      </c>
      <c r="K20" s="44">
        <f t="shared" si="3"/>
        <v>9.0240500000000008</v>
      </c>
      <c r="L20" s="44">
        <f t="shared" si="4"/>
        <v>-27.600000000000023</v>
      </c>
      <c r="M20" s="53">
        <f t="shared" si="5"/>
        <v>-36.624050000000025</v>
      </c>
      <c r="N20" s="242" t="s">
        <v>77</v>
      </c>
      <c r="O20" s="229"/>
      <c r="P20" s="230"/>
      <c r="Q20" s="47">
        <v>44555.072222222225</v>
      </c>
      <c r="R20" s="44">
        <f t="shared" si="0"/>
        <v>-5.3382352939897046</v>
      </c>
      <c r="S20" s="44">
        <f t="shared" si="1"/>
        <v>-3.8282979093672935</v>
      </c>
    </row>
    <row r="21" spans="1:19" ht="12" customHeight="1" x14ac:dyDescent="0.2">
      <c r="A21" s="37"/>
      <c r="B21" s="48"/>
      <c r="C21" s="49">
        <v>4.37</v>
      </c>
      <c r="D21" s="54"/>
      <c r="E21" s="39">
        <v>2110</v>
      </c>
      <c r="F21" s="40">
        <v>85.03</v>
      </c>
      <c r="G21" s="51">
        <v>12.7</v>
      </c>
      <c r="H21" s="44">
        <f t="shared" si="7"/>
        <v>0</v>
      </c>
      <c r="I21" s="52">
        <f t="shared" si="6"/>
        <v>-1.3299999999999947</v>
      </c>
      <c r="J21" s="44">
        <f t="shared" si="2"/>
        <v>-1.3299999999999947</v>
      </c>
      <c r="K21" s="44">
        <f t="shared" si="3"/>
        <v>9.0240500000000008</v>
      </c>
      <c r="L21" s="44">
        <f t="shared" si="4"/>
        <v>-28.930000000000017</v>
      </c>
      <c r="M21" s="53">
        <f t="shared" si="5"/>
        <v>-37.954050000000016</v>
      </c>
      <c r="N21" s="228" t="s">
        <v>78</v>
      </c>
      <c r="O21" s="229"/>
      <c r="P21" s="230"/>
      <c r="Q21" s="47">
        <v>44555.107638888891</v>
      </c>
      <c r="R21" s="44">
        <f t="shared" si="0"/>
        <v>-1.5647058823957951</v>
      </c>
      <c r="S21" s="44">
        <f t="shared" si="1"/>
        <v>-3.6435887999728549</v>
      </c>
    </row>
    <row r="22" spans="1:19" ht="12" customHeight="1" x14ac:dyDescent="0.2">
      <c r="A22" s="37"/>
      <c r="B22" s="48"/>
      <c r="C22" s="49">
        <v>4.37</v>
      </c>
      <c r="D22" s="54"/>
      <c r="E22" s="39">
        <v>2110</v>
      </c>
      <c r="F22" s="40">
        <v>81.61</v>
      </c>
      <c r="G22" s="51"/>
      <c r="H22" s="44">
        <f t="shared" si="7"/>
        <v>0</v>
      </c>
      <c r="I22" s="52">
        <f t="shared" si="6"/>
        <v>-3.4200000000000017</v>
      </c>
      <c r="J22" s="44">
        <f t="shared" si="2"/>
        <v>-3.4200000000000017</v>
      </c>
      <c r="K22" s="44">
        <f t="shared" si="3"/>
        <v>9.0240500000000008</v>
      </c>
      <c r="L22" s="44">
        <f t="shared" si="4"/>
        <v>-32.350000000000023</v>
      </c>
      <c r="M22" s="53">
        <f t="shared" si="5"/>
        <v>-41.374050000000025</v>
      </c>
      <c r="N22" s="228"/>
      <c r="O22" s="229"/>
      <c r="P22" s="230"/>
      <c r="Q22" s="47">
        <v>44555.118750000001</v>
      </c>
      <c r="R22" s="44">
        <f t="shared" si="0"/>
        <v>-12.825000000186634</v>
      </c>
      <c r="S22" s="44">
        <f t="shared" si="1"/>
        <v>-3.8727659906129004</v>
      </c>
    </row>
    <row r="23" spans="1:19" ht="12" customHeight="1" x14ac:dyDescent="0.2">
      <c r="A23" s="37"/>
      <c r="B23" s="48"/>
      <c r="C23" s="49">
        <v>4.37</v>
      </c>
      <c r="D23" s="58"/>
      <c r="E23" s="39">
        <v>2110</v>
      </c>
      <c r="F23" s="40">
        <v>79.77</v>
      </c>
      <c r="G23" s="51"/>
      <c r="H23" s="44">
        <f t="shared" si="7"/>
        <v>0</v>
      </c>
      <c r="I23" s="52">
        <f t="shared" si="6"/>
        <v>-1.8400000000000034</v>
      </c>
      <c r="J23" s="44">
        <f t="shared" si="2"/>
        <v>-1.8400000000000034</v>
      </c>
      <c r="K23" s="44">
        <f t="shared" si="3"/>
        <v>9.0240500000000008</v>
      </c>
      <c r="L23" s="44">
        <f t="shared" si="4"/>
        <v>-34.190000000000026</v>
      </c>
      <c r="M23" s="53">
        <f t="shared" si="5"/>
        <v>-43.214050000000029</v>
      </c>
      <c r="N23" s="228"/>
      <c r="O23" s="229"/>
      <c r="P23" s="230"/>
      <c r="Q23" s="47">
        <v>44555.13958333333</v>
      </c>
      <c r="R23" s="44">
        <f t="shared" si="0"/>
        <v>-3.6800000008568237</v>
      </c>
      <c r="S23" s="44">
        <f t="shared" si="1"/>
        <v>-3.8641475409983581</v>
      </c>
    </row>
    <row r="24" spans="1:19" ht="12" customHeight="1" x14ac:dyDescent="0.2">
      <c r="A24" s="37"/>
      <c r="B24" s="48"/>
      <c r="C24" s="49">
        <v>4.37</v>
      </c>
      <c r="D24" s="58"/>
      <c r="E24" s="39">
        <v>2110</v>
      </c>
      <c r="F24" s="40">
        <v>6.05</v>
      </c>
      <c r="G24" s="51">
        <v>-73.72</v>
      </c>
      <c r="H24" s="44">
        <f t="shared" si="7"/>
        <v>0</v>
      </c>
      <c r="I24" s="52">
        <f t="shared" si="6"/>
        <v>0</v>
      </c>
      <c r="J24" s="44">
        <f t="shared" si="2"/>
        <v>0</v>
      </c>
      <c r="K24" s="44">
        <f t="shared" si="3"/>
        <v>9.0240500000000008</v>
      </c>
      <c r="L24" s="44">
        <f t="shared" si="4"/>
        <v>-34.190000000000026</v>
      </c>
      <c r="M24" s="53">
        <f t="shared" si="5"/>
        <v>-43.214050000000029</v>
      </c>
      <c r="N24" s="231" t="s">
        <v>63</v>
      </c>
      <c r="O24" s="229"/>
      <c r="P24" s="230"/>
      <c r="Q24" s="47">
        <v>44555.154166666667</v>
      </c>
      <c r="R24" s="44">
        <f t="shared" si="0"/>
        <v>0</v>
      </c>
      <c r="S24" s="44">
        <f t="shared" si="1"/>
        <v>-3.7468829479604921</v>
      </c>
    </row>
    <row r="25" spans="1:19" ht="12" customHeight="1" x14ac:dyDescent="0.2">
      <c r="A25" s="37"/>
      <c r="B25" s="48"/>
      <c r="C25" s="49">
        <v>4.37</v>
      </c>
      <c r="D25" s="58"/>
      <c r="E25" s="39">
        <v>2110</v>
      </c>
      <c r="F25" s="40">
        <v>5.53</v>
      </c>
      <c r="G25" s="51"/>
      <c r="H25" s="44">
        <f t="shared" si="7"/>
        <v>0</v>
      </c>
      <c r="I25" s="52">
        <f t="shared" si="6"/>
        <v>-0.51999999999999957</v>
      </c>
      <c r="J25" s="44">
        <f t="shared" si="2"/>
        <v>-0.51999999999999957</v>
      </c>
      <c r="K25" s="44">
        <f t="shared" si="3"/>
        <v>9.0240500000000008</v>
      </c>
      <c r="L25" s="44">
        <f t="shared" si="4"/>
        <v>-34.710000000000022</v>
      </c>
      <c r="M25" s="53">
        <f t="shared" si="5"/>
        <v>-43.734050000000025</v>
      </c>
      <c r="N25" s="228"/>
      <c r="O25" s="229"/>
      <c r="P25" s="230"/>
      <c r="Q25" s="47">
        <v>44555.161111111112</v>
      </c>
      <c r="R25" s="44">
        <f t="shared" si="0"/>
        <v>-3.1199999996367818</v>
      </c>
      <c r="S25" s="44">
        <f t="shared" si="1"/>
        <v>-3.7379529914306779</v>
      </c>
    </row>
    <row r="26" spans="1:19" ht="12" customHeight="1" x14ac:dyDescent="0.2">
      <c r="A26" s="37"/>
      <c r="B26" s="48"/>
      <c r="C26" s="49">
        <v>4.37</v>
      </c>
      <c r="D26" s="58"/>
      <c r="E26" s="39">
        <v>2110</v>
      </c>
      <c r="F26" s="40">
        <v>8.34</v>
      </c>
      <c r="G26" s="51">
        <v>2.81</v>
      </c>
      <c r="H26" s="44">
        <f>IF(E26="","",((E26-E25)*C26)/1000)</f>
        <v>0</v>
      </c>
      <c r="I26" s="52">
        <f>IF(F26="","",F26-F25-G26)</f>
        <v>-4.4408920985006262E-16</v>
      </c>
      <c r="J26" s="44">
        <f t="shared" si="2"/>
        <v>-4.4408920985006262E-16</v>
      </c>
      <c r="K26" s="44">
        <f t="shared" si="3"/>
        <v>9.0240500000000008</v>
      </c>
      <c r="L26" s="44">
        <f t="shared" si="4"/>
        <v>-34.710000000000022</v>
      </c>
      <c r="M26" s="53">
        <f t="shared" si="5"/>
        <v>-43.734050000000025</v>
      </c>
      <c r="N26" s="228" t="s">
        <v>65</v>
      </c>
      <c r="O26" s="229"/>
      <c r="P26" s="230"/>
      <c r="Q26" s="47">
        <v>44555.173611111109</v>
      </c>
      <c r="R26" s="44">
        <f t="shared" si="0"/>
        <v>-1.4802973665115339E-15</v>
      </c>
      <c r="S26" s="44">
        <f t="shared" si="1"/>
        <v>-3.6445041666666689</v>
      </c>
    </row>
    <row r="27" spans="1:19" ht="12" customHeight="1" x14ac:dyDescent="0.2">
      <c r="A27" s="37"/>
      <c r="B27" s="48"/>
      <c r="C27" s="49">
        <v>4.37</v>
      </c>
      <c r="D27" s="58"/>
      <c r="E27" s="39">
        <v>1354</v>
      </c>
      <c r="F27" s="40">
        <v>8.43</v>
      </c>
      <c r="G27" s="51">
        <f>-2.3+8.43</f>
        <v>6.13</v>
      </c>
      <c r="H27" s="44">
        <f t="shared" si="7"/>
        <v>-3.3037200000000002</v>
      </c>
      <c r="I27" s="52">
        <f>IF(F27="","",F27-F26-G27)</f>
        <v>-6.04</v>
      </c>
      <c r="J27" s="44">
        <f>IF(F27="","",I27-H27)</f>
        <v>-2.7362799999999998</v>
      </c>
      <c r="K27" s="44">
        <f>IF(F27="","",K26+H27)</f>
        <v>5.7203300000000006</v>
      </c>
      <c r="L27" s="44">
        <f>IF(F27="","",L26+I27)</f>
        <v>-40.750000000000021</v>
      </c>
      <c r="M27" s="53">
        <f>IF(F27="","",L27-K27)</f>
        <v>-46.470330000000018</v>
      </c>
      <c r="N27" s="231"/>
      <c r="O27" s="229"/>
      <c r="P27" s="230"/>
      <c r="Q27" s="47">
        <v>44555.21875</v>
      </c>
      <c r="R27" s="44">
        <f t="shared" si="0"/>
        <v>-2.5257969229864488</v>
      </c>
      <c r="S27" s="44">
        <f t="shared" si="1"/>
        <v>-3.5518723566773645</v>
      </c>
    </row>
    <row r="28" spans="1:19" ht="12" customHeight="1" x14ac:dyDescent="0.2">
      <c r="A28" s="37"/>
      <c r="B28" s="48"/>
      <c r="C28" s="49">
        <v>4.37</v>
      </c>
      <c r="D28" s="58"/>
      <c r="E28" s="39">
        <v>703</v>
      </c>
      <c r="F28" s="40">
        <v>8.8699999999999992</v>
      </c>
      <c r="G28" s="51">
        <f>-3.15+8.95</f>
        <v>5.7999999999999989</v>
      </c>
      <c r="H28" s="44">
        <f t="shared" si="7"/>
        <v>-2.8448699999999998</v>
      </c>
      <c r="I28" s="52">
        <f>IF(F28="","",F28-F27-G28)</f>
        <v>-5.3599999999999994</v>
      </c>
      <c r="J28" s="44">
        <f t="shared" si="2"/>
        <v>-2.5151299999999996</v>
      </c>
      <c r="K28" s="44">
        <f t="shared" si="3"/>
        <v>2.8754600000000008</v>
      </c>
      <c r="L28" s="44">
        <f t="shared" si="4"/>
        <v>-46.110000000000021</v>
      </c>
      <c r="M28" s="53">
        <f t="shared" si="5"/>
        <v>-48.985460000000025</v>
      </c>
      <c r="N28" s="231"/>
      <c r="O28" s="229"/>
      <c r="P28" s="230"/>
      <c r="Q28" s="47">
        <v>44555.24722222222</v>
      </c>
      <c r="R28" s="44">
        <f t="shared" si="0"/>
        <v>-3.6806780490104072</v>
      </c>
      <c r="S28" s="44">
        <f t="shared" si="1"/>
        <v>-3.5582658595651693</v>
      </c>
    </row>
    <row r="29" spans="1:19" ht="12" customHeight="1" x14ac:dyDescent="0.2">
      <c r="A29" s="37"/>
      <c r="B29" s="48"/>
      <c r="C29" s="49">
        <v>4.37</v>
      </c>
      <c r="D29" s="58"/>
      <c r="E29" s="39">
        <v>675</v>
      </c>
      <c r="F29" s="40">
        <v>8.6</v>
      </c>
      <c r="G29" s="51">
        <v>-0.14000000000000001</v>
      </c>
      <c r="H29" s="44">
        <f t="shared" si="7"/>
        <v>-0.12236</v>
      </c>
      <c r="I29" s="52">
        <f t="shared" si="6"/>
        <v>-0.12999999999999956</v>
      </c>
      <c r="J29" s="44">
        <f t="shared" si="2"/>
        <v>-7.6399999999995638E-3</v>
      </c>
      <c r="K29" s="44">
        <f t="shared" si="3"/>
        <v>2.7531000000000008</v>
      </c>
      <c r="L29" s="44">
        <f t="shared" si="4"/>
        <v>-46.240000000000023</v>
      </c>
      <c r="M29" s="53">
        <f t="shared" si="5"/>
        <v>-48.993100000000027</v>
      </c>
      <c r="N29" s="228" t="s">
        <v>63</v>
      </c>
      <c r="O29" s="229"/>
      <c r="P29" s="230"/>
      <c r="Q29" s="47">
        <v>44555.252083333333</v>
      </c>
      <c r="R29" s="44">
        <f t="shared" si="0"/>
        <v>-6.5485714268285311E-2</v>
      </c>
      <c r="S29" s="44">
        <f t="shared" si="1"/>
        <v>-3.5289147658994597</v>
      </c>
    </row>
    <row r="30" spans="1:19" ht="12" customHeight="1" x14ac:dyDescent="0.2">
      <c r="A30" s="37"/>
      <c r="B30" s="48"/>
      <c r="C30" s="49">
        <v>4.37</v>
      </c>
      <c r="D30" s="58"/>
      <c r="E30" s="39">
        <v>675</v>
      </c>
      <c r="F30" s="40">
        <v>8.3800000000000008</v>
      </c>
      <c r="G30" s="59"/>
      <c r="H30" s="44">
        <f t="shared" si="7"/>
        <v>0</v>
      </c>
      <c r="I30" s="52">
        <f t="shared" si="6"/>
        <v>-0.21999999999999886</v>
      </c>
      <c r="J30" s="44">
        <f t="shared" si="2"/>
        <v>-0.21999999999999886</v>
      </c>
      <c r="K30" s="44">
        <f t="shared" si="3"/>
        <v>2.7531000000000008</v>
      </c>
      <c r="L30" s="44">
        <f t="shared" si="4"/>
        <v>-46.460000000000022</v>
      </c>
      <c r="M30" s="53">
        <f t="shared" si="5"/>
        <v>-49.213100000000026</v>
      </c>
      <c r="N30" s="228"/>
      <c r="O30" s="229"/>
      <c r="P30" s="230"/>
      <c r="Q30" s="47">
        <v>44555.259027777778</v>
      </c>
      <c r="R30" s="44">
        <f t="shared" si="0"/>
        <v>-1.319999999846325</v>
      </c>
      <c r="S30" s="44">
        <f t="shared" si="1"/>
        <v>-3.5027117437606345</v>
      </c>
    </row>
    <row r="31" spans="1:19" ht="12" customHeight="1" x14ac:dyDescent="0.2">
      <c r="A31" s="37"/>
      <c r="B31" s="48"/>
      <c r="C31" s="49">
        <v>4.37</v>
      </c>
      <c r="D31" s="58"/>
      <c r="E31" s="39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 t="s">
        <v>29</v>
      </c>
      <c r="C32" s="49">
        <v>10.58</v>
      </c>
      <c r="D32" s="58"/>
      <c r="E32" s="39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10.58</v>
      </c>
      <c r="D33" s="58"/>
      <c r="E33" s="39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10.58</v>
      </c>
      <c r="D34" s="58"/>
      <c r="E34" s="39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10.58</v>
      </c>
      <c r="D35" s="58"/>
      <c r="E35" s="39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10.58</v>
      </c>
      <c r="D36" s="58"/>
      <c r="E36" s="39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10.58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U112"/>
  <sheetViews>
    <sheetView topLeftCell="A4" zoomScaleNormal="100" workbookViewId="0">
      <selection activeCell="B46" sqref="B4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332</v>
      </c>
      <c r="F6" s="40">
        <v>5.84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44553.930555555555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357</v>
      </c>
      <c r="F7" s="40">
        <v>3.58</v>
      </c>
      <c r="G7" s="51"/>
      <c r="H7" s="44">
        <f>IF(E7="","",((E7-E6)*C7)/1000)</f>
        <v>0.26450000000000001</v>
      </c>
      <c r="I7" s="52">
        <f>IF(F7="","",F7-F6-G7)</f>
        <v>-2.2599999999999998</v>
      </c>
      <c r="J7" s="44">
        <f>IF(F7="","",I7-H7)</f>
        <v>-2.5244999999999997</v>
      </c>
      <c r="K7" s="44">
        <f>IF(F7="","",K6+H7)</f>
        <v>0.26450000000000001</v>
      </c>
      <c r="L7" s="44">
        <f>IF(F7="","",L6+I7)</f>
        <v>-2.2599999999999998</v>
      </c>
      <c r="M7" s="53">
        <f>IF(F7="","",L7-K7)</f>
        <v>-2.5244999999999997</v>
      </c>
      <c r="N7" s="231"/>
      <c r="O7" s="229"/>
      <c r="P7" s="230"/>
      <c r="Q7" s="47">
        <v>44553.951388888891</v>
      </c>
      <c r="R7" s="44">
        <f t="shared" ref="R7:R70" si="0">IF(Q7="","",J7/((Q7-Q6)*24))</f>
        <v>-5.0489999994122181</v>
      </c>
      <c r="S7" s="44">
        <f t="shared" ref="S7:S70" si="1">IF(Q7="","",M7/((Q7-$Q$6)*24))</f>
        <v>-5.0489999994122181</v>
      </c>
    </row>
    <row r="8" spans="1:20" ht="12" customHeight="1" x14ac:dyDescent="0.2">
      <c r="A8" s="37"/>
      <c r="B8" s="48"/>
      <c r="C8" s="49">
        <v>10.58</v>
      </c>
      <c r="D8" s="54"/>
      <c r="E8" s="39">
        <v>785</v>
      </c>
      <c r="F8" s="40">
        <v>3.87</v>
      </c>
      <c r="G8" s="51"/>
      <c r="H8" s="44">
        <f>IF(E8="","",((E8-E7)*C8)/1000)</f>
        <v>4.5282399999999994</v>
      </c>
      <c r="I8" s="52">
        <f>IF(F8="","",F8-F7-G8)</f>
        <v>0.29000000000000004</v>
      </c>
      <c r="J8" s="44">
        <f>IF(F8="","",I8-H8)</f>
        <v>-4.2382399999999993</v>
      </c>
      <c r="K8" s="44">
        <f>IF(F8="","",K7+H8)</f>
        <v>4.7927399999999993</v>
      </c>
      <c r="L8" s="44">
        <f>IF(F8="","",L7+I8)</f>
        <v>-1.9699999999999998</v>
      </c>
      <c r="M8" s="53">
        <f>IF(F8="","",L8-K8)</f>
        <v>-6.7627399999999991</v>
      </c>
      <c r="N8" s="231"/>
      <c r="O8" s="229"/>
      <c r="P8" s="230"/>
      <c r="Q8" s="47">
        <v>44553.979166666664</v>
      </c>
      <c r="R8" s="44">
        <f t="shared" si="0"/>
        <v>-6.3573600009251168</v>
      </c>
      <c r="S8" s="44">
        <f t="shared" si="1"/>
        <v>-5.7966342859070901</v>
      </c>
      <c r="T8" s="55"/>
    </row>
    <row r="9" spans="1:20" ht="12" customHeight="1" x14ac:dyDescent="0.2">
      <c r="A9" s="37"/>
      <c r="B9" s="48" t="s">
        <v>38</v>
      </c>
      <c r="C9" s="49">
        <v>4.37</v>
      </c>
      <c r="D9" s="54"/>
      <c r="E9" s="39">
        <v>1576</v>
      </c>
      <c r="F9" s="40">
        <v>3.46</v>
      </c>
      <c r="G9" s="51"/>
      <c r="H9" s="44">
        <f>IF(E9="","",((E9-E8)*C9)/1000)</f>
        <v>3.4566699999999999</v>
      </c>
      <c r="I9" s="52">
        <f>IF(F9="","",F9-F8-G9)</f>
        <v>-0.41000000000000014</v>
      </c>
      <c r="J9" s="44">
        <f>IF(F9="","",I9-H9)</f>
        <v>-3.8666700000000001</v>
      </c>
      <c r="K9" s="44">
        <f>IF(F9="","",K8+H9)</f>
        <v>8.2494099999999992</v>
      </c>
      <c r="L9" s="44">
        <f>IF(F9="","",L8+I9)</f>
        <v>-2.38</v>
      </c>
      <c r="M9" s="53">
        <f>IF(F9="","",L9-K9)</f>
        <v>-10.62941</v>
      </c>
      <c r="N9" s="228"/>
      <c r="O9" s="229"/>
      <c r="P9" s="230"/>
      <c r="Q9" s="47">
        <v>44554.018750000003</v>
      </c>
      <c r="R9" s="44">
        <f t="shared" si="0"/>
        <v>-4.0701789468197749</v>
      </c>
      <c r="S9" s="44">
        <f t="shared" si="1"/>
        <v>-5.0217685037252595</v>
      </c>
    </row>
    <row r="10" spans="1:20" ht="12" customHeight="1" x14ac:dyDescent="0.2">
      <c r="A10" s="37"/>
      <c r="B10" s="48"/>
      <c r="C10" s="49">
        <v>4.37</v>
      </c>
      <c r="D10" s="54"/>
      <c r="E10" s="39">
        <v>1929</v>
      </c>
      <c r="F10" s="40">
        <v>2.59</v>
      </c>
      <c r="G10" s="51"/>
      <c r="H10" s="44">
        <f>IF(E10="","",((E10-E9)*C10)/1000)</f>
        <v>1.54261</v>
      </c>
      <c r="I10" s="52">
        <f>IF(F10="","",F10-F9-G10)</f>
        <v>-0.87000000000000011</v>
      </c>
      <c r="J10" s="44">
        <f t="shared" ref="J10:J73" si="2">IF(F10="","",I10-H10)</f>
        <v>-2.4126099999999999</v>
      </c>
      <c r="K10" s="44">
        <f t="shared" ref="K10:K73" si="3">IF(F10="","",K9+H10)</f>
        <v>9.7920199999999991</v>
      </c>
      <c r="L10" s="44">
        <f t="shared" ref="L10:L73" si="4">IF(F10="","",L9+I10)</f>
        <v>-3.25</v>
      </c>
      <c r="M10" s="53">
        <f t="shared" ref="M10:M73" si="5">IF(F10="","",L10-K10)</f>
        <v>-13.042019999999999</v>
      </c>
      <c r="N10" s="249"/>
      <c r="O10" s="250"/>
      <c r="P10" s="251"/>
      <c r="Q10" s="47">
        <v>44554.040972222225</v>
      </c>
      <c r="R10" s="44">
        <f t="shared" si="0"/>
        <v>-4.523643750065828</v>
      </c>
      <c r="S10" s="44">
        <f t="shared" si="1"/>
        <v>-4.9215169809807326</v>
      </c>
      <c r="T10" s="55"/>
    </row>
    <row r="11" spans="1:20" ht="12" customHeight="1" x14ac:dyDescent="0.2">
      <c r="A11" s="37"/>
      <c r="B11" s="48"/>
      <c r="C11" s="49">
        <v>4.37</v>
      </c>
      <c r="D11" s="54"/>
      <c r="E11" s="39">
        <v>1956</v>
      </c>
      <c r="F11" s="40">
        <v>8.35</v>
      </c>
      <c r="G11" s="51">
        <f>8.29-2.59</f>
        <v>5.6999999999999993</v>
      </c>
      <c r="H11" s="44">
        <f>IF(E11="","",((E11-E10)*C11)/1000)</f>
        <v>0.11799000000000001</v>
      </c>
      <c r="I11" s="52">
        <f t="shared" ref="I11:I74" si="6">IF(F11="","",F11-F10-G11)</f>
        <v>6.0000000000000497E-2</v>
      </c>
      <c r="J11" s="44">
        <f t="shared" si="2"/>
        <v>-5.7989999999999514E-2</v>
      </c>
      <c r="K11" s="44">
        <f t="shared" si="3"/>
        <v>9.9100099999999998</v>
      </c>
      <c r="L11" s="44">
        <f t="shared" si="4"/>
        <v>-3.1899999999999995</v>
      </c>
      <c r="M11" s="53">
        <f t="shared" si="5"/>
        <v>-13.100009999999999</v>
      </c>
      <c r="N11" s="228"/>
      <c r="O11" s="229"/>
      <c r="P11" s="230"/>
      <c r="Q11" s="47">
        <v>44554.044444444444</v>
      </c>
      <c r="R11" s="44">
        <f t="shared" si="0"/>
        <v>-0.69588000064808297</v>
      </c>
      <c r="S11" s="44">
        <f t="shared" si="1"/>
        <v>-4.792686585359049</v>
      </c>
    </row>
    <row r="12" spans="1:20" ht="12" customHeight="1" x14ac:dyDescent="0.2">
      <c r="A12" s="37"/>
      <c r="B12" s="48"/>
      <c r="C12" s="49">
        <v>4.37</v>
      </c>
      <c r="D12" s="54"/>
      <c r="E12" s="39">
        <v>2091</v>
      </c>
      <c r="F12" s="56">
        <v>5.59</v>
      </c>
      <c r="G12" s="51"/>
      <c r="H12" s="44">
        <f t="shared" ref="H12:H74" si="7">IF(E12="","",((E12-E11)*C12)/1000)</f>
        <v>0.58995000000000009</v>
      </c>
      <c r="I12" s="52">
        <f t="shared" si="6"/>
        <v>-2.76</v>
      </c>
      <c r="J12" s="44">
        <f t="shared" si="2"/>
        <v>-3.3499499999999998</v>
      </c>
      <c r="K12" s="44">
        <f t="shared" si="3"/>
        <v>10.49996</v>
      </c>
      <c r="L12" s="44">
        <f t="shared" si="4"/>
        <v>-5.9499999999999993</v>
      </c>
      <c r="M12" s="53">
        <f t="shared" si="5"/>
        <v>-16.449959999999997</v>
      </c>
      <c r="N12" s="228"/>
      <c r="O12" s="229"/>
      <c r="P12" s="230"/>
      <c r="Q12" s="47">
        <v>44554.07916666667</v>
      </c>
      <c r="R12" s="44">
        <f t="shared" si="0"/>
        <v>-4.0199399995320171</v>
      </c>
      <c r="S12" s="44">
        <f t="shared" si="1"/>
        <v>-4.6121383176265409</v>
      </c>
    </row>
    <row r="13" spans="1:20" ht="12" customHeight="1" x14ac:dyDescent="0.2">
      <c r="A13" s="37"/>
      <c r="B13" s="48"/>
      <c r="C13" s="49">
        <v>4.37</v>
      </c>
      <c r="D13" s="54"/>
      <c r="E13" s="39">
        <v>2091</v>
      </c>
      <c r="F13" s="56">
        <v>120.3</v>
      </c>
      <c r="G13" s="51">
        <v>114.71</v>
      </c>
      <c r="H13" s="44">
        <f>IF(E13="","",((E13-E12)*C13)/1000)</f>
        <v>0</v>
      </c>
      <c r="I13" s="52">
        <f t="shared" si="6"/>
        <v>0</v>
      </c>
      <c r="J13" s="44">
        <f t="shared" si="2"/>
        <v>0</v>
      </c>
      <c r="K13" s="44">
        <f t="shared" si="3"/>
        <v>10.49996</v>
      </c>
      <c r="L13" s="44">
        <f t="shared" si="4"/>
        <v>-5.9499999999999993</v>
      </c>
      <c r="M13" s="53">
        <f t="shared" si="5"/>
        <v>-16.449959999999997</v>
      </c>
      <c r="N13" s="231" t="s">
        <v>67</v>
      </c>
      <c r="O13" s="229"/>
      <c r="P13" s="230"/>
      <c r="Q13" s="47">
        <v>44554.081944444442</v>
      </c>
      <c r="R13" s="44">
        <f t="shared" si="0"/>
        <v>0</v>
      </c>
      <c r="S13" s="44">
        <f t="shared" si="1"/>
        <v>-4.5275119266441877</v>
      </c>
    </row>
    <row r="14" spans="1:20" ht="12" customHeight="1" x14ac:dyDescent="0.2">
      <c r="A14" s="37"/>
      <c r="B14" s="48"/>
      <c r="C14" s="49">
        <v>4.37</v>
      </c>
      <c r="D14" s="54"/>
      <c r="E14" s="39">
        <v>2091</v>
      </c>
      <c r="F14" s="56">
        <v>214</v>
      </c>
      <c r="G14" s="51">
        <f>38+56.4</f>
        <v>94.4</v>
      </c>
      <c r="H14" s="44">
        <f t="shared" si="7"/>
        <v>0</v>
      </c>
      <c r="I14" s="52">
        <f t="shared" si="6"/>
        <v>-0.70000000000000284</v>
      </c>
      <c r="J14" s="44">
        <f t="shared" si="2"/>
        <v>-0.70000000000000284</v>
      </c>
      <c r="K14" s="44">
        <f t="shared" si="3"/>
        <v>10.49996</v>
      </c>
      <c r="L14" s="44">
        <f t="shared" si="4"/>
        <v>-6.6500000000000021</v>
      </c>
      <c r="M14" s="53">
        <f t="shared" si="5"/>
        <v>-17.14996</v>
      </c>
      <c r="N14" s="231" t="s">
        <v>68</v>
      </c>
      <c r="O14" s="229"/>
      <c r="P14" s="230"/>
      <c r="Q14" s="47">
        <v>44554.103472222225</v>
      </c>
      <c r="R14" s="44">
        <f t="shared" si="0"/>
        <v>-1.3548387093823284</v>
      </c>
      <c r="S14" s="44">
        <f t="shared" si="1"/>
        <v>-4.1325204818465631</v>
      </c>
    </row>
    <row r="15" spans="1:20" ht="12" customHeight="1" x14ac:dyDescent="0.2">
      <c r="A15" s="37"/>
      <c r="B15" s="48"/>
      <c r="C15" s="49">
        <v>4.37</v>
      </c>
      <c r="D15" s="54"/>
      <c r="E15" s="39">
        <v>2091</v>
      </c>
      <c r="F15" s="40">
        <v>7.96</v>
      </c>
      <c r="G15" s="51">
        <v>-206.04</v>
      </c>
      <c r="H15" s="44">
        <f t="shared" si="7"/>
        <v>0</v>
      </c>
      <c r="I15" s="52">
        <f t="shared" si="6"/>
        <v>0</v>
      </c>
      <c r="J15" s="44">
        <f t="shared" si="2"/>
        <v>0</v>
      </c>
      <c r="K15" s="44">
        <f t="shared" si="3"/>
        <v>10.49996</v>
      </c>
      <c r="L15" s="44">
        <f t="shared" si="4"/>
        <v>-6.6500000000000021</v>
      </c>
      <c r="M15" s="53">
        <f t="shared" si="5"/>
        <v>-17.14996</v>
      </c>
      <c r="N15" s="231"/>
      <c r="O15" s="229"/>
      <c r="P15" s="230"/>
      <c r="Q15" s="47">
        <v>44554.104861111111</v>
      </c>
      <c r="R15" s="44">
        <f t="shared" si="0"/>
        <v>0</v>
      </c>
      <c r="S15" s="44">
        <f t="shared" si="1"/>
        <v>-4.0995920318572985</v>
      </c>
    </row>
    <row r="16" spans="1:20" ht="12" customHeight="1" x14ac:dyDescent="0.2">
      <c r="A16" s="37"/>
      <c r="B16" s="48"/>
      <c r="C16" s="49">
        <v>4.37</v>
      </c>
      <c r="D16" s="57"/>
      <c r="E16" s="39">
        <v>2091</v>
      </c>
      <c r="F16" s="40">
        <v>7.5</v>
      </c>
      <c r="G16" s="51"/>
      <c r="H16" s="44">
        <f t="shared" si="7"/>
        <v>0</v>
      </c>
      <c r="I16" s="52">
        <f t="shared" si="6"/>
        <v>-0.45999999999999996</v>
      </c>
      <c r="J16" s="44">
        <f t="shared" si="2"/>
        <v>-0.45999999999999996</v>
      </c>
      <c r="K16" s="44">
        <f t="shared" si="3"/>
        <v>10.49996</v>
      </c>
      <c r="L16" s="44">
        <f t="shared" si="4"/>
        <v>-7.1100000000000021</v>
      </c>
      <c r="M16" s="53">
        <f t="shared" si="5"/>
        <v>-17.609960000000001</v>
      </c>
      <c r="N16" s="228"/>
      <c r="O16" s="229"/>
      <c r="P16" s="230"/>
      <c r="Q16" s="47">
        <v>44554.111805555556</v>
      </c>
      <c r="R16" s="44">
        <f t="shared" si="0"/>
        <v>-2.7599999996786937</v>
      </c>
      <c r="S16" s="44">
        <f t="shared" si="1"/>
        <v>-4.0482666666341647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39">
        <v>2110</v>
      </c>
      <c r="F17" s="40">
        <v>132.49</v>
      </c>
      <c r="G17" s="51">
        <v>125</v>
      </c>
      <c r="H17" s="44">
        <f t="shared" si="7"/>
        <v>8.3030000000000007E-2</v>
      </c>
      <c r="I17" s="52">
        <f t="shared" si="6"/>
        <v>-9.9999999999909051E-3</v>
      </c>
      <c r="J17" s="44">
        <f t="shared" si="2"/>
        <v>-9.3029999999990912E-2</v>
      </c>
      <c r="K17" s="44">
        <f t="shared" si="3"/>
        <v>10.582990000000001</v>
      </c>
      <c r="L17" s="44">
        <f t="shared" si="4"/>
        <v>-7.119999999999993</v>
      </c>
      <c r="M17" s="53">
        <f t="shared" si="5"/>
        <v>-17.702989999999993</v>
      </c>
      <c r="N17" s="231" t="s">
        <v>69</v>
      </c>
      <c r="O17" s="229"/>
      <c r="P17" s="230"/>
      <c r="Q17" s="47">
        <v>44554.145833333336</v>
      </c>
      <c r="R17" s="44">
        <f t="shared" si="0"/>
        <v>-0.1139142857083205</v>
      </c>
      <c r="S17" s="44">
        <f t="shared" si="1"/>
        <v>-3.4263851612388523</v>
      </c>
    </row>
    <row r="18" spans="1:19" ht="12" customHeight="1" x14ac:dyDescent="0.2">
      <c r="A18" s="37"/>
      <c r="B18" s="48"/>
      <c r="C18" s="49">
        <v>4.37</v>
      </c>
      <c r="D18" s="54"/>
      <c r="E18" s="39">
        <v>2110</v>
      </c>
      <c r="F18" s="40">
        <v>129</v>
      </c>
      <c r="G18" s="51"/>
      <c r="H18" s="44">
        <f t="shared" si="7"/>
        <v>0</v>
      </c>
      <c r="I18" s="52">
        <f t="shared" si="6"/>
        <v>-3.4900000000000091</v>
      </c>
      <c r="J18" s="44">
        <f t="shared" si="2"/>
        <v>-3.4900000000000091</v>
      </c>
      <c r="K18" s="44">
        <f t="shared" si="3"/>
        <v>10.582990000000001</v>
      </c>
      <c r="L18" s="44">
        <f t="shared" si="4"/>
        <v>-10.610000000000003</v>
      </c>
      <c r="M18" s="53">
        <f t="shared" si="5"/>
        <v>-21.192990000000002</v>
      </c>
      <c r="N18" s="228"/>
      <c r="O18" s="229"/>
      <c r="P18" s="230"/>
      <c r="Q18" s="47">
        <v>44554.166666666664</v>
      </c>
      <c r="R18" s="44">
        <f t="shared" si="0"/>
        <v>-6.980000001625176</v>
      </c>
      <c r="S18" s="44">
        <f t="shared" si="1"/>
        <v>-3.7399394117903171</v>
      </c>
    </row>
    <row r="19" spans="1:19" ht="12" customHeight="1" x14ac:dyDescent="0.2">
      <c r="A19" s="37"/>
      <c r="B19" s="48"/>
      <c r="C19" s="49">
        <v>4.37</v>
      </c>
      <c r="D19" s="54"/>
      <c r="E19" s="39">
        <v>2110</v>
      </c>
      <c r="F19" s="40">
        <v>125</v>
      </c>
      <c r="G19" s="51"/>
      <c r="H19" s="44">
        <f t="shared" si="7"/>
        <v>0</v>
      </c>
      <c r="I19" s="52">
        <f t="shared" si="6"/>
        <v>-4</v>
      </c>
      <c r="J19" s="44">
        <f t="shared" si="2"/>
        <v>-4</v>
      </c>
      <c r="K19" s="44">
        <f t="shared" si="3"/>
        <v>10.582990000000001</v>
      </c>
      <c r="L19" s="44">
        <f t="shared" si="4"/>
        <v>-14.610000000000003</v>
      </c>
      <c r="M19" s="53">
        <f t="shared" si="5"/>
        <v>-25.192990000000002</v>
      </c>
      <c r="N19" s="228"/>
      <c r="O19" s="229"/>
      <c r="P19" s="230"/>
      <c r="Q19" s="47">
        <v>44554.20416666667</v>
      </c>
      <c r="R19" s="44">
        <f t="shared" si="0"/>
        <v>-4.444444443754576</v>
      </c>
      <c r="S19" s="44">
        <f t="shared" si="1"/>
        <v>-3.836495939027349</v>
      </c>
    </row>
    <row r="20" spans="1:19" ht="12" customHeight="1" x14ac:dyDescent="0.2">
      <c r="A20" s="37"/>
      <c r="B20" s="48"/>
      <c r="C20" s="49">
        <v>4.37</v>
      </c>
      <c r="D20" s="54"/>
      <c r="E20" s="39">
        <v>2110</v>
      </c>
      <c r="F20" s="40">
        <v>171</v>
      </c>
      <c r="G20" s="51">
        <f>69-18.5</f>
        <v>50.5</v>
      </c>
      <c r="H20" s="44">
        <f t="shared" si="7"/>
        <v>0</v>
      </c>
      <c r="I20" s="52">
        <f t="shared" si="6"/>
        <v>-4.5</v>
      </c>
      <c r="J20" s="44">
        <f t="shared" si="2"/>
        <v>-4.5</v>
      </c>
      <c r="K20" s="44">
        <f t="shared" si="3"/>
        <v>10.582990000000001</v>
      </c>
      <c r="L20" s="44">
        <f t="shared" si="4"/>
        <v>-19.110000000000003</v>
      </c>
      <c r="M20" s="53">
        <f t="shared" si="5"/>
        <v>-29.692990000000002</v>
      </c>
      <c r="N20" s="242" t="s">
        <v>70</v>
      </c>
      <c r="O20" s="229"/>
      <c r="P20" s="230"/>
      <c r="Q20" s="47">
        <v>44554.231249999997</v>
      </c>
      <c r="R20" s="44">
        <f t="shared" si="0"/>
        <v>-6.9230769246888277</v>
      </c>
      <c r="S20" s="44">
        <f t="shared" si="1"/>
        <v>-4.1145020785507018</v>
      </c>
    </row>
    <row r="21" spans="1:19" ht="12" customHeight="1" x14ac:dyDescent="0.2">
      <c r="A21" s="37"/>
      <c r="B21" s="48"/>
      <c r="C21" s="49">
        <v>4.37</v>
      </c>
      <c r="D21" s="54"/>
      <c r="E21" s="39">
        <v>2110</v>
      </c>
      <c r="F21" s="40">
        <v>124</v>
      </c>
      <c r="G21" s="51">
        <f>1.9-40.4-8.5</f>
        <v>-47</v>
      </c>
      <c r="H21" s="44">
        <f t="shared" si="7"/>
        <v>0</v>
      </c>
      <c r="I21" s="52">
        <f t="shared" si="6"/>
        <v>0</v>
      </c>
      <c r="J21" s="44">
        <f t="shared" si="2"/>
        <v>0</v>
      </c>
      <c r="K21" s="44">
        <f t="shared" si="3"/>
        <v>10.582990000000001</v>
      </c>
      <c r="L21" s="44">
        <f t="shared" si="4"/>
        <v>-19.110000000000003</v>
      </c>
      <c r="M21" s="53">
        <f t="shared" si="5"/>
        <v>-29.692990000000002</v>
      </c>
      <c r="N21" s="228" t="s">
        <v>71</v>
      </c>
      <c r="O21" s="229"/>
      <c r="P21" s="230"/>
      <c r="Q21" s="47">
        <v>44554.277777777781</v>
      </c>
      <c r="R21" s="44">
        <f t="shared" si="0"/>
        <v>0</v>
      </c>
      <c r="S21" s="44">
        <f t="shared" si="1"/>
        <v>-3.5631587999585195</v>
      </c>
    </row>
    <row r="22" spans="1:19" ht="12" customHeight="1" x14ac:dyDescent="0.2">
      <c r="A22" s="37"/>
      <c r="B22" s="48"/>
      <c r="C22" s="49">
        <v>4.37</v>
      </c>
      <c r="D22" s="54"/>
      <c r="E22" s="39">
        <v>2110</v>
      </c>
      <c r="F22" s="40">
        <v>123</v>
      </c>
      <c r="G22" s="51"/>
      <c r="H22" s="44">
        <f t="shared" si="7"/>
        <v>0</v>
      </c>
      <c r="I22" s="52">
        <f t="shared" si="6"/>
        <v>-1</v>
      </c>
      <c r="J22" s="44">
        <f t="shared" si="2"/>
        <v>-1</v>
      </c>
      <c r="K22" s="44">
        <f t="shared" si="3"/>
        <v>10.582990000000001</v>
      </c>
      <c r="L22" s="44">
        <f t="shared" si="4"/>
        <v>-20.110000000000003</v>
      </c>
      <c r="M22" s="53">
        <f t="shared" si="5"/>
        <v>-30.692990000000002</v>
      </c>
      <c r="N22" s="228"/>
      <c r="O22" s="229"/>
      <c r="P22" s="230"/>
      <c r="Q22" s="47">
        <v>44554.287499999999</v>
      </c>
      <c r="R22" s="44">
        <f t="shared" si="0"/>
        <v>-4.2857142877812517</v>
      </c>
      <c r="S22" s="44">
        <f t="shared" si="1"/>
        <v>-3.5828392996173868</v>
      </c>
    </row>
    <row r="23" spans="1:19" ht="12" customHeight="1" x14ac:dyDescent="0.2">
      <c r="A23" s="37"/>
      <c r="B23" s="48"/>
      <c r="C23" s="49">
        <v>4.37</v>
      </c>
      <c r="D23" s="58"/>
      <c r="E23" s="50">
        <v>2110</v>
      </c>
      <c r="F23" s="40">
        <v>158</v>
      </c>
      <c r="G23" s="51">
        <v>35.299999999999997</v>
      </c>
      <c r="H23" s="44">
        <f t="shared" si="7"/>
        <v>0</v>
      </c>
      <c r="I23" s="52">
        <f t="shared" si="6"/>
        <v>-0.29999999999999716</v>
      </c>
      <c r="J23" s="44">
        <f t="shared" si="2"/>
        <v>-0.29999999999999716</v>
      </c>
      <c r="K23" s="44">
        <f t="shared" si="3"/>
        <v>10.582990000000001</v>
      </c>
      <c r="L23" s="44">
        <f t="shared" si="4"/>
        <v>-20.41</v>
      </c>
      <c r="M23" s="53">
        <f t="shared" si="5"/>
        <v>-30.992989999999999</v>
      </c>
      <c r="N23" s="228" t="s">
        <v>72</v>
      </c>
      <c r="O23" s="229"/>
      <c r="P23" s="230"/>
      <c r="Q23" s="47">
        <v>44554.313194444447</v>
      </c>
      <c r="R23" s="44">
        <f t="shared" si="0"/>
        <v>-0.48648648641607145</v>
      </c>
      <c r="S23" s="44">
        <f t="shared" si="1"/>
        <v>-3.3749172413522142</v>
      </c>
    </row>
    <row r="24" spans="1:19" ht="12" customHeight="1" x14ac:dyDescent="0.2">
      <c r="A24" s="37"/>
      <c r="B24" s="48"/>
      <c r="C24" s="49">
        <v>4.37</v>
      </c>
      <c r="D24" s="58"/>
      <c r="E24" s="50">
        <v>2110</v>
      </c>
      <c r="F24" s="40">
        <v>156.30000000000001</v>
      </c>
      <c r="G24" s="51"/>
      <c r="H24" s="44">
        <f t="shared" si="7"/>
        <v>0</v>
      </c>
      <c r="I24" s="52">
        <f t="shared" si="6"/>
        <v>-1.6999999999999886</v>
      </c>
      <c r="J24" s="44">
        <f t="shared" si="2"/>
        <v>-1.6999999999999886</v>
      </c>
      <c r="K24" s="44">
        <f t="shared" si="3"/>
        <v>10.582990000000001</v>
      </c>
      <c r="L24" s="44">
        <f t="shared" si="4"/>
        <v>-22.109999999999989</v>
      </c>
      <c r="M24" s="53">
        <f t="shared" si="5"/>
        <v>-32.692989999999988</v>
      </c>
      <c r="N24" s="231"/>
      <c r="O24" s="229"/>
      <c r="P24" s="230"/>
      <c r="Q24" s="47">
        <v>44554.322222222225</v>
      </c>
      <c r="R24" s="44">
        <f t="shared" si="0"/>
        <v>-7.8461538458727436</v>
      </c>
      <c r="S24" s="44">
        <f t="shared" si="1"/>
        <v>-3.4779776595443153</v>
      </c>
    </row>
    <row r="25" spans="1:19" ht="12" customHeight="1" x14ac:dyDescent="0.2">
      <c r="A25" s="37"/>
      <c r="B25" s="48"/>
      <c r="C25" s="49">
        <v>4.37</v>
      </c>
      <c r="D25" s="58"/>
      <c r="E25" s="50">
        <v>2110</v>
      </c>
      <c r="F25" s="40">
        <v>155.44999999999999</v>
      </c>
      <c r="G25" s="51"/>
      <c r="H25" s="44">
        <f t="shared" si="7"/>
        <v>0</v>
      </c>
      <c r="I25" s="52">
        <f t="shared" si="6"/>
        <v>-0.85000000000002274</v>
      </c>
      <c r="J25" s="44">
        <f t="shared" si="2"/>
        <v>-0.85000000000002274</v>
      </c>
      <c r="K25" s="44">
        <f t="shared" si="3"/>
        <v>10.582990000000001</v>
      </c>
      <c r="L25" s="44">
        <f t="shared" si="4"/>
        <v>-22.960000000000012</v>
      </c>
      <c r="M25" s="53">
        <f t="shared" si="5"/>
        <v>-33.54299000000001</v>
      </c>
      <c r="N25" s="228"/>
      <c r="O25" s="229"/>
      <c r="P25" s="230"/>
      <c r="Q25" s="47">
        <v>44554.332638888889</v>
      </c>
      <c r="R25" s="44">
        <f t="shared" si="0"/>
        <v>-3.400000000791715</v>
      </c>
      <c r="S25" s="44">
        <f t="shared" si="1"/>
        <v>-3.4759575129449822</v>
      </c>
    </row>
    <row r="26" spans="1:19" ht="12" customHeight="1" x14ac:dyDescent="0.2">
      <c r="A26" s="37"/>
      <c r="B26" s="48"/>
      <c r="C26" s="49">
        <v>4.37</v>
      </c>
      <c r="D26" s="58"/>
      <c r="E26" s="50">
        <v>2096</v>
      </c>
      <c r="F26" s="40">
        <v>7.06</v>
      </c>
      <c r="G26" s="51">
        <v>-145</v>
      </c>
      <c r="H26" s="44">
        <f>IF(E26="","",((E26-E25)*C26)/1000)</f>
        <v>-6.1179999999999998E-2</v>
      </c>
      <c r="I26" s="52">
        <f>IF(F26="","",F26-F25-G26)</f>
        <v>-3.3899999999999864</v>
      </c>
      <c r="J26" s="44">
        <f t="shared" si="2"/>
        <v>-3.3288199999999866</v>
      </c>
      <c r="K26" s="44">
        <f t="shared" si="3"/>
        <v>10.52181</v>
      </c>
      <c r="L26" s="44">
        <f t="shared" si="4"/>
        <v>-26.349999999999998</v>
      </c>
      <c r="M26" s="53">
        <f t="shared" si="5"/>
        <v>-36.871809999999996</v>
      </c>
      <c r="N26" s="228" t="s">
        <v>63</v>
      </c>
      <c r="O26" s="229"/>
      <c r="P26" s="230"/>
      <c r="Q26" s="47">
        <v>44554.359027777777</v>
      </c>
      <c r="R26" s="44">
        <f t="shared" si="0"/>
        <v>-5.2560315792049819</v>
      </c>
      <c r="S26" s="44">
        <f t="shared" si="1"/>
        <v>-3.5855893030821222</v>
      </c>
    </row>
    <row r="27" spans="1:19" ht="12" customHeight="1" x14ac:dyDescent="0.2">
      <c r="A27" s="37"/>
      <c r="B27" s="48"/>
      <c r="C27" s="49">
        <v>4.37</v>
      </c>
      <c r="D27" s="58"/>
      <c r="E27" s="50">
        <v>2096</v>
      </c>
      <c r="F27" s="40">
        <v>6.5</v>
      </c>
      <c r="G27" s="51"/>
      <c r="H27" s="44">
        <f t="shared" si="7"/>
        <v>0</v>
      </c>
      <c r="I27" s="52">
        <f>IF(F27="","",F27-F26-G27)</f>
        <v>-0.55999999999999961</v>
      </c>
      <c r="J27" s="44">
        <f>IF(F27="","",I27-H27)</f>
        <v>-0.55999999999999961</v>
      </c>
      <c r="K27" s="44">
        <f>IF(F27="","",K26+H27)</f>
        <v>10.52181</v>
      </c>
      <c r="L27" s="44">
        <f>IF(F27="","",L26+I27)</f>
        <v>-26.909999999999997</v>
      </c>
      <c r="M27" s="53">
        <f>IF(F27="","",L27-K27)</f>
        <v>-37.431809999999999</v>
      </c>
      <c r="N27" s="231"/>
      <c r="O27" s="229"/>
      <c r="P27" s="230"/>
      <c r="Q27" s="47">
        <v>44554.365972222222</v>
      </c>
      <c r="R27" s="44">
        <f t="shared" si="0"/>
        <v>-3.3599999996088421</v>
      </c>
      <c r="S27" s="44">
        <f t="shared" si="1"/>
        <v>-3.581991387555818</v>
      </c>
    </row>
    <row r="28" spans="1:19" ht="12" customHeight="1" x14ac:dyDescent="0.2">
      <c r="A28" s="37"/>
      <c r="B28" s="48"/>
      <c r="C28" s="49">
        <v>4.37</v>
      </c>
      <c r="D28" s="58"/>
      <c r="E28" s="50">
        <v>1330</v>
      </c>
      <c r="F28" s="40">
        <v>5.84</v>
      </c>
      <c r="G28" s="51">
        <v>5.5</v>
      </c>
      <c r="H28" s="44">
        <f t="shared" si="7"/>
        <v>-3.3474200000000001</v>
      </c>
      <c r="I28" s="52">
        <f>IF(F28="","",F28-F27-G28)</f>
        <v>-6.16</v>
      </c>
      <c r="J28" s="44">
        <f t="shared" si="2"/>
        <v>-2.8125800000000001</v>
      </c>
      <c r="K28" s="44">
        <f t="shared" si="3"/>
        <v>7.1743900000000007</v>
      </c>
      <c r="L28" s="44">
        <f t="shared" si="4"/>
        <v>-33.069999999999993</v>
      </c>
      <c r="M28" s="53">
        <f t="shared" si="5"/>
        <v>-40.244389999999996</v>
      </c>
      <c r="N28" s="231"/>
      <c r="O28" s="229"/>
      <c r="P28" s="230"/>
      <c r="Q28" s="47">
        <v>44554.435416666667</v>
      </c>
      <c r="R28" s="44">
        <f t="shared" si="0"/>
        <v>-1.6875479999803544</v>
      </c>
      <c r="S28" s="44">
        <f t="shared" si="1"/>
        <v>-3.321407702880073</v>
      </c>
    </row>
    <row r="29" spans="1:19" ht="12" customHeight="1" x14ac:dyDescent="0.2">
      <c r="A29" s="37"/>
      <c r="B29" s="48"/>
      <c r="C29" s="49">
        <v>4.37</v>
      </c>
      <c r="D29" s="58"/>
      <c r="E29" s="50">
        <v>895</v>
      </c>
      <c r="F29" s="40">
        <v>5.84</v>
      </c>
      <c r="G29" s="51">
        <v>4.2</v>
      </c>
      <c r="H29" s="44">
        <f t="shared" si="7"/>
        <v>-1.9009500000000001</v>
      </c>
      <c r="I29" s="52">
        <f t="shared" si="6"/>
        <v>-4.2</v>
      </c>
      <c r="J29" s="44">
        <f t="shared" si="2"/>
        <v>-2.2990500000000003</v>
      </c>
      <c r="K29" s="44">
        <f t="shared" si="3"/>
        <v>5.2734400000000008</v>
      </c>
      <c r="L29" s="44">
        <f t="shared" si="4"/>
        <v>-37.269999999999996</v>
      </c>
      <c r="M29" s="53">
        <f t="shared" si="5"/>
        <v>-42.543439999999997</v>
      </c>
      <c r="N29" s="228"/>
      <c r="O29" s="229"/>
      <c r="P29" s="230"/>
      <c r="Q29" s="47">
        <v>44554.459027777775</v>
      </c>
      <c r="R29" s="44">
        <f t="shared" si="0"/>
        <v>-4.0571470593514105</v>
      </c>
      <c r="S29" s="44">
        <f t="shared" si="1"/>
        <v>-3.3542791064501847</v>
      </c>
    </row>
    <row r="30" spans="1:19" ht="12" customHeight="1" x14ac:dyDescent="0.2">
      <c r="A30" s="37"/>
      <c r="B30" s="48"/>
      <c r="C30" s="49">
        <v>4.37</v>
      </c>
      <c r="D30" s="58"/>
      <c r="E30" s="50">
        <v>895</v>
      </c>
      <c r="F30" s="40">
        <v>5.27</v>
      </c>
      <c r="G30" s="59"/>
      <c r="H30" s="44">
        <f t="shared" si="7"/>
        <v>0</v>
      </c>
      <c r="I30" s="52">
        <f t="shared" si="6"/>
        <v>-0.57000000000000028</v>
      </c>
      <c r="J30" s="44">
        <f t="shared" si="2"/>
        <v>-0.57000000000000028</v>
      </c>
      <c r="K30" s="44">
        <f t="shared" si="3"/>
        <v>5.2734400000000008</v>
      </c>
      <c r="L30" s="44">
        <f t="shared" si="4"/>
        <v>-37.839999999999996</v>
      </c>
      <c r="M30" s="53">
        <f t="shared" si="5"/>
        <v>-43.113439999999997</v>
      </c>
      <c r="N30" s="228"/>
      <c r="O30" s="229"/>
      <c r="P30" s="230"/>
      <c r="Q30" s="47">
        <v>44554.465277777781</v>
      </c>
      <c r="R30" s="44">
        <f t="shared" si="0"/>
        <v>-3.7999999964609761</v>
      </c>
      <c r="S30" s="44">
        <f t="shared" si="1"/>
        <v>-3.3594888311434352</v>
      </c>
    </row>
    <row r="31" spans="1:19" ht="12" customHeight="1" x14ac:dyDescent="0.2">
      <c r="A31" s="37"/>
      <c r="B31" s="48"/>
      <c r="C31" s="49">
        <v>4.37</v>
      </c>
      <c r="D31" s="58"/>
      <c r="E31" s="50">
        <v>516</v>
      </c>
      <c r="F31" s="40">
        <v>5.82</v>
      </c>
      <c r="G31" s="51">
        <v>4.2</v>
      </c>
      <c r="H31" s="44">
        <f t="shared" si="7"/>
        <v>-1.6562300000000001</v>
      </c>
      <c r="I31" s="52">
        <f t="shared" si="6"/>
        <v>-3.6499999999999995</v>
      </c>
      <c r="J31" s="44">
        <f t="shared" si="2"/>
        <v>-1.9937699999999994</v>
      </c>
      <c r="K31" s="44">
        <f t="shared" si="3"/>
        <v>3.6172100000000009</v>
      </c>
      <c r="L31" s="44">
        <f t="shared" si="4"/>
        <v>-41.489999999999995</v>
      </c>
      <c r="M31" s="53">
        <f t="shared" si="5"/>
        <v>-45.107209999999995</v>
      </c>
      <c r="N31" s="231"/>
      <c r="O31" s="229"/>
      <c r="P31" s="230"/>
      <c r="Q31" s="47">
        <v>44554.482638888891</v>
      </c>
      <c r="R31" s="44">
        <f t="shared" si="0"/>
        <v>-4.7850480004456406</v>
      </c>
      <c r="S31" s="44">
        <f t="shared" si="1"/>
        <v>-3.404317735834101</v>
      </c>
    </row>
    <row r="32" spans="1:19" ht="12" customHeight="1" x14ac:dyDescent="0.2">
      <c r="A32" s="37"/>
      <c r="B32" s="48" t="s">
        <v>29</v>
      </c>
      <c r="C32" s="49">
        <v>10.58</v>
      </c>
      <c r="D32" s="58"/>
      <c r="E32" s="50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>
        <v>10.58</v>
      </c>
      <c r="D33" s="58"/>
      <c r="E33" s="50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>
        <v>10.58</v>
      </c>
      <c r="D34" s="58"/>
      <c r="E34" s="50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>
        <v>10.58</v>
      </c>
      <c r="D35" s="58"/>
      <c r="E35" s="50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>
        <v>10.58</v>
      </c>
      <c r="D36" s="58"/>
      <c r="E36" s="50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>
        <v>10.58</v>
      </c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U112"/>
  <sheetViews>
    <sheetView zoomScaleNormal="100" workbookViewId="0">
      <selection activeCell="Q21" sqref="Q21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1810</v>
      </c>
      <c r="F6" s="40">
        <v>73.430000000000007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44553.397222222222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1810</v>
      </c>
      <c r="F7" s="40">
        <v>71.37</v>
      </c>
      <c r="G7" s="51"/>
      <c r="H7" s="44">
        <f>IF(E7="","",((E7-E6)*C7)/1000)</f>
        <v>0</v>
      </c>
      <c r="I7" s="52">
        <f>IF(F7="","",F7-F6-G7)</f>
        <v>-2.0600000000000023</v>
      </c>
      <c r="J7" s="44">
        <f>IF(F7="","",I7-H7)</f>
        <v>-2.0600000000000023</v>
      </c>
      <c r="K7" s="44">
        <f>IF(F7="","",K6+H7)</f>
        <v>0</v>
      </c>
      <c r="L7" s="44">
        <f>IF(F7="","",L6+I7)</f>
        <v>-2.0600000000000023</v>
      </c>
      <c r="M7" s="53">
        <f>IF(F7="","",L7-K7)</f>
        <v>-2.0600000000000023</v>
      </c>
      <c r="N7" s="231" t="s">
        <v>64</v>
      </c>
      <c r="O7" s="229"/>
      <c r="P7" s="230"/>
      <c r="Q7" s="47">
        <v>44553.409722222219</v>
      </c>
      <c r="R7" s="44">
        <f t="shared" ref="R7:R70" si="0">IF(Q7="","",J7/((Q7-Q6)*24))</f>
        <v>-6.8666666682654443</v>
      </c>
      <c r="S7" s="44">
        <f t="shared" ref="S7:S70" si="1">IF(Q7="","",M7/((Q7-$Q$6)*24))</f>
        <v>-6.8666666682654443</v>
      </c>
    </row>
    <row r="8" spans="1:20" ht="12" customHeight="1" x14ac:dyDescent="0.2">
      <c r="A8" s="37"/>
      <c r="B8" s="48"/>
      <c r="C8" s="49">
        <v>10.58</v>
      </c>
      <c r="D8" s="54"/>
      <c r="E8" s="39">
        <v>1810</v>
      </c>
      <c r="F8" s="40">
        <v>69.66</v>
      </c>
      <c r="G8" s="51"/>
      <c r="H8" s="44">
        <f>IF(E8="","",((E8-E7)*C8)/1000)</f>
        <v>0</v>
      </c>
      <c r="I8" s="52">
        <f>IF(F8="","",F8-F7-G8)</f>
        <v>-1.710000000000008</v>
      </c>
      <c r="J8" s="44">
        <f>IF(F8="","",I8-H8)</f>
        <v>-1.710000000000008</v>
      </c>
      <c r="K8" s="44">
        <f>IF(F8="","",K7+H8)</f>
        <v>0</v>
      </c>
      <c r="L8" s="44">
        <f>IF(F8="","",L7+I8)</f>
        <v>-3.7700000000000102</v>
      </c>
      <c r="M8" s="53">
        <f>IF(F8="","",L8-K8)</f>
        <v>-3.7700000000000102</v>
      </c>
      <c r="N8" s="231"/>
      <c r="O8" s="229"/>
      <c r="P8" s="230"/>
      <c r="Q8" s="47">
        <v>44553.420138888891</v>
      </c>
      <c r="R8" s="44">
        <f t="shared" si="0"/>
        <v>-6.8399999968149086</v>
      </c>
      <c r="S8" s="44">
        <f t="shared" si="1"/>
        <v>-6.8545454539651285</v>
      </c>
      <c r="T8" s="55"/>
    </row>
    <row r="9" spans="1:20" ht="12" customHeight="1" x14ac:dyDescent="0.2">
      <c r="A9" s="37"/>
      <c r="B9" s="48"/>
      <c r="C9" s="49">
        <v>10.58</v>
      </c>
      <c r="D9" s="54"/>
      <c r="E9" s="39">
        <v>1810</v>
      </c>
      <c r="F9" s="40">
        <v>66.91</v>
      </c>
      <c r="G9" s="51"/>
      <c r="H9" s="44">
        <f>IF(E9="","",((E9-E8)*C9)/1000)</f>
        <v>0</v>
      </c>
      <c r="I9" s="52">
        <f>IF(F9="","",F9-F8-G9)</f>
        <v>-2.75</v>
      </c>
      <c r="J9" s="44">
        <f>IF(F9="","",I9-H9)</f>
        <v>-2.75</v>
      </c>
      <c r="K9" s="44">
        <f>IF(F9="","",K8+H9)</f>
        <v>0</v>
      </c>
      <c r="L9" s="44">
        <f>IF(F9="","",L8+I9)</f>
        <v>-6.5200000000000102</v>
      </c>
      <c r="M9" s="53">
        <f>IF(F9="","",L9-K9)</f>
        <v>-6.5200000000000102</v>
      </c>
      <c r="N9" s="228"/>
      <c r="O9" s="229"/>
      <c r="P9" s="230"/>
      <c r="Q9" s="47">
        <v>44553.4375</v>
      </c>
      <c r="R9" s="44">
        <f t="shared" si="0"/>
        <v>-6.6000000006146733</v>
      </c>
      <c r="S9" s="44">
        <f t="shared" si="1"/>
        <v>-6.7448275861527556</v>
      </c>
    </row>
    <row r="10" spans="1:20" ht="12" customHeight="1" x14ac:dyDescent="0.2">
      <c r="A10" s="37"/>
      <c r="B10" s="48"/>
      <c r="C10" s="49">
        <v>10.58</v>
      </c>
      <c r="D10" s="54"/>
      <c r="E10" s="39">
        <v>1810</v>
      </c>
      <c r="F10" s="40">
        <v>8.09</v>
      </c>
      <c r="G10" s="51">
        <v>-57.5</v>
      </c>
      <c r="H10" s="44">
        <f>IF(E10="","",((E10-E9)*C10)/1000)</f>
        <v>0</v>
      </c>
      <c r="I10" s="52">
        <f>IF(F10="","",F10-F9-G10)</f>
        <v>-1.3199999999999932</v>
      </c>
      <c r="J10" s="44">
        <f t="shared" ref="J10:J73" si="2">IF(F10="","",I10-H10)</f>
        <v>-1.3199999999999932</v>
      </c>
      <c r="K10" s="44">
        <f t="shared" ref="K10:K73" si="3">IF(F10="","",K9+H10)</f>
        <v>0</v>
      </c>
      <c r="L10" s="44">
        <f t="shared" ref="L10:L73" si="4">IF(F10="","",L9+I10)</f>
        <v>-7.8400000000000034</v>
      </c>
      <c r="M10" s="53">
        <f t="shared" ref="M10:M73" si="5">IF(F10="","",L10-K10)</f>
        <v>-7.8400000000000034</v>
      </c>
      <c r="N10" s="249" t="s">
        <v>66</v>
      </c>
      <c r="O10" s="250"/>
      <c r="P10" s="251"/>
      <c r="Q10" s="47">
        <v>44553.444444444445</v>
      </c>
      <c r="R10" s="44">
        <f t="shared" si="0"/>
        <v>-7.9199999990779499</v>
      </c>
      <c r="S10" s="44">
        <f t="shared" si="1"/>
        <v>-6.9176470586577317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39">
        <v>1810</v>
      </c>
      <c r="F11" s="40">
        <v>7.21</v>
      </c>
      <c r="G11" s="51"/>
      <c r="H11" s="44">
        <f>IF(E11="","",((E11-E10)*C11)/1000)</f>
        <v>0</v>
      </c>
      <c r="I11" s="52">
        <f t="shared" ref="I11:I74" si="6">IF(F11="","",F11-F10-G11)</f>
        <v>-0.87999999999999989</v>
      </c>
      <c r="J11" s="44">
        <f t="shared" si="2"/>
        <v>-0.87999999999999989</v>
      </c>
      <c r="K11" s="44">
        <f t="shared" si="3"/>
        <v>0</v>
      </c>
      <c r="L11" s="44">
        <f t="shared" si="4"/>
        <v>-8.7200000000000024</v>
      </c>
      <c r="M11" s="53">
        <f t="shared" si="5"/>
        <v>-8.7200000000000024</v>
      </c>
      <c r="N11" s="228"/>
      <c r="O11" s="229"/>
      <c r="P11" s="230"/>
      <c r="Q11" s="47">
        <v>44553.451388888891</v>
      </c>
      <c r="R11" s="44">
        <f t="shared" si="0"/>
        <v>-5.2799999993853266</v>
      </c>
      <c r="S11" s="44">
        <f t="shared" si="1"/>
        <v>-6.7076923074520396</v>
      </c>
    </row>
    <row r="12" spans="1:20" ht="12" customHeight="1" x14ac:dyDescent="0.2">
      <c r="A12" s="37"/>
      <c r="B12" s="48"/>
      <c r="C12" s="49">
        <v>10.58</v>
      </c>
      <c r="D12" s="54"/>
      <c r="E12" s="39">
        <v>1742</v>
      </c>
      <c r="F12" s="56">
        <v>4.51</v>
      </c>
      <c r="G12" s="51"/>
      <c r="H12" s="44">
        <f t="shared" ref="H12:H74" si="7">IF(E12="","",((E12-E11)*C12)/1000)</f>
        <v>-0.71944000000000008</v>
      </c>
      <c r="I12" s="52">
        <f t="shared" si="6"/>
        <v>-2.7</v>
      </c>
      <c r="J12" s="44">
        <f t="shared" si="2"/>
        <v>-1.9805600000000001</v>
      </c>
      <c r="K12" s="44">
        <f t="shared" si="3"/>
        <v>-0.71944000000000008</v>
      </c>
      <c r="L12" s="44">
        <f t="shared" si="4"/>
        <v>-11.420000000000002</v>
      </c>
      <c r="M12" s="53">
        <f t="shared" si="5"/>
        <v>-10.700560000000001</v>
      </c>
      <c r="N12" s="228"/>
      <c r="O12" s="229"/>
      <c r="P12" s="230"/>
      <c r="Q12" s="47">
        <v>44553.463888888888</v>
      </c>
      <c r="R12" s="44">
        <f t="shared" si="0"/>
        <v>-6.6018666682037841</v>
      </c>
      <c r="S12" s="44">
        <f t="shared" si="1"/>
        <v>-6.6878500000973213</v>
      </c>
    </row>
    <row r="13" spans="1:20" ht="12" customHeight="1" x14ac:dyDescent="0.2">
      <c r="A13" s="37"/>
      <c r="B13" s="48" t="s">
        <v>38</v>
      </c>
      <c r="C13" s="49">
        <v>4.37</v>
      </c>
      <c r="D13" s="54"/>
      <c r="E13" s="39">
        <v>1686</v>
      </c>
      <c r="F13" s="56">
        <v>8.11</v>
      </c>
      <c r="G13" s="51">
        <v>5.0999999999999996</v>
      </c>
      <c r="H13" s="44">
        <f>IF(E13="","",((E13-E12)*C13)/1000)</f>
        <v>-0.24471999999999999</v>
      </c>
      <c r="I13" s="52">
        <f t="shared" si="6"/>
        <v>-1.5</v>
      </c>
      <c r="J13" s="44">
        <f t="shared" si="2"/>
        <v>-1.25528</v>
      </c>
      <c r="K13" s="44">
        <f t="shared" si="3"/>
        <v>-0.96416000000000013</v>
      </c>
      <c r="L13" s="44">
        <f t="shared" si="4"/>
        <v>-12.920000000000002</v>
      </c>
      <c r="M13" s="53">
        <f t="shared" si="5"/>
        <v>-11.955840000000002</v>
      </c>
      <c r="N13" s="231"/>
      <c r="O13" s="229"/>
      <c r="P13" s="230"/>
      <c r="Q13" s="47">
        <v>44553.469444444447</v>
      </c>
      <c r="R13" s="44">
        <f t="shared" si="0"/>
        <v>-9.4145999939719793</v>
      </c>
      <c r="S13" s="44">
        <f t="shared" si="1"/>
        <v>-6.897599999752928</v>
      </c>
    </row>
    <row r="14" spans="1:20" ht="12" customHeight="1" x14ac:dyDescent="0.2">
      <c r="A14" s="37"/>
      <c r="B14" s="48"/>
      <c r="C14" s="49">
        <v>4.37</v>
      </c>
      <c r="D14" s="54"/>
      <c r="E14" s="50">
        <v>1441</v>
      </c>
      <c r="F14" s="56">
        <v>3.86</v>
      </c>
      <c r="G14" s="51"/>
      <c r="H14" s="44">
        <f t="shared" si="7"/>
        <v>-1.0706500000000001</v>
      </c>
      <c r="I14" s="52">
        <f t="shared" si="6"/>
        <v>-4.25</v>
      </c>
      <c r="J14" s="44">
        <f t="shared" si="2"/>
        <v>-3.1793499999999999</v>
      </c>
      <c r="K14" s="44">
        <f t="shared" si="3"/>
        <v>-2.0348100000000002</v>
      </c>
      <c r="L14" s="44">
        <f t="shared" si="4"/>
        <v>-17.170000000000002</v>
      </c>
      <c r="M14" s="53">
        <f t="shared" si="5"/>
        <v>-15.135190000000001</v>
      </c>
      <c r="N14" s="231"/>
      <c r="O14" s="229"/>
      <c r="P14" s="230"/>
      <c r="Q14" s="47">
        <v>44553.48541666667</v>
      </c>
      <c r="R14" s="44">
        <f t="shared" si="0"/>
        <v>-8.2939565211514079</v>
      </c>
      <c r="S14" s="44">
        <f t="shared" si="1"/>
        <v>-7.1504834642654211</v>
      </c>
    </row>
    <row r="15" spans="1:20" ht="12" customHeight="1" x14ac:dyDescent="0.2">
      <c r="A15" s="37"/>
      <c r="B15" s="48"/>
      <c r="C15" s="49">
        <v>4.37</v>
      </c>
      <c r="D15" s="54"/>
      <c r="E15" s="50">
        <v>1441</v>
      </c>
      <c r="F15" s="40">
        <v>8.1999999999999993</v>
      </c>
      <c r="G15" s="51">
        <v>4.4000000000000004</v>
      </c>
      <c r="H15" s="44">
        <f t="shared" si="7"/>
        <v>0</v>
      </c>
      <c r="I15" s="52">
        <f t="shared" si="6"/>
        <v>-6.0000000000000497E-2</v>
      </c>
      <c r="J15" s="44">
        <f t="shared" si="2"/>
        <v>-6.0000000000000497E-2</v>
      </c>
      <c r="K15" s="44">
        <f t="shared" si="3"/>
        <v>-2.0348100000000002</v>
      </c>
      <c r="L15" s="44">
        <f t="shared" si="4"/>
        <v>-17.230000000000004</v>
      </c>
      <c r="M15" s="53">
        <f t="shared" si="5"/>
        <v>-15.195190000000004</v>
      </c>
      <c r="N15" s="231"/>
      <c r="O15" s="229"/>
      <c r="P15" s="230"/>
      <c r="Q15" s="47">
        <v>44553.486111111109</v>
      </c>
      <c r="R15" s="44">
        <f t="shared" si="0"/>
        <v>-3.6000000259839298</v>
      </c>
      <c r="S15" s="44">
        <f t="shared" si="1"/>
        <v>-7.1227453126036515</v>
      </c>
    </row>
    <row r="16" spans="1:20" ht="12" customHeight="1" x14ac:dyDescent="0.2">
      <c r="A16" s="37"/>
      <c r="B16" s="48"/>
      <c r="C16" s="49">
        <v>4.37</v>
      </c>
      <c r="D16" s="57"/>
      <c r="E16" s="50">
        <v>1197</v>
      </c>
      <c r="F16" s="40">
        <v>4.63</v>
      </c>
      <c r="G16" s="51"/>
      <c r="H16" s="44">
        <f t="shared" si="7"/>
        <v>-1.0662799999999999</v>
      </c>
      <c r="I16" s="52">
        <f t="shared" si="6"/>
        <v>-3.5699999999999994</v>
      </c>
      <c r="J16" s="44">
        <f t="shared" si="2"/>
        <v>-2.5037199999999995</v>
      </c>
      <c r="K16" s="44">
        <f t="shared" si="3"/>
        <v>-3.1010900000000001</v>
      </c>
      <c r="L16" s="44">
        <f t="shared" si="4"/>
        <v>-20.800000000000004</v>
      </c>
      <c r="M16" s="53">
        <f t="shared" si="5"/>
        <v>-17.698910000000005</v>
      </c>
      <c r="N16" s="228"/>
      <c r="O16" s="229"/>
      <c r="P16" s="230"/>
      <c r="Q16" s="47">
        <v>44553.50277777778</v>
      </c>
      <c r="R16" s="44">
        <f t="shared" si="0"/>
        <v>-6.2592999987248117</v>
      </c>
      <c r="S16" s="44">
        <f t="shared" si="1"/>
        <v>-6.9864118419661434</v>
      </c>
      <c r="T16" s="55"/>
    </row>
    <row r="17" spans="1:19" ht="12" customHeight="1" x14ac:dyDescent="0.2">
      <c r="A17" s="37"/>
      <c r="B17" s="48"/>
      <c r="C17" s="49">
        <v>4.37</v>
      </c>
      <c r="D17" s="54"/>
      <c r="E17" s="50">
        <v>491</v>
      </c>
      <c r="F17" s="40">
        <v>2.0699999999999998</v>
      </c>
      <c r="G17" s="51">
        <v>8.1999999999999993</v>
      </c>
      <c r="H17" s="44">
        <f t="shared" si="7"/>
        <v>-3.0852200000000001</v>
      </c>
      <c r="I17" s="52">
        <f t="shared" si="6"/>
        <v>-10.76</v>
      </c>
      <c r="J17" s="44">
        <f t="shared" si="2"/>
        <v>-7.6747800000000002</v>
      </c>
      <c r="K17" s="44">
        <f t="shared" si="3"/>
        <v>-6.1863100000000006</v>
      </c>
      <c r="L17" s="44">
        <f t="shared" si="4"/>
        <v>-31.560000000000002</v>
      </c>
      <c r="M17" s="53">
        <f t="shared" si="5"/>
        <v>-25.373690000000003</v>
      </c>
      <c r="N17" s="231"/>
      <c r="O17" s="229"/>
      <c r="P17" s="230"/>
      <c r="Q17" s="47">
        <v>44553.546527777777</v>
      </c>
      <c r="R17" s="44">
        <f t="shared" si="0"/>
        <v>-7.3093142862005234</v>
      </c>
      <c r="S17" s="44">
        <f t="shared" si="1"/>
        <v>-7.081029767480203</v>
      </c>
    </row>
    <row r="18" spans="1:19" ht="12" customHeight="1" x14ac:dyDescent="0.2">
      <c r="A18" s="37"/>
      <c r="B18" s="48"/>
      <c r="C18" s="49">
        <v>4.37</v>
      </c>
      <c r="D18" s="54"/>
      <c r="E18" s="50">
        <v>491</v>
      </c>
      <c r="F18" s="40">
        <v>1.27</v>
      </c>
      <c r="G18" s="51"/>
      <c r="H18" s="44">
        <f t="shared" si="7"/>
        <v>0</v>
      </c>
      <c r="I18" s="52">
        <f t="shared" si="6"/>
        <v>-0.79999999999999982</v>
      </c>
      <c r="J18" s="44">
        <f t="shared" si="2"/>
        <v>-0.79999999999999982</v>
      </c>
      <c r="K18" s="44">
        <f t="shared" si="3"/>
        <v>-6.1863100000000006</v>
      </c>
      <c r="L18" s="44">
        <f t="shared" si="4"/>
        <v>-32.36</v>
      </c>
      <c r="M18" s="53">
        <f t="shared" si="5"/>
        <v>-26.173690000000001</v>
      </c>
      <c r="N18" s="228" t="s">
        <v>63</v>
      </c>
      <c r="O18" s="229"/>
      <c r="P18" s="230"/>
      <c r="Q18" s="47">
        <v>44553.552777777775</v>
      </c>
      <c r="R18" s="44">
        <f t="shared" si="0"/>
        <v>-5.3333333345750953</v>
      </c>
      <c r="S18" s="44">
        <f t="shared" si="1"/>
        <v>-7.0108098215305921</v>
      </c>
    </row>
    <row r="19" spans="1:19" ht="12" customHeight="1" x14ac:dyDescent="0.2">
      <c r="A19" s="37"/>
      <c r="B19" s="48"/>
      <c r="C19" s="49">
        <v>4.37</v>
      </c>
      <c r="D19" s="54"/>
      <c r="E19" s="50">
        <v>110</v>
      </c>
      <c r="F19" s="40">
        <v>7.15</v>
      </c>
      <c r="G19" s="51">
        <v>11.3</v>
      </c>
      <c r="H19" s="44">
        <f t="shared" si="7"/>
        <v>-1.6649700000000001</v>
      </c>
      <c r="I19" s="52">
        <f t="shared" si="6"/>
        <v>-5.42</v>
      </c>
      <c r="J19" s="44">
        <f t="shared" si="2"/>
        <v>-3.7550299999999996</v>
      </c>
      <c r="K19" s="44">
        <f t="shared" si="3"/>
        <v>-7.8512800000000009</v>
      </c>
      <c r="L19" s="44">
        <f t="shared" si="4"/>
        <v>-37.78</v>
      </c>
      <c r="M19" s="53">
        <f t="shared" si="5"/>
        <v>-29.928719999999998</v>
      </c>
      <c r="N19" s="228"/>
      <c r="O19" s="229"/>
      <c r="P19" s="230"/>
      <c r="Q19" s="47">
        <v>44553.576388888891</v>
      </c>
      <c r="R19" s="44">
        <f t="shared" si="0"/>
        <v>-6.6265235282319317</v>
      </c>
      <c r="S19" s="44">
        <f t="shared" si="1"/>
        <v>-6.9601674417850905</v>
      </c>
    </row>
    <row r="20" spans="1:19" ht="12" customHeight="1" x14ac:dyDescent="0.2">
      <c r="A20" s="37"/>
      <c r="B20" s="48"/>
      <c r="C20" s="49">
        <v>4.37</v>
      </c>
      <c r="D20" s="54"/>
      <c r="E20" s="50">
        <v>110</v>
      </c>
      <c r="F20" s="40">
        <v>5.83</v>
      </c>
      <c r="G20" s="51"/>
      <c r="H20" s="44">
        <f t="shared" si="7"/>
        <v>0</v>
      </c>
      <c r="I20" s="52">
        <f t="shared" si="6"/>
        <v>-1.3200000000000003</v>
      </c>
      <c r="J20" s="44">
        <f t="shared" si="2"/>
        <v>-1.3200000000000003</v>
      </c>
      <c r="K20" s="44">
        <f t="shared" si="3"/>
        <v>-7.8512800000000009</v>
      </c>
      <c r="L20" s="44">
        <f t="shared" si="4"/>
        <v>-39.1</v>
      </c>
      <c r="M20" s="53">
        <f t="shared" si="5"/>
        <v>-31.248719999999999</v>
      </c>
      <c r="N20" s="242"/>
      <c r="O20" s="229"/>
      <c r="P20" s="230"/>
      <c r="Q20" s="47">
        <v>44553.586805555555</v>
      </c>
      <c r="R20" s="44">
        <f t="shared" si="0"/>
        <v>-5.2800000012293467</v>
      </c>
      <c r="S20" s="44">
        <f t="shared" si="1"/>
        <v>-6.8678505494681215</v>
      </c>
    </row>
    <row r="21" spans="1:19" ht="12" customHeight="1" x14ac:dyDescent="0.2">
      <c r="A21" s="37"/>
      <c r="B21" s="48"/>
      <c r="C21" s="49">
        <v>4.37</v>
      </c>
      <c r="D21" s="54"/>
      <c r="E21" s="50">
        <v>110</v>
      </c>
      <c r="F21" s="40">
        <v>5.25</v>
      </c>
      <c r="G21" s="51"/>
      <c r="H21" s="44">
        <f t="shared" si="7"/>
        <v>0</v>
      </c>
      <c r="I21" s="52">
        <f t="shared" si="6"/>
        <v>-0.58000000000000007</v>
      </c>
      <c r="J21" s="44">
        <f t="shared" si="2"/>
        <v>-0.58000000000000007</v>
      </c>
      <c r="K21" s="44">
        <f t="shared" si="3"/>
        <v>-7.8512800000000009</v>
      </c>
      <c r="L21" s="44">
        <f t="shared" si="4"/>
        <v>-39.68</v>
      </c>
      <c r="M21" s="53">
        <f t="shared" si="5"/>
        <v>-31.828719999999997</v>
      </c>
      <c r="N21" s="228"/>
      <c r="O21" s="229"/>
      <c r="P21" s="230"/>
      <c r="Q21" s="47">
        <v>44553.59097222222</v>
      </c>
      <c r="R21" s="44">
        <f t="shared" si="0"/>
        <v>-5.8000000013504183</v>
      </c>
      <c r="S21" s="44">
        <f t="shared" si="1"/>
        <v>-6.8448860215567855</v>
      </c>
    </row>
    <row r="22" spans="1:19" ht="12" customHeight="1" x14ac:dyDescent="0.2">
      <c r="A22" s="37"/>
      <c r="B22" s="48"/>
      <c r="C22" s="49">
        <v>4.37</v>
      </c>
      <c r="D22" s="54"/>
      <c r="E22" s="50"/>
      <c r="F22" s="40"/>
      <c r="G22" s="51"/>
      <c r="H22" s="44" t="str">
        <f t="shared" si="7"/>
        <v/>
      </c>
      <c r="I22" s="52" t="str">
        <f t="shared" si="6"/>
        <v/>
      </c>
      <c r="J22" s="44" t="str">
        <f t="shared" si="2"/>
        <v/>
      </c>
      <c r="K22" s="44" t="str">
        <f t="shared" si="3"/>
        <v/>
      </c>
      <c r="L22" s="44" t="str">
        <f t="shared" si="4"/>
        <v/>
      </c>
      <c r="M22" s="53" t="str">
        <f t="shared" si="5"/>
        <v/>
      </c>
      <c r="N22" s="228"/>
      <c r="O22" s="229"/>
      <c r="P22" s="230"/>
      <c r="Q22" s="47"/>
      <c r="R22" s="44" t="str">
        <f t="shared" si="0"/>
        <v/>
      </c>
      <c r="S22" s="44" t="str">
        <f t="shared" si="1"/>
        <v/>
      </c>
    </row>
    <row r="23" spans="1:19" ht="12" customHeight="1" x14ac:dyDescent="0.2">
      <c r="A23" s="37"/>
      <c r="B23" s="48"/>
      <c r="C23" s="49">
        <v>4.37</v>
      </c>
      <c r="D23" s="58"/>
      <c r="E23" s="50"/>
      <c r="F23" s="40"/>
      <c r="G23" s="51"/>
      <c r="H23" s="44" t="str">
        <f t="shared" si="7"/>
        <v/>
      </c>
      <c r="I23" s="52" t="str">
        <f t="shared" si="6"/>
        <v/>
      </c>
      <c r="J23" s="44" t="str">
        <f t="shared" si="2"/>
        <v/>
      </c>
      <c r="K23" s="44" t="str">
        <f t="shared" si="3"/>
        <v/>
      </c>
      <c r="L23" s="44" t="str">
        <f t="shared" si="4"/>
        <v/>
      </c>
      <c r="M23" s="53" t="str">
        <f t="shared" si="5"/>
        <v/>
      </c>
      <c r="N23" s="228"/>
      <c r="O23" s="229"/>
      <c r="P23" s="230"/>
      <c r="Q23" s="47"/>
      <c r="R23" s="44" t="str">
        <f t="shared" si="0"/>
        <v/>
      </c>
      <c r="S23" s="44" t="str">
        <f t="shared" si="1"/>
        <v/>
      </c>
    </row>
    <row r="24" spans="1:19" ht="12" customHeight="1" x14ac:dyDescent="0.2">
      <c r="A24" s="37"/>
      <c r="B24" s="48"/>
      <c r="C24" s="49">
        <v>4.37</v>
      </c>
      <c r="D24" s="58"/>
      <c r="E24" s="50"/>
      <c r="F24" s="40"/>
      <c r="G24" s="51"/>
      <c r="H24" s="44" t="str">
        <f t="shared" si="7"/>
        <v/>
      </c>
      <c r="I24" s="52" t="str">
        <f t="shared" si="6"/>
        <v/>
      </c>
      <c r="J24" s="44" t="str">
        <f t="shared" si="2"/>
        <v/>
      </c>
      <c r="K24" s="44" t="str">
        <f t="shared" si="3"/>
        <v/>
      </c>
      <c r="L24" s="44" t="str">
        <f t="shared" si="4"/>
        <v/>
      </c>
      <c r="M24" s="53" t="str">
        <f t="shared" si="5"/>
        <v/>
      </c>
      <c r="N24" s="231"/>
      <c r="O24" s="229"/>
      <c r="P24" s="230"/>
      <c r="Q24" s="47"/>
      <c r="R24" s="44" t="str">
        <f t="shared" si="0"/>
        <v/>
      </c>
      <c r="S24" s="44" t="str">
        <f t="shared" si="1"/>
        <v/>
      </c>
    </row>
    <row r="25" spans="1:19" ht="12" customHeight="1" x14ac:dyDescent="0.2">
      <c r="A25" s="37"/>
      <c r="B25" s="48"/>
      <c r="C25" s="49">
        <v>4.37</v>
      </c>
      <c r="D25" s="58"/>
      <c r="E25" s="50"/>
      <c r="F25" s="40"/>
      <c r="G25" s="51"/>
      <c r="H25" s="44" t="str">
        <f t="shared" si="7"/>
        <v/>
      </c>
      <c r="I25" s="52" t="str">
        <f t="shared" si="6"/>
        <v/>
      </c>
      <c r="J25" s="44" t="str">
        <f t="shared" si="2"/>
        <v/>
      </c>
      <c r="K25" s="44" t="str">
        <f t="shared" si="3"/>
        <v/>
      </c>
      <c r="L25" s="44" t="str">
        <f t="shared" si="4"/>
        <v/>
      </c>
      <c r="M25" s="53" t="str">
        <f t="shared" si="5"/>
        <v/>
      </c>
      <c r="N25" s="228"/>
      <c r="O25" s="229"/>
      <c r="P25" s="230"/>
      <c r="Q25" s="47"/>
      <c r="R25" s="44" t="str">
        <f t="shared" si="0"/>
        <v/>
      </c>
      <c r="S25" s="44" t="str">
        <f t="shared" si="1"/>
        <v/>
      </c>
    </row>
    <row r="26" spans="1:19" ht="12" customHeight="1" x14ac:dyDescent="0.2">
      <c r="A26" s="37"/>
      <c r="B26" s="48"/>
      <c r="C26" s="49">
        <v>4.37</v>
      </c>
      <c r="D26" s="58"/>
      <c r="E26" s="50"/>
      <c r="F26" s="40"/>
      <c r="G26" s="51"/>
      <c r="H26" s="44" t="str">
        <f>IF(E26="","",((E26-E25)*C26)/1000)</f>
        <v/>
      </c>
      <c r="I26" s="52" t="str">
        <f>IF(F26="","",F26-F25-G26)</f>
        <v/>
      </c>
      <c r="J26" s="44" t="str">
        <f t="shared" si="2"/>
        <v/>
      </c>
      <c r="K26" s="44" t="str">
        <f t="shared" si="3"/>
        <v/>
      </c>
      <c r="L26" s="44" t="str">
        <f t="shared" si="4"/>
        <v/>
      </c>
      <c r="M26" s="53" t="str">
        <f t="shared" si="5"/>
        <v/>
      </c>
      <c r="N26" s="228"/>
      <c r="O26" s="229"/>
      <c r="P26" s="230"/>
      <c r="Q26" s="47"/>
      <c r="R26" s="44" t="str">
        <f t="shared" si="0"/>
        <v/>
      </c>
      <c r="S26" s="44" t="str">
        <f t="shared" si="1"/>
        <v/>
      </c>
    </row>
    <row r="27" spans="1:19" ht="12" customHeight="1" x14ac:dyDescent="0.2">
      <c r="A27" s="37"/>
      <c r="B27" s="48"/>
      <c r="C27" s="49"/>
      <c r="D27" s="58"/>
      <c r="E27" s="50"/>
      <c r="F27" s="40"/>
      <c r="G27" s="51"/>
      <c r="H27" s="44" t="str">
        <f t="shared" si="7"/>
        <v/>
      </c>
      <c r="I27" s="52" t="str">
        <f>IF(F27="","",F27-F26-G27)</f>
        <v/>
      </c>
      <c r="J27" s="44" t="str">
        <f>IF(F27="","",I27-H27)</f>
        <v/>
      </c>
      <c r="K27" s="44" t="str">
        <f>IF(F27="","",K26+H27)</f>
        <v/>
      </c>
      <c r="L27" s="44" t="str">
        <f>IF(F27="","",L26+I27)</f>
        <v/>
      </c>
      <c r="M27" s="53" t="str">
        <f>IF(F27="","",L27-K27)</f>
        <v/>
      </c>
      <c r="N27" s="231"/>
      <c r="O27" s="229"/>
      <c r="P27" s="230"/>
      <c r="Q27" s="47"/>
      <c r="R27" s="44" t="str">
        <f t="shared" si="0"/>
        <v/>
      </c>
      <c r="S27" s="44" t="str">
        <f t="shared" si="1"/>
        <v/>
      </c>
    </row>
    <row r="28" spans="1:19" ht="12" customHeight="1" x14ac:dyDescent="0.2">
      <c r="A28" s="37"/>
      <c r="B28" s="48"/>
      <c r="C28" s="49"/>
      <c r="D28" s="58"/>
      <c r="E28" s="50"/>
      <c r="F28" s="40"/>
      <c r="G28" s="51"/>
      <c r="H28" s="44" t="str">
        <f t="shared" si="7"/>
        <v/>
      </c>
      <c r="I28" s="52" t="str">
        <f>IF(F28="","",F28-F27-G28)</f>
        <v/>
      </c>
      <c r="J28" s="44" t="str">
        <f t="shared" si="2"/>
        <v/>
      </c>
      <c r="K28" s="44" t="str">
        <f t="shared" si="3"/>
        <v/>
      </c>
      <c r="L28" s="44" t="str">
        <f t="shared" si="4"/>
        <v/>
      </c>
      <c r="M28" s="53" t="str">
        <f t="shared" si="5"/>
        <v/>
      </c>
      <c r="N28" s="231"/>
      <c r="O28" s="229"/>
      <c r="P28" s="230"/>
      <c r="Q28" s="47"/>
      <c r="R28" s="44" t="str">
        <f t="shared" si="0"/>
        <v/>
      </c>
      <c r="S28" s="44" t="str">
        <f t="shared" si="1"/>
        <v/>
      </c>
    </row>
    <row r="29" spans="1:19" ht="12" customHeight="1" x14ac:dyDescent="0.2">
      <c r="A29" s="37"/>
      <c r="B29" s="48"/>
      <c r="C29" s="49"/>
      <c r="D29" s="58"/>
      <c r="E29" s="50"/>
      <c r="F29" s="40"/>
      <c r="G29" s="51"/>
      <c r="H29" s="44" t="str">
        <f t="shared" si="7"/>
        <v/>
      </c>
      <c r="I29" s="52" t="str">
        <f t="shared" si="6"/>
        <v/>
      </c>
      <c r="J29" s="44" t="str">
        <f t="shared" si="2"/>
        <v/>
      </c>
      <c r="K29" s="44" t="str">
        <f t="shared" si="3"/>
        <v/>
      </c>
      <c r="L29" s="44" t="str">
        <f t="shared" si="4"/>
        <v/>
      </c>
      <c r="M29" s="53" t="str">
        <f t="shared" si="5"/>
        <v/>
      </c>
      <c r="N29" s="228"/>
      <c r="O29" s="229"/>
      <c r="P29" s="230"/>
      <c r="Q29" s="47"/>
      <c r="R29" s="44" t="str">
        <f t="shared" si="0"/>
        <v/>
      </c>
      <c r="S29" s="44" t="str">
        <f t="shared" si="1"/>
        <v/>
      </c>
    </row>
    <row r="30" spans="1:19" ht="12" customHeight="1" x14ac:dyDescent="0.2">
      <c r="A30" s="37"/>
      <c r="B30" s="48"/>
      <c r="C30" s="49"/>
      <c r="D30" s="58"/>
      <c r="E30" s="50"/>
      <c r="F30" s="40"/>
      <c r="G30" s="59"/>
      <c r="H30" s="44" t="str">
        <f t="shared" si="7"/>
        <v/>
      </c>
      <c r="I30" s="52" t="str">
        <f t="shared" si="6"/>
        <v/>
      </c>
      <c r="J30" s="44" t="str">
        <f t="shared" si="2"/>
        <v/>
      </c>
      <c r="K30" s="44" t="str">
        <f t="shared" si="3"/>
        <v/>
      </c>
      <c r="L30" s="44" t="str">
        <f t="shared" si="4"/>
        <v/>
      </c>
      <c r="M30" s="53" t="str">
        <f t="shared" si="5"/>
        <v/>
      </c>
      <c r="N30" s="228"/>
      <c r="O30" s="229"/>
      <c r="P30" s="230"/>
      <c r="Q30" s="47"/>
      <c r="R30" s="44" t="str">
        <f t="shared" si="0"/>
        <v/>
      </c>
      <c r="S30" s="44" t="str">
        <f t="shared" si="1"/>
        <v/>
      </c>
    </row>
    <row r="31" spans="1:19" ht="12" customHeight="1" x14ac:dyDescent="0.2">
      <c r="A31" s="37"/>
      <c r="B31" s="48"/>
      <c r="C31" s="49"/>
      <c r="D31" s="58"/>
      <c r="E31" s="50"/>
      <c r="F31" s="40"/>
      <c r="G31" s="51"/>
      <c r="H31" s="44" t="str">
        <f t="shared" si="7"/>
        <v/>
      </c>
      <c r="I31" s="52" t="str">
        <f t="shared" si="6"/>
        <v/>
      </c>
      <c r="J31" s="44" t="str">
        <f t="shared" si="2"/>
        <v/>
      </c>
      <c r="K31" s="44" t="str">
        <f t="shared" si="3"/>
        <v/>
      </c>
      <c r="L31" s="44" t="str">
        <f t="shared" si="4"/>
        <v/>
      </c>
      <c r="M31" s="53" t="str">
        <f t="shared" si="5"/>
        <v/>
      </c>
      <c r="N31" s="231"/>
      <c r="O31" s="229"/>
      <c r="P31" s="230"/>
      <c r="Q31" s="47"/>
      <c r="R31" s="44" t="str">
        <f t="shared" si="0"/>
        <v/>
      </c>
      <c r="S31" s="44" t="str">
        <f t="shared" si="1"/>
        <v/>
      </c>
    </row>
    <row r="32" spans="1:19" ht="12" customHeight="1" x14ac:dyDescent="0.2">
      <c r="A32" s="37"/>
      <c r="B32" s="48"/>
      <c r="C32" s="49"/>
      <c r="D32" s="58"/>
      <c r="E32" s="50"/>
      <c r="F32" s="40"/>
      <c r="G32" s="51"/>
      <c r="H32" s="44" t="str">
        <f t="shared" si="7"/>
        <v/>
      </c>
      <c r="I32" s="52" t="str">
        <f t="shared" si="6"/>
        <v/>
      </c>
      <c r="J32" s="44" t="str">
        <f t="shared" si="2"/>
        <v/>
      </c>
      <c r="K32" s="44" t="str">
        <f t="shared" si="3"/>
        <v/>
      </c>
      <c r="L32" s="44" t="str">
        <f t="shared" si="4"/>
        <v/>
      </c>
      <c r="M32" s="53" t="str">
        <f t="shared" si="5"/>
        <v/>
      </c>
      <c r="N32" s="228"/>
      <c r="O32" s="229"/>
      <c r="P32" s="230"/>
      <c r="Q32" s="47"/>
      <c r="R32" s="44" t="str">
        <f t="shared" si="0"/>
        <v/>
      </c>
      <c r="S32" s="44" t="str">
        <f t="shared" si="1"/>
        <v/>
      </c>
    </row>
    <row r="33" spans="1:19" ht="12" customHeight="1" x14ac:dyDescent="0.2">
      <c r="A33" s="37"/>
      <c r="B33" s="48"/>
      <c r="C33" s="49"/>
      <c r="D33" s="58"/>
      <c r="E33" s="50"/>
      <c r="F33" s="40"/>
      <c r="G33" s="51"/>
      <c r="H33" s="44" t="str">
        <f t="shared" si="7"/>
        <v/>
      </c>
      <c r="I33" s="52" t="str">
        <f t="shared" si="6"/>
        <v/>
      </c>
      <c r="J33" s="44" t="str">
        <f t="shared" si="2"/>
        <v/>
      </c>
      <c r="K33" s="44" t="str">
        <f t="shared" si="3"/>
        <v/>
      </c>
      <c r="L33" s="44" t="str">
        <f t="shared" si="4"/>
        <v/>
      </c>
      <c r="M33" s="53" t="str">
        <f t="shared" si="5"/>
        <v/>
      </c>
      <c r="N33" s="231"/>
      <c r="O33" s="229"/>
      <c r="P33" s="230"/>
      <c r="Q33" s="47"/>
      <c r="R33" s="44" t="str">
        <f t="shared" si="0"/>
        <v/>
      </c>
      <c r="S33" s="44" t="str">
        <f t="shared" si="1"/>
        <v/>
      </c>
    </row>
    <row r="34" spans="1:19" ht="12" customHeight="1" x14ac:dyDescent="0.2">
      <c r="A34" s="37"/>
      <c r="B34" s="48"/>
      <c r="C34" s="49"/>
      <c r="D34" s="58"/>
      <c r="E34" s="50"/>
      <c r="F34" s="40"/>
      <c r="G34" s="51"/>
      <c r="H34" s="44" t="str">
        <f t="shared" si="7"/>
        <v/>
      </c>
      <c r="I34" s="52" t="str">
        <f t="shared" si="6"/>
        <v/>
      </c>
      <c r="J34" s="44" t="str">
        <f t="shared" si="2"/>
        <v/>
      </c>
      <c r="K34" s="44" t="str">
        <f t="shared" si="3"/>
        <v/>
      </c>
      <c r="L34" s="44" t="str">
        <f t="shared" si="4"/>
        <v/>
      </c>
      <c r="M34" s="53" t="str">
        <f t="shared" si="5"/>
        <v/>
      </c>
      <c r="N34" s="60"/>
      <c r="O34" s="61"/>
      <c r="P34" s="62"/>
      <c r="Q34" s="47"/>
      <c r="R34" s="44" t="str">
        <f t="shared" si="0"/>
        <v/>
      </c>
      <c r="S34" s="44" t="str">
        <f t="shared" si="1"/>
        <v/>
      </c>
    </row>
    <row r="35" spans="1:19" ht="12" customHeight="1" x14ac:dyDescent="0.2">
      <c r="A35" s="37"/>
      <c r="B35" s="48"/>
      <c r="C35" s="49"/>
      <c r="D35" s="58"/>
      <c r="E35" s="50"/>
      <c r="F35" s="40"/>
      <c r="G35" s="51"/>
      <c r="H35" s="44" t="str">
        <f t="shared" si="7"/>
        <v/>
      </c>
      <c r="I35" s="52" t="str">
        <f t="shared" si="6"/>
        <v/>
      </c>
      <c r="J35" s="44" t="str">
        <f t="shared" si="2"/>
        <v/>
      </c>
      <c r="K35" s="44" t="str">
        <f t="shared" si="3"/>
        <v/>
      </c>
      <c r="L35" s="44" t="str">
        <f t="shared" si="4"/>
        <v/>
      </c>
      <c r="M35" s="53" t="str">
        <f t="shared" si="5"/>
        <v/>
      </c>
      <c r="N35" s="228"/>
      <c r="O35" s="229"/>
      <c r="P35" s="230"/>
      <c r="Q35" s="47"/>
      <c r="R35" s="44" t="str">
        <f t="shared" si="0"/>
        <v/>
      </c>
      <c r="S35" s="44" t="str">
        <f t="shared" si="1"/>
        <v/>
      </c>
    </row>
    <row r="36" spans="1:19" ht="12" customHeight="1" x14ac:dyDescent="0.2">
      <c r="A36" s="37"/>
      <c r="B36" s="48"/>
      <c r="C36" s="49"/>
      <c r="D36" s="58"/>
      <c r="E36" s="50"/>
      <c r="F36" s="56"/>
      <c r="G36" s="51"/>
      <c r="H36" s="44" t="str">
        <f t="shared" si="7"/>
        <v/>
      </c>
      <c r="I36" s="52" t="str">
        <f t="shared" si="6"/>
        <v/>
      </c>
      <c r="J36" s="44" t="str">
        <f t="shared" si="2"/>
        <v/>
      </c>
      <c r="K36" s="44" t="str">
        <f t="shared" si="3"/>
        <v/>
      </c>
      <c r="L36" s="44" t="str">
        <f t="shared" si="4"/>
        <v/>
      </c>
      <c r="M36" s="53" t="str">
        <f t="shared" si="5"/>
        <v/>
      </c>
      <c r="N36" s="231"/>
      <c r="O36" s="229"/>
      <c r="P36" s="230"/>
      <c r="Q36" s="47"/>
      <c r="R36" s="44" t="str">
        <f t="shared" si="0"/>
        <v/>
      </c>
      <c r="S36" s="44" t="str">
        <f t="shared" si="1"/>
        <v/>
      </c>
    </row>
    <row r="37" spans="1:19" ht="12" customHeight="1" x14ac:dyDescent="0.2">
      <c r="A37" s="37"/>
      <c r="B37" s="48"/>
      <c r="C37" s="49"/>
      <c r="D37" s="58"/>
      <c r="E37" s="50"/>
      <c r="F37" s="56"/>
      <c r="G37" s="51"/>
      <c r="H37" s="44" t="str">
        <f t="shared" si="7"/>
        <v/>
      </c>
      <c r="I37" s="52" t="str">
        <f t="shared" si="6"/>
        <v/>
      </c>
      <c r="J37" s="44" t="str">
        <f t="shared" si="2"/>
        <v/>
      </c>
      <c r="K37" s="44" t="str">
        <f t="shared" si="3"/>
        <v/>
      </c>
      <c r="L37" s="44" t="str">
        <f t="shared" si="4"/>
        <v/>
      </c>
      <c r="M37" s="53" t="str">
        <f t="shared" si="5"/>
        <v/>
      </c>
      <c r="N37" s="228"/>
      <c r="O37" s="229"/>
      <c r="P37" s="230"/>
      <c r="Q37" s="47"/>
      <c r="R37" s="44" t="str">
        <f t="shared" si="0"/>
        <v/>
      </c>
      <c r="S37" s="44" t="str">
        <f t="shared" si="1"/>
        <v/>
      </c>
    </row>
    <row r="38" spans="1:19" ht="12" customHeight="1" x14ac:dyDescent="0.2">
      <c r="A38" s="37"/>
      <c r="B38" s="48"/>
      <c r="C38" s="49"/>
      <c r="D38" s="58"/>
      <c r="E38" s="50"/>
      <c r="F38" s="56"/>
      <c r="G38" s="51"/>
      <c r="H38" s="44" t="str">
        <f t="shared" si="7"/>
        <v/>
      </c>
      <c r="I38" s="52" t="str">
        <f t="shared" si="6"/>
        <v/>
      </c>
      <c r="J38" s="44" t="str">
        <f t="shared" si="2"/>
        <v/>
      </c>
      <c r="K38" s="44" t="str">
        <f t="shared" si="3"/>
        <v/>
      </c>
      <c r="L38" s="44" t="str">
        <f t="shared" si="4"/>
        <v/>
      </c>
      <c r="M38" s="53" t="str">
        <f t="shared" si="5"/>
        <v/>
      </c>
      <c r="N38" s="228"/>
      <c r="O38" s="229"/>
      <c r="P38" s="230"/>
      <c r="Q38" s="47"/>
      <c r="R38" s="44" t="str">
        <f t="shared" si="0"/>
        <v/>
      </c>
      <c r="S38" s="44" t="str">
        <f t="shared" si="1"/>
        <v/>
      </c>
    </row>
    <row r="39" spans="1:19" ht="12" customHeight="1" x14ac:dyDescent="0.2">
      <c r="A39" s="37"/>
      <c r="B39" s="48"/>
      <c r="C39" s="49"/>
      <c r="D39" s="58"/>
      <c r="E39" s="50"/>
      <c r="F39" s="40"/>
      <c r="G39" s="51"/>
      <c r="H39" s="44" t="str">
        <f t="shared" si="7"/>
        <v/>
      </c>
      <c r="I39" s="52" t="str">
        <f t="shared" si="6"/>
        <v/>
      </c>
      <c r="J39" s="44" t="str">
        <f t="shared" si="2"/>
        <v/>
      </c>
      <c r="K39" s="44" t="str">
        <f t="shared" si="3"/>
        <v/>
      </c>
      <c r="L39" s="44" t="str">
        <f t="shared" si="4"/>
        <v/>
      </c>
      <c r="M39" s="53" t="str">
        <f t="shared" si="5"/>
        <v/>
      </c>
      <c r="N39" s="228"/>
      <c r="O39" s="229"/>
      <c r="P39" s="230"/>
      <c r="Q39" s="47"/>
      <c r="R39" s="44" t="str">
        <f t="shared" si="0"/>
        <v/>
      </c>
      <c r="S39" s="44" t="str">
        <f t="shared" si="1"/>
        <v/>
      </c>
    </row>
    <row r="40" spans="1:19" ht="12" customHeight="1" x14ac:dyDescent="0.2">
      <c r="A40" s="37"/>
      <c r="B40" s="48"/>
      <c r="C40" s="49"/>
      <c r="D40" s="58"/>
      <c r="E40" s="50"/>
      <c r="F40" s="40"/>
      <c r="G40" s="51"/>
      <c r="H40" s="44" t="str">
        <f t="shared" si="7"/>
        <v/>
      </c>
      <c r="I40" s="52" t="str">
        <f t="shared" si="6"/>
        <v/>
      </c>
      <c r="J40" s="44" t="str">
        <f t="shared" si="2"/>
        <v/>
      </c>
      <c r="K40" s="44" t="str">
        <f t="shared" si="3"/>
        <v/>
      </c>
      <c r="L40" s="44" t="str">
        <f t="shared" si="4"/>
        <v/>
      </c>
      <c r="M40" s="53" t="str">
        <f t="shared" si="5"/>
        <v/>
      </c>
      <c r="N40" s="231"/>
      <c r="O40" s="229"/>
      <c r="P40" s="230"/>
      <c r="Q40" s="47"/>
      <c r="R40" s="44" t="str">
        <f t="shared" si="0"/>
        <v/>
      </c>
      <c r="S40" s="44" t="str">
        <f t="shared" si="1"/>
        <v/>
      </c>
    </row>
    <row r="41" spans="1:19" ht="12" customHeight="1" x14ac:dyDescent="0.2">
      <c r="A41" s="37"/>
      <c r="B41" s="48"/>
      <c r="C41" s="49"/>
      <c r="D41" s="58"/>
      <c r="E41" s="50"/>
      <c r="F41" s="40"/>
      <c r="G41" s="51"/>
      <c r="H41" s="44" t="str">
        <f t="shared" si="7"/>
        <v/>
      </c>
      <c r="I41" s="52" t="str">
        <f t="shared" si="6"/>
        <v/>
      </c>
      <c r="J41" s="44" t="str">
        <f t="shared" si="2"/>
        <v/>
      </c>
      <c r="K41" s="44" t="str">
        <f t="shared" si="3"/>
        <v/>
      </c>
      <c r="L41" s="44" t="str">
        <f t="shared" si="4"/>
        <v/>
      </c>
      <c r="M41" s="53" t="str">
        <f t="shared" si="5"/>
        <v/>
      </c>
      <c r="N41" s="228"/>
      <c r="O41" s="229"/>
      <c r="P41" s="230"/>
      <c r="Q41" s="47"/>
      <c r="R41" s="44" t="str">
        <f t="shared" si="0"/>
        <v/>
      </c>
      <c r="S41" s="44" t="str">
        <f t="shared" si="1"/>
        <v/>
      </c>
    </row>
    <row r="42" spans="1:19" ht="12" customHeight="1" x14ac:dyDescent="0.2">
      <c r="A42" s="37"/>
      <c r="B42" s="48"/>
      <c r="C42" s="49"/>
      <c r="D42" s="58"/>
      <c r="E42" s="50"/>
      <c r="F42" s="40"/>
      <c r="G42" s="51"/>
      <c r="H42" s="44" t="str">
        <f t="shared" si="7"/>
        <v/>
      </c>
      <c r="I42" s="52" t="str">
        <f t="shared" si="6"/>
        <v/>
      </c>
      <c r="J42" s="44" t="str">
        <f t="shared" si="2"/>
        <v/>
      </c>
      <c r="K42" s="44" t="str">
        <f t="shared" si="3"/>
        <v/>
      </c>
      <c r="L42" s="44" t="str">
        <f t="shared" si="4"/>
        <v/>
      </c>
      <c r="M42" s="53" t="str">
        <f t="shared" si="5"/>
        <v/>
      </c>
      <c r="N42" s="228"/>
      <c r="O42" s="229"/>
      <c r="P42" s="230"/>
      <c r="Q42" s="47"/>
      <c r="R42" s="44" t="str">
        <f t="shared" si="0"/>
        <v/>
      </c>
      <c r="S42" s="44" t="str">
        <f t="shared" si="1"/>
        <v/>
      </c>
    </row>
    <row r="43" spans="1:19" ht="12" customHeight="1" x14ac:dyDescent="0.2">
      <c r="A43" s="37"/>
      <c r="B43" s="48"/>
      <c r="C43" s="49"/>
      <c r="D43" s="58"/>
      <c r="E43" s="50"/>
      <c r="F43" s="40"/>
      <c r="G43" s="51"/>
      <c r="H43" s="44" t="str">
        <f t="shared" si="7"/>
        <v/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/>
      <c r="D44" s="58"/>
      <c r="E44" s="50"/>
      <c r="F44" s="56"/>
      <c r="G44" s="51"/>
      <c r="H44" s="44" t="str">
        <f t="shared" si="7"/>
        <v/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/>
      <c r="D45" s="58"/>
      <c r="E45" s="50"/>
      <c r="F45" s="40"/>
      <c r="G45" s="51"/>
      <c r="H45" s="44" t="str">
        <f t="shared" si="7"/>
        <v/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/>
      <c r="D46" s="58"/>
      <c r="E46" s="50"/>
      <c r="F46" s="40"/>
      <c r="G46" s="51"/>
      <c r="H46" s="44" t="str">
        <f t="shared" si="7"/>
        <v/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/>
      <c r="D47" s="58"/>
      <c r="E47" s="50"/>
      <c r="F47" s="40"/>
      <c r="G47" s="51"/>
      <c r="H47" s="44" t="str">
        <f t="shared" si="7"/>
        <v/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/>
      <c r="D48" s="58"/>
      <c r="E48" s="50"/>
      <c r="F48" s="40"/>
      <c r="G48" s="51"/>
      <c r="H48" s="44" t="str">
        <f t="shared" si="7"/>
        <v/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/>
      <c r="D49" s="58"/>
      <c r="E49" s="50"/>
      <c r="F49" s="40"/>
      <c r="G49" s="40"/>
      <c r="H49" s="44" t="str">
        <f>IF(E49="","",((E49-E48)*C49)/1000)</f>
        <v/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/>
      <c r="D50" s="58"/>
      <c r="E50" s="50"/>
      <c r="F50" s="40"/>
      <c r="G50" s="40"/>
      <c r="H50" s="44" t="str">
        <f>IF(E50="","",((E50-E49)*C50)/1000)</f>
        <v/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/>
      <c r="D51" s="58"/>
      <c r="E51" s="50"/>
      <c r="F51" s="40"/>
      <c r="G51" s="40"/>
      <c r="H51" s="44" t="str">
        <f>IF(E51="","",((E51-E50)*C51)/1000)</f>
        <v/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/>
      <c r="D52" s="58"/>
      <c r="E52" s="50"/>
      <c r="F52" s="40"/>
      <c r="G52" s="40"/>
      <c r="H52" s="44" t="str">
        <f t="shared" si="7"/>
        <v/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/>
      <c r="D53" s="58"/>
      <c r="E53" s="50"/>
      <c r="F53" s="40"/>
      <c r="G53" s="40"/>
      <c r="H53" s="44" t="str">
        <f t="shared" si="7"/>
        <v/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U112"/>
  <sheetViews>
    <sheetView zoomScaleNormal="100" workbookViewId="0">
      <selection activeCell="E6" sqref="E6"/>
    </sheetView>
  </sheetViews>
  <sheetFormatPr defaultRowHeight="12.75" x14ac:dyDescent="0.2"/>
  <cols>
    <col min="1" max="1" width="1" style="4" customWidth="1"/>
    <col min="2" max="2" width="19.7109375" style="4" customWidth="1"/>
    <col min="3" max="3" width="7.140625" style="4" customWidth="1"/>
    <col min="4" max="4" width="9.5703125" style="4" customWidth="1"/>
    <col min="5" max="6" width="12.28515625" style="4" customWidth="1"/>
    <col min="7" max="7" width="10.7109375" style="4" customWidth="1"/>
    <col min="8" max="8" width="10.5703125" style="4" customWidth="1"/>
    <col min="9" max="9" width="10.42578125" style="4" customWidth="1"/>
    <col min="10" max="10" width="10.5703125" style="74" customWidth="1"/>
    <col min="11" max="11" width="11" style="74" customWidth="1"/>
    <col min="12" max="12" width="10.7109375" style="74" customWidth="1"/>
    <col min="13" max="13" width="10.28515625" style="74" customWidth="1"/>
    <col min="14" max="14" width="11.85546875" style="4" customWidth="1"/>
    <col min="15" max="15" width="12.140625" style="4" customWidth="1"/>
    <col min="16" max="16" width="7.140625" style="4" customWidth="1"/>
    <col min="17" max="17" width="13.7109375" style="4" customWidth="1"/>
    <col min="18" max="18" width="10.140625" style="75" customWidth="1"/>
    <col min="19" max="19" width="10.28515625" style="4" customWidth="1"/>
    <col min="20" max="20" width="15.140625" style="4" customWidth="1"/>
    <col min="21" max="16384" width="9.140625" style="4"/>
  </cols>
  <sheetData>
    <row r="1" spans="1:20" ht="23.25" customHeight="1" x14ac:dyDescent="0.2">
      <c r="A1" s="1"/>
      <c r="B1" s="2"/>
      <c r="C1" s="3"/>
      <c r="D1" s="209" t="s">
        <v>62</v>
      </c>
      <c r="E1" s="210"/>
      <c r="F1" s="210"/>
      <c r="G1" s="211"/>
      <c r="H1" s="209" t="s">
        <v>0</v>
      </c>
      <c r="I1" s="210"/>
      <c r="J1" s="210"/>
      <c r="K1" s="210"/>
      <c r="L1" s="210"/>
      <c r="M1" s="211"/>
      <c r="N1" s="212"/>
      <c r="O1" s="213"/>
      <c r="P1" s="214"/>
      <c r="Q1" s="215" t="s">
        <v>1</v>
      </c>
      <c r="R1" s="216"/>
      <c r="S1" s="217"/>
    </row>
    <row r="2" spans="1:20" s="8" customFormat="1" ht="13.5" customHeight="1" x14ac:dyDescent="0.2">
      <c r="A2" s="5"/>
      <c r="B2" s="6" t="s">
        <v>2</v>
      </c>
      <c r="C2" s="6"/>
      <c r="D2" s="218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7" t="s">
        <v>3</v>
      </c>
      <c r="R2" s="224" t="s">
        <v>4</v>
      </c>
      <c r="S2" s="225"/>
    </row>
    <row r="3" spans="1:20" s="12" customFormat="1" ht="12" customHeight="1" x14ac:dyDescent="0.2">
      <c r="A3" s="9"/>
      <c r="B3" s="10"/>
      <c r="C3" s="10"/>
      <c r="D3" s="221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11" t="s">
        <v>5</v>
      </c>
      <c r="R3" s="226" t="s">
        <v>6</v>
      </c>
      <c r="S3" s="227"/>
    </row>
    <row r="4" spans="1:20" s="25" customFormat="1" ht="15.95" customHeight="1" x14ac:dyDescent="0.2">
      <c r="A4" s="13"/>
      <c r="B4" s="14"/>
      <c r="C4" s="15"/>
      <c r="D4" s="16"/>
      <c r="E4" s="17"/>
      <c r="F4" s="18"/>
      <c r="G4" s="19" t="s">
        <v>7</v>
      </c>
      <c r="H4" s="20"/>
      <c r="I4" s="21" t="s">
        <v>8</v>
      </c>
      <c r="J4" s="22"/>
      <c r="K4" s="232" t="s">
        <v>9</v>
      </c>
      <c r="L4" s="233"/>
      <c r="M4" s="234"/>
      <c r="N4" s="235" t="s">
        <v>10</v>
      </c>
      <c r="O4" s="236"/>
      <c r="P4" s="237"/>
      <c r="Q4" s="11" t="s">
        <v>11</v>
      </c>
      <c r="R4" s="24" t="s">
        <v>12</v>
      </c>
      <c r="S4" s="11" t="s">
        <v>13</v>
      </c>
    </row>
    <row r="5" spans="1:20" s="25" customFormat="1" ht="15.95" customHeight="1" x14ac:dyDescent="0.2">
      <c r="A5" s="13"/>
      <c r="B5" s="19" t="s">
        <v>14</v>
      </c>
      <c r="C5" s="26" t="s">
        <v>15</v>
      </c>
      <c r="D5" s="26" t="s">
        <v>16</v>
      </c>
      <c r="E5" s="27" t="s">
        <v>17</v>
      </c>
      <c r="F5" s="28" t="s">
        <v>18</v>
      </c>
      <c r="G5" s="29" t="s">
        <v>19</v>
      </c>
      <c r="H5" s="30" t="s">
        <v>20</v>
      </c>
      <c r="I5" s="31" t="s">
        <v>21</v>
      </c>
      <c r="J5" s="32" t="s">
        <v>22</v>
      </c>
      <c r="K5" s="33" t="s">
        <v>20</v>
      </c>
      <c r="L5" s="34" t="s">
        <v>21</v>
      </c>
      <c r="M5" s="35" t="s">
        <v>22</v>
      </c>
      <c r="N5" s="226" t="s">
        <v>23</v>
      </c>
      <c r="O5" s="238"/>
      <c r="P5" s="227"/>
      <c r="Q5" s="30" t="s">
        <v>24</v>
      </c>
      <c r="R5" s="11" t="s">
        <v>25</v>
      </c>
      <c r="S5" s="11" t="s">
        <v>25</v>
      </c>
    </row>
    <row r="6" spans="1:20" ht="15.95" customHeight="1" x14ac:dyDescent="0.2">
      <c r="A6" s="37"/>
      <c r="B6" s="11" t="s">
        <v>26</v>
      </c>
      <c r="C6" s="38" t="s">
        <v>27</v>
      </c>
      <c r="D6" s="31" t="s">
        <v>28</v>
      </c>
      <c r="E6" s="39">
        <v>1975</v>
      </c>
      <c r="F6" s="40">
        <v>107.7</v>
      </c>
      <c r="G6" s="41"/>
      <c r="H6" s="42"/>
      <c r="I6" s="43"/>
      <c r="J6" s="42"/>
      <c r="K6" s="44"/>
      <c r="L6" s="45"/>
      <c r="M6" s="46">
        <v>0</v>
      </c>
      <c r="N6" s="239"/>
      <c r="O6" s="240"/>
      <c r="P6" s="241"/>
      <c r="Q6" s="47">
        <v>44552.915277777778</v>
      </c>
      <c r="R6" s="11"/>
      <c r="S6" s="11"/>
    </row>
    <row r="7" spans="1:20" ht="12" customHeight="1" x14ac:dyDescent="0.2">
      <c r="A7" s="37"/>
      <c r="B7" s="48" t="s">
        <v>29</v>
      </c>
      <c r="C7" s="49">
        <v>10.58</v>
      </c>
      <c r="D7" s="39"/>
      <c r="E7" s="39">
        <v>1975</v>
      </c>
      <c r="F7" s="40">
        <v>107.7</v>
      </c>
      <c r="G7" s="51"/>
      <c r="H7" s="44">
        <f>IF(E7="","",((E7-E6)*C7)/1000)</f>
        <v>0</v>
      </c>
      <c r="I7" s="52">
        <f>IF(F7="","",F7-F6-G7)</f>
        <v>0</v>
      </c>
      <c r="J7" s="44">
        <f>IF(F7="","",I7-H7)</f>
        <v>0</v>
      </c>
      <c r="K7" s="44">
        <f>IF(F7="","",K6+H7)</f>
        <v>0</v>
      </c>
      <c r="L7" s="44">
        <f>IF(F7="","",L6+I7)</f>
        <v>0</v>
      </c>
      <c r="M7" s="53">
        <f>IF(F7="","",L7-K7)</f>
        <v>0</v>
      </c>
      <c r="N7" s="231" t="s">
        <v>49</v>
      </c>
      <c r="O7" s="229"/>
      <c r="P7" s="230"/>
      <c r="Q7" s="47">
        <v>44552.915972222225</v>
      </c>
      <c r="R7" s="44">
        <f t="shared" ref="R7:R70" si="0">IF(Q7="","",J7/((Q7-Q6)*24))</f>
        <v>0</v>
      </c>
      <c r="S7" s="44">
        <f t="shared" ref="S7:S70" si="1">IF(Q7="","",M7/((Q7-$Q$6)*24))</f>
        <v>0</v>
      </c>
    </row>
    <row r="8" spans="1:20" ht="12" customHeight="1" x14ac:dyDescent="0.2">
      <c r="A8" s="37"/>
      <c r="B8" s="48"/>
      <c r="C8" s="49">
        <v>10.58</v>
      </c>
      <c r="D8" s="54"/>
      <c r="E8" s="50">
        <v>1816</v>
      </c>
      <c r="F8" s="40">
        <v>184.4</v>
      </c>
      <c r="G8" s="51">
        <f>5-12.5+62.7-3.5+24.2</f>
        <v>75.900000000000006</v>
      </c>
      <c r="H8" s="44">
        <f>IF(E8="","",((E8-E7)*C8)/1000)</f>
        <v>-1.68222</v>
      </c>
      <c r="I8" s="52">
        <f>IF(F8="","",F8-F7-G8)</f>
        <v>0.79999999999999716</v>
      </c>
      <c r="J8" s="44">
        <f>IF(F8="","",I8-H8)</f>
        <v>2.4822199999999972</v>
      </c>
      <c r="K8" s="44">
        <f>IF(F8="","",K7+H8)</f>
        <v>-1.68222</v>
      </c>
      <c r="L8" s="44">
        <f>IF(F8="","",L7+I8)</f>
        <v>0.79999999999999716</v>
      </c>
      <c r="M8" s="53">
        <f>IF(F8="","",L8-K8)</f>
        <v>2.4822199999999972</v>
      </c>
      <c r="N8" s="231" t="s">
        <v>50</v>
      </c>
      <c r="O8" s="229"/>
      <c r="P8" s="230"/>
      <c r="Q8" s="47">
        <v>44552.931250000001</v>
      </c>
      <c r="R8" s="44">
        <f t="shared" si="0"/>
        <v>6.7696909095924171</v>
      </c>
      <c r="S8" s="44">
        <f t="shared" si="1"/>
        <v>6.4753565212802693</v>
      </c>
      <c r="T8" s="55"/>
    </row>
    <row r="9" spans="1:20" ht="12" customHeight="1" x14ac:dyDescent="0.2">
      <c r="A9" s="37"/>
      <c r="B9" s="48"/>
      <c r="C9" s="49">
        <v>10.58</v>
      </c>
      <c r="D9" s="54"/>
      <c r="E9" s="50">
        <v>1816</v>
      </c>
      <c r="F9" s="40">
        <v>196.3</v>
      </c>
      <c r="G9" s="51">
        <f>46.2-34.9</f>
        <v>11.300000000000004</v>
      </c>
      <c r="H9" s="44">
        <f>IF(E9="","",((E9-E8)*C9)/1000)</f>
        <v>0</v>
      </c>
      <c r="I9" s="52">
        <f>IF(F9="","",F9-F8-G9)</f>
        <v>0.60000000000000142</v>
      </c>
      <c r="J9" s="44">
        <f>IF(F9="","",I9-H9)</f>
        <v>0.60000000000000142</v>
      </c>
      <c r="K9" s="44">
        <f>IF(F9="","",K8+H9)</f>
        <v>-1.68222</v>
      </c>
      <c r="L9" s="44">
        <f>IF(F9="","",L8+I9)</f>
        <v>1.3999999999999986</v>
      </c>
      <c r="M9" s="53">
        <f>IF(F9="","",L9-K9)</f>
        <v>3.0822199999999986</v>
      </c>
      <c r="N9" s="228"/>
      <c r="O9" s="229"/>
      <c r="P9" s="230"/>
      <c r="Q9" s="47">
        <v>44552.940972222219</v>
      </c>
      <c r="R9" s="44">
        <f t="shared" si="0"/>
        <v>2.5714285726687569</v>
      </c>
      <c r="S9" s="44">
        <f t="shared" si="1"/>
        <v>4.9981945952865416</v>
      </c>
    </row>
    <row r="10" spans="1:20" ht="12" customHeight="1" x14ac:dyDescent="0.2">
      <c r="A10" s="37"/>
      <c r="B10" s="48"/>
      <c r="C10" s="49">
        <v>10.58</v>
      </c>
      <c r="D10" s="54"/>
      <c r="E10" s="50">
        <v>1816</v>
      </c>
      <c r="F10" s="40">
        <v>196.7</v>
      </c>
      <c r="G10" s="51"/>
      <c r="H10" s="44">
        <f>IF(E10="","",((E10-E9)*C10)/1000)</f>
        <v>0</v>
      </c>
      <c r="I10" s="52">
        <f>IF(F10="","",F10-F9-G10)</f>
        <v>0.39999999999997726</v>
      </c>
      <c r="J10" s="44">
        <f t="shared" ref="J10:J73" si="2">IF(F10="","",I10-H10)</f>
        <v>0.39999999999997726</v>
      </c>
      <c r="K10" s="44">
        <f t="shared" ref="K10:K73" si="3">IF(F10="","",K9+H10)</f>
        <v>-1.68222</v>
      </c>
      <c r="L10" s="44">
        <f t="shared" ref="L10:L73" si="4">IF(F10="","",L9+I10)</f>
        <v>1.7999999999999758</v>
      </c>
      <c r="M10" s="53">
        <f t="shared" ref="M10:M73" si="5">IF(F10="","",L10-K10)</f>
        <v>3.4822199999999759</v>
      </c>
      <c r="N10" s="249"/>
      <c r="O10" s="250"/>
      <c r="P10" s="251"/>
      <c r="Q10" s="47">
        <v>44552.948611111111</v>
      </c>
      <c r="R10" s="44">
        <f t="shared" si="0"/>
        <v>2.1818181809406134</v>
      </c>
      <c r="S10" s="44">
        <f t="shared" si="1"/>
        <v>4.3527750000633114</v>
      </c>
      <c r="T10" s="55"/>
    </row>
    <row r="11" spans="1:20" ht="12" customHeight="1" x14ac:dyDescent="0.2">
      <c r="A11" s="37"/>
      <c r="B11" s="48"/>
      <c r="C11" s="49">
        <v>10.58</v>
      </c>
      <c r="D11" s="54"/>
      <c r="E11" s="50">
        <v>1808</v>
      </c>
      <c r="F11" s="40">
        <v>116.6</v>
      </c>
      <c r="G11" s="51">
        <v>-80.099999999999994</v>
      </c>
      <c r="H11" s="44">
        <f>IF(E11="","",((E11-E10)*C11)/1000)</f>
        <v>-8.4640000000000007E-2</v>
      </c>
      <c r="I11" s="52">
        <f t="shared" ref="I11:I74" si="6">IF(F11="","",F11-F10-G11)</f>
        <v>0</v>
      </c>
      <c r="J11" s="44">
        <f t="shared" si="2"/>
        <v>8.4640000000000007E-2</v>
      </c>
      <c r="K11" s="44">
        <f t="shared" si="3"/>
        <v>-1.7668600000000001</v>
      </c>
      <c r="L11" s="44">
        <f t="shared" si="4"/>
        <v>1.7999999999999758</v>
      </c>
      <c r="M11" s="53">
        <f t="shared" si="5"/>
        <v>3.5668599999999762</v>
      </c>
      <c r="N11" s="228" t="s">
        <v>51</v>
      </c>
      <c r="O11" s="229"/>
      <c r="P11" s="230"/>
      <c r="Q11" s="47">
        <v>44553.03402777778</v>
      </c>
      <c r="R11" s="44">
        <f t="shared" si="0"/>
        <v>4.1287804877110923E-2</v>
      </c>
      <c r="S11" s="44">
        <f t="shared" si="1"/>
        <v>1.2515298245460587</v>
      </c>
    </row>
    <row r="12" spans="1:20" ht="12" customHeight="1" x14ac:dyDescent="0.2">
      <c r="A12" s="37"/>
      <c r="B12" s="48"/>
      <c r="C12" s="49">
        <v>10.58</v>
      </c>
      <c r="D12" s="54"/>
      <c r="E12" s="50">
        <v>1808</v>
      </c>
      <c r="F12" s="56">
        <v>98</v>
      </c>
      <c r="G12" s="51">
        <f>42.2-7</f>
        <v>35.200000000000003</v>
      </c>
      <c r="H12" s="44">
        <f t="shared" ref="H12:H74" si="7">IF(E12="","",((E12-E11)*C12)/1000)</f>
        <v>0</v>
      </c>
      <c r="I12" s="52">
        <f t="shared" si="6"/>
        <v>-53.8</v>
      </c>
      <c r="J12" s="44">
        <f t="shared" si="2"/>
        <v>-53.8</v>
      </c>
      <c r="K12" s="44">
        <f t="shared" si="3"/>
        <v>-1.7668600000000001</v>
      </c>
      <c r="L12" s="44">
        <f t="shared" si="4"/>
        <v>-52.000000000000021</v>
      </c>
      <c r="M12" s="53">
        <f t="shared" si="5"/>
        <v>-50.23314000000002</v>
      </c>
      <c r="N12" s="228" t="s">
        <v>53</v>
      </c>
      <c r="O12" s="229"/>
      <c r="P12" s="230"/>
      <c r="Q12" s="47">
        <v>44553.040277777778</v>
      </c>
      <c r="R12" s="44">
        <f t="shared" si="0"/>
        <v>-358.66666675017524</v>
      </c>
      <c r="S12" s="44">
        <f t="shared" si="1"/>
        <v>-16.744380000000007</v>
      </c>
    </row>
    <row r="13" spans="1:20" ht="12" customHeight="1" x14ac:dyDescent="0.2">
      <c r="A13" s="37"/>
      <c r="B13" s="48"/>
      <c r="C13" s="49">
        <v>10.58</v>
      </c>
      <c r="D13" s="54"/>
      <c r="E13" s="50">
        <v>1808</v>
      </c>
      <c r="F13" s="56">
        <v>104.4</v>
      </c>
      <c r="G13" s="51">
        <v>31</v>
      </c>
      <c r="H13" s="44">
        <f>IF(E13="","",((E13-E12)*C13)/1000)</f>
        <v>0</v>
      </c>
      <c r="I13" s="52">
        <f t="shared" si="6"/>
        <v>-24.599999999999994</v>
      </c>
      <c r="J13" s="44">
        <f t="shared" si="2"/>
        <v>-24.599999999999994</v>
      </c>
      <c r="K13" s="44">
        <f t="shared" si="3"/>
        <v>-1.7668600000000001</v>
      </c>
      <c r="L13" s="44">
        <f t="shared" si="4"/>
        <v>-76.600000000000023</v>
      </c>
      <c r="M13" s="53">
        <f t="shared" si="5"/>
        <v>-74.833140000000029</v>
      </c>
      <c r="N13" s="231" t="s">
        <v>54</v>
      </c>
      <c r="O13" s="229"/>
      <c r="P13" s="230"/>
      <c r="Q13" s="47">
        <v>44553.046527777777</v>
      </c>
      <c r="R13" s="44">
        <f t="shared" si="0"/>
        <v>-164.0000000381842</v>
      </c>
      <c r="S13" s="44">
        <f t="shared" si="1"/>
        <v>-23.756552381215783</v>
      </c>
    </row>
    <row r="14" spans="1:20" ht="12" customHeight="1" x14ac:dyDescent="0.2">
      <c r="A14" s="37"/>
      <c r="B14" s="48"/>
      <c r="C14" s="49">
        <v>10.58</v>
      </c>
      <c r="D14" s="54"/>
      <c r="E14" s="50">
        <v>1808</v>
      </c>
      <c r="F14" s="56">
        <v>143.5</v>
      </c>
      <c r="G14" s="51">
        <f>68.3-7.8-4.7</f>
        <v>55.8</v>
      </c>
      <c r="H14" s="44">
        <f t="shared" si="7"/>
        <v>0</v>
      </c>
      <c r="I14" s="52">
        <f t="shared" si="6"/>
        <v>-16.700000000000003</v>
      </c>
      <c r="J14" s="44">
        <f t="shared" si="2"/>
        <v>-16.700000000000003</v>
      </c>
      <c r="K14" s="44">
        <f t="shared" si="3"/>
        <v>-1.7668600000000001</v>
      </c>
      <c r="L14" s="44">
        <f t="shared" si="4"/>
        <v>-93.300000000000026</v>
      </c>
      <c r="M14" s="53">
        <f t="shared" si="5"/>
        <v>-91.533140000000031</v>
      </c>
      <c r="N14" s="231" t="s">
        <v>55</v>
      </c>
      <c r="O14" s="229"/>
      <c r="P14" s="230"/>
      <c r="Q14" s="47">
        <v>44553.050694444442</v>
      </c>
      <c r="R14" s="44">
        <f t="shared" si="0"/>
        <v>-167.00000003888275</v>
      </c>
      <c r="S14" s="44">
        <f t="shared" si="1"/>
        <v>-28.164043077427507</v>
      </c>
    </row>
    <row r="15" spans="1:20" ht="12" customHeight="1" x14ac:dyDescent="0.2">
      <c r="A15" s="37"/>
      <c r="B15" s="48"/>
      <c r="C15" s="49">
        <v>10.58</v>
      </c>
      <c r="D15" s="54"/>
      <c r="E15" s="50">
        <v>1808</v>
      </c>
      <c r="F15" s="40">
        <v>143</v>
      </c>
      <c r="G15" s="51">
        <f>28.2-6.3+43</f>
        <v>64.900000000000006</v>
      </c>
      <c r="H15" s="44">
        <f t="shared" si="7"/>
        <v>0</v>
      </c>
      <c r="I15" s="52">
        <f t="shared" si="6"/>
        <v>-65.400000000000006</v>
      </c>
      <c r="J15" s="44">
        <f t="shared" si="2"/>
        <v>-65.400000000000006</v>
      </c>
      <c r="K15" s="44">
        <f t="shared" si="3"/>
        <v>-1.7668600000000001</v>
      </c>
      <c r="L15" s="44">
        <f t="shared" si="4"/>
        <v>-158.70000000000005</v>
      </c>
      <c r="M15" s="53">
        <f t="shared" si="5"/>
        <v>-156.93314000000004</v>
      </c>
      <c r="N15" s="231" t="s">
        <v>56</v>
      </c>
      <c r="O15" s="229"/>
      <c r="P15" s="230"/>
      <c r="Q15" s="47">
        <v>44553.061805555553</v>
      </c>
      <c r="R15" s="44">
        <f t="shared" si="0"/>
        <v>-245.25000000356889</v>
      </c>
      <c r="S15" s="44">
        <f t="shared" si="1"/>
        <v>-44.625537441546186</v>
      </c>
    </row>
    <row r="16" spans="1:20" ht="12" customHeight="1" x14ac:dyDescent="0.2">
      <c r="A16" s="37"/>
      <c r="B16" s="48"/>
      <c r="C16" s="49">
        <v>10.58</v>
      </c>
      <c r="D16" s="57"/>
      <c r="E16" s="50">
        <v>1808</v>
      </c>
      <c r="F16" s="40">
        <v>164</v>
      </c>
      <c r="G16" s="51">
        <f>44-6.6+70.8-17</f>
        <v>91.199999999999989</v>
      </c>
      <c r="H16" s="44">
        <f t="shared" si="7"/>
        <v>0</v>
      </c>
      <c r="I16" s="52">
        <f t="shared" si="6"/>
        <v>-70.199999999999989</v>
      </c>
      <c r="J16" s="44">
        <f t="shared" si="2"/>
        <v>-70.199999999999989</v>
      </c>
      <c r="K16" s="44">
        <f t="shared" si="3"/>
        <v>-1.7668600000000001</v>
      </c>
      <c r="L16" s="44">
        <f t="shared" si="4"/>
        <v>-228.90000000000003</v>
      </c>
      <c r="M16" s="53">
        <f t="shared" si="5"/>
        <v>-227.13314000000003</v>
      </c>
      <c r="N16" s="228" t="s">
        <v>57</v>
      </c>
      <c r="O16" s="229"/>
      <c r="P16" s="230"/>
      <c r="Q16" s="47">
        <v>44553.072916666664</v>
      </c>
      <c r="R16" s="44">
        <f t="shared" si="0"/>
        <v>-263.25000000383073</v>
      </c>
      <c r="S16" s="44">
        <f t="shared" si="1"/>
        <v>-60.03519119047413</v>
      </c>
      <c r="T16" s="55"/>
    </row>
    <row r="17" spans="1:19" ht="12" customHeight="1" x14ac:dyDescent="0.2">
      <c r="A17" s="37"/>
      <c r="B17" s="48"/>
      <c r="C17" s="49">
        <v>10.58</v>
      </c>
      <c r="D17" s="54"/>
      <c r="E17" s="50">
        <v>1808</v>
      </c>
      <c r="F17" s="40">
        <v>121.2</v>
      </c>
      <c r="G17" s="51">
        <v>-8.1999999999999993</v>
      </c>
      <c r="H17" s="44">
        <f t="shared" si="7"/>
        <v>0</v>
      </c>
      <c r="I17" s="52">
        <f t="shared" si="6"/>
        <v>-34.599999999999994</v>
      </c>
      <c r="J17" s="44">
        <f t="shared" si="2"/>
        <v>-34.599999999999994</v>
      </c>
      <c r="K17" s="44">
        <f t="shared" si="3"/>
        <v>-1.7668600000000001</v>
      </c>
      <c r="L17" s="44">
        <f t="shared" si="4"/>
        <v>-263.5</v>
      </c>
      <c r="M17" s="53">
        <f t="shared" si="5"/>
        <v>-261.73313999999999</v>
      </c>
      <c r="N17" s="231" t="s">
        <v>58</v>
      </c>
      <c r="O17" s="229"/>
      <c r="P17" s="230"/>
      <c r="Q17" s="47">
        <v>44553.07916666667</v>
      </c>
      <c r="R17" s="44">
        <f t="shared" si="0"/>
        <v>-230.66666645184156</v>
      </c>
      <c r="S17" s="44">
        <f t="shared" si="1"/>
        <v>-66.542323727566227</v>
      </c>
    </row>
    <row r="18" spans="1:19" ht="12" customHeight="1" x14ac:dyDescent="0.2">
      <c r="A18" s="37"/>
      <c r="B18" s="48"/>
      <c r="C18" s="49">
        <v>10.58</v>
      </c>
      <c r="D18" s="54"/>
      <c r="E18" s="50">
        <v>1808</v>
      </c>
      <c r="F18" s="40">
        <v>91</v>
      </c>
      <c r="G18" s="51">
        <f>44.6-7.2</f>
        <v>37.4</v>
      </c>
      <c r="H18" s="44">
        <f t="shared" si="7"/>
        <v>0</v>
      </c>
      <c r="I18" s="52">
        <f t="shared" si="6"/>
        <v>-67.599999999999994</v>
      </c>
      <c r="J18" s="44">
        <f t="shared" si="2"/>
        <v>-67.599999999999994</v>
      </c>
      <c r="K18" s="44">
        <f t="shared" si="3"/>
        <v>-1.7668600000000001</v>
      </c>
      <c r="L18" s="44">
        <f t="shared" si="4"/>
        <v>-331.1</v>
      </c>
      <c r="M18" s="53">
        <f t="shared" si="5"/>
        <v>-329.33314000000001</v>
      </c>
      <c r="N18" s="228" t="s">
        <v>59</v>
      </c>
      <c r="O18" s="229"/>
      <c r="P18" s="230"/>
      <c r="Q18" s="47">
        <v>44553.092361111114</v>
      </c>
      <c r="R18" s="44">
        <f t="shared" si="0"/>
        <v>-213.47368422099012</v>
      </c>
      <c r="S18" s="44">
        <f t="shared" si="1"/>
        <v>-77.490150587174</v>
      </c>
    </row>
    <row r="19" spans="1:19" ht="12" customHeight="1" x14ac:dyDescent="0.2">
      <c r="A19" s="37"/>
      <c r="B19" s="48"/>
      <c r="C19" s="49">
        <v>10.58</v>
      </c>
      <c r="D19" s="54"/>
      <c r="E19" s="50">
        <v>1808</v>
      </c>
      <c r="F19" s="40">
        <v>79.58</v>
      </c>
      <c r="G19" s="51">
        <f>-2+38</f>
        <v>36</v>
      </c>
      <c r="H19" s="44">
        <f t="shared" si="7"/>
        <v>0</v>
      </c>
      <c r="I19" s="52">
        <f t="shared" si="6"/>
        <v>-47.42</v>
      </c>
      <c r="J19" s="44">
        <f t="shared" si="2"/>
        <v>-47.42</v>
      </c>
      <c r="K19" s="44">
        <f t="shared" si="3"/>
        <v>-1.7668600000000001</v>
      </c>
      <c r="L19" s="44">
        <f t="shared" si="4"/>
        <v>-378.52000000000004</v>
      </c>
      <c r="M19" s="53">
        <f t="shared" si="5"/>
        <v>-376.75314000000003</v>
      </c>
      <c r="N19" s="228" t="s">
        <v>60</v>
      </c>
      <c r="O19" s="229"/>
      <c r="P19" s="230"/>
      <c r="Q19" s="47">
        <v>44553.135416666664</v>
      </c>
      <c r="R19" s="44">
        <f t="shared" si="0"/>
        <v>-45.890322586159833</v>
      </c>
      <c r="S19" s="44">
        <f t="shared" si="1"/>
        <v>-71.309742587641182</v>
      </c>
    </row>
    <row r="20" spans="1:19" ht="12" customHeight="1" x14ac:dyDescent="0.2">
      <c r="A20" s="37"/>
      <c r="B20" s="48"/>
      <c r="C20" s="49">
        <v>10.58</v>
      </c>
      <c r="D20" s="54"/>
      <c r="E20" s="50">
        <v>1808</v>
      </c>
      <c r="F20" s="40">
        <v>72.81</v>
      </c>
      <c r="G20" s="51">
        <v>-2</v>
      </c>
      <c r="H20" s="44">
        <f t="shared" si="7"/>
        <v>0</v>
      </c>
      <c r="I20" s="52">
        <f t="shared" si="6"/>
        <v>-4.769999999999996</v>
      </c>
      <c r="J20" s="44">
        <f t="shared" si="2"/>
        <v>-4.769999999999996</v>
      </c>
      <c r="K20" s="44">
        <f t="shared" si="3"/>
        <v>-1.7668600000000001</v>
      </c>
      <c r="L20" s="44">
        <f t="shared" si="4"/>
        <v>-383.29</v>
      </c>
      <c r="M20" s="53">
        <f t="shared" si="5"/>
        <v>-381.52314000000001</v>
      </c>
      <c r="N20" s="242"/>
      <c r="O20" s="229"/>
      <c r="P20" s="230"/>
      <c r="Q20" s="47">
        <v>44553.142361111109</v>
      </c>
      <c r="R20" s="44">
        <f t="shared" si="0"/>
        <v>-28.61999999666817</v>
      </c>
      <c r="S20" s="44">
        <f t="shared" si="1"/>
        <v>-70.004245872157767</v>
      </c>
    </row>
    <row r="21" spans="1:19" ht="12" customHeight="1" x14ac:dyDescent="0.2">
      <c r="A21" s="37"/>
      <c r="B21" s="48"/>
      <c r="C21" s="49">
        <v>10.58</v>
      </c>
      <c r="D21" s="54"/>
      <c r="E21" s="50">
        <v>1808</v>
      </c>
      <c r="F21" s="40">
        <v>69.430000000000007</v>
      </c>
      <c r="G21" s="51"/>
      <c r="H21" s="44">
        <f t="shared" si="7"/>
        <v>0</v>
      </c>
      <c r="I21" s="52">
        <f t="shared" si="6"/>
        <v>-3.3799999999999955</v>
      </c>
      <c r="J21" s="44">
        <f t="shared" si="2"/>
        <v>-3.3799999999999955</v>
      </c>
      <c r="K21" s="44">
        <f t="shared" si="3"/>
        <v>-1.7668600000000001</v>
      </c>
      <c r="L21" s="44">
        <f t="shared" si="4"/>
        <v>-386.67</v>
      </c>
      <c r="M21" s="53">
        <f t="shared" si="5"/>
        <v>-384.90314000000001</v>
      </c>
      <c r="N21" s="228"/>
      <c r="O21" s="229"/>
      <c r="P21" s="230"/>
      <c r="Q21" s="47">
        <v>44553.149305555555</v>
      </c>
      <c r="R21" s="44">
        <f t="shared" si="0"/>
        <v>-20.27999999763907</v>
      </c>
      <c r="S21" s="44">
        <f t="shared" si="1"/>
        <v>-68.528748961755753</v>
      </c>
    </row>
    <row r="22" spans="1:19" ht="12" customHeight="1" x14ac:dyDescent="0.2">
      <c r="A22" s="37"/>
      <c r="B22" s="48"/>
      <c r="C22" s="49">
        <v>10.58</v>
      </c>
      <c r="D22" s="54"/>
      <c r="E22" s="50">
        <v>1808</v>
      </c>
      <c r="F22" s="40">
        <v>66.599999999999994</v>
      </c>
      <c r="G22" s="51"/>
      <c r="H22" s="44">
        <f t="shared" si="7"/>
        <v>0</v>
      </c>
      <c r="I22" s="52">
        <f t="shared" si="6"/>
        <v>-2.8300000000000125</v>
      </c>
      <c r="J22" s="44">
        <f t="shared" si="2"/>
        <v>-2.8300000000000125</v>
      </c>
      <c r="K22" s="44">
        <f t="shared" si="3"/>
        <v>-1.7668600000000001</v>
      </c>
      <c r="L22" s="44">
        <f t="shared" si="4"/>
        <v>-389.5</v>
      </c>
      <c r="M22" s="53">
        <f t="shared" si="5"/>
        <v>-387.73313999999999</v>
      </c>
      <c r="N22" s="228"/>
      <c r="O22" s="229"/>
      <c r="P22" s="230"/>
      <c r="Q22" s="47">
        <v>44553.156249942127</v>
      </c>
      <c r="R22" s="44">
        <f t="shared" si="0"/>
        <v>-16.98014150555133</v>
      </c>
      <c r="S22" s="44">
        <f t="shared" si="1"/>
        <v>-67.043210337798513</v>
      </c>
    </row>
    <row r="23" spans="1:19" ht="12" customHeight="1" x14ac:dyDescent="0.2">
      <c r="A23" s="37"/>
      <c r="B23" s="48"/>
      <c r="C23" s="49">
        <v>10.58</v>
      </c>
      <c r="D23" s="58"/>
      <c r="E23" s="50">
        <v>1808</v>
      </c>
      <c r="F23" s="40">
        <v>63.95</v>
      </c>
      <c r="G23" s="51"/>
      <c r="H23" s="44">
        <f t="shared" si="7"/>
        <v>0</v>
      </c>
      <c r="I23" s="52">
        <f t="shared" si="6"/>
        <v>-2.6499999999999915</v>
      </c>
      <c r="J23" s="44">
        <f t="shared" si="2"/>
        <v>-2.6499999999999915</v>
      </c>
      <c r="K23" s="44">
        <f t="shared" si="3"/>
        <v>-1.7668600000000001</v>
      </c>
      <c r="L23" s="44">
        <f t="shared" si="4"/>
        <v>-392.15</v>
      </c>
      <c r="M23" s="53">
        <f t="shared" si="5"/>
        <v>-390.38313999999997</v>
      </c>
      <c r="N23" s="228"/>
      <c r="O23" s="229"/>
      <c r="P23" s="230"/>
      <c r="Q23" s="47">
        <v>44553.163194386572</v>
      </c>
      <c r="R23" s="44">
        <f t="shared" si="0"/>
        <v>-15.899999998148946</v>
      </c>
      <c r="S23" s="44">
        <f t="shared" si="1"/>
        <v>-65.610627080537085</v>
      </c>
    </row>
    <row r="24" spans="1:19" ht="12" customHeight="1" x14ac:dyDescent="0.2">
      <c r="A24" s="37"/>
      <c r="B24" s="48"/>
      <c r="C24" s="49">
        <v>10.58</v>
      </c>
      <c r="D24" s="58"/>
      <c r="E24" s="50">
        <v>1808</v>
      </c>
      <c r="F24" s="40">
        <v>61.33</v>
      </c>
      <c r="G24" s="51"/>
      <c r="H24" s="44">
        <f t="shared" si="7"/>
        <v>0</v>
      </c>
      <c r="I24" s="52">
        <f t="shared" si="6"/>
        <v>-2.6200000000000045</v>
      </c>
      <c r="J24" s="44">
        <f t="shared" si="2"/>
        <v>-2.6200000000000045</v>
      </c>
      <c r="K24" s="44">
        <f t="shared" si="3"/>
        <v>-1.7668600000000001</v>
      </c>
      <c r="L24" s="44">
        <f t="shared" si="4"/>
        <v>-394.77</v>
      </c>
      <c r="M24" s="53">
        <f t="shared" si="5"/>
        <v>-393.00313999999997</v>
      </c>
      <c r="N24" s="231"/>
      <c r="O24" s="229"/>
      <c r="P24" s="230"/>
      <c r="Q24" s="47">
        <v>44553.170138773145</v>
      </c>
      <c r="R24" s="44">
        <f t="shared" si="0"/>
        <v>-15.720131005139351</v>
      </c>
      <c r="S24" s="44">
        <f t="shared" si="1"/>
        <v>-64.251223729967506</v>
      </c>
    </row>
    <row r="25" spans="1:19" ht="12" customHeight="1" x14ac:dyDescent="0.2">
      <c r="A25" s="37"/>
      <c r="B25" s="48"/>
      <c r="C25" s="49">
        <v>10.58</v>
      </c>
      <c r="D25" s="58"/>
      <c r="E25" s="50">
        <v>1808</v>
      </c>
      <c r="F25" s="40">
        <v>101.2</v>
      </c>
      <c r="G25" s="51">
        <v>42.36</v>
      </c>
      <c r="H25" s="44">
        <f t="shared" si="7"/>
        <v>0</v>
      </c>
      <c r="I25" s="52">
        <f t="shared" si="6"/>
        <v>-2.4899999999999949</v>
      </c>
      <c r="J25" s="44">
        <f t="shared" si="2"/>
        <v>-2.4899999999999949</v>
      </c>
      <c r="K25" s="44">
        <f t="shared" si="3"/>
        <v>-1.7668600000000001</v>
      </c>
      <c r="L25" s="44">
        <f t="shared" si="4"/>
        <v>-397.26</v>
      </c>
      <c r="M25" s="53">
        <f t="shared" si="5"/>
        <v>-395.49313999999998</v>
      </c>
      <c r="N25" s="228" t="s">
        <v>52</v>
      </c>
      <c r="O25" s="229"/>
      <c r="P25" s="230"/>
      <c r="Q25" s="47">
        <v>44553.17708321759</v>
      </c>
      <c r="R25" s="44">
        <f t="shared" si="0"/>
        <v>-14.939999998260724</v>
      </c>
      <c r="S25" s="44">
        <f t="shared" si="1"/>
        <v>-62.943233132145942</v>
      </c>
    </row>
    <row r="26" spans="1:19" ht="12" customHeight="1" x14ac:dyDescent="0.2">
      <c r="A26" s="37"/>
      <c r="B26" s="48"/>
      <c r="C26" s="49">
        <v>10.58</v>
      </c>
      <c r="D26" s="58"/>
      <c r="E26" s="50">
        <v>1808</v>
      </c>
      <c r="F26" s="40">
        <v>86.41</v>
      </c>
      <c r="G26" s="51">
        <v>-12.4</v>
      </c>
      <c r="H26" s="44">
        <f>IF(E26="","",((E26-E25)*C26)/1000)</f>
        <v>0</v>
      </c>
      <c r="I26" s="52">
        <f>IF(F26="","",F26-F25-G26)</f>
        <v>-2.3900000000000059</v>
      </c>
      <c r="J26" s="44">
        <f t="shared" si="2"/>
        <v>-2.3900000000000059</v>
      </c>
      <c r="K26" s="44">
        <f t="shared" si="3"/>
        <v>-1.7668600000000001</v>
      </c>
      <c r="L26" s="44">
        <f t="shared" si="4"/>
        <v>-399.65</v>
      </c>
      <c r="M26" s="53">
        <f t="shared" si="5"/>
        <v>-397.88313999999997</v>
      </c>
      <c r="N26" s="228" t="s">
        <v>58</v>
      </c>
      <c r="O26" s="229"/>
      <c r="P26" s="230"/>
      <c r="Q26" s="47">
        <v>44553.184027662035</v>
      </c>
      <c r="R26" s="44">
        <f t="shared" si="0"/>
        <v>-14.33999999833064</v>
      </c>
      <c r="S26" s="44">
        <f t="shared" si="1"/>
        <v>-61.687335094122162</v>
      </c>
    </row>
    <row r="27" spans="1:19" ht="12" customHeight="1" x14ac:dyDescent="0.2">
      <c r="A27" s="37"/>
      <c r="B27" s="48"/>
      <c r="C27" s="49">
        <v>10.58</v>
      </c>
      <c r="D27" s="58"/>
      <c r="E27" s="50">
        <v>1808</v>
      </c>
      <c r="F27" s="40">
        <v>84.05</v>
      </c>
      <c r="G27" s="51"/>
      <c r="H27" s="44">
        <f t="shared" si="7"/>
        <v>0</v>
      </c>
      <c r="I27" s="52">
        <f>IF(F27="","",F27-F26-G27)</f>
        <v>-2.3599999999999994</v>
      </c>
      <c r="J27" s="44">
        <f>IF(F27="","",I27-H27)</f>
        <v>-2.3599999999999994</v>
      </c>
      <c r="K27" s="44">
        <f>IF(F27="","",K26+H27)</f>
        <v>-1.7668600000000001</v>
      </c>
      <c r="L27" s="44">
        <f>IF(F27="","",L26+I27)</f>
        <v>-402.01</v>
      </c>
      <c r="M27" s="53">
        <f>IF(F27="","",L27-K27)</f>
        <v>-400.24313999999998</v>
      </c>
      <c r="N27" s="231"/>
      <c r="O27" s="229"/>
      <c r="P27" s="230"/>
      <c r="Q27" s="47">
        <v>44553.190972048615</v>
      </c>
      <c r="R27" s="44">
        <f t="shared" si="0"/>
        <v>-14.160117989793095</v>
      </c>
      <c r="S27" s="44">
        <f t="shared" si="1"/>
        <v>-60.49018519462745</v>
      </c>
    </row>
    <row r="28" spans="1:19" ht="12" customHeight="1" x14ac:dyDescent="0.2">
      <c r="A28" s="37"/>
      <c r="B28" s="48"/>
      <c r="C28" s="49">
        <v>10.58</v>
      </c>
      <c r="D28" s="58"/>
      <c r="E28" s="50">
        <v>1808</v>
      </c>
      <c r="F28" s="40">
        <v>81.86</v>
      </c>
      <c r="G28" s="51"/>
      <c r="H28" s="44">
        <f t="shared" si="7"/>
        <v>0</v>
      </c>
      <c r="I28" s="52">
        <f>IF(F28="","",F28-F27-G28)</f>
        <v>-2.1899999999999977</v>
      </c>
      <c r="J28" s="44">
        <f t="shared" si="2"/>
        <v>-2.1899999999999977</v>
      </c>
      <c r="K28" s="44">
        <f t="shared" si="3"/>
        <v>-1.7668600000000001</v>
      </c>
      <c r="L28" s="44">
        <f t="shared" si="4"/>
        <v>-404.2</v>
      </c>
      <c r="M28" s="53">
        <f t="shared" si="5"/>
        <v>-402.43313999999998</v>
      </c>
      <c r="N28" s="231"/>
      <c r="O28" s="229"/>
      <c r="P28" s="230"/>
      <c r="Q28" s="47">
        <v>44553.197916493053</v>
      </c>
      <c r="R28" s="44">
        <f t="shared" si="0"/>
        <v>-13.140000012237564</v>
      </c>
      <c r="S28" s="44">
        <f t="shared" si="1"/>
        <v>-59.326789267754322</v>
      </c>
    </row>
    <row r="29" spans="1:19" ht="12" customHeight="1" x14ac:dyDescent="0.2">
      <c r="A29" s="37"/>
      <c r="B29" s="48"/>
      <c r="C29" s="49">
        <v>10.58</v>
      </c>
      <c r="D29" s="58"/>
      <c r="E29" s="50">
        <v>1808</v>
      </c>
      <c r="F29" s="40">
        <v>81.94</v>
      </c>
      <c r="G29" s="51"/>
      <c r="H29" s="44">
        <f t="shared" si="7"/>
        <v>0</v>
      </c>
      <c r="I29" s="52">
        <f t="shared" si="6"/>
        <v>7.9999999999998295E-2</v>
      </c>
      <c r="J29" s="44">
        <f t="shared" si="2"/>
        <v>7.9999999999998295E-2</v>
      </c>
      <c r="K29" s="44">
        <f t="shared" si="3"/>
        <v>-1.7668600000000001</v>
      </c>
      <c r="L29" s="44">
        <f t="shared" si="4"/>
        <v>-404.12</v>
      </c>
      <c r="M29" s="53">
        <f t="shared" si="5"/>
        <v>-402.35314</v>
      </c>
      <c r="N29" s="228" t="s">
        <v>61</v>
      </c>
      <c r="O29" s="229"/>
      <c r="P29" s="230"/>
      <c r="Q29" s="47">
        <v>44553.204860937498</v>
      </c>
      <c r="R29" s="44">
        <f t="shared" si="0"/>
        <v>0.47999999994411041</v>
      </c>
      <c r="S29" s="44">
        <f t="shared" si="1"/>
        <v>-57.892572837764433</v>
      </c>
    </row>
    <row r="30" spans="1:19" ht="12" customHeight="1" x14ac:dyDescent="0.2">
      <c r="A30" s="37"/>
      <c r="B30" s="48"/>
      <c r="C30" s="49">
        <v>10.58</v>
      </c>
      <c r="D30" s="58"/>
      <c r="E30" s="50">
        <v>1808</v>
      </c>
      <c r="F30" s="40">
        <v>113.94</v>
      </c>
      <c r="G30" s="59">
        <v>36.9</v>
      </c>
      <c r="H30" s="44">
        <f t="shared" si="7"/>
        <v>0</v>
      </c>
      <c r="I30" s="52">
        <f t="shared" si="6"/>
        <v>-4.8999999999999986</v>
      </c>
      <c r="J30" s="44">
        <f t="shared" si="2"/>
        <v>-4.8999999999999986</v>
      </c>
      <c r="K30" s="44">
        <f t="shared" si="3"/>
        <v>-1.7668600000000001</v>
      </c>
      <c r="L30" s="44">
        <f t="shared" si="4"/>
        <v>-409.02</v>
      </c>
      <c r="M30" s="53">
        <f t="shared" si="5"/>
        <v>-407.25313999999997</v>
      </c>
      <c r="N30" s="228" t="s">
        <v>52</v>
      </c>
      <c r="O30" s="229"/>
      <c r="P30" s="230"/>
      <c r="Q30" s="47">
        <v>44553.208333333336</v>
      </c>
      <c r="R30" s="44">
        <f t="shared" si="0"/>
        <v>-58.797060069851973</v>
      </c>
      <c r="S30" s="44">
        <f t="shared" si="1"/>
        <v>-57.90329004697805</v>
      </c>
    </row>
    <row r="31" spans="1:19" ht="12" customHeight="1" x14ac:dyDescent="0.2">
      <c r="A31" s="37"/>
      <c r="B31" s="48"/>
      <c r="C31" s="49">
        <v>10.58</v>
      </c>
      <c r="D31" s="58"/>
      <c r="E31" s="50">
        <v>1808</v>
      </c>
      <c r="F31" s="40">
        <v>110.4</v>
      </c>
      <c r="G31" s="51"/>
      <c r="H31" s="44">
        <f t="shared" si="7"/>
        <v>0</v>
      </c>
      <c r="I31" s="52">
        <f t="shared" si="6"/>
        <v>-3.539999999999992</v>
      </c>
      <c r="J31" s="44">
        <f t="shared" si="2"/>
        <v>-3.539999999999992</v>
      </c>
      <c r="K31" s="44">
        <f t="shared" si="3"/>
        <v>-1.7668600000000001</v>
      </c>
      <c r="L31" s="44">
        <f t="shared" si="4"/>
        <v>-412.55999999999995</v>
      </c>
      <c r="M31" s="53">
        <f t="shared" si="5"/>
        <v>-410.79313999999994</v>
      </c>
      <c r="N31" s="231"/>
      <c r="O31" s="229"/>
      <c r="P31" s="230"/>
      <c r="Q31" s="47">
        <v>44553.21875</v>
      </c>
      <c r="R31" s="44">
        <f t="shared" si="0"/>
        <v>-14.160000003296851</v>
      </c>
      <c r="S31" s="44">
        <f t="shared" si="1"/>
        <v>-56.401804119053224</v>
      </c>
    </row>
    <row r="32" spans="1:19" ht="12" customHeight="1" x14ac:dyDescent="0.2">
      <c r="A32" s="37"/>
      <c r="B32" s="48"/>
      <c r="C32" s="49">
        <v>10.58</v>
      </c>
      <c r="D32" s="58"/>
      <c r="E32" s="50">
        <v>1808</v>
      </c>
      <c r="F32" s="40">
        <v>107.45</v>
      </c>
      <c r="G32" s="51"/>
      <c r="H32" s="44">
        <f t="shared" si="7"/>
        <v>0</v>
      </c>
      <c r="I32" s="52">
        <f t="shared" si="6"/>
        <v>-2.9500000000000028</v>
      </c>
      <c r="J32" s="44">
        <f t="shared" si="2"/>
        <v>-2.9500000000000028</v>
      </c>
      <c r="K32" s="44">
        <f t="shared" si="3"/>
        <v>-1.7668600000000001</v>
      </c>
      <c r="L32" s="44">
        <f t="shared" si="4"/>
        <v>-415.50999999999993</v>
      </c>
      <c r="M32" s="53">
        <f t="shared" si="5"/>
        <v>-413.74313999999993</v>
      </c>
      <c r="N32" s="228"/>
      <c r="O32" s="229"/>
      <c r="P32" s="230"/>
      <c r="Q32" s="47">
        <v>44553.229166666664</v>
      </c>
      <c r="R32" s="44">
        <f t="shared" si="0"/>
        <v>-11.800000002747414</v>
      </c>
      <c r="S32" s="44">
        <f t="shared" si="1"/>
        <v>-54.921655752693326</v>
      </c>
    </row>
    <row r="33" spans="1:19" ht="12" customHeight="1" x14ac:dyDescent="0.2">
      <c r="A33" s="37"/>
      <c r="B33" s="48"/>
      <c r="C33" s="49">
        <v>10.58</v>
      </c>
      <c r="D33" s="58"/>
      <c r="E33" s="50">
        <v>1808</v>
      </c>
      <c r="F33" s="40">
        <v>104.96</v>
      </c>
      <c r="G33" s="51"/>
      <c r="H33" s="44">
        <f t="shared" si="7"/>
        <v>0</v>
      </c>
      <c r="I33" s="52">
        <f t="shared" si="6"/>
        <v>-2.4900000000000091</v>
      </c>
      <c r="J33" s="44">
        <f t="shared" si="2"/>
        <v>-2.4900000000000091</v>
      </c>
      <c r="K33" s="44">
        <f t="shared" si="3"/>
        <v>-1.7668600000000001</v>
      </c>
      <c r="L33" s="44">
        <f t="shared" si="4"/>
        <v>-417.99999999999994</v>
      </c>
      <c r="M33" s="53">
        <f t="shared" si="5"/>
        <v>-416.23313999999993</v>
      </c>
      <c r="N33" s="231"/>
      <c r="O33" s="229"/>
      <c r="P33" s="230"/>
      <c r="Q33" s="47">
        <v>44553.23958321759</v>
      </c>
      <c r="R33" s="44">
        <f t="shared" si="0"/>
        <v>-9.9601106682236917</v>
      </c>
      <c r="S33" s="44">
        <f t="shared" si="1"/>
        <v>-53.477510306544787</v>
      </c>
    </row>
    <row r="34" spans="1:19" ht="12" customHeight="1" x14ac:dyDescent="0.2">
      <c r="A34" s="37"/>
      <c r="B34" s="48"/>
      <c r="C34" s="49">
        <v>10.58</v>
      </c>
      <c r="D34" s="58"/>
      <c r="E34" s="50">
        <v>1808</v>
      </c>
      <c r="F34" s="40">
        <v>100.2</v>
      </c>
      <c r="G34" s="51"/>
      <c r="H34" s="44">
        <f t="shared" si="7"/>
        <v>0</v>
      </c>
      <c r="I34" s="52">
        <f t="shared" si="6"/>
        <v>-4.7599999999999909</v>
      </c>
      <c r="J34" s="44">
        <f t="shared" si="2"/>
        <v>-4.7599999999999909</v>
      </c>
      <c r="K34" s="44">
        <f t="shared" si="3"/>
        <v>-1.7668600000000001</v>
      </c>
      <c r="L34" s="44">
        <f t="shared" si="4"/>
        <v>-422.75999999999993</v>
      </c>
      <c r="M34" s="53">
        <f t="shared" si="5"/>
        <v>-420.99313999999993</v>
      </c>
      <c r="N34" s="60"/>
      <c r="O34" s="61"/>
      <c r="P34" s="62"/>
      <c r="Q34" s="47">
        <v>44553.249999826388</v>
      </c>
      <c r="R34" s="44">
        <f t="shared" si="0"/>
        <v>-19.040105774245134</v>
      </c>
      <c r="S34" s="44">
        <f t="shared" si="1"/>
        <v>-52.405812243809571</v>
      </c>
    </row>
    <row r="35" spans="1:19" ht="12" customHeight="1" x14ac:dyDescent="0.2">
      <c r="A35" s="37"/>
      <c r="B35" s="48"/>
      <c r="C35" s="49">
        <v>10.58</v>
      </c>
      <c r="D35" s="58"/>
      <c r="E35" s="50">
        <v>1808</v>
      </c>
      <c r="F35" s="40">
        <v>97.82</v>
      </c>
      <c r="G35" s="51"/>
      <c r="H35" s="44">
        <f t="shared" si="7"/>
        <v>0</v>
      </c>
      <c r="I35" s="52">
        <f t="shared" si="6"/>
        <v>-2.3800000000000097</v>
      </c>
      <c r="J35" s="44">
        <f t="shared" si="2"/>
        <v>-2.3800000000000097</v>
      </c>
      <c r="K35" s="44">
        <f t="shared" si="3"/>
        <v>-1.7668600000000001</v>
      </c>
      <c r="L35" s="44">
        <f t="shared" si="4"/>
        <v>-425.13999999999993</v>
      </c>
      <c r="M35" s="53">
        <f t="shared" si="5"/>
        <v>-423.37313999999992</v>
      </c>
      <c r="N35" s="228"/>
      <c r="O35" s="229"/>
      <c r="P35" s="230"/>
      <c r="Q35" s="47">
        <v>44553.260416435187</v>
      </c>
      <c r="R35" s="44">
        <f t="shared" si="0"/>
        <v>-9.520052887122624</v>
      </c>
      <c r="S35" s="44">
        <f t="shared" si="1"/>
        <v>-51.11147975262697</v>
      </c>
    </row>
    <row r="36" spans="1:19" ht="12" customHeight="1" x14ac:dyDescent="0.2">
      <c r="A36" s="37"/>
      <c r="B36" s="48"/>
      <c r="C36" s="49">
        <v>10.58</v>
      </c>
      <c r="D36" s="58"/>
      <c r="E36" s="50">
        <v>1808</v>
      </c>
      <c r="F36" s="56">
        <v>89.9</v>
      </c>
      <c r="G36" s="51">
        <v>-2.54</v>
      </c>
      <c r="H36" s="44">
        <f t="shared" si="7"/>
        <v>0</v>
      </c>
      <c r="I36" s="52">
        <f t="shared" si="6"/>
        <v>-5.3799999999999875</v>
      </c>
      <c r="J36" s="44">
        <f t="shared" si="2"/>
        <v>-5.3799999999999875</v>
      </c>
      <c r="K36" s="44">
        <f t="shared" si="3"/>
        <v>-1.7668600000000001</v>
      </c>
      <c r="L36" s="44">
        <f t="shared" si="4"/>
        <v>-430.51999999999992</v>
      </c>
      <c r="M36" s="53">
        <f t="shared" si="5"/>
        <v>-428.75313999999992</v>
      </c>
      <c r="N36" s="231" t="s">
        <v>58</v>
      </c>
      <c r="O36" s="229"/>
      <c r="P36" s="230"/>
      <c r="Q36" s="47">
        <v>44553.271527777775</v>
      </c>
      <c r="R36" s="44">
        <f t="shared" si="0"/>
        <v>-20.174579704113849</v>
      </c>
      <c r="S36" s="44">
        <f t="shared" si="1"/>
        <v>-50.146566082281005</v>
      </c>
    </row>
    <row r="37" spans="1:19" ht="12" customHeight="1" x14ac:dyDescent="0.2">
      <c r="A37" s="37"/>
      <c r="B37" s="48"/>
      <c r="C37" s="49">
        <v>10.58</v>
      </c>
      <c r="D37" s="58"/>
      <c r="E37" s="50">
        <v>1808</v>
      </c>
      <c r="F37" s="56">
        <v>89.61</v>
      </c>
      <c r="G37" s="51"/>
      <c r="H37" s="44">
        <f t="shared" si="7"/>
        <v>0</v>
      </c>
      <c r="I37" s="52">
        <f t="shared" si="6"/>
        <v>-0.29000000000000625</v>
      </c>
      <c r="J37" s="44">
        <f t="shared" si="2"/>
        <v>-0.29000000000000625</v>
      </c>
      <c r="K37" s="44">
        <f t="shared" si="3"/>
        <v>-1.7668600000000001</v>
      </c>
      <c r="L37" s="44">
        <f t="shared" si="4"/>
        <v>-430.80999999999995</v>
      </c>
      <c r="M37" s="53">
        <f t="shared" si="5"/>
        <v>-429.04313999999994</v>
      </c>
      <c r="N37" s="228"/>
      <c r="O37" s="229"/>
      <c r="P37" s="230"/>
      <c r="Q37" s="47">
        <v>44553.274305555555</v>
      </c>
      <c r="R37" s="44">
        <f t="shared" si="0"/>
        <v>-4.3499999972148569</v>
      </c>
      <c r="S37" s="44">
        <f t="shared" si="1"/>
        <v>-49.792240619112469</v>
      </c>
    </row>
    <row r="38" spans="1:19" ht="12" customHeight="1" x14ac:dyDescent="0.2">
      <c r="A38" s="37"/>
      <c r="B38" s="48"/>
      <c r="C38" s="49">
        <v>10.58</v>
      </c>
      <c r="D38" s="58"/>
      <c r="E38" s="50">
        <v>1808</v>
      </c>
      <c r="F38" s="56">
        <v>85.19</v>
      </c>
      <c r="G38" s="51"/>
      <c r="H38" s="44">
        <f t="shared" si="7"/>
        <v>0</v>
      </c>
      <c r="I38" s="52">
        <f t="shared" si="6"/>
        <v>-4.4200000000000017</v>
      </c>
      <c r="J38" s="44">
        <f t="shared" si="2"/>
        <v>-4.4200000000000017</v>
      </c>
      <c r="K38" s="44">
        <f t="shared" si="3"/>
        <v>-1.7668600000000001</v>
      </c>
      <c r="L38" s="44">
        <f t="shared" si="4"/>
        <v>-435.22999999999996</v>
      </c>
      <c r="M38" s="53">
        <f t="shared" si="5"/>
        <v>-433.46313999999995</v>
      </c>
      <c r="N38" s="228"/>
      <c r="O38" s="229"/>
      <c r="P38" s="230"/>
      <c r="Q38" s="47">
        <v>44553.293749999997</v>
      </c>
      <c r="R38" s="44">
        <f t="shared" si="0"/>
        <v>-9.4714285724524352</v>
      </c>
      <c r="S38" s="44">
        <f t="shared" si="1"/>
        <v>-47.720712660958192</v>
      </c>
    </row>
    <row r="39" spans="1:19" ht="12" customHeight="1" x14ac:dyDescent="0.2">
      <c r="A39" s="37"/>
      <c r="B39" s="48"/>
      <c r="C39" s="49">
        <v>10.58</v>
      </c>
      <c r="D39" s="58"/>
      <c r="E39" s="50">
        <v>1808</v>
      </c>
      <c r="F39" s="40">
        <v>83.49</v>
      </c>
      <c r="G39" s="51"/>
      <c r="H39" s="44">
        <f t="shared" si="7"/>
        <v>0</v>
      </c>
      <c r="I39" s="52">
        <f t="shared" si="6"/>
        <v>-1.7000000000000028</v>
      </c>
      <c r="J39" s="44">
        <f t="shared" si="2"/>
        <v>-1.7000000000000028</v>
      </c>
      <c r="K39" s="44">
        <f t="shared" si="3"/>
        <v>-1.7668600000000001</v>
      </c>
      <c r="L39" s="44">
        <f t="shared" si="4"/>
        <v>-436.92999999999995</v>
      </c>
      <c r="M39" s="53">
        <f t="shared" si="5"/>
        <v>-435.16313999999994</v>
      </c>
      <c r="N39" s="228"/>
      <c r="O39" s="229"/>
      <c r="P39" s="230"/>
      <c r="Q39" s="47">
        <v>44553.302083333336</v>
      </c>
      <c r="R39" s="44">
        <f t="shared" si="0"/>
        <v>-8.4999999945575979</v>
      </c>
      <c r="S39" s="44">
        <f t="shared" si="1"/>
        <v>-46.875742190050474</v>
      </c>
    </row>
    <row r="40" spans="1:19" ht="12" customHeight="1" x14ac:dyDescent="0.2">
      <c r="A40" s="37"/>
      <c r="B40" s="48"/>
      <c r="C40" s="49">
        <v>10.58</v>
      </c>
      <c r="D40" s="58"/>
      <c r="E40" s="50">
        <v>1808</v>
      </c>
      <c r="F40" s="40">
        <v>81.209999999999994</v>
      </c>
      <c r="G40" s="51"/>
      <c r="H40" s="44">
        <f t="shared" si="7"/>
        <v>0</v>
      </c>
      <c r="I40" s="52">
        <f t="shared" si="6"/>
        <v>-2.2800000000000011</v>
      </c>
      <c r="J40" s="44">
        <f t="shared" si="2"/>
        <v>-2.2800000000000011</v>
      </c>
      <c r="K40" s="44">
        <f t="shared" si="3"/>
        <v>-1.7668600000000001</v>
      </c>
      <c r="L40" s="44">
        <f t="shared" si="4"/>
        <v>-439.20999999999992</v>
      </c>
      <c r="M40" s="53">
        <f t="shared" si="5"/>
        <v>-437.44313999999991</v>
      </c>
      <c r="N40" s="231"/>
      <c r="O40" s="229"/>
      <c r="P40" s="230"/>
      <c r="Q40" s="47">
        <v>44553.3125</v>
      </c>
      <c r="R40" s="44">
        <f t="shared" si="0"/>
        <v>-9.1200000021234207</v>
      </c>
      <c r="S40" s="44">
        <f t="shared" si="1"/>
        <v>-45.885644055981402</v>
      </c>
    </row>
    <row r="41" spans="1:19" ht="12" customHeight="1" x14ac:dyDescent="0.2">
      <c r="A41" s="37"/>
      <c r="B41" s="48"/>
      <c r="C41" s="49">
        <v>10.58</v>
      </c>
      <c r="D41" s="58"/>
      <c r="E41" s="50">
        <v>1808</v>
      </c>
      <c r="F41" s="40">
        <v>78.930000000000007</v>
      </c>
      <c r="G41" s="51"/>
      <c r="H41" s="44">
        <f t="shared" si="7"/>
        <v>0</v>
      </c>
      <c r="I41" s="52">
        <f t="shared" si="6"/>
        <v>-2.2799999999999869</v>
      </c>
      <c r="J41" s="44">
        <f t="shared" si="2"/>
        <v>-2.2799999999999869</v>
      </c>
      <c r="K41" s="44">
        <f t="shared" si="3"/>
        <v>-1.7668600000000001</v>
      </c>
      <c r="L41" s="44">
        <f t="shared" si="4"/>
        <v>-441.4899999999999</v>
      </c>
      <c r="M41" s="53">
        <f t="shared" si="5"/>
        <v>-439.72313999999989</v>
      </c>
      <c r="N41" s="228"/>
      <c r="O41" s="229"/>
      <c r="P41" s="230"/>
      <c r="Q41" s="47">
        <v>44553.322916666664</v>
      </c>
      <c r="R41" s="44">
        <f t="shared" si="0"/>
        <v>-9.1200000021233638</v>
      </c>
      <c r="S41" s="44">
        <f t="shared" si="1"/>
        <v>-44.946147189400165</v>
      </c>
    </row>
    <row r="42" spans="1:19" ht="12" customHeight="1" x14ac:dyDescent="0.2">
      <c r="A42" s="37"/>
      <c r="B42" s="48"/>
      <c r="C42" s="49">
        <v>10.58</v>
      </c>
      <c r="D42" s="58"/>
      <c r="E42" s="50">
        <v>1808</v>
      </c>
      <c r="F42" s="40">
        <v>76.5</v>
      </c>
      <c r="G42" s="51"/>
      <c r="H42" s="44">
        <f t="shared" si="7"/>
        <v>0</v>
      </c>
      <c r="I42" s="52">
        <f t="shared" si="6"/>
        <v>-2.4300000000000068</v>
      </c>
      <c r="J42" s="44">
        <f t="shared" si="2"/>
        <v>-2.4300000000000068</v>
      </c>
      <c r="K42" s="44">
        <f t="shared" si="3"/>
        <v>-1.7668600000000001</v>
      </c>
      <c r="L42" s="44">
        <f t="shared" si="4"/>
        <v>-443.9199999999999</v>
      </c>
      <c r="M42" s="53">
        <f t="shared" si="5"/>
        <v>-442.15313999999989</v>
      </c>
      <c r="N42" s="228"/>
      <c r="O42" s="229"/>
      <c r="P42" s="230"/>
      <c r="Q42" s="47">
        <v>44553.333333333336</v>
      </c>
      <c r="R42" s="44">
        <f t="shared" si="0"/>
        <v>-9.719999995473799</v>
      </c>
      <c r="S42" s="44">
        <f t="shared" si="1"/>
        <v>-44.068419268881406</v>
      </c>
    </row>
    <row r="43" spans="1:19" ht="12" customHeight="1" x14ac:dyDescent="0.2">
      <c r="A43" s="37"/>
      <c r="B43" s="48"/>
      <c r="C43" s="49">
        <v>10.58</v>
      </c>
      <c r="D43" s="58"/>
      <c r="E43" s="50">
        <v>1808</v>
      </c>
      <c r="F43" s="40"/>
      <c r="G43" s="51"/>
      <c r="H43" s="44">
        <f t="shared" si="7"/>
        <v>0</v>
      </c>
      <c r="I43" s="52" t="str">
        <f t="shared" si="6"/>
        <v/>
      </c>
      <c r="J43" s="44" t="str">
        <f t="shared" si="2"/>
        <v/>
      </c>
      <c r="K43" s="44" t="str">
        <f t="shared" si="3"/>
        <v/>
      </c>
      <c r="L43" s="44" t="str">
        <f t="shared" si="4"/>
        <v/>
      </c>
      <c r="M43" s="53" t="str">
        <f t="shared" si="5"/>
        <v/>
      </c>
      <c r="N43" s="228"/>
      <c r="O43" s="229"/>
      <c r="P43" s="230"/>
      <c r="Q43" s="47"/>
      <c r="R43" s="44" t="str">
        <f t="shared" si="0"/>
        <v/>
      </c>
      <c r="S43" s="44" t="str">
        <f t="shared" si="1"/>
        <v/>
      </c>
    </row>
    <row r="44" spans="1:19" ht="12" customHeight="1" x14ac:dyDescent="0.2">
      <c r="A44" s="37"/>
      <c r="B44" s="48"/>
      <c r="C44" s="49">
        <v>10.58</v>
      </c>
      <c r="D44" s="58"/>
      <c r="E44" s="50">
        <v>1808</v>
      </c>
      <c r="F44" s="56"/>
      <c r="G44" s="51"/>
      <c r="H44" s="44">
        <f t="shared" si="7"/>
        <v>0</v>
      </c>
      <c r="I44" s="52" t="str">
        <f t="shared" si="6"/>
        <v/>
      </c>
      <c r="J44" s="44" t="str">
        <f t="shared" si="2"/>
        <v/>
      </c>
      <c r="K44" s="44" t="str">
        <f t="shared" si="3"/>
        <v/>
      </c>
      <c r="L44" s="44" t="str">
        <f t="shared" si="4"/>
        <v/>
      </c>
      <c r="M44" s="53" t="str">
        <f t="shared" si="5"/>
        <v/>
      </c>
      <c r="N44" s="243"/>
      <c r="O44" s="244"/>
      <c r="P44" s="245"/>
      <c r="Q44" s="47"/>
      <c r="R44" s="44" t="str">
        <f t="shared" si="0"/>
        <v/>
      </c>
      <c r="S44" s="44" t="str">
        <f t="shared" si="1"/>
        <v/>
      </c>
    </row>
    <row r="45" spans="1:19" ht="12" customHeight="1" x14ac:dyDescent="0.2">
      <c r="A45" s="37"/>
      <c r="B45" s="48"/>
      <c r="C45" s="49">
        <v>10.58</v>
      </c>
      <c r="D45" s="58"/>
      <c r="E45" s="50">
        <v>1808</v>
      </c>
      <c r="F45" s="40"/>
      <c r="G45" s="51"/>
      <c r="H45" s="44">
        <f t="shared" si="7"/>
        <v>0</v>
      </c>
      <c r="I45" s="52" t="str">
        <f t="shared" si="6"/>
        <v/>
      </c>
      <c r="J45" s="44" t="str">
        <f t="shared" si="2"/>
        <v/>
      </c>
      <c r="K45" s="44" t="str">
        <f t="shared" si="3"/>
        <v/>
      </c>
      <c r="L45" s="44" t="str">
        <f t="shared" si="4"/>
        <v/>
      </c>
      <c r="M45" s="53" t="str">
        <f t="shared" si="5"/>
        <v/>
      </c>
      <c r="N45" s="243"/>
      <c r="O45" s="244"/>
      <c r="P45" s="245"/>
      <c r="Q45" s="47"/>
      <c r="R45" s="44" t="str">
        <f t="shared" si="0"/>
        <v/>
      </c>
      <c r="S45" s="44" t="str">
        <f t="shared" si="1"/>
        <v/>
      </c>
    </row>
    <row r="46" spans="1:19" ht="12" customHeight="1" x14ac:dyDescent="0.2">
      <c r="A46" s="37"/>
      <c r="B46" s="48"/>
      <c r="C46" s="49">
        <v>10.58</v>
      </c>
      <c r="D46" s="58"/>
      <c r="E46" s="50">
        <v>1808</v>
      </c>
      <c r="F46" s="40"/>
      <c r="G46" s="51"/>
      <c r="H46" s="44">
        <f t="shared" si="7"/>
        <v>0</v>
      </c>
      <c r="I46" s="52" t="str">
        <f t="shared" si="6"/>
        <v/>
      </c>
      <c r="J46" s="44" t="str">
        <f t="shared" si="2"/>
        <v/>
      </c>
      <c r="K46" s="44" t="str">
        <f t="shared" si="3"/>
        <v/>
      </c>
      <c r="L46" s="44" t="str">
        <f t="shared" si="4"/>
        <v/>
      </c>
      <c r="M46" s="53" t="str">
        <f t="shared" si="5"/>
        <v/>
      </c>
      <c r="N46" s="243"/>
      <c r="O46" s="244"/>
      <c r="P46" s="245"/>
      <c r="Q46" s="47"/>
      <c r="R46" s="44" t="str">
        <f t="shared" si="0"/>
        <v/>
      </c>
      <c r="S46" s="44" t="str">
        <f t="shared" si="1"/>
        <v/>
      </c>
    </row>
    <row r="47" spans="1:19" ht="12" customHeight="1" x14ac:dyDescent="0.2">
      <c r="A47" s="37"/>
      <c r="B47" s="48"/>
      <c r="C47" s="49">
        <v>10.58</v>
      </c>
      <c r="D47" s="58"/>
      <c r="E47" s="50">
        <v>1808</v>
      </c>
      <c r="F47" s="40"/>
      <c r="G47" s="51"/>
      <c r="H47" s="44">
        <f t="shared" si="7"/>
        <v>0</v>
      </c>
      <c r="I47" s="52" t="str">
        <f t="shared" si="6"/>
        <v/>
      </c>
      <c r="J47" s="44" t="str">
        <f t="shared" si="2"/>
        <v/>
      </c>
      <c r="K47" s="44" t="str">
        <f t="shared" si="3"/>
        <v/>
      </c>
      <c r="L47" s="44" t="str">
        <f t="shared" si="4"/>
        <v/>
      </c>
      <c r="M47" s="53" t="str">
        <f t="shared" si="5"/>
        <v/>
      </c>
      <c r="N47" s="243"/>
      <c r="O47" s="244"/>
      <c r="P47" s="245"/>
      <c r="Q47" s="47"/>
      <c r="R47" s="44" t="str">
        <f t="shared" si="0"/>
        <v/>
      </c>
      <c r="S47" s="44" t="str">
        <f t="shared" si="1"/>
        <v/>
      </c>
    </row>
    <row r="48" spans="1:19" ht="12" customHeight="1" x14ac:dyDescent="0.2">
      <c r="A48" s="37"/>
      <c r="B48" s="48"/>
      <c r="C48" s="49">
        <v>10.58</v>
      </c>
      <c r="D48" s="58"/>
      <c r="E48" s="50">
        <v>1808</v>
      </c>
      <c r="F48" s="40"/>
      <c r="G48" s="51"/>
      <c r="H48" s="44">
        <f t="shared" si="7"/>
        <v>0</v>
      </c>
      <c r="I48" s="52" t="str">
        <f t="shared" si="6"/>
        <v/>
      </c>
      <c r="J48" s="44" t="str">
        <f t="shared" si="2"/>
        <v/>
      </c>
      <c r="K48" s="44" t="str">
        <f t="shared" si="3"/>
        <v/>
      </c>
      <c r="L48" s="44" t="str">
        <f t="shared" si="4"/>
        <v/>
      </c>
      <c r="M48" s="53" t="str">
        <f t="shared" si="5"/>
        <v/>
      </c>
      <c r="N48" s="243"/>
      <c r="O48" s="244"/>
      <c r="P48" s="245"/>
      <c r="Q48" s="47"/>
      <c r="R48" s="44" t="str">
        <f t="shared" si="0"/>
        <v/>
      </c>
      <c r="S48" s="44" t="str">
        <f t="shared" si="1"/>
        <v/>
      </c>
    </row>
    <row r="49" spans="1:19" ht="12" customHeight="1" x14ac:dyDescent="0.2">
      <c r="A49" s="37"/>
      <c r="B49" s="48"/>
      <c r="C49" s="49">
        <v>10.58</v>
      </c>
      <c r="D49" s="58"/>
      <c r="E49" s="50">
        <v>1808</v>
      </c>
      <c r="F49" s="40"/>
      <c r="G49" s="40"/>
      <c r="H49" s="44">
        <f>IF(E49="","",((E49-E48)*C49)/1000)</f>
        <v>0</v>
      </c>
      <c r="I49" s="52" t="str">
        <f t="shared" si="6"/>
        <v/>
      </c>
      <c r="J49" s="44" t="str">
        <f t="shared" si="2"/>
        <v/>
      </c>
      <c r="K49" s="44" t="str">
        <f t="shared" si="3"/>
        <v/>
      </c>
      <c r="L49" s="44" t="str">
        <f t="shared" si="4"/>
        <v/>
      </c>
      <c r="M49" s="53" t="str">
        <f t="shared" si="5"/>
        <v/>
      </c>
      <c r="N49" s="243"/>
      <c r="O49" s="244"/>
      <c r="P49" s="245"/>
      <c r="Q49" s="47"/>
      <c r="R49" s="44" t="str">
        <f t="shared" si="0"/>
        <v/>
      </c>
      <c r="S49" s="44" t="str">
        <f t="shared" si="1"/>
        <v/>
      </c>
    </row>
    <row r="50" spans="1:19" s="64" customFormat="1" ht="12" customHeight="1" x14ac:dyDescent="0.2">
      <c r="A50" s="63"/>
      <c r="B50" s="48"/>
      <c r="C50" s="49">
        <v>10.58</v>
      </c>
      <c r="D50" s="58"/>
      <c r="E50" s="50">
        <v>1808</v>
      </c>
      <c r="F50" s="40"/>
      <c r="G50" s="40"/>
      <c r="H50" s="44">
        <f>IF(E50="","",((E50-E49)*C50)/1000)</f>
        <v>0</v>
      </c>
      <c r="I50" s="52" t="str">
        <f t="shared" si="6"/>
        <v/>
      </c>
      <c r="J50" s="44" t="str">
        <f t="shared" si="2"/>
        <v/>
      </c>
      <c r="K50" s="44" t="str">
        <f t="shared" si="3"/>
        <v/>
      </c>
      <c r="L50" s="44" t="str">
        <f t="shared" si="4"/>
        <v/>
      </c>
      <c r="M50" s="53" t="str">
        <f t="shared" si="5"/>
        <v/>
      </c>
      <c r="N50" s="243"/>
      <c r="O50" s="244"/>
      <c r="P50" s="245"/>
      <c r="Q50" s="47"/>
      <c r="R50" s="44" t="str">
        <f t="shared" si="0"/>
        <v/>
      </c>
      <c r="S50" s="44" t="str">
        <f t="shared" si="1"/>
        <v/>
      </c>
    </row>
    <row r="51" spans="1:19" s="64" customFormat="1" ht="12" customHeight="1" x14ac:dyDescent="0.2">
      <c r="A51" s="63" t="s">
        <v>30</v>
      </c>
      <c r="B51" s="48"/>
      <c r="C51" s="49">
        <v>10.58</v>
      </c>
      <c r="D51" s="58"/>
      <c r="E51" s="50">
        <v>1808</v>
      </c>
      <c r="F51" s="40"/>
      <c r="G51" s="40"/>
      <c r="H51" s="44">
        <f>IF(E51="","",((E51-E50)*C51)/1000)</f>
        <v>0</v>
      </c>
      <c r="I51" s="52" t="str">
        <f t="shared" si="6"/>
        <v/>
      </c>
      <c r="J51" s="44" t="str">
        <f t="shared" si="2"/>
        <v/>
      </c>
      <c r="K51" s="44" t="str">
        <f t="shared" si="3"/>
        <v/>
      </c>
      <c r="L51" s="44" t="str">
        <f t="shared" si="4"/>
        <v/>
      </c>
      <c r="M51" s="53" t="str">
        <f t="shared" si="5"/>
        <v/>
      </c>
      <c r="N51" s="243"/>
      <c r="O51" s="244"/>
      <c r="P51" s="245"/>
      <c r="Q51" s="65"/>
      <c r="R51" s="44" t="str">
        <f t="shared" si="0"/>
        <v/>
      </c>
      <c r="S51" s="44" t="str">
        <f t="shared" si="1"/>
        <v/>
      </c>
    </row>
    <row r="52" spans="1:19" s="64" customFormat="1" ht="12" customHeight="1" x14ac:dyDescent="0.2">
      <c r="A52" s="63"/>
      <c r="B52" s="48"/>
      <c r="C52" s="49">
        <v>10.58</v>
      </c>
      <c r="D52" s="58"/>
      <c r="E52" s="50">
        <v>1808</v>
      </c>
      <c r="F52" s="40"/>
      <c r="G52" s="40"/>
      <c r="H52" s="44">
        <f t="shared" si="7"/>
        <v>0</v>
      </c>
      <c r="I52" s="52" t="str">
        <f t="shared" si="6"/>
        <v/>
      </c>
      <c r="J52" s="44" t="str">
        <f t="shared" si="2"/>
        <v/>
      </c>
      <c r="K52" s="44" t="str">
        <f t="shared" si="3"/>
        <v/>
      </c>
      <c r="L52" s="44" t="str">
        <f t="shared" si="4"/>
        <v/>
      </c>
      <c r="M52" s="53" t="str">
        <f t="shared" si="5"/>
        <v/>
      </c>
      <c r="N52" s="243"/>
      <c r="O52" s="244"/>
      <c r="P52" s="245"/>
      <c r="Q52" s="65"/>
      <c r="R52" s="44" t="str">
        <f t="shared" si="0"/>
        <v/>
      </c>
      <c r="S52" s="44" t="str">
        <f t="shared" si="1"/>
        <v/>
      </c>
    </row>
    <row r="53" spans="1:19" s="67" customFormat="1" ht="12" customHeight="1" x14ac:dyDescent="0.2">
      <c r="A53" s="66"/>
      <c r="B53" s="48"/>
      <c r="C53" s="49">
        <v>10.58</v>
      </c>
      <c r="D53" s="58"/>
      <c r="E53" s="50">
        <v>1808</v>
      </c>
      <c r="F53" s="40"/>
      <c r="G53" s="40"/>
      <c r="H53" s="44">
        <f t="shared" si="7"/>
        <v>0</v>
      </c>
      <c r="I53" s="52" t="str">
        <f t="shared" si="6"/>
        <v/>
      </c>
      <c r="J53" s="44" t="str">
        <f t="shared" si="2"/>
        <v/>
      </c>
      <c r="K53" s="44" t="str">
        <f t="shared" si="3"/>
        <v/>
      </c>
      <c r="L53" s="44" t="str">
        <f t="shared" si="4"/>
        <v/>
      </c>
      <c r="M53" s="53" t="str">
        <f t="shared" si="5"/>
        <v/>
      </c>
      <c r="N53" s="243"/>
      <c r="O53" s="244"/>
      <c r="P53" s="245"/>
      <c r="Q53" s="47"/>
      <c r="R53" s="44" t="str">
        <f t="shared" si="0"/>
        <v/>
      </c>
      <c r="S53" s="44" t="str">
        <f t="shared" si="1"/>
        <v/>
      </c>
    </row>
    <row r="54" spans="1:19" s="67" customFormat="1" ht="12" customHeight="1" x14ac:dyDescent="0.2">
      <c r="B54" s="48"/>
      <c r="C54" s="49"/>
      <c r="D54" s="39"/>
      <c r="E54" s="50"/>
      <c r="F54" s="40"/>
      <c r="G54" s="40"/>
      <c r="H54" s="44" t="str">
        <f t="shared" si="7"/>
        <v/>
      </c>
      <c r="I54" s="52" t="str">
        <f t="shared" si="6"/>
        <v/>
      </c>
      <c r="J54" s="44" t="str">
        <f t="shared" si="2"/>
        <v/>
      </c>
      <c r="K54" s="44" t="str">
        <f t="shared" si="3"/>
        <v/>
      </c>
      <c r="L54" s="44" t="str">
        <f t="shared" si="4"/>
        <v/>
      </c>
      <c r="M54" s="53" t="str">
        <f t="shared" si="5"/>
        <v/>
      </c>
      <c r="N54" s="246"/>
      <c r="O54" s="244"/>
      <c r="P54" s="245"/>
      <c r="Q54" s="47"/>
      <c r="R54" s="44" t="str">
        <f t="shared" si="0"/>
        <v/>
      </c>
      <c r="S54" s="44" t="str">
        <f t="shared" si="1"/>
        <v/>
      </c>
    </row>
    <row r="55" spans="1:19" s="67" customFormat="1" ht="12" customHeight="1" x14ac:dyDescent="0.2">
      <c r="B55" s="48"/>
      <c r="C55" s="49"/>
      <c r="D55" s="39"/>
      <c r="E55" s="39"/>
      <c r="F55" s="40"/>
      <c r="G55" s="40"/>
      <c r="H55" s="44" t="str">
        <f t="shared" si="7"/>
        <v/>
      </c>
      <c r="I55" s="52" t="str">
        <f t="shared" si="6"/>
        <v/>
      </c>
      <c r="J55" s="44" t="str">
        <f t="shared" si="2"/>
        <v/>
      </c>
      <c r="K55" s="44" t="str">
        <f t="shared" si="3"/>
        <v/>
      </c>
      <c r="L55" s="44" t="str">
        <f t="shared" si="4"/>
        <v/>
      </c>
      <c r="M55" s="53" t="str">
        <f t="shared" si="5"/>
        <v/>
      </c>
      <c r="N55" s="243"/>
      <c r="O55" s="244"/>
      <c r="P55" s="245"/>
      <c r="Q55" s="47"/>
      <c r="R55" s="44" t="str">
        <f t="shared" si="0"/>
        <v/>
      </c>
      <c r="S55" s="44" t="str">
        <f t="shared" si="1"/>
        <v/>
      </c>
    </row>
    <row r="56" spans="1:19" s="67" customFormat="1" ht="12" customHeight="1" x14ac:dyDescent="0.2">
      <c r="B56" s="48"/>
      <c r="C56" s="49"/>
      <c r="D56" s="39"/>
      <c r="E56" s="50"/>
      <c r="F56" s="40"/>
      <c r="G56" s="40"/>
      <c r="H56" s="44" t="str">
        <f t="shared" si="7"/>
        <v/>
      </c>
      <c r="I56" s="52" t="str">
        <f t="shared" si="6"/>
        <v/>
      </c>
      <c r="J56" s="44" t="str">
        <f t="shared" si="2"/>
        <v/>
      </c>
      <c r="K56" s="44" t="str">
        <f t="shared" si="3"/>
        <v/>
      </c>
      <c r="L56" s="44" t="str">
        <f t="shared" si="4"/>
        <v/>
      </c>
      <c r="M56" s="53" t="str">
        <f t="shared" si="5"/>
        <v/>
      </c>
      <c r="N56" s="243"/>
      <c r="O56" s="244"/>
      <c r="P56" s="245"/>
      <c r="Q56" s="47"/>
      <c r="R56" s="44" t="str">
        <f>IF(Q56="","",J56/((Q56-Q55)*24))</f>
        <v/>
      </c>
      <c r="S56" s="44" t="str">
        <f t="shared" si="1"/>
        <v/>
      </c>
    </row>
    <row r="57" spans="1:19" ht="12" customHeight="1" x14ac:dyDescent="0.2">
      <c r="B57" s="48"/>
      <c r="C57" s="49"/>
      <c r="D57" s="39"/>
      <c r="E57" s="39"/>
      <c r="F57" s="40"/>
      <c r="G57" s="40"/>
      <c r="H57" s="44" t="str">
        <f t="shared" si="7"/>
        <v/>
      </c>
      <c r="I57" s="52" t="str">
        <f t="shared" si="6"/>
        <v/>
      </c>
      <c r="J57" s="44" t="str">
        <f t="shared" si="2"/>
        <v/>
      </c>
      <c r="K57" s="44" t="str">
        <f t="shared" si="3"/>
        <v/>
      </c>
      <c r="L57" s="44" t="str">
        <f t="shared" si="4"/>
        <v/>
      </c>
      <c r="M57" s="53" t="str">
        <f t="shared" si="5"/>
        <v/>
      </c>
      <c r="N57" s="243"/>
      <c r="O57" s="244"/>
      <c r="P57" s="245"/>
      <c r="Q57" s="47"/>
      <c r="R57" s="44" t="str">
        <f t="shared" si="0"/>
        <v/>
      </c>
      <c r="S57" s="44" t="str">
        <f t="shared" si="1"/>
        <v/>
      </c>
    </row>
    <row r="58" spans="1:19" ht="12" customHeight="1" x14ac:dyDescent="0.2">
      <c r="B58" s="48"/>
      <c r="C58" s="49"/>
      <c r="D58" s="39"/>
      <c r="E58" s="50"/>
      <c r="F58" s="40"/>
      <c r="G58" s="40"/>
      <c r="H58" s="44" t="str">
        <f t="shared" si="7"/>
        <v/>
      </c>
      <c r="I58" s="52" t="str">
        <f t="shared" si="6"/>
        <v/>
      </c>
      <c r="J58" s="44" t="str">
        <f t="shared" si="2"/>
        <v/>
      </c>
      <c r="K58" s="44" t="str">
        <f t="shared" si="3"/>
        <v/>
      </c>
      <c r="L58" s="44" t="str">
        <f t="shared" si="4"/>
        <v/>
      </c>
      <c r="M58" s="53" t="str">
        <f t="shared" si="5"/>
        <v/>
      </c>
      <c r="N58" s="243"/>
      <c r="O58" s="244"/>
      <c r="P58" s="245"/>
      <c r="Q58" s="65"/>
      <c r="R58" s="44" t="str">
        <f t="shared" si="0"/>
        <v/>
      </c>
      <c r="S58" s="44" t="str">
        <f t="shared" si="1"/>
        <v/>
      </c>
    </row>
    <row r="59" spans="1:19" ht="12" customHeight="1" x14ac:dyDescent="0.2">
      <c r="B59" s="48"/>
      <c r="C59" s="49"/>
      <c r="D59" s="39"/>
      <c r="E59" s="39"/>
      <c r="F59" s="40"/>
      <c r="G59" s="40"/>
      <c r="H59" s="44" t="str">
        <f t="shared" si="7"/>
        <v/>
      </c>
      <c r="I59" s="52" t="str">
        <f t="shared" si="6"/>
        <v/>
      </c>
      <c r="J59" s="44" t="str">
        <f t="shared" si="2"/>
        <v/>
      </c>
      <c r="K59" s="44" t="str">
        <f t="shared" si="3"/>
        <v/>
      </c>
      <c r="L59" s="44" t="str">
        <f t="shared" si="4"/>
        <v/>
      </c>
      <c r="M59" s="53" t="str">
        <f t="shared" si="5"/>
        <v/>
      </c>
      <c r="N59" s="243"/>
      <c r="O59" s="244"/>
      <c r="P59" s="245"/>
      <c r="Q59" s="47"/>
      <c r="R59" s="44" t="str">
        <f t="shared" si="0"/>
        <v/>
      </c>
      <c r="S59" s="44" t="str">
        <f t="shared" si="1"/>
        <v/>
      </c>
    </row>
    <row r="60" spans="1:19" ht="12" customHeight="1" x14ac:dyDescent="0.2">
      <c r="B60" s="48"/>
      <c r="C60" s="49"/>
      <c r="D60" s="39"/>
      <c r="E60" s="39"/>
      <c r="F60" s="40"/>
      <c r="G60" s="39"/>
      <c r="H60" s="44" t="str">
        <f t="shared" si="7"/>
        <v/>
      </c>
      <c r="I60" s="52" t="str">
        <f t="shared" si="6"/>
        <v/>
      </c>
      <c r="J60" s="44" t="str">
        <f t="shared" si="2"/>
        <v/>
      </c>
      <c r="K60" s="44" t="str">
        <f t="shared" si="3"/>
        <v/>
      </c>
      <c r="L60" s="44" t="str">
        <f t="shared" si="4"/>
        <v/>
      </c>
      <c r="M60" s="53" t="str">
        <f t="shared" si="5"/>
        <v/>
      </c>
      <c r="N60" s="243"/>
      <c r="O60" s="244"/>
      <c r="P60" s="245"/>
      <c r="Q60" s="65"/>
      <c r="R60" s="44" t="str">
        <f t="shared" si="0"/>
        <v/>
      </c>
      <c r="S60" s="44" t="str">
        <f t="shared" si="1"/>
        <v/>
      </c>
    </row>
    <row r="61" spans="1:19" ht="12" customHeight="1" x14ac:dyDescent="0.2">
      <c r="B61" s="48"/>
      <c r="C61" s="49"/>
      <c r="D61" s="39"/>
      <c r="E61" s="39"/>
      <c r="F61" s="40"/>
      <c r="G61" s="39"/>
      <c r="H61" s="44" t="str">
        <f t="shared" si="7"/>
        <v/>
      </c>
      <c r="I61" s="52" t="str">
        <f t="shared" si="6"/>
        <v/>
      </c>
      <c r="J61" s="44" t="str">
        <f t="shared" si="2"/>
        <v/>
      </c>
      <c r="K61" s="44" t="str">
        <f t="shared" si="3"/>
        <v/>
      </c>
      <c r="L61" s="44" t="str">
        <f t="shared" si="4"/>
        <v/>
      </c>
      <c r="M61" s="53" t="str">
        <f t="shared" si="5"/>
        <v/>
      </c>
      <c r="N61" s="243"/>
      <c r="O61" s="244"/>
      <c r="P61" s="245"/>
      <c r="Q61" s="65"/>
      <c r="R61" s="44" t="str">
        <f t="shared" si="0"/>
        <v/>
      </c>
      <c r="S61" s="44" t="str">
        <f t="shared" si="1"/>
        <v/>
      </c>
    </row>
    <row r="62" spans="1:19" ht="12" customHeight="1" x14ac:dyDescent="0.2">
      <c r="B62" s="48"/>
      <c r="C62" s="49"/>
      <c r="D62" s="39"/>
      <c r="E62" s="50"/>
      <c r="F62" s="40"/>
      <c r="G62" s="39"/>
      <c r="H62" s="44" t="str">
        <f t="shared" si="7"/>
        <v/>
      </c>
      <c r="I62" s="52" t="str">
        <f t="shared" si="6"/>
        <v/>
      </c>
      <c r="J62" s="44" t="str">
        <f t="shared" si="2"/>
        <v/>
      </c>
      <c r="K62" s="44" t="str">
        <f t="shared" si="3"/>
        <v/>
      </c>
      <c r="L62" s="44" t="str">
        <f t="shared" si="4"/>
        <v/>
      </c>
      <c r="M62" s="53" t="str">
        <f t="shared" si="5"/>
        <v/>
      </c>
      <c r="N62" s="243"/>
      <c r="O62" s="244"/>
      <c r="P62" s="245"/>
      <c r="Q62" s="65"/>
      <c r="R62" s="44" t="str">
        <f t="shared" si="0"/>
        <v/>
      </c>
      <c r="S62" s="44" t="str">
        <f t="shared" si="1"/>
        <v/>
      </c>
    </row>
    <row r="63" spans="1:19" ht="12" customHeight="1" x14ac:dyDescent="0.2">
      <c r="B63" s="48"/>
      <c r="C63" s="49"/>
      <c r="D63" s="39"/>
      <c r="E63" s="50"/>
      <c r="F63" s="40"/>
      <c r="G63" s="51"/>
      <c r="H63" s="44" t="str">
        <f t="shared" si="7"/>
        <v/>
      </c>
      <c r="I63" s="52" t="str">
        <f t="shared" si="6"/>
        <v/>
      </c>
      <c r="J63" s="44" t="str">
        <f t="shared" si="2"/>
        <v/>
      </c>
      <c r="K63" s="44" t="str">
        <f t="shared" si="3"/>
        <v/>
      </c>
      <c r="L63" s="44" t="str">
        <f t="shared" si="4"/>
        <v/>
      </c>
      <c r="M63" s="53" t="str">
        <f t="shared" si="5"/>
        <v/>
      </c>
      <c r="N63" s="243"/>
      <c r="O63" s="244"/>
      <c r="P63" s="245"/>
      <c r="Q63" s="47"/>
      <c r="R63" s="44" t="str">
        <f t="shared" si="0"/>
        <v/>
      </c>
      <c r="S63" s="44" t="str">
        <f t="shared" si="1"/>
        <v/>
      </c>
    </row>
    <row r="64" spans="1:19" ht="12" customHeight="1" x14ac:dyDescent="0.2">
      <c r="B64" s="48"/>
      <c r="C64" s="49"/>
      <c r="D64" s="39"/>
      <c r="E64" s="39"/>
      <c r="F64" s="40"/>
      <c r="G64" s="40"/>
      <c r="H64" s="44" t="str">
        <f t="shared" si="7"/>
        <v/>
      </c>
      <c r="I64" s="52" t="str">
        <f t="shared" si="6"/>
        <v/>
      </c>
      <c r="J64" s="44" t="str">
        <f t="shared" si="2"/>
        <v/>
      </c>
      <c r="K64" s="44" t="str">
        <f t="shared" si="3"/>
        <v/>
      </c>
      <c r="L64" s="44" t="str">
        <f t="shared" si="4"/>
        <v/>
      </c>
      <c r="M64" s="53" t="str">
        <f t="shared" si="5"/>
        <v/>
      </c>
      <c r="N64" s="243"/>
      <c r="O64" s="244"/>
      <c r="P64" s="245"/>
      <c r="Q64" s="65"/>
      <c r="R64" s="44" t="str">
        <f t="shared" si="0"/>
        <v/>
      </c>
      <c r="S64" s="44" t="str">
        <f t="shared" si="1"/>
        <v/>
      </c>
    </row>
    <row r="65" spans="2:19" x14ac:dyDescent="0.2">
      <c r="B65" s="48"/>
      <c r="C65" s="49"/>
      <c r="D65" s="39"/>
      <c r="E65" s="39"/>
      <c r="F65" s="40"/>
      <c r="G65" s="40"/>
      <c r="H65" s="44" t="str">
        <f t="shared" si="7"/>
        <v/>
      </c>
      <c r="I65" s="52" t="str">
        <f t="shared" si="6"/>
        <v/>
      </c>
      <c r="J65" s="44" t="str">
        <f t="shared" si="2"/>
        <v/>
      </c>
      <c r="K65" s="44" t="str">
        <f t="shared" si="3"/>
        <v/>
      </c>
      <c r="L65" s="44" t="str">
        <f t="shared" si="4"/>
        <v/>
      </c>
      <c r="M65" s="53" t="str">
        <f t="shared" si="5"/>
        <v/>
      </c>
      <c r="N65" s="243"/>
      <c r="O65" s="244"/>
      <c r="P65" s="245"/>
      <c r="Q65" s="65"/>
      <c r="R65" s="44" t="str">
        <f t="shared" si="0"/>
        <v/>
      </c>
      <c r="S65" s="44" t="str">
        <f t="shared" si="1"/>
        <v/>
      </c>
    </row>
    <row r="66" spans="2:19" x14ac:dyDescent="0.2">
      <c r="B66" s="48"/>
      <c r="C66" s="49"/>
      <c r="D66" s="39"/>
      <c r="E66" s="39"/>
      <c r="F66" s="40"/>
      <c r="G66" s="40"/>
      <c r="H66" s="44" t="str">
        <f t="shared" si="7"/>
        <v/>
      </c>
      <c r="I66" s="52" t="str">
        <f t="shared" si="6"/>
        <v/>
      </c>
      <c r="J66" s="44" t="str">
        <f t="shared" si="2"/>
        <v/>
      </c>
      <c r="K66" s="44" t="str">
        <f t="shared" si="3"/>
        <v/>
      </c>
      <c r="L66" s="44" t="str">
        <f t="shared" si="4"/>
        <v/>
      </c>
      <c r="M66" s="53" t="str">
        <f t="shared" si="5"/>
        <v/>
      </c>
      <c r="N66" s="243"/>
      <c r="O66" s="244"/>
      <c r="P66" s="245"/>
      <c r="Q66" s="65"/>
      <c r="R66" s="44" t="str">
        <f t="shared" si="0"/>
        <v/>
      </c>
      <c r="S66" s="44" t="str">
        <f t="shared" si="1"/>
        <v/>
      </c>
    </row>
    <row r="67" spans="2:19" x14ac:dyDescent="0.2">
      <c r="B67" s="48"/>
      <c r="C67" s="49"/>
      <c r="D67" s="39"/>
      <c r="E67" s="39"/>
      <c r="F67" s="40"/>
      <c r="G67" s="40"/>
      <c r="H67" s="44" t="str">
        <f t="shared" si="7"/>
        <v/>
      </c>
      <c r="I67" s="52" t="str">
        <f t="shared" si="6"/>
        <v/>
      </c>
      <c r="J67" s="44" t="str">
        <f t="shared" si="2"/>
        <v/>
      </c>
      <c r="K67" s="44" t="str">
        <f t="shared" si="3"/>
        <v/>
      </c>
      <c r="L67" s="44" t="str">
        <f t="shared" si="4"/>
        <v/>
      </c>
      <c r="M67" s="53" t="str">
        <f t="shared" si="5"/>
        <v/>
      </c>
      <c r="N67" s="243"/>
      <c r="O67" s="244"/>
      <c r="P67" s="245"/>
      <c r="Q67" s="65"/>
      <c r="R67" s="44" t="str">
        <f t="shared" si="0"/>
        <v/>
      </c>
      <c r="S67" s="44" t="str">
        <f t="shared" si="1"/>
        <v/>
      </c>
    </row>
    <row r="68" spans="2:19" x14ac:dyDescent="0.2">
      <c r="B68" s="48"/>
      <c r="C68" s="49"/>
      <c r="D68" s="39"/>
      <c r="E68" s="50"/>
      <c r="F68" s="40"/>
      <c r="G68" s="40"/>
      <c r="H68" s="44" t="str">
        <f t="shared" si="7"/>
        <v/>
      </c>
      <c r="I68" s="52" t="str">
        <f t="shared" si="6"/>
        <v/>
      </c>
      <c r="J68" s="44" t="str">
        <f t="shared" si="2"/>
        <v/>
      </c>
      <c r="K68" s="44" t="str">
        <f t="shared" si="3"/>
        <v/>
      </c>
      <c r="L68" s="44" t="str">
        <f t="shared" si="4"/>
        <v/>
      </c>
      <c r="M68" s="53" t="str">
        <f t="shared" si="5"/>
        <v/>
      </c>
      <c r="N68" s="243"/>
      <c r="O68" s="244"/>
      <c r="P68" s="245"/>
      <c r="Q68" s="65"/>
      <c r="R68" s="44" t="str">
        <f t="shared" si="0"/>
        <v/>
      </c>
      <c r="S68" s="44" t="str">
        <f t="shared" si="1"/>
        <v/>
      </c>
    </row>
    <row r="69" spans="2:19" x14ac:dyDescent="0.2">
      <c r="B69" s="48"/>
      <c r="C69" s="49"/>
      <c r="D69" s="39"/>
      <c r="E69" s="50"/>
      <c r="F69" s="40"/>
      <c r="G69" s="40"/>
      <c r="H69" s="44" t="str">
        <f t="shared" si="7"/>
        <v/>
      </c>
      <c r="I69" s="52" t="str">
        <f t="shared" si="6"/>
        <v/>
      </c>
      <c r="J69" s="44" t="str">
        <f t="shared" si="2"/>
        <v/>
      </c>
      <c r="K69" s="44" t="str">
        <f t="shared" si="3"/>
        <v/>
      </c>
      <c r="L69" s="44" t="str">
        <f t="shared" si="4"/>
        <v/>
      </c>
      <c r="M69" s="53" t="str">
        <f t="shared" si="5"/>
        <v/>
      </c>
      <c r="N69" s="246"/>
      <c r="O69" s="247"/>
      <c r="P69" s="248"/>
      <c r="Q69" s="65"/>
      <c r="R69" s="44" t="str">
        <f t="shared" si="0"/>
        <v/>
      </c>
      <c r="S69" s="44" t="str">
        <f t="shared" si="1"/>
        <v/>
      </c>
    </row>
    <row r="70" spans="2:19" x14ac:dyDescent="0.2">
      <c r="B70" s="48"/>
      <c r="C70" s="49"/>
      <c r="D70" s="39"/>
      <c r="E70" s="39"/>
      <c r="F70" s="40"/>
      <c r="G70" s="40"/>
      <c r="H70" s="44" t="str">
        <f t="shared" si="7"/>
        <v/>
      </c>
      <c r="I70" s="52" t="str">
        <f t="shared" si="6"/>
        <v/>
      </c>
      <c r="J70" s="44" t="str">
        <f t="shared" si="2"/>
        <v/>
      </c>
      <c r="K70" s="44" t="str">
        <f t="shared" si="3"/>
        <v/>
      </c>
      <c r="L70" s="44" t="str">
        <f t="shared" si="4"/>
        <v/>
      </c>
      <c r="M70" s="53" t="str">
        <f t="shared" si="5"/>
        <v/>
      </c>
      <c r="N70" s="243"/>
      <c r="O70" s="244"/>
      <c r="P70" s="245"/>
      <c r="Q70" s="65"/>
      <c r="R70" s="44" t="str">
        <f t="shared" si="0"/>
        <v/>
      </c>
      <c r="S70" s="44" t="str">
        <f t="shared" si="1"/>
        <v/>
      </c>
    </row>
    <row r="71" spans="2:19" x14ac:dyDescent="0.2">
      <c r="B71" s="48"/>
      <c r="C71" s="49"/>
      <c r="D71" s="39"/>
      <c r="E71" s="39"/>
      <c r="F71" s="40"/>
      <c r="G71" s="40"/>
      <c r="H71" s="44" t="str">
        <f t="shared" si="7"/>
        <v/>
      </c>
      <c r="I71" s="52" t="str">
        <f t="shared" si="6"/>
        <v/>
      </c>
      <c r="J71" s="44" t="str">
        <f t="shared" si="2"/>
        <v/>
      </c>
      <c r="K71" s="44" t="str">
        <f t="shared" si="3"/>
        <v/>
      </c>
      <c r="L71" s="44" t="str">
        <f t="shared" si="4"/>
        <v/>
      </c>
      <c r="M71" s="53" t="str">
        <f t="shared" si="5"/>
        <v/>
      </c>
      <c r="N71" s="243"/>
      <c r="O71" s="244"/>
      <c r="P71" s="245"/>
      <c r="Q71" s="65"/>
      <c r="R71" s="44" t="str">
        <f t="shared" ref="R71:R112" si="8">IF(Q71="","",J71/((Q71-Q70)*24))</f>
        <v/>
      </c>
      <c r="S71" s="44" t="str">
        <f t="shared" ref="S71:S112" si="9">IF(Q71="","",M71/((Q71-$Q$6)*24))</f>
        <v/>
      </c>
    </row>
    <row r="72" spans="2:19" x14ac:dyDescent="0.2">
      <c r="B72" s="48"/>
      <c r="C72" s="49"/>
      <c r="D72" s="68"/>
      <c r="E72" s="39"/>
      <c r="F72" s="40"/>
      <c r="G72" s="40"/>
      <c r="H72" s="44" t="str">
        <f t="shared" si="7"/>
        <v/>
      </c>
      <c r="I72" s="52" t="str">
        <f t="shared" si="6"/>
        <v/>
      </c>
      <c r="J72" s="44" t="str">
        <f t="shared" si="2"/>
        <v/>
      </c>
      <c r="K72" s="44" t="str">
        <f t="shared" si="3"/>
        <v/>
      </c>
      <c r="L72" s="44" t="str">
        <f t="shared" si="4"/>
        <v/>
      </c>
      <c r="M72" s="53" t="str">
        <f t="shared" si="5"/>
        <v/>
      </c>
      <c r="N72" s="243"/>
      <c r="O72" s="244"/>
      <c r="P72" s="245"/>
      <c r="Q72" s="65"/>
      <c r="R72" s="44" t="str">
        <f t="shared" si="8"/>
        <v/>
      </c>
      <c r="S72" s="44" t="str">
        <f t="shared" si="9"/>
        <v/>
      </c>
    </row>
    <row r="73" spans="2:19" x14ac:dyDescent="0.2">
      <c r="B73" s="48"/>
      <c r="C73" s="49"/>
      <c r="D73" s="39"/>
      <c r="E73" s="50"/>
      <c r="F73" s="40"/>
      <c r="G73" s="40"/>
      <c r="H73" s="44" t="str">
        <f t="shared" si="7"/>
        <v/>
      </c>
      <c r="I73" s="52" t="str">
        <f t="shared" si="6"/>
        <v/>
      </c>
      <c r="J73" s="44" t="str">
        <f t="shared" si="2"/>
        <v/>
      </c>
      <c r="K73" s="44" t="str">
        <f t="shared" si="3"/>
        <v/>
      </c>
      <c r="L73" s="44" t="str">
        <f t="shared" si="4"/>
        <v/>
      </c>
      <c r="M73" s="53" t="str">
        <f t="shared" si="5"/>
        <v/>
      </c>
      <c r="N73" s="243"/>
      <c r="O73" s="244"/>
      <c r="P73" s="245"/>
      <c r="Q73" s="65"/>
      <c r="R73" s="44" t="str">
        <f t="shared" si="8"/>
        <v/>
      </c>
      <c r="S73" s="44" t="str">
        <f t="shared" si="9"/>
        <v/>
      </c>
    </row>
    <row r="74" spans="2:19" x14ac:dyDescent="0.2">
      <c r="B74" s="48"/>
      <c r="C74" s="49"/>
      <c r="D74" s="39"/>
      <c r="E74" s="50"/>
      <c r="F74" s="40"/>
      <c r="G74" s="40"/>
      <c r="H74" s="44" t="str">
        <f t="shared" si="7"/>
        <v/>
      </c>
      <c r="I74" s="52" t="str">
        <f t="shared" si="6"/>
        <v/>
      </c>
      <c r="J74" s="44" t="str">
        <f t="shared" ref="J74:J112" si="10">IF(F74="","",I74-H74)</f>
        <v/>
      </c>
      <c r="K74" s="44" t="str">
        <f t="shared" ref="K74:K112" si="11">IF(F74="","",K73+H74)</f>
        <v/>
      </c>
      <c r="L74" s="44" t="str">
        <f t="shared" ref="L74:L112" si="12">IF(F74="","",L73+I74)</f>
        <v/>
      </c>
      <c r="M74" s="53" t="str">
        <f t="shared" ref="M74:M112" si="13">IF(F74="","",L74-K74)</f>
        <v/>
      </c>
      <c r="N74" s="243"/>
      <c r="O74" s="244"/>
      <c r="P74" s="245"/>
      <c r="Q74" s="65"/>
      <c r="R74" s="44" t="str">
        <f t="shared" si="8"/>
        <v/>
      </c>
      <c r="S74" s="44" t="str">
        <f t="shared" si="9"/>
        <v/>
      </c>
    </row>
    <row r="75" spans="2:19" x14ac:dyDescent="0.2">
      <c r="B75" s="48"/>
      <c r="C75" s="49"/>
      <c r="D75" s="39"/>
      <c r="E75" s="39"/>
      <c r="F75" s="40"/>
      <c r="G75" s="39"/>
      <c r="H75" s="44" t="str">
        <f>IF(E75="","",((E75-E74)*C75)/1000)</f>
        <v/>
      </c>
      <c r="I75" s="52" t="str">
        <f>IF(F75="","",F75-F74-G75)</f>
        <v/>
      </c>
      <c r="J75" s="44" t="str">
        <f t="shared" si="10"/>
        <v/>
      </c>
      <c r="K75" s="44" t="str">
        <f>IF(F75="","",K74+H75)</f>
        <v/>
      </c>
      <c r="L75" s="44" t="str">
        <f>IF(F75="","",L74+I75)</f>
        <v/>
      </c>
      <c r="M75" s="53" t="str">
        <f t="shared" si="13"/>
        <v/>
      </c>
      <c r="N75" s="243"/>
      <c r="O75" s="244"/>
      <c r="P75" s="245"/>
      <c r="Q75" s="65"/>
      <c r="R75" s="44" t="str">
        <f t="shared" si="8"/>
        <v/>
      </c>
      <c r="S75" s="44" t="str">
        <f t="shared" si="9"/>
        <v/>
      </c>
    </row>
    <row r="76" spans="2:19" x14ac:dyDescent="0.2">
      <c r="B76" s="48"/>
      <c r="C76" s="49"/>
      <c r="D76" s="39"/>
      <c r="E76" s="39"/>
      <c r="F76" s="40"/>
      <c r="G76" s="39"/>
      <c r="H76" s="44" t="str">
        <f t="shared" ref="H76:H112" si="14">IF(E76="","",((E76-E75)*C76)/1000)</f>
        <v/>
      </c>
      <c r="I76" s="52" t="str">
        <f t="shared" ref="I76:I112" si="15">IF(F76="","",F76-F75-G76)</f>
        <v/>
      </c>
      <c r="J76" s="44" t="str">
        <f t="shared" si="10"/>
        <v/>
      </c>
      <c r="K76" s="44" t="str">
        <f t="shared" ref="K76:K89" si="16">IF(F76="","",K75+H76)</f>
        <v/>
      </c>
      <c r="L76" s="44" t="str">
        <f t="shared" ref="L76:L89" si="17">IF(F76="","",L75+I76)</f>
        <v/>
      </c>
      <c r="M76" s="53" t="str">
        <f t="shared" si="13"/>
        <v/>
      </c>
      <c r="N76" s="69"/>
      <c r="O76" s="70"/>
      <c r="P76" s="71"/>
      <c r="Q76" s="65"/>
      <c r="R76" s="44" t="str">
        <f t="shared" si="8"/>
        <v/>
      </c>
      <c r="S76" s="44" t="str">
        <f t="shared" si="9"/>
        <v/>
      </c>
    </row>
    <row r="77" spans="2:19" x14ac:dyDescent="0.2">
      <c r="B77" s="48"/>
      <c r="C77" s="49"/>
      <c r="D77" s="39"/>
      <c r="E77" s="39"/>
      <c r="F77" s="40"/>
      <c r="G77" s="39"/>
      <c r="H77" s="44" t="str">
        <f t="shared" si="14"/>
        <v/>
      </c>
      <c r="I77" s="52" t="str">
        <f t="shared" si="15"/>
        <v/>
      </c>
      <c r="J77" s="44" t="str">
        <f t="shared" si="10"/>
        <v/>
      </c>
      <c r="K77" s="44" t="str">
        <f t="shared" si="16"/>
        <v/>
      </c>
      <c r="L77" s="44" t="str">
        <f t="shared" si="17"/>
        <v/>
      </c>
      <c r="M77" s="53" t="str">
        <f t="shared" si="13"/>
        <v/>
      </c>
      <c r="N77" s="69"/>
      <c r="O77" s="70"/>
      <c r="P77" s="71"/>
      <c r="Q77" s="65"/>
      <c r="R77" s="44" t="str">
        <f t="shared" si="8"/>
        <v/>
      </c>
      <c r="S77" s="44" t="str">
        <f t="shared" si="9"/>
        <v/>
      </c>
    </row>
    <row r="78" spans="2:19" x14ac:dyDescent="0.2">
      <c r="B78" s="48"/>
      <c r="C78" s="49"/>
      <c r="D78" s="39"/>
      <c r="E78" s="50"/>
      <c r="F78" s="40"/>
      <c r="G78" s="39"/>
      <c r="H78" s="44" t="str">
        <f t="shared" si="14"/>
        <v/>
      </c>
      <c r="I78" s="52" t="str">
        <f t="shared" si="15"/>
        <v/>
      </c>
      <c r="J78" s="44" t="str">
        <f t="shared" si="10"/>
        <v/>
      </c>
      <c r="K78" s="44" t="str">
        <f t="shared" si="16"/>
        <v/>
      </c>
      <c r="L78" s="44" t="str">
        <f t="shared" si="17"/>
        <v/>
      </c>
      <c r="M78" s="53" t="str">
        <f t="shared" si="13"/>
        <v/>
      </c>
      <c r="N78" s="69"/>
      <c r="O78" s="70"/>
      <c r="P78" s="71"/>
      <c r="Q78" s="65"/>
      <c r="R78" s="44" t="str">
        <f t="shared" si="8"/>
        <v/>
      </c>
      <c r="S78" s="44" t="str">
        <f t="shared" si="9"/>
        <v/>
      </c>
    </row>
    <row r="79" spans="2:19" x14ac:dyDescent="0.2">
      <c r="B79" s="48"/>
      <c r="C79" s="49"/>
      <c r="D79" s="39"/>
      <c r="E79" s="50"/>
      <c r="F79" s="40"/>
      <c r="G79" s="39"/>
      <c r="H79" s="44" t="str">
        <f t="shared" si="14"/>
        <v/>
      </c>
      <c r="I79" s="52" t="str">
        <f t="shared" si="15"/>
        <v/>
      </c>
      <c r="J79" s="44" t="str">
        <f t="shared" si="10"/>
        <v/>
      </c>
      <c r="K79" s="44" t="str">
        <f t="shared" si="16"/>
        <v/>
      </c>
      <c r="L79" s="44" t="str">
        <f t="shared" si="17"/>
        <v/>
      </c>
      <c r="M79" s="53" t="str">
        <f t="shared" si="13"/>
        <v/>
      </c>
      <c r="N79" s="69"/>
      <c r="O79" s="70"/>
      <c r="P79" s="71"/>
      <c r="Q79" s="65"/>
      <c r="R79" s="44" t="str">
        <f t="shared" si="8"/>
        <v/>
      </c>
      <c r="S79" s="44" t="str">
        <f t="shared" si="9"/>
        <v/>
      </c>
    </row>
    <row r="80" spans="2:19" x14ac:dyDescent="0.2">
      <c r="B80" s="48"/>
      <c r="C80" s="49"/>
      <c r="D80" s="39"/>
      <c r="E80" s="39"/>
      <c r="F80" s="40"/>
      <c r="G80" s="39"/>
      <c r="H80" s="44" t="str">
        <f t="shared" si="14"/>
        <v/>
      </c>
      <c r="I80" s="52" t="str">
        <f t="shared" si="15"/>
        <v/>
      </c>
      <c r="J80" s="44" t="str">
        <f t="shared" si="10"/>
        <v/>
      </c>
      <c r="K80" s="44" t="str">
        <f t="shared" si="16"/>
        <v/>
      </c>
      <c r="L80" s="44" t="str">
        <f t="shared" si="17"/>
        <v/>
      </c>
      <c r="M80" s="53" t="str">
        <f t="shared" si="13"/>
        <v/>
      </c>
      <c r="N80" s="243"/>
      <c r="O80" s="244"/>
      <c r="P80" s="245"/>
      <c r="Q80" s="65"/>
      <c r="R80" s="44" t="str">
        <f t="shared" si="8"/>
        <v/>
      </c>
      <c r="S80" s="44" t="str">
        <f t="shared" si="9"/>
        <v/>
      </c>
    </row>
    <row r="81" spans="2:21" x14ac:dyDescent="0.2">
      <c r="B81" s="48"/>
      <c r="C81" s="49"/>
      <c r="D81" s="39"/>
      <c r="E81" s="39"/>
      <c r="F81" s="40"/>
      <c r="G81" s="39"/>
      <c r="H81" s="44" t="str">
        <f t="shared" si="14"/>
        <v/>
      </c>
      <c r="I81" s="52" t="str">
        <f t="shared" si="15"/>
        <v/>
      </c>
      <c r="J81" s="44" t="str">
        <f t="shared" si="10"/>
        <v/>
      </c>
      <c r="K81" s="44" t="str">
        <f t="shared" si="16"/>
        <v/>
      </c>
      <c r="L81" s="44" t="str">
        <f t="shared" si="17"/>
        <v/>
      </c>
      <c r="M81" s="53" t="str">
        <f t="shared" si="13"/>
        <v/>
      </c>
      <c r="N81" s="243"/>
      <c r="O81" s="244"/>
      <c r="P81" s="245"/>
      <c r="Q81" s="65"/>
      <c r="R81" s="44" t="str">
        <f t="shared" si="8"/>
        <v/>
      </c>
      <c r="S81" s="44" t="str">
        <f t="shared" si="9"/>
        <v/>
      </c>
    </row>
    <row r="82" spans="2:21" x14ac:dyDescent="0.2">
      <c r="B82" s="48"/>
      <c r="C82" s="49"/>
      <c r="D82" s="39"/>
      <c r="E82" s="39"/>
      <c r="F82" s="40"/>
      <c r="G82" s="39"/>
      <c r="H82" s="44" t="str">
        <f t="shared" si="14"/>
        <v/>
      </c>
      <c r="I82" s="52" t="str">
        <f t="shared" si="15"/>
        <v/>
      </c>
      <c r="J82" s="44" t="str">
        <f t="shared" si="10"/>
        <v/>
      </c>
      <c r="K82" s="44" t="str">
        <f t="shared" si="16"/>
        <v/>
      </c>
      <c r="L82" s="44" t="str">
        <f t="shared" si="17"/>
        <v/>
      </c>
      <c r="M82" s="53" t="str">
        <f t="shared" si="13"/>
        <v/>
      </c>
      <c r="N82" s="243"/>
      <c r="O82" s="244"/>
      <c r="P82" s="245"/>
      <c r="Q82" s="65"/>
      <c r="R82" s="44" t="str">
        <f t="shared" si="8"/>
        <v/>
      </c>
      <c r="S82" s="44" t="str">
        <f t="shared" si="9"/>
        <v/>
      </c>
    </row>
    <row r="83" spans="2:21" x14ac:dyDescent="0.2">
      <c r="B83" s="48"/>
      <c r="C83" s="49"/>
      <c r="D83" s="39"/>
      <c r="E83" s="39"/>
      <c r="F83" s="40"/>
      <c r="G83" s="39"/>
      <c r="H83" s="44" t="str">
        <f t="shared" si="14"/>
        <v/>
      </c>
      <c r="I83" s="52" t="str">
        <f t="shared" si="15"/>
        <v/>
      </c>
      <c r="J83" s="44" t="str">
        <f t="shared" si="10"/>
        <v/>
      </c>
      <c r="K83" s="44" t="str">
        <f t="shared" si="16"/>
        <v/>
      </c>
      <c r="L83" s="44" t="str">
        <f t="shared" si="17"/>
        <v/>
      </c>
      <c r="M83" s="53" t="str">
        <f t="shared" si="13"/>
        <v/>
      </c>
      <c r="N83" s="243"/>
      <c r="O83" s="244"/>
      <c r="P83" s="245"/>
      <c r="Q83" s="65"/>
      <c r="R83" s="44" t="str">
        <f t="shared" si="8"/>
        <v/>
      </c>
      <c r="S83" s="44" t="str">
        <f t="shared" si="9"/>
        <v/>
      </c>
    </row>
    <row r="84" spans="2:21" x14ac:dyDescent="0.2">
      <c r="B84" s="48"/>
      <c r="C84" s="49"/>
      <c r="D84" s="39"/>
      <c r="E84" s="39"/>
      <c r="F84" s="40"/>
      <c r="G84" s="39"/>
      <c r="H84" s="44" t="str">
        <f t="shared" si="14"/>
        <v/>
      </c>
      <c r="I84" s="52" t="str">
        <f t="shared" si="15"/>
        <v/>
      </c>
      <c r="J84" s="44" t="str">
        <f t="shared" si="10"/>
        <v/>
      </c>
      <c r="K84" s="44" t="str">
        <f t="shared" si="16"/>
        <v/>
      </c>
      <c r="L84" s="44" t="str">
        <f t="shared" si="17"/>
        <v/>
      </c>
      <c r="M84" s="53" t="str">
        <f t="shared" si="13"/>
        <v/>
      </c>
      <c r="N84" s="243"/>
      <c r="O84" s="244"/>
      <c r="P84" s="245"/>
      <c r="Q84" s="65"/>
      <c r="R84" s="44" t="str">
        <f t="shared" si="8"/>
        <v/>
      </c>
      <c r="S84" s="44" t="str">
        <f t="shared" si="9"/>
        <v/>
      </c>
    </row>
    <row r="85" spans="2:21" x14ac:dyDescent="0.2">
      <c r="B85" s="48"/>
      <c r="C85" s="49"/>
      <c r="D85" s="50"/>
      <c r="E85" s="39"/>
      <c r="F85" s="40"/>
      <c r="G85" s="39"/>
      <c r="H85" s="44" t="str">
        <f t="shared" si="14"/>
        <v/>
      </c>
      <c r="I85" s="52" t="str">
        <f t="shared" si="15"/>
        <v/>
      </c>
      <c r="J85" s="44" t="str">
        <f t="shared" si="10"/>
        <v/>
      </c>
      <c r="K85" s="44" t="str">
        <f t="shared" si="16"/>
        <v/>
      </c>
      <c r="L85" s="44" t="str">
        <f t="shared" si="17"/>
        <v/>
      </c>
      <c r="M85" s="53" t="str">
        <f t="shared" si="13"/>
        <v/>
      </c>
      <c r="N85" s="243"/>
      <c r="O85" s="244"/>
      <c r="P85" s="245"/>
      <c r="Q85" s="65"/>
      <c r="R85" s="44" t="str">
        <f t="shared" si="8"/>
        <v/>
      </c>
      <c r="S85" s="44" t="str">
        <f t="shared" si="9"/>
        <v/>
      </c>
    </row>
    <row r="86" spans="2:21" x14ac:dyDescent="0.2">
      <c r="B86" s="48"/>
      <c r="C86" s="49"/>
      <c r="D86" s="50"/>
      <c r="E86" s="39"/>
      <c r="F86" s="40"/>
      <c r="G86" s="39"/>
      <c r="H86" s="44" t="str">
        <f t="shared" si="14"/>
        <v/>
      </c>
      <c r="I86" s="52" t="str">
        <f t="shared" si="15"/>
        <v/>
      </c>
      <c r="J86" s="44" t="str">
        <f t="shared" si="10"/>
        <v/>
      </c>
      <c r="K86" s="44" t="str">
        <f t="shared" si="16"/>
        <v/>
      </c>
      <c r="L86" s="44" t="str">
        <f t="shared" si="17"/>
        <v/>
      </c>
      <c r="M86" s="53" t="str">
        <f t="shared" si="13"/>
        <v/>
      </c>
      <c r="N86" s="243"/>
      <c r="O86" s="244"/>
      <c r="P86" s="245"/>
      <c r="Q86" s="65"/>
      <c r="R86" s="44" t="str">
        <f t="shared" si="8"/>
        <v/>
      </c>
      <c r="S86" s="44" t="str">
        <f t="shared" si="9"/>
        <v/>
      </c>
    </row>
    <row r="87" spans="2:21" x14ac:dyDescent="0.2">
      <c r="B87" s="48"/>
      <c r="C87" s="49"/>
      <c r="D87" s="50"/>
      <c r="E87" s="39"/>
      <c r="F87" s="40"/>
      <c r="G87" s="39"/>
      <c r="H87" s="44" t="str">
        <f t="shared" si="14"/>
        <v/>
      </c>
      <c r="I87" s="52" t="str">
        <f t="shared" si="15"/>
        <v/>
      </c>
      <c r="J87" s="44" t="str">
        <f t="shared" si="10"/>
        <v/>
      </c>
      <c r="K87" s="44" t="str">
        <f t="shared" si="16"/>
        <v/>
      </c>
      <c r="L87" s="44" t="str">
        <f t="shared" si="17"/>
        <v/>
      </c>
      <c r="M87" s="53" t="str">
        <f t="shared" si="13"/>
        <v/>
      </c>
      <c r="N87" s="243"/>
      <c r="O87" s="244"/>
      <c r="P87" s="245"/>
      <c r="Q87" s="65"/>
      <c r="R87" s="44" t="str">
        <f t="shared" si="8"/>
        <v/>
      </c>
      <c r="S87" s="44" t="str">
        <f t="shared" si="9"/>
        <v/>
      </c>
    </row>
    <row r="88" spans="2:21" x14ac:dyDescent="0.2">
      <c r="B88" s="48"/>
      <c r="C88" s="49"/>
      <c r="D88" s="50"/>
      <c r="E88" s="39"/>
      <c r="F88" s="40"/>
      <c r="G88" s="39"/>
      <c r="H88" s="44" t="str">
        <f t="shared" si="14"/>
        <v/>
      </c>
      <c r="I88" s="52" t="str">
        <f t="shared" si="15"/>
        <v/>
      </c>
      <c r="J88" s="44" t="str">
        <f t="shared" si="10"/>
        <v/>
      </c>
      <c r="K88" s="44" t="str">
        <f t="shared" si="16"/>
        <v/>
      </c>
      <c r="L88" s="44" t="str">
        <f t="shared" si="17"/>
        <v/>
      </c>
      <c r="M88" s="53" t="str">
        <f t="shared" si="13"/>
        <v/>
      </c>
      <c r="N88" s="246"/>
      <c r="O88" s="244"/>
      <c r="P88" s="245"/>
      <c r="Q88" s="65"/>
      <c r="R88" s="44" t="str">
        <f t="shared" si="8"/>
        <v/>
      </c>
      <c r="S88" s="44" t="str">
        <f t="shared" si="9"/>
        <v/>
      </c>
      <c r="T88" s="48" t="s">
        <v>31</v>
      </c>
      <c r="U88" s="49">
        <v>5.33</v>
      </c>
    </row>
    <row r="89" spans="2:21" x14ac:dyDescent="0.2">
      <c r="B89" s="48"/>
      <c r="C89" s="49"/>
      <c r="D89" s="50"/>
      <c r="E89" s="39"/>
      <c r="F89" s="40"/>
      <c r="G89" s="39"/>
      <c r="H89" s="44" t="str">
        <f t="shared" si="14"/>
        <v/>
      </c>
      <c r="I89" s="52" t="str">
        <f t="shared" si="15"/>
        <v/>
      </c>
      <c r="J89" s="44" t="str">
        <f t="shared" si="10"/>
        <v/>
      </c>
      <c r="K89" s="44" t="str">
        <f t="shared" si="16"/>
        <v/>
      </c>
      <c r="L89" s="44" t="str">
        <f t="shared" si="17"/>
        <v/>
      </c>
      <c r="M89" s="53" t="str">
        <f t="shared" si="13"/>
        <v/>
      </c>
      <c r="N89" s="243"/>
      <c r="O89" s="244"/>
      <c r="P89" s="245"/>
      <c r="Q89" s="65"/>
      <c r="R89" s="44" t="str">
        <f t="shared" si="8"/>
        <v/>
      </c>
      <c r="S89" s="44" t="str">
        <f t="shared" si="9"/>
        <v/>
      </c>
      <c r="T89" s="48" t="s">
        <v>32</v>
      </c>
      <c r="U89" s="49">
        <v>22.64</v>
      </c>
    </row>
    <row r="90" spans="2:21" x14ac:dyDescent="0.2">
      <c r="B90" s="48"/>
      <c r="C90" s="49"/>
      <c r="D90" s="50"/>
      <c r="E90" s="39"/>
      <c r="F90" s="40"/>
      <c r="G90" s="40"/>
      <c r="H90" s="44" t="str">
        <f t="shared" si="14"/>
        <v/>
      </c>
      <c r="I90" s="52" t="str">
        <f t="shared" si="15"/>
        <v/>
      </c>
      <c r="J90" s="44" t="str">
        <f t="shared" si="10"/>
        <v/>
      </c>
      <c r="K90" s="44" t="str">
        <f t="shared" si="11"/>
        <v/>
      </c>
      <c r="L90" s="44" t="str">
        <f t="shared" si="12"/>
        <v/>
      </c>
      <c r="M90" s="53" t="str">
        <f t="shared" si="13"/>
        <v/>
      </c>
      <c r="N90" s="243"/>
      <c r="O90" s="244"/>
      <c r="P90" s="245"/>
      <c r="Q90" s="65"/>
      <c r="R90" s="44" t="str">
        <f t="shared" si="8"/>
        <v/>
      </c>
      <c r="S90" s="44" t="str">
        <f t="shared" si="9"/>
        <v/>
      </c>
      <c r="T90" s="48" t="s">
        <v>33</v>
      </c>
      <c r="U90" s="49">
        <v>24.83</v>
      </c>
    </row>
    <row r="91" spans="2:21" x14ac:dyDescent="0.2">
      <c r="B91" s="48"/>
      <c r="C91" s="49"/>
      <c r="D91" s="50"/>
      <c r="E91" s="39"/>
      <c r="F91" s="40"/>
      <c r="G91" s="40"/>
      <c r="H91" s="44" t="str">
        <f t="shared" si="14"/>
        <v/>
      </c>
      <c r="I91" s="52" t="str">
        <f t="shared" si="15"/>
        <v/>
      </c>
      <c r="J91" s="44" t="str">
        <f t="shared" si="10"/>
        <v/>
      </c>
      <c r="K91" s="44" t="str">
        <f t="shared" si="11"/>
        <v/>
      </c>
      <c r="L91" s="44" t="str">
        <f t="shared" si="12"/>
        <v/>
      </c>
      <c r="M91" s="53" t="str">
        <f t="shared" si="13"/>
        <v/>
      </c>
      <c r="N91" s="243"/>
      <c r="O91" s="244"/>
      <c r="P91" s="245"/>
      <c r="Q91" s="65"/>
      <c r="R91" s="44" t="str">
        <f t="shared" si="8"/>
        <v/>
      </c>
      <c r="S91" s="44" t="str">
        <f t="shared" si="9"/>
        <v/>
      </c>
      <c r="T91" s="48" t="s">
        <v>34</v>
      </c>
      <c r="U91" s="49">
        <v>4.8499999999999996</v>
      </c>
    </row>
    <row r="92" spans="2:21" x14ac:dyDescent="0.2">
      <c r="B92" s="48"/>
      <c r="C92" s="49"/>
      <c r="D92" s="50"/>
      <c r="E92" s="39"/>
      <c r="F92" s="40"/>
      <c r="G92" s="40"/>
      <c r="H92" s="44" t="str">
        <f t="shared" si="14"/>
        <v/>
      </c>
      <c r="I92" s="52" t="str">
        <f t="shared" si="15"/>
        <v/>
      </c>
      <c r="J92" s="44" t="str">
        <f t="shared" si="10"/>
        <v/>
      </c>
      <c r="K92" s="44" t="str">
        <f t="shared" si="11"/>
        <v/>
      </c>
      <c r="L92" s="44" t="str">
        <f t="shared" si="12"/>
        <v/>
      </c>
      <c r="M92" s="53" t="str">
        <f t="shared" si="13"/>
        <v/>
      </c>
      <c r="N92" s="243"/>
      <c r="O92" s="244"/>
      <c r="P92" s="245"/>
      <c r="Q92" s="72"/>
      <c r="R92" s="44" t="str">
        <f t="shared" si="8"/>
        <v/>
      </c>
      <c r="S92" s="44" t="str">
        <f t="shared" si="9"/>
        <v/>
      </c>
      <c r="T92" s="48" t="s">
        <v>35</v>
      </c>
      <c r="U92" s="49">
        <v>4.41</v>
      </c>
    </row>
    <row r="93" spans="2:21" x14ac:dyDescent="0.2">
      <c r="B93" s="48"/>
      <c r="C93" s="49"/>
      <c r="D93" s="50"/>
      <c r="E93" s="39"/>
      <c r="F93" s="40"/>
      <c r="G93" s="40"/>
      <c r="H93" s="44" t="str">
        <f t="shared" si="14"/>
        <v/>
      </c>
      <c r="I93" s="52" t="str">
        <f t="shared" si="15"/>
        <v/>
      </c>
      <c r="J93" s="44" t="str">
        <f t="shared" si="10"/>
        <v/>
      </c>
      <c r="K93" s="44" t="str">
        <f t="shared" si="11"/>
        <v/>
      </c>
      <c r="L93" s="44" t="str">
        <f t="shared" si="12"/>
        <v/>
      </c>
      <c r="M93" s="53" t="str">
        <f t="shared" si="13"/>
        <v/>
      </c>
      <c r="N93" s="243"/>
      <c r="O93" s="244"/>
      <c r="P93" s="245"/>
      <c r="Q93" s="72"/>
      <c r="R93" s="44" t="str">
        <f t="shared" si="8"/>
        <v/>
      </c>
      <c r="S93" s="44" t="str">
        <f t="shared" si="9"/>
        <v/>
      </c>
      <c r="T93" s="48" t="s">
        <v>36</v>
      </c>
      <c r="U93" s="49">
        <v>13.33</v>
      </c>
    </row>
    <row r="94" spans="2:21" x14ac:dyDescent="0.2">
      <c r="B94" s="48"/>
      <c r="C94" s="49"/>
      <c r="D94" s="50"/>
      <c r="E94" s="39"/>
      <c r="F94" s="40"/>
      <c r="G94" s="39"/>
      <c r="H94" s="44" t="str">
        <f t="shared" si="14"/>
        <v/>
      </c>
      <c r="I94" s="52" t="str">
        <f t="shared" si="15"/>
        <v/>
      </c>
      <c r="J94" s="44" t="str">
        <f t="shared" si="10"/>
        <v/>
      </c>
      <c r="K94" s="44" t="str">
        <f t="shared" si="11"/>
        <v/>
      </c>
      <c r="L94" s="44" t="str">
        <f t="shared" si="12"/>
        <v/>
      </c>
      <c r="M94" s="53" t="str">
        <f t="shared" si="13"/>
        <v/>
      </c>
      <c r="N94" s="243"/>
      <c r="O94" s="244"/>
      <c r="P94" s="245"/>
      <c r="Q94" s="72"/>
      <c r="R94" s="44" t="str">
        <f t="shared" si="8"/>
        <v/>
      </c>
      <c r="S94" s="44" t="str">
        <f t="shared" si="9"/>
        <v/>
      </c>
      <c r="T94" s="48" t="s">
        <v>37</v>
      </c>
      <c r="U94" s="49">
        <v>15.74</v>
      </c>
    </row>
    <row r="95" spans="2:21" x14ac:dyDescent="0.2">
      <c r="B95" s="48"/>
      <c r="C95" s="49"/>
      <c r="D95" s="50"/>
      <c r="E95" s="39"/>
      <c r="F95" s="40"/>
      <c r="G95" s="39"/>
      <c r="H95" s="44" t="str">
        <f t="shared" si="14"/>
        <v/>
      </c>
      <c r="I95" s="52" t="str">
        <f t="shared" si="15"/>
        <v/>
      </c>
      <c r="J95" s="44" t="str">
        <f t="shared" si="10"/>
        <v/>
      </c>
      <c r="K95" s="44" t="str">
        <f t="shared" si="11"/>
        <v/>
      </c>
      <c r="L95" s="44" t="str">
        <f t="shared" si="12"/>
        <v/>
      </c>
      <c r="M95" s="53" t="str">
        <f t="shared" si="13"/>
        <v/>
      </c>
      <c r="N95" s="243"/>
      <c r="O95" s="244"/>
      <c r="P95" s="245"/>
      <c r="Q95" s="72"/>
      <c r="R95" s="44" t="str">
        <f t="shared" si="8"/>
        <v/>
      </c>
      <c r="S95" s="44" t="str">
        <f t="shared" si="9"/>
        <v/>
      </c>
      <c r="T95" s="48" t="s">
        <v>38</v>
      </c>
      <c r="U95" s="49">
        <v>4.37</v>
      </c>
    </row>
    <row r="96" spans="2:21" x14ac:dyDescent="0.2">
      <c r="B96" s="48"/>
      <c r="C96" s="49"/>
      <c r="D96" s="50"/>
      <c r="E96" s="39"/>
      <c r="F96" s="40"/>
      <c r="G96" s="39"/>
      <c r="H96" s="44" t="str">
        <f t="shared" si="14"/>
        <v/>
      </c>
      <c r="I96" s="52" t="str">
        <f t="shared" si="15"/>
        <v/>
      </c>
      <c r="J96" s="44" t="str">
        <f t="shared" si="10"/>
        <v/>
      </c>
      <c r="K96" s="44" t="str">
        <f t="shared" si="11"/>
        <v/>
      </c>
      <c r="L96" s="44" t="str">
        <f t="shared" si="12"/>
        <v/>
      </c>
      <c r="M96" s="53" t="str">
        <f t="shared" si="13"/>
        <v/>
      </c>
      <c r="N96" s="243"/>
      <c r="O96" s="244"/>
      <c r="P96" s="245"/>
      <c r="Q96" s="72"/>
      <c r="R96" s="44" t="str">
        <f t="shared" si="8"/>
        <v/>
      </c>
      <c r="S96" s="44" t="str">
        <f t="shared" si="9"/>
        <v/>
      </c>
      <c r="T96" s="48" t="s">
        <v>29</v>
      </c>
      <c r="U96" s="49">
        <v>10.58</v>
      </c>
    </row>
    <row r="97" spans="2:21" x14ac:dyDescent="0.2">
      <c r="B97" s="48"/>
      <c r="C97" s="49"/>
      <c r="D97" s="50"/>
      <c r="E97" s="39"/>
      <c r="F97" s="40"/>
      <c r="G97" s="39"/>
      <c r="H97" s="44" t="str">
        <f t="shared" si="14"/>
        <v/>
      </c>
      <c r="I97" s="52" t="str">
        <f t="shared" si="15"/>
        <v/>
      </c>
      <c r="J97" s="44" t="str">
        <f t="shared" si="10"/>
        <v/>
      </c>
      <c r="K97" s="44" t="str">
        <f t="shared" si="11"/>
        <v/>
      </c>
      <c r="L97" s="44" t="str">
        <f t="shared" si="12"/>
        <v/>
      </c>
      <c r="M97" s="53" t="str">
        <f t="shared" si="13"/>
        <v/>
      </c>
      <c r="N97" s="243"/>
      <c r="O97" s="244"/>
      <c r="P97" s="245"/>
      <c r="Q97" s="72"/>
      <c r="R97" s="44" t="str">
        <f t="shared" si="8"/>
        <v/>
      </c>
      <c r="S97" s="44" t="str">
        <f t="shared" si="9"/>
        <v/>
      </c>
      <c r="T97" s="48" t="s">
        <v>39</v>
      </c>
      <c r="U97" s="49">
        <v>15.93</v>
      </c>
    </row>
    <row r="98" spans="2:21" x14ac:dyDescent="0.2">
      <c r="B98" s="48"/>
      <c r="C98" s="49"/>
      <c r="D98" s="50"/>
      <c r="E98" s="39"/>
      <c r="F98" s="40"/>
      <c r="G98" s="39"/>
      <c r="H98" s="44" t="str">
        <f t="shared" si="14"/>
        <v/>
      </c>
      <c r="I98" s="52" t="str">
        <f t="shared" si="15"/>
        <v/>
      </c>
      <c r="J98" s="44" t="str">
        <f t="shared" si="10"/>
        <v/>
      </c>
      <c r="K98" s="44" t="str">
        <f t="shared" si="11"/>
        <v/>
      </c>
      <c r="L98" s="44" t="str">
        <f t="shared" si="12"/>
        <v/>
      </c>
      <c r="M98" s="53" t="str">
        <f t="shared" si="13"/>
        <v/>
      </c>
      <c r="N98" s="243"/>
      <c r="O98" s="244"/>
      <c r="P98" s="245"/>
      <c r="Q98" s="72"/>
      <c r="R98" s="44" t="str">
        <f t="shared" si="8"/>
        <v/>
      </c>
      <c r="S98" s="44" t="str">
        <f t="shared" si="9"/>
        <v/>
      </c>
      <c r="T98" s="48" t="s">
        <v>40</v>
      </c>
      <c r="U98" s="49">
        <v>58.557000000000002</v>
      </c>
    </row>
    <row r="99" spans="2:21" x14ac:dyDescent="0.2">
      <c r="B99" s="48"/>
      <c r="C99" s="49"/>
      <c r="D99" s="50"/>
      <c r="E99" s="39"/>
      <c r="F99" s="40"/>
      <c r="G99" s="39"/>
      <c r="H99" s="44" t="str">
        <f t="shared" si="14"/>
        <v/>
      </c>
      <c r="I99" s="52" t="str">
        <f t="shared" si="15"/>
        <v/>
      </c>
      <c r="J99" s="44" t="str">
        <f t="shared" si="10"/>
        <v/>
      </c>
      <c r="K99" s="44" t="str">
        <f t="shared" si="11"/>
        <v/>
      </c>
      <c r="L99" s="44" t="str">
        <f t="shared" si="12"/>
        <v/>
      </c>
      <c r="M99" s="53" t="str">
        <f t="shared" si="13"/>
        <v/>
      </c>
      <c r="N99" s="243"/>
      <c r="O99" s="244"/>
      <c r="P99" s="245"/>
      <c r="Q99" s="72"/>
      <c r="R99" s="44" t="str">
        <f t="shared" si="8"/>
        <v/>
      </c>
      <c r="S99" s="44" t="str">
        <f t="shared" si="9"/>
        <v/>
      </c>
      <c r="T99" s="48" t="s">
        <v>41</v>
      </c>
      <c r="U99" s="49">
        <v>11.28</v>
      </c>
    </row>
    <row r="100" spans="2:21" x14ac:dyDescent="0.2">
      <c r="B100" s="48"/>
      <c r="C100" s="49"/>
      <c r="D100" s="50"/>
      <c r="E100" s="39"/>
      <c r="F100" s="40"/>
      <c r="G100" s="39"/>
      <c r="H100" s="44" t="str">
        <f t="shared" si="14"/>
        <v/>
      </c>
      <c r="I100" s="52" t="str">
        <f t="shared" si="15"/>
        <v/>
      </c>
      <c r="J100" s="44" t="str">
        <f t="shared" si="10"/>
        <v/>
      </c>
      <c r="K100" s="44" t="str">
        <f t="shared" si="11"/>
        <v/>
      </c>
      <c r="L100" s="44" t="str">
        <f t="shared" si="12"/>
        <v/>
      </c>
      <c r="M100" s="53" t="str">
        <f t="shared" si="13"/>
        <v/>
      </c>
      <c r="N100" s="243"/>
      <c r="O100" s="244"/>
      <c r="P100" s="245"/>
      <c r="Q100" s="73"/>
      <c r="R100" s="44" t="str">
        <f t="shared" si="8"/>
        <v/>
      </c>
      <c r="S100" s="44" t="str">
        <f t="shared" si="9"/>
        <v/>
      </c>
      <c r="T100" s="48" t="s">
        <v>42</v>
      </c>
      <c r="U100" s="49">
        <v>4.4800000000000004</v>
      </c>
    </row>
    <row r="101" spans="2:21" x14ac:dyDescent="0.2">
      <c r="B101" s="48"/>
      <c r="C101" s="49"/>
      <c r="D101" s="50"/>
      <c r="E101" s="39"/>
      <c r="F101" s="40"/>
      <c r="G101" s="39"/>
      <c r="H101" s="44" t="str">
        <f t="shared" si="14"/>
        <v/>
      </c>
      <c r="I101" s="52" t="str">
        <f t="shared" si="15"/>
        <v/>
      </c>
      <c r="J101" s="44" t="str">
        <f t="shared" si="10"/>
        <v/>
      </c>
      <c r="K101" s="44" t="str">
        <f t="shared" si="11"/>
        <v/>
      </c>
      <c r="L101" s="44" t="str">
        <f t="shared" si="12"/>
        <v/>
      </c>
      <c r="M101" s="53" t="str">
        <f t="shared" si="13"/>
        <v/>
      </c>
      <c r="N101" s="243"/>
      <c r="O101" s="244"/>
      <c r="P101" s="245"/>
      <c r="Q101" s="73"/>
      <c r="R101" s="44" t="str">
        <f t="shared" si="8"/>
        <v/>
      </c>
      <c r="S101" s="44" t="str">
        <f t="shared" si="9"/>
        <v/>
      </c>
      <c r="T101" s="48" t="s">
        <v>43</v>
      </c>
      <c r="U101" s="49">
        <v>5.05</v>
      </c>
    </row>
    <row r="102" spans="2:21" x14ac:dyDescent="0.2">
      <c r="B102" s="48"/>
      <c r="C102" s="49"/>
      <c r="D102" s="50"/>
      <c r="E102" s="39"/>
      <c r="F102" s="40"/>
      <c r="G102" s="39"/>
      <c r="H102" s="44" t="str">
        <f t="shared" si="14"/>
        <v/>
      </c>
      <c r="I102" s="52" t="str">
        <f t="shared" si="15"/>
        <v/>
      </c>
      <c r="J102" s="44" t="str">
        <f t="shared" si="10"/>
        <v/>
      </c>
      <c r="K102" s="44" t="str">
        <f t="shared" si="11"/>
        <v/>
      </c>
      <c r="L102" s="44" t="str">
        <f t="shared" si="12"/>
        <v/>
      </c>
      <c r="M102" s="53" t="str">
        <f t="shared" si="13"/>
        <v/>
      </c>
      <c r="N102" s="243"/>
      <c r="O102" s="244"/>
      <c r="P102" s="245"/>
      <c r="Q102" s="73"/>
      <c r="R102" s="44" t="str">
        <f t="shared" si="8"/>
        <v/>
      </c>
      <c r="S102" s="44" t="str">
        <f t="shared" si="9"/>
        <v/>
      </c>
      <c r="T102" s="48" t="s">
        <v>44</v>
      </c>
      <c r="U102" s="49">
        <v>5.61</v>
      </c>
    </row>
    <row r="103" spans="2:21" x14ac:dyDescent="0.2">
      <c r="B103" s="48"/>
      <c r="C103" s="49"/>
      <c r="D103" s="50"/>
      <c r="E103" s="39"/>
      <c r="F103" s="40"/>
      <c r="G103" s="39"/>
      <c r="H103" s="44" t="str">
        <f t="shared" si="14"/>
        <v/>
      </c>
      <c r="I103" s="52" t="str">
        <f t="shared" si="15"/>
        <v/>
      </c>
      <c r="J103" s="44" t="str">
        <f t="shared" si="10"/>
        <v/>
      </c>
      <c r="K103" s="44" t="str">
        <f t="shared" si="11"/>
        <v/>
      </c>
      <c r="L103" s="44" t="str">
        <f t="shared" si="12"/>
        <v/>
      </c>
      <c r="M103" s="53" t="str">
        <f t="shared" si="13"/>
        <v/>
      </c>
      <c r="N103" s="243"/>
      <c r="O103" s="244"/>
      <c r="P103" s="245"/>
      <c r="Q103" s="73"/>
      <c r="R103" s="44" t="str">
        <f t="shared" si="8"/>
        <v/>
      </c>
      <c r="S103" s="44" t="str">
        <f t="shared" si="9"/>
        <v/>
      </c>
      <c r="T103" s="48" t="s">
        <v>45</v>
      </c>
      <c r="U103" s="49">
        <v>23.37</v>
      </c>
    </row>
    <row r="104" spans="2:21" x14ac:dyDescent="0.2">
      <c r="B104" s="48"/>
      <c r="C104" s="49"/>
      <c r="D104" s="50"/>
      <c r="E104" s="39"/>
      <c r="F104" s="40"/>
      <c r="G104" s="39"/>
      <c r="H104" s="44" t="str">
        <f t="shared" si="14"/>
        <v/>
      </c>
      <c r="I104" s="52" t="str">
        <f t="shared" si="15"/>
        <v/>
      </c>
      <c r="J104" s="44" t="str">
        <f t="shared" si="10"/>
        <v/>
      </c>
      <c r="K104" s="44" t="str">
        <f t="shared" si="11"/>
        <v/>
      </c>
      <c r="L104" s="44" t="str">
        <f t="shared" si="12"/>
        <v/>
      </c>
      <c r="M104" s="53" t="str">
        <f t="shared" si="13"/>
        <v/>
      </c>
      <c r="N104" s="243"/>
      <c r="O104" s="244"/>
      <c r="P104" s="245"/>
      <c r="Q104" s="73"/>
      <c r="R104" s="44" t="str">
        <f t="shared" si="8"/>
        <v/>
      </c>
      <c r="S104" s="44" t="str">
        <f t="shared" si="9"/>
        <v/>
      </c>
      <c r="T104" s="48" t="s">
        <v>46</v>
      </c>
      <c r="U104" s="49">
        <v>10.56</v>
      </c>
    </row>
    <row r="105" spans="2:21" x14ac:dyDescent="0.2">
      <c r="B105" s="48"/>
      <c r="C105" s="49"/>
      <c r="D105" s="50"/>
      <c r="E105" s="39"/>
      <c r="F105" s="40"/>
      <c r="G105" s="39"/>
      <c r="H105" s="44" t="str">
        <f t="shared" si="14"/>
        <v/>
      </c>
      <c r="I105" s="52" t="str">
        <f t="shared" si="15"/>
        <v/>
      </c>
      <c r="J105" s="44" t="str">
        <f t="shared" si="10"/>
        <v/>
      </c>
      <c r="K105" s="44" t="str">
        <f t="shared" si="11"/>
        <v/>
      </c>
      <c r="L105" s="44" t="str">
        <f t="shared" si="12"/>
        <v/>
      </c>
      <c r="M105" s="53" t="str">
        <f t="shared" si="13"/>
        <v/>
      </c>
      <c r="N105" s="243"/>
      <c r="O105" s="244"/>
      <c r="P105" s="245"/>
      <c r="Q105" s="73"/>
      <c r="R105" s="44" t="str">
        <f t="shared" si="8"/>
        <v/>
      </c>
      <c r="S105" s="44" t="str">
        <f t="shared" si="9"/>
        <v/>
      </c>
      <c r="T105" s="48" t="s">
        <v>47</v>
      </c>
      <c r="U105" s="49">
        <v>3.19</v>
      </c>
    </row>
    <row r="106" spans="2:21" x14ac:dyDescent="0.2">
      <c r="B106" s="48"/>
      <c r="C106" s="49"/>
      <c r="D106" s="50"/>
      <c r="E106" s="39"/>
      <c r="F106" s="40"/>
      <c r="G106" s="39"/>
      <c r="H106" s="44" t="str">
        <f t="shared" si="14"/>
        <v/>
      </c>
      <c r="I106" s="52" t="str">
        <f t="shared" si="15"/>
        <v/>
      </c>
      <c r="J106" s="44" t="str">
        <f t="shared" si="10"/>
        <v/>
      </c>
      <c r="K106" s="44" t="str">
        <f t="shared" si="11"/>
        <v/>
      </c>
      <c r="L106" s="44" t="str">
        <f t="shared" si="12"/>
        <v/>
      </c>
      <c r="M106" s="53" t="str">
        <f t="shared" si="13"/>
        <v/>
      </c>
      <c r="N106" s="243"/>
      <c r="O106" s="244"/>
      <c r="P106" s="245"/>
      <c r="Q106" s="73"/>
      <c r="R106" s="44" t="str">
        <f t="shared" si="8"/>
        <v/>
      </c>
      <c r="S106" s="44" t="str">
        <f t="shared" si="9"/>
        <v/>
      </c>
      <c r="T106" s="48" t="s">
        <v>48</v>
      </c>
      <c r="U106" s="49">
        <v>6.42</v>
      </c>
    </row>
    <row r="107" spans="2:21" x14ac:dyDescent="0.2">
      <c r="B107" s="48"/>
      <c r="C107" s="49"/>
      <c r="D107" s="50"/>
      <c r="E107" s="39"/>
      <c r="F107" s="40"/>
      <c r="G107" s="39"/>
      <c r="H107" s="44" t="str">
        <f t="shared" si="14"/>
        <v/>
      </c>
      <c r="I107" s="52" t="str">
        <f t="shared" si="15"/>
        <v/>
      </c>
      <c r="J107" s="44" t="str">
        <f t="shared" si="10"/>
        <v/>
      </c>
      <c r="K107" s="44" t="str">
        <f t="shared" si="11"/>
        <v/>
      </c>
      <c r="L107" s="44" t="str">
        <f t="shared" si="12"/>
        <v/>
      </c>
      <c r="M107" s="53" t="str">
        <f t="shared" si="13"/>
        <v/>
      </c>
      <c r="N107" s="243"/>
      <c r="O107" s="244"/>
      <c r="P107" s="245"/>
      <c r="Q107" s="73"/>
      <c r="R107" s="44" t="str">
        <f t="shared" si="8"/>
        <v/>
      </c>
      <c r="S107" s="44" t="str">
        <f t="shared" si="9"/>
        <v/>
      </c>
    </row>
    <row r="108" spans="2:21" x14ac:dyDescent="0.2">
      <c r="B108" s="48"/>
      <c r="C108" s="49"/>
      <c r="D108" s="50"/>
      <c r="E108" s="39"/>
      <c r="F108" s="40"/>
      <c r="G108" s="39"/>
      <c r="H108" s="44" t="str">
        <f t="shared" si="14"/>
        <v/>
      </c>
      <c r="I108" s="52" t="str">
        <f t="shared" si="15"/>
        <v/>
      </c>
      <c r="J108" s="44" t="str">
        <f t="shared" si="10"/>
        <v/>
      </c>
      <c r="K108" s="44" t="str">
        <f t="shared" si="11"/>
        <v/>
      </c>
      <c r="L108" s="44" t="str">
        <f t="shared" si="12"/>
        <v/>
      </c>
      <c r="M108" s="53" t="str">
        <f t="shared" si="13"/>
        <v/>
      </c>
      <c r="N108" s="243"/>
      <c r="O108" s="244"/>
      <c r="P108" s="245"/>
      <c r="Q108" s="73"/>
      <c r="R108" s="44" t="str">
        <f t="shared" si="8"/>
        <v/>
      </c>
      <c r="S108" s="44" t="str">
        <f t="shared" si="9"/>
        <v/>
      </c>
    </row>
    <row r="109" spans="2:21" x14ac:dyDescent="0.2">
      <c r="B109" s="48"/>
      <c r="C109" s="49"/>
      <c r="D109" s="50"/>
      <c r="E109" s="39"/>
      <c r="F109" s="40"/>
      <c r="G109" s="39"/>
      <c r="H109" s="44" t="str">
        <f t="shared" si="14"/>
        <v/>
      </c>
      <c r="I109" s="52" t="str">
        <f t="shared" si="15"/>
        <v/>
      </c>
      <c r="J109" s="44" t="str">
        <f t="shared" si="10"/>
        <v/>
      </c>
      <c r="K109" s="44" t="str">
        <f t="shared" si="11"/>
        <v/>
      </c>
      <c r="L109" s="44" t="str">
        <f t="shared" si="12"/>
        <v/>
      </c>
      <c r="M109" s="53" t="str">
        <f t="shared" si="13"/>
        <v/>
      </c>
      <c r="N109" s="243"/>
      <c r="O109" s="244"/>
      <c r="P109" s="245"/>
      <c r="Q109" s="73"/>
      <c r="R109" s="44" t="str">
        <f t="shared" si="8"/>
        <v/>
      </c>
      <c r="S109" s="44" t="str">
        <f t="shared" si="9"/>
        <v/>
      </c>
    </row>
    <row r="110" spans="2:21" x14ac:dyDescent="0.2">
      <c r="B110" s="48"/>
      <c r="C110" s="49"/>
      <c r="D110" s="50"/>
      <c r="E110" s="39"/>
      <c r="F110" s="40"/>
      <c r="G110" s="39"/>
      <c r="H110" s="44" t="str">
        <f t="shared" si="14"/>
        <v/>
      </c>
      <c r="I110" s="52" t="str">
        <f t="shared" si="15"/>
        <v/>
      </c>
      <c r="J110" s="44" t="str">
        <f t="shared" si="10"/>
        <v/>
      </c>
      <c r="K110" s="44" t="str">
        <f t="shared" si="11"/>
        <v/>
      </c>
      <c r="L110" s="44" t="str">
        <f t="shared" si="12"/>
        <v/>
      </c>
      <c r="M110" s="53" t="str">
        <f t="shared" si="13"/>
        <v/>
      </c>
      <c r="N110" s="243"/>
      <c r="O110" s="244"/>
      <c r="P110" s="245"/>
      <c r="Q110" s="73"/>
      <c r="R110" s="44" t="str">
        <f t="shared" si="8"/>
        <v/>
      </c>
      <c r="S110" s="44" t="str">
        <f t="shared" si="9"/>
        <v/>
      </c>
    </row>
    <row r="111" spans="2:21" x14ac:dyDescent="0.2">
      <c r="B111" s="48"/>
      <c r="C111" s="49"/>
      <c r="D111" s="50"/>
      <c r="E111" s="39"/>
      <c r="F111" s="40"/>
      <c r="G111" s="39"/>
      <c r="H111" s="44" t="str">
        <f t="shared" si="14"/>
        <v/>
      </c>
      <c r="I111" s="52" t="str">
        <f t="shared" si="15"/>
        <v/>
      </c>
      <c r="J111" s="44" t="str">
        <f t="shared" si="10"/>
        <v/>
      </c>
      <c r="K111" s="44" t="str">
        <f t="shared" si="11"/>
        <v/>
      </c>
      <c r="L111" s="44" t="str">
        <f t="shared" si="12"/>
        <v/>
      </c>
      <c r="M111" s="53" t="str">
        <f t="shared" si="13"/>
        <v/>
      </c>
      <c r="N111" s="243"/>
      <c r="O111" s="244"/>
      <c r="P111" s="245"/>
      <c r="Q111" s="73"/>
      <c r="R111" s="44" t="str">
        <f t="shared" si="8"/>
        <v/>
      </c>
      <c r="S111" s="44" t="str">
        <f t="shared" si="9"/>
        <v/>
      </c>
    </row>
    <row r="112" spans="2:21" x14ac:dyDescent="0.2">
      <c r="B112" s="48"/>
      <c r="C112" s="49"/>
      <c r="D112" s="50"/>
      <c r="E112" s="39"/>
      <c r="F112" s="40"/>
      <c r="G112" s="39"/>
      <c r="H112" s="44" t="str">
        <f t="shared" si="14"/>
        <v/>
      </c>
      <c r="I112" s="52" t="str">
        <f t="shared" si="15"/>
        <v/>
      </c>
      <c r="J112" s="44" t="str">
        <f t="shared" si="10"/>
        <v/>
      </c>
      <c r="K112" s="44" t="str">
        <f t="shared" si="11"/>
        <v/>
      </c>
      <c r="L112" s="44" t="str">
        <f t="shared" si="12"/>
        <v/>
      </c>
      <c r="M112" s="53" t="str">
        <f t="shared" si="13"/>
        <v/>
      </c>
      <c r="N112" s="243"/>
      <c r="O112" s="244"/>
      <c r="P112" s="245"/>
      <c r="Q112" s="73"/>
      <c r="R112" s="44" t="str">
        <f t="shared" si="8"/>
        <v/>
      </c>
      <c r="S112" s="44" t="str">
        <f t="shared" si="9"/>
        <v/>
      </c>
    </row>
  </sheetData>
  <mergeCells count="112">
    <mergeCell ref="N110:P110"/>
    <mergeCell ref="N111:P111"/>
    <mergeCell ref="N112:P112"/>
    <mergeCell ref="N104:P104"/>
    <mergeCell ref="N105:P105"/>
    <mergeCell ref="N106:P106"/>
    <mergeCell ref="N107:P107"/>
    <mergeCell ref="N108:P108"/>
    <mergeCell ref="N109:P109"/>
    <mergeCell ref="N98:P98"/>
    <mergeCell ref="N99:P99"/>
    <mergeCell ref="N100:P100"/>
    <mergeCell ref="N101:P101"/>
    <mergeCell ref="N102:P102"/>
    <mergeCell ref="N103:P103"/>
    <mergeCell ref="N92:P92"/>
    <mergeCell ref="N93:P93"/>
    <mergeCell ref="N94:P94"/>
    <mergeCell ref="N95:P95"/>
    <mergeCell ref="N96:P96"/>
    <mergeCell ref="N97:P97"/>
    <mergeCell ref="N86:P86"/>
    <mergeCell ref="N87:P87"/>
    <mergeCell ref="N88:P88"/>
    <mergeCell ref="N89:P89"/>
    <mergeCell ref="N90:P90"/>
    <mergeCell ref="N91:P91"/>
    <mergeCell ref="N80:P80"/>
    <mergeCell ref="N81:P81"/>
    <mergeCell ref="N82:P82"/>
    <mergeCell ref="N83:P83"/>
    <mergeCell ref="N84:P84"/>
    <mergeCell ref="N85:P85"/>
    <mergeCell ref="N70:P70"/>
    <mergeCell ref="N71:P71"/>
    <mergeCell ref="N72:P72"/>
    <mergeCell ref="N73:P73"/>
    <mergeCell ref="N74:P74"/>
    <mergeCell ref="N75:P75"/>
    <mergeCell ref="N64:P64"/>
    <mergeCell ref="N65:P65"/>
    <mergeCell ref="N66:P66"/>
    <mergeCell ref="N67:P67"/>
    <mergeCell ref="N68:P68"/>
    <mergeCell ref="N69:P69"/>
    <mergeCell ref="N58:P58"/>
    <mergeCell ref="N59:P59"/>
    <mergeCell ref="N60:P60"/>
    <mergeCell ref="N61:P61"/>
    <mergeCell ref="N62:P62"/>
    <mergeCell ref="N63:P63"/>
    <mergeCell ref="N52:P52"/>
    <mergeCell ref="N53:P53"/>
    <mergeCell ref="N54:P54"/>
    <mergeCell ref="N55:P55"/>
    <mergeCell ref="N56:P56"/>
    <mergeCell ref="N57:P57"/>
    <mergeCell ref="N46:P46"/>
    <mergeCell ref="N47:P47"/>
    <mergeCell ref="N48:P48"/>
    <mergeCell ref="N49:P49"/>
    <mergeCell ref="N50:P50"/>
    <mergeCell ref="N51:P51"/>
    <mergeCell ref="N40:P40"/>
    <mergeCell ref="N41:P41"/>
    <mergeCell ref="N42:P42"/>
    <mergeCell ref="N43:P43"/>
    <mergeCell ref="N44:P44"/>
    <mergeCell ref="N45:P45"/>
    <mergeCell ref="N33:P33"/>
    <mergeCell ref="N35:P35"/>
    <mergeCell ref="N36:P36"/>
    <mergeCell ref="N37:P37"/>
    <mergeCell ref="N38:P38"/>
    <mergeCell ref="N39:P39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11:P11"/>
    <mergeCell ref="N12:P12"/>
    <mergeCell ref="N13:P13"/>
    <mergeCell ref="N14:P14"/>
    <mergeCell ref="K4:M4"/>
    <mergeCell ref="N4:P4"/>
    <mergeCell ref="N5:P5"/>
    <mergeCell ref="N6:P6"/>
    <mergeCell ref="N7:P7"/>
    <mergeCell ref="N8:P8"/>
    <mergeCell ref="D1:G1"/>
    <mergeCell ref="H1:M1"/>
    <mergeCell ref="N1:P1"/>
    <mergeCell ref="Q1:S1"/>
    <mergeCell ref="D2:P3"/>
    <mergeCell ref="R2:S2"/>
    <mergeCell ref="R3:S3"/>
    <mergeCell ref="N9:P9"/>
    <mergeCell ref="N10:P10"/>
  </mergeCells>
  <printOptions horizontalCentered="1"/>
  <pageMargins left="0.19" right="0.46" top="0.32" bottom="0.54" header="0.35" footer="0.43307086614173229"/>
  <pageSetup paperSize="9" scale="9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69</vt:i4>
      </vt:variant>
    </vt:vector>
  </HeadingPairs>
  <TitlesOfParts>
    <vt:vector size="138" baseType="lpstr">
      <vt:lpstr>POOH MWD Run11 (2)</vt:lpstr>
      <vt:lpstr>RIH Clean out run</vt:lpstr>
      <vt:lpstr>POOH WS</vt:lpstr>
      <vt:lpstr>POOH MWD Run11</vt:lpstr>
      <vt:lpstr>RIH MWD Run11</vt:lpstr>
      <vt:lpstr>POOH MWD Run10 (2)</vt:lpstr>
      <vt:lpstr>RIH MWD Run10</vt:lpstr>
      <vt:lpstr>POOH MWD Run09</vt:lpstr>
      <vt:lpstr>RIH MWD Run09</vt:lpstr>
      <vt:lpstr>BOP test</vt:lpstr>
      <vt:lpstr>Clean BOP DY2H</vt:lpstr>
      <vt:lpstr>POOH Mill</vt:lpstr>
      <vt:lpstr>RIH Whipstock</vt:lpstr>
      <vt:lpstr>RIH Junction</vt:lpstr>
      <vt:lpstr>RIH&amp;POOH Deflector</vt:lpstr>
      <vt:lpstr>POOH Clean ML area</vt:lpstr>
      <vt:lpstr>Clean ML area</vt:lpstr>
      <vt:lpstr>POOH screen drop 2 DY2H</vt:lpstr>
      <vt:lpstr>RIH screen drop 2 DY2H</vt:lpstr>
      <vt:lpstr>POOH screen drop 1 DY2H</vt:lpstr>
      <vt:lpstr>RIH_screens_Drop1 DY2H</vt:lpstr>
      <vt:lpstr>BOP test DY2H</vt:lpstr>
      <vt:lpstr>POOH 8.5 Drilling RUN 8</vt:lpstr>
      <vt:lpstr>RIH 8.5 Drilling RUN 8 </vt:lpstr>
      <vt:lpstr>POOH 8.5 Drilling RUN 7</vt:lpstr>
      <vt:lpstr>RIH 8.5 drilling (2)</vt:lpstr>
      <vt:lpstr>POOH 8.5 Drilling RUN 6</vt:lpstr>
      <vt:lpstr>RIH 8.5 Drilling </vt:lpstr>
      <vt:lpstr>WOW fill well</vt:lpstr>
      <vt:lpstr>POOH MWD_05 DY2H</vt:lpstr>
      <vt:lpstr>RIH 8.5 drilling</vt:lpstr>
      <vt:lpstr>Test BOP</vt:lpstr>
      <vt:lpstr>POOH Mill#2</vt:lpstr>
      <vt:lpstr>RIH Mill#2</vt:lpstr>
      <vt:lpstr>POOHafter mill#1</vt:lpstr>
      <vt:lpstr>RIH with whipstock</vt:lpstr>
      <vt:lpstr>PPOH with RT</vt:lpstr>
      <vt:lpstr>RIH_screens</vt:lpstr>
      <vt:lpstr>POOH MWD_04 DY1H (2)</vt:lpstr>
      <vt:lpstr>Cure losses</vt:lpstr>
      <vt:lpstr>RIH_MWD_04 DY1H</vt:lpstr>
      <vt:lpstr>POOH MWD_03 DY1H</vt:lpstr>
      <vt:lpstr>RIH 8.5in BHA DY1H</vt:lpstr>
      <vt:lpstr>POOH 8 58 Exp Liner (2)</vt:lpstr>
      <vt:lpstr>RIH 8 58 Exp Liner</vt:lpstr>
      <vt:lpstr>Circ BU and POOH MWD02</vt:lpstr>
      <vt:lpstr>mwd02</vt:lpstr>
      <vt:lpstr>Clean BOP</vt:lpstr>
      <vt:lpstr>RIH WS and Mill</vt:lpstr>
      <vt:lpstr>Cleanout</vt:lpstr>
      <vt:lpstr>RIH to pull IP</vt:lpstr>
      <vt:lpstr>POOH IP</vt:lpstr>
      <vt:lpstr>RIH mill_spear_2</vt:lpstr>
      <vt:lpstr>RIH mill_spear</vt:lpstr>
      <vt:lpstr>RIH taper mill</vt:lpstr>
      <vt:lpstr>RIH fish hook</vt:lpstr>
      <vt:lpstr>RIH spear 4</vt:lpstr>
      <vt:lpstr>RIH cutter_run5</vt:lpstr>
      <vt:lpstr>RIH spear 3</vt:lpstr>
      <vt:lpstr>RIH cutter_run4</vt:lpstr>
      <vt:lpstr>RIH spear 2</vt:lpstr>
      <vt:lpstr>RIH cutter_run3</vt:lpstr>
      <vt:lpstr>RIH cutter_run2</vt:lpstr>
      <vt:lpstr>RIH spear</vt:lpstr>
      <vt:lpstr>RIH cutter</vt:lpstr>
      <vt:lpstr>RIH Guns run#2</vt:lpstr>
      <vt:lpstr>RIH Guns</vt:lpstr>
      <vt:lpstr>POOH ME Plug</vt:lpstr>
      <vt:lpstr>Kill well_Pull Plug</vt:lpstr>
      <vt:lpstr>'BOP test'!Print_Area</vt:lpstr>
      <vt:lpstr>'BOP test DY2H'!Print_Area</vt:lpstr>
      <vt:lpstr>'Circ BU and POOH MWD02'!Print_Area</vt:lpstr>
      <vt:lpstr>'Clean BOP'!Print_Area</vt:lpstr>
      <vt:lpstr>'Clean BOP DY2H'!Print_Area</vt:lpstr>
      <vt:lpstr>'Clean ML area'!Print_Area</vt:lpstr>
      <vt:lpstr>Cleanout!Print_Area</vt:lpstr>
      <vt:lpstr>'Cure losses'!Print_Area</vt:lpstr>
      <vt:lpstr>'Kill well_Pull Plug'!Print_Area</vt:lpstr>
      <vt:lpstr>'mwd02'!Print_Area</vt:lpstr>
      <vt:lpstr>'POOH 8 58 Exp Liner (2)'!Print_Area</vt:lpstr>
      <vt:lpstr>'POOH 8.5 Drilling RUN 6'!Print_Area</vt:lpstr>
      <vt:lpstr>'POOH 8.5 Drilling RUN 7'!Print_Area</vt:lpstr>
      <vt:lpstr>'POOH 8.5 Drilling RUN 8'!Print_Area</vt:lpstr>
      <vt:lpstr>'POOH Clean ML area'!Print_Area</vt:lpstr>
      <vt:lpstr>'POOH IP'!Print_Area</vt:lpstr>
      <vt:lpstr>'POOH ME Plug'!Print_Area</vt:lpstr>
      <vt:lpstr>'POOH Mill'!Print_Area</vt:lpstr>
      <vt:lpstr>'POOH Mill#2'!Print_Area</vt:lpstr>
      <vt:lpstr>'POOH MWD Run09'!Print_Area</vt:lpstr>
      <vt:lpstr>'POOH MWD Run10 (2)'!Print_Area</vt:lpstr>
      <vt:lpstr>'POOH MWD Run11'!Print_Area</vt:lpstr>
      <vt:lpstr>'POOH MWD Run11 (2)'!Print_Area</vt:lpstr>
      <vt:lpstr>'POOH MWD_03 DY1H'!Print_Area</vt:lpstr>
      <vt:lpstr>'POOH MWD_04 DY1H (2)'!Print_Area</vt:lpstr>
      <vt:lpstr>'POOH MWD_05 DY2H'!Print_Area</vt:lpstr>
      <vt:lpstr>'POOH screen drop 1 DY2H'!Print_Area</vt:lpstr>
      <vt:lpstr>'POOH screen drop 2 DY2H'!Print_Area</vt:lpstr>
      <vt:lpstr>'POOH WS'!Print_Area</vt:lpstr>
      <vt:lpstr>'POOHafter mill#1'!Print_Area</vt:lpstr>
      <vt:lpstr>'PPOH with RT'!Print_Area</vt:lpstr>
      <vt:lpstr>'RIH 8 58 Exp Liner'!Print_Area</vt:lpstr>
      <vt:lpstr>'RIH 8.5 drilling'!Print_Area</vt:lpstr>
      <vt:lpstr>'RIH 8.5 Drilling '!Print_Area</vt:lpstr>
      <vt:lpstr>'RIH 8.5 drilling (2)'!Print_Area</vt:lpstr>
      <vt:lpstr>'RIH 8.5 Drilling RUN 8 '!Print_Area</vt:lpstr>
      <vt:lpstr>'RIH 8.5in BHA DY1H'!Print_Area</vt:lpstr>
      <vt:lpstr>'RIH Clean out run'!Print_Area</vt:lpstr>
      <vt:lpstr>'RIH cutter'!Print_Area</vt:lpstr>
      <vt:lpstr>'RIH cutter_run2'!Print_Area</vt:lpstr>
      <vt:lpstr>'RIH cutter_run3'!Print_Area</vt:lpstr>
      <vt:lpstr>'RIH cutter_run4'!Print_Area</vt:lpstr>
      <vt:lpstr>'RIH cutter_run5'!Print_Area</vt:lpstr>
      <vt:lpstr>'RIH fish hook'!Print_Area</vt:lpstr>
      <vt:lpstr>'RIH Guns'!Print_Area</vt:lpstr>
      <vt:lpstr>'RIH Guns run#2'!Print_Area</vt:lpstr>
      <vt:lpstr>'RIH Junction'!Print_Area</vt:lpstr>
      <vt:lpstr>'RIH Mill#2'!Print_Area</vt:lpstr>
      <vt:lpstr>'RIH mill_spear'!Print_Area</vt:lpstr>
      <vt:lpstr>'RIH mill_spear_2'!Print_Area</vt:lpstr>
      <vt:lpstr>'RIH MWD Run09'!Print_Area</vt:lpstr>
      <vt:lpstr>'RIH MWD Run10'!Print_Area</vt:lpstr>
      <vt:lpstr>'RIH MWD Run11'!Print_Area</vt:lpstr>
      <vt:lpstr>'RIH screen drop 2 DY2H'!Print_Area</vt:lpstr>
      <vt:lpstr>'RIH spear'!Print_Area</vt:lpstr>
      <vt:lpstr>'RIH spear 2'!Print_Area</vt:lpstr>
      <vt:lpstr>'RIH spear 3'!Print_Area</vt:lpstr>
      <vt:lpstr>'RIH spear 4'!Print_Area</vt:lpstr>
      <vt:lpstr>'RIH taper mill'!Print_Area</vt:lpstr>
      <vt:lpstr>'RIH to pull IP'!Print_Area</vt:lpstr>
      <vt:lpstr>'RIH Whipstock'!Print_Area</vt:lpstr>
      <vt:lpstr>'RIH with whipstock'!Print_Area</vt:lpstr>
      <vt:lpstr>'RIH WS and Mill'!Print_Area</vt:lpstr>
      <vt:lpstr>'RIH&amp;POOH Deflector'!Print_Area</vt:lpstr>
      <vt:lpstr>'RIH_MWD_04 DY1H'!Print_Area</vt:lpstr>
      <vt:lpstr>RIH_screens!Print_Area</vt:lpstr>
      <vt:lpstr>'RIH_screens_Drop1 DY2H'!Print_Area</vt:lpstr>
      <vt:lpstr>'Test BOP'!Print_Area</vt:lpstr>
      <vt:lpstr>'WOW fill well'!Print_Area</vt:lpstr>
    </vt:vector>
  </TitlesOfParts>
  <Company>Baker Hughes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ARTE02</dc:creator>
  <cp:lastModifiedBy>Ulriksen, Frode</cp:lastModifiedBy>
  <dcterms:created xsi:type="dcterms:W3CDTF">2021-12-22T18:50:30Z</dcterms:created>
  <dcterms:modified xsi:type="dcterms:W3CDTF">2022-04-09T12:27:18Z</dcterms:modified>
</cp:coreProperties>
</file>