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is\2021\P04\"/>
    </mc:Choice>
  </mc:AlternateContent>
  <xr:revisionPtr revIDLastSave="0" documentId="13_ncr:1_{4A56E336-D155-4291-8410-4E712FE9838B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Overall" sheetId="1" r:id="rId1"/>
    <sheet name="Bilal 2020" sheetId="2" r:id="rId2"/>
    <sheet name="Bilal 2021" sheetId="3" r:id="rId3"/>
  </sheets>
  <definedNames>
    <definedName name="MNGMNT">Overall!$Q$2</definedName>
    <definedName name="RENT">Overall!$Q$1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" i="1" l="1"/>
  <c r="G6" i="1" s="1"/>
  <c r="I3" i="1" l="1"/>
  <c r="A23" i="1"/>
  <c r="C23" i="1"/>
  <c r="J3" i="1"/>
  <c r="A19" i="1" l="1"/>
  <c r="M8" i="1" l="1"/>
  <c r="R23" i="1" s="1"/>
  <c r="L8" i="1"/>
  <c r="Q23" i="1" s="1"/>
  <c r="E4" i="2"/>
  <c r="D4" i="2"/>
  <c r="A2" i="3"/>
  <c r="B2" i="3"/>
  <c r="H5" i="3" s="1"/>
  <c r="C16" i="1"/>
  <c r="C5" i="1"/>
  <c r="A13" i="1"/>
  <c r="E2" i="1" l="1"/>
  <c r="G2" i="1" s="1"/>
  <c r="T9" i="1"/>
  <c r="R22" i="1"/>
  <c r="Q22" i="1"/>
  <c r="X21" i="1"/>
  <c r="X19" i="1"/>
  <c r="X17" i="1"/>
  <c r="X15" i="1"/>
  <c r="X13" i="1"/>
  <c r="X12" i="1"/>
  <c r="X11" i="1"/>
  <c r="L3" i="1"/>
  <c r="Q10" i="1" s="1"/>
  <c r="Q4" i="1"/>
  <c r="Q2" i="1"/>
  <c r="G4" i="3" s="1"/>
  <c r="W21" i="1" s="1"/>
  <c r="Y21" i="1" s="1"/>
  <c r="D7" i="3"/>
  <c r="Q21" i="1" s="1"/>
  <c r="D5" i="3"/>
  <c r="Q19" i="1" s="1"/>
  <c r="D3" i="3"/>
  <c r="Q17" i="1" s="1"/>
  <c r="D5" i="2"/>
  <c r="D3" i="2"/>
  <c r="D2" i="2"/>
  <c r="Q12" i="1" s="1"/>
  <c r="S12" i="1" s="1"/>
  <c r="Q14" i="1"/>
  <c r="R21" i="1"/>
  <c r="R20" i="1"/>
  <c r="Q20" i="1"/>
  <c r="H4" i="3"/>
  <c r="H5" i="2"/>
  <c r="R17" i="1"/>
  <c r="Q18" i="1"/>
  <c r="R18" i="1"/>
  <c r="R19" i="1"/>
  <c r="R16" i="1"/>
  <c r="Q16" i="1"/>
  <c r="R15" i="1"/>
  <c r="R13" i="1"/>
  <c r="R12" i="1"/>
  <c r="R11" i="1"/>
  <c r="R10" i="1"/>
  <c r="L5" i="1"/>
  <c r="M5" i="1"/>
  <c r="R6" i="1"/>
  <c r="Q6" i="1"/>
  <c r="R5" i="1"/>
  <c r="M4" i="1"/>
  <c r="M3" i="1"/>
  <c r="H3" i="3"/>
  <c r="R14" i="1"/>
  <c r="H2" i="3"/>
  <c r="K3" i="3"/>
  <c r="L2" i="3"/>
  <c r="L1" i="3"/>
  <c r="H1" i="3"/>
  <c r="E1" i="3"/>
  <c r="B1" i="3"/>
  <c r="A1" i="3"/>
  <c r="L2" i="1" l="1"/>
  <c r="G7" i="2"/>
  <c r="W12" i="1" s="1"/>
  <c r="Y12" i="1" s="1"/>
  <c r="G8" i="2"/>
  <c r="W13" i="1" s="1"/>
  <c r="Y13" i="1" s="1"/>
  <c r="G6" i="2"/>
  <c r="W11" i="1" s="1"/>
  <c r="G9" i="2"/>
  <c r="W15" i="1" s="1"/>
  <c r="Y15" i="1" s="1"/>
  <c r="G2" i="3"/>
  <c r="W17" i="1" s="1"/>
  <c r="Y17" i="1" s="1"/>
  <c r="G3" i="3"/>
  <c r="W19" i="1" s="1"/>
  <c r="Y19" i="1" s="1"/>
  <c r="S21" i="1"/>
  <c r="S19" i="1"/>
  <c r="S17" i="1"/>
  <c r="Q5" i="1"/>
  <c r="D1" i="3"/>
  <c r="W9" i="1" l="1"/>
  <c r="X9" i="1" s="1"/>
  <c r="Y11" i="1"/>
  <c r="Q7" i="1"/>
  <c r="G5" i="2" s="1"/>
  <c r="G4" i="2"/>
  <c r="H9" i="2"/>
  <c r="H8" i="2"/>
  <c r="H7" i="2"/>
  <c r="Q15" i="1"/>
  <c r="S15" i="1" s="1"/>
  <c r="Q13" i="1" l="1"/>
  <c r="S13" i="1" l="1"/>
  <c r="A11" i="1"/>
  <c r="B3" i="2"/>
  <c r="B2" i="2"/>
  <c r="A3" i="2"/>
  <c r="A2" i="2"/>
  <c r="I2" i="1" l="1"/>
  <c r="J2" i="1"/>
  <c r="Q11" i="1"/>
  <c r="Q9" i="1" s="1"/>
  <c r="S9" i="1" s="1"/>
  <c r="G1" i="3"/>
  <c r="E3" i="1" l="1"/>
  <c r="G3" i="1" s="1"/>
  <c r="G4" i="1" s="1"/>
  <c r="D1" i="2"/>
  <c r="A1" i="2" l="1"/>
  <c r="G1" i="2" l="1"/>
  <c r="K1" i="2" s="1"/>
  <c r="K2" i="2" l="1"/>
  <c r="K1" i="3"/>
  <c r="K2" i="3" s="1"/>
  <c r="E4" i="1"/>
  <c r="I6" i="1" s="1"/>
  <c r="E5" i="1" l="1"/>
  <c r="G5" i="1"/>
  <c r="M2" i="1" l="1"/>
</calcChain>
</file>

<file path=xl/sharedStrings.xml><?xml version="1.0" encoding="utf-8"?>
<sst xmlns="http://schemas.openxmlformats.org/spreadsheetml/2006/main" count="60" uniqueCount="56">
  <si>
    <t>Amount</t>
  </si>
  <si>
    <t>Date</t>
  </si>
  <si>
    <t>Description</t>
  </si>
  <si>
    <t>Cost</t>
  </si>
  <si>
    <t>Revenue</t>
  </si>
  <si>
    <t>Buying the house</t>
  </si>
  <si>
    <t>Bilal Bourhani</t>
  </si>
  <si>
    <t>Water bill</t>
  </si>
  <si>
    <t>From REIS</t>
  </si>
  <si>
    <t>Requested</t>
  </si>
  <si>
    <t>Credit and bank transfer</t>
  </si>
  <si>
    <t>Cash</t>
  </si>
  <si>
    <t>Rental Maintinance</t>
  </si>
  <si>
    <t xml:space="preserve">Rental Commission </t>
  </si>
  <si>
    <t>Sept mgnt fee</t>
  </si>
  <si>
    <t>Oct mgnt fee</t>
  </si>
  <si>
    <t>Rent</t>
  </si>
  <si>
    <t>https://1drv.ms/u/s!AriNW7CmNe9ygiS94qBLVgw3qSs7?e=qcM2RD</t>
  </si>
  <si>
    <t>Remaining</t>
  </si>
  <si>
    <t>Months</t>
  </si>
  <si>
    <t>Nov mgnt fee</t>
  </si>
  <si>
    <t>2020 taxes #1</t>
  </si>
  <si>
    <t>2020 taxes #2</t>
  </si>
  <si>
    <t>Dec mgnt fee</t>
  </si>
  <si>
    <t>Jan mgnt fee</t>
  </si>
  <si>
    <t>2020 HOA</t>
  </si>
  <si>
    <t>Feb mgnt fee</t>
  </si>
  <si>
    <t>Rent/Deposit</t>
  </si>
  <si>
    <t>Tenant</t>
  </si>
  <si>
    <t>1-month deposit</t>
  </si>
  <si>
    <t>Pet deposit</t>
  </si>
  <si>
    <t>Deposit</t>
  </si>
  <si>
    <t>Commissions</t>
  </si>
  <si>
    <t>Commission</t>
  </si>
  <si>
    <t>Rent + Deposit - Commission</t>
  </si>
  <si>
    <t>No pet deposit</t>
  </si>
  <si>
    <t>Mar mgnt fee</t>
  </si>
  <si>
    <t>Mangement</t>
  </si>
  <si>
    <t>Repay part of deposit</t>
  </si>
  <si>
    <t>Repay rest of deposit</t>
  </si>
  <si>
    <t>Deposit payed back</t>
  </si>
  <si>
    <t>Rent : Aug 2020 - Mar 2021</t>
  </si>
  <si>
    <t>Mgmt : Aug 2020 - Mar 2021</t>
  </si>
  <si>
    <t>Income</t>
  </si>
  <si>
    <t>ROI</t>
  </si>
  <si>
    <t>MF</t>
  </si>
  <si>
    <t>HOA</t>
  </si>
  <si>
    <t>Gas</t>
  </si>
  <si>
    <t>Sale prep</t>
  </si>
  <si>
    <t>Sale</t>
  </si>
  <si>
    <t>IRR</t>
  </si>
  <si>
    <t>Deposit to bilal</t>
  </si>
  <si>
    <t>Bilal: expensses + commission</t>
  </si>
  <si>
    <t>Electric bill</t>
  </si>
  <si>
    <t>2021 Revenue</t>
  </si>
  <si>
    <t>Title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</si>
</sst>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[$$]#,##0.00\ ;[Red]\([$$]#,##0.00\)"/>
    <numFmt numFmtId="165" formatCode="yyyy\-mm\-dd"/>
    <numFmt numFmtId="166" formatCode="[$$-380A]\ #,##0.00;[Red]\-[$$-380A]\ #,##0.00"/>
    <numFmt numFmtId="167" formatCode="0.000"/>
    <numFmt numFmtId="168" formatCode="0.0000%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9" fontId="1" fillId="0" borderId="0" xfId="0" applyNumberFormat="1" applyFont="1" applyAlignment="1">
      <alignment horizontal="center"/>
    </xf>
    <xf numFmtId="8" fontId="0" fillId="0" borderId="0" xfId="0" applyNumberFormat="1"/>
    <xf numFmtId="8" fontId="2" fillId="0" borderId="0" xfId="0" applyNumberFormat="1" applyFont="1"/>
    <xf numFmtId="0" fontId="3" fillId="0" borderId="0" xfId="0" applyFont="1"/>
    <xf numFmtId="14" fontId="0" fillId="0" borderId="0" xfId="0" applyNumberFormat="1"/>
    <xf numFmtId="8" fontId="1" fillId="0" borderId="0" xfId="0" applyNumberFormat="1" applyFont="1"/>
    <xf numFmtId="0" fontId="4" fillId="0" borderId="0" xfId="1"/>
    <xf numFmtId="0" fontId="1" fillId="0" borderId="0" xfId="0" applyFont="1" applyAlignment="1">
      <alignment horizontal="left"/>
    </xf>
    <xf numFmtId="166" fontId="0" fillId="0" borderId="0" xfId="0" applyNumberFormat="1"/>
    <xf numFmtId="17" fontId="0" fillId="0" borderId="0" xfId="0" applyNumberFormat="1"/>
    <xf numFmtId="164" fontId="3" fillId="0" borderId="0" xfId="0" applyNumberFormat="1" applyFont="1"/>
    <xf numFmtId="9" fontId="0" fillId="0" borderId="0" xfId="0" applyNumberFormat="1"/>
    <xf numFmtId="0" fontId="0" fillId="0" borderId="0" xfId="0" applyFont="1"/>
    <xf numFmtId="10" fontId="0" fillId="0" borderId="0" xfId="0" applyNumberFormat="1"/>
    <xf numFmtId="14" fontId="3" fillId="0" borderId="0" xfId="0" applyNumberFormat="1" applyFon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1drv.ms/u/s!AriNW7CmNe9ygiS94qBLVgw3qSs7?e=qcM2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4"/>
  <sheetViews>
    <sheetView tabSelected="1" zoomScaleNormal="100" workbookViewId="0">
      <selection activeCell="A22" sqref="A22:A23"/>
    </sheetView>
  </sheetViews>
  <sheetFormatPr defaultColWidth="11.5703125" defaultRowHeight="15" x14ac:dyDescent="0.25"/>
  <cols>
    <col min="1" max="1" width="13.28515625" style="1" customWidth="1"/>
    <col min="2" max="2" width="11.28515625" style="1" customWidth="1"/>
    <col min="3" max="3" width="28.140625" style="2" bestFit="1" customWidth="1"/>
    <col min="4" max="4" width="7.42578125" style="2" customWidth="1"/>
    <col min="5" max="5" width="11.5703125" style="2" bestFit="1" customWidth="1"/>
    <col min="6" max="7" width="11.5703125" style="2" customWidth="1"/>
    <col min="8" max="8" width="7.7109375" style="2" customWidth="1"/>
    <col min="9" max="9" width="13.28515625" style="2" bestFit="1" customWidth="1"/>
    <col min="10" max="10" width="11.7109375" style="2" customWidth="1"/>
    <col min="11" max="11" width="6" style="2" customWidth="1"/>
    <col min="12" max="12" width="10.5703125" style="2" bestFit="1" customWidth="1"/>
    <col min="13" max="13" width="10.42578125" style="2" bestFit="1" customWidth="1"/>
    <col min="14" max="14" width="20.140625" style="2" bestFit="1" customWidth="1"/>
    <col min="15" max="15" width="4.140625" style="2" customWidth="1"/>
    <col min="16" max="16" width="25.7109375" style="2" bestFit="1" customWidth="1"/>
    <col min="17" max="17" width="10.5703125" style="2" bestFit="1" customWidth="1"/>
    <col min="18" max="18" width="10.42578125" style="2" bestFit="1" customWidth="1"/>
    <col min="19" max="19" width="12.7109375" style="2" bestFit="1" customWidth="1"/>
    <col min="20" max="20" width="10.42578125" style="2" bestFit="1" customWidth="1"/>
    <col min="21" max="21" width="8.7109375" style="2" customWidth="1"/>
    <col min="22" max="22" width="11.85546875" style="2" bestFit="1" customWidth="1"/>
    <col min="23" max="23" width="9.5703125" style="2" bestFit="1" customWidth="1"/>
    <col min="24" max="24" width="10.42578125" style="2" bestFit="1" customWidth="1"/>
    <col min="25" max="61" width="8.7109375" style="2" customWidth="1"/>
    <col min="62" max="63" width="8.7109375" customWidth="1"/>
  </cols>
  <sheetData>
    <row r="1" spans="1:61" x14ac:dyDescent="0.25">
      <c r="A1" s="3" t="s">
        <v>0</v>
      </c>
      <c r="B1" s="3" t="s">
        <v>1</v>
      </c>
      <c r="C1" s="3" t="s">
        <v>2</v>
      </c>
      <c r="D1" s="3"/>
      <c r="F1" s="3"/>
      <c r="G1" s="3"/>
      <c r="H1" s="3"/>
      <c r="I1" s="5" t="s">
        <v>43</v>
      </c>
      <c r="J1" s="5"/>
      <c r="K1" s="3"/>
      <c r="L1" s="3" t="s">
        <v>31</v>
      </c>
      <c r="M1" s="3"/>
      <c r="N1" s="3"/>
      <c r="O1" s="3"/>
      <c r="P1" s="12" t="s">
        <v>41</v>
      </c>
      <c r="Q1" s="6">
        <v>2400</v>
      </c>
      <c r="R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x14ac:dyDescent="0.25">
      <c r="A2" s="1">
        <v>-203109</v>
      </c>
      <c r="B2" s="4">
        <v>43889</v>
      </c>
      <c r="C2" s="2" t="s">
        <v>5</v>
      </c>
      <c r="E2" s="1">
        <f>-SUM(A2:A8)</f>
        <v>231725.77000000002</v>
      </c>
      <c r="F2" s="2" t="s">
        <v>3</v>
      </c>
      <c r="G2" s="4">
        <f>-SUMPRODUCT(A2:A8,B2:B8)/E2</f>
        <v>43907.393485109576</v>
      </c>
      <c r="H2" s="4"/>
      <c r="I2" s="1">
        <f>SUM(A9:A11)</f>
        <v>3000</v>
      </c>
      <c r="J2" s="4">
        <f>SUMPRODUCT(A9:A11,B9:B11)/I2</f>
        <v>44067.6</v>
      </c>
      <c r="L2" s="6">
        <f>SUM(L3:L8)</f>
        <v>0</v>
      </c>
      <c r="M2" s="4">
        <f>M8</f>
        <v>44281</v>
      </c>
      <c r="N2" s="2" t="s">
        <v>40</v>
      </c>
      <c r="P2" s="12" t="s">
        <v>42</v>
      </c>
      <c r="Q2" s="1">
        <f>0.1*RENT</f>
        <v>240</v>
      </c>
    </row>
    <row r="3" spans="1:61" x14ac:dyDescent="0.25">
      <c r="A3" s="1">
        <v>-12000</v>
      </c>
      <c r="B3" s="4">
        <v>43892</v>
      </c>
      <c r="C3" s="2" t="s">
        <v>6</v>
      </c>
      <c r="E3" s="1">
        <f>I2+I3</f>
        <v>292265.74000000005</v>
      </c>
      <c r="F3" s="2" t="s">
        <v>43</v>
      </c>
      <c r="G3" s="4">
        <f>SUMPRODUCT(I2:I3,J2:J3)/E3</f>
        <v>44408.399198174913</v>
      </c>
      <c r="H3" s="1"/>
      <c r="I3" s="1">
        <f>SUM(A12:A23)</f>
        <v>289265.74000000005</v>
      </c>
      <c r="J3" s="4">
        <f>SUMPRODUCT(A12:A22,B12:B22)/I3</f>
        <v>44411.933656125329</v>
      </c>
      <c r="L3" s="6">
        <f>RENT</f>
        <v>2400</v>
      </c>
      <c r="M3" s="9">
        <f>B9</f>
        <v>44046</v>
      </c>
      <c r="N3" s="2" t="s">
        <v>29</v>
      </c>
    </row>
    <row r="4" spans="1:61" x14ac:dyDescent="0.25">
      <c r="A4" s="1">
        <v>-175</v>
      </c>
      <c r="B4" s="4">
        <v>43894</v>
      </c>
      <c r="C4" s="2" t="s">
        <v>7</v>
      </c>
      <c r="E4" s="13">
        <f>E3-E2</f>
        <v>60539.97000000003</v>
      </c>
      <c r="F4" s="2" t="s">
        <v>4</v>
      </c>
      <c r="G4" s="20">
        <f>YEARFRAC(G2,G3)</f>
        <v>1.3722222222222222</v>
      </c>
      <c r="L4" s="6">
        <v>400</v>
      </c>
      <c r="M4" s="4">
        <f>B9</f>
        <v>44046</v>
      </c>
      <c r="N4" s="2" t="s">
        <v>30</v>
      </c>
      <c r="P4" s="12" t="s">
        <v>32</v>
      </c>
      <c r="Q4" s="1">
        <f>RENT</f>
        <v>2400</v>
      </c>
    </row>
    <row r="5" spans="1:61" x14ac:dyDescent="0.25">
      <c r="A5" s="1">
        <v>-10000</v>
      </c>
      <c r="B5" s="4">
        <v>44130</v>
      </c>
      <c r="C5" s="2" t="str">
        <f>C$3</f>
        <v>Bilal Bourhani</v>
      </c>
      <c r="E5" s="16">
        <f>E4/E2</f>
        <v>0.26125695903394786</v>
      </c>
      <c r="F5" s="17" t="s">
        <v>44</v>
      </c>
      <c r="G5" s="13" t="b">
        <f>E4=SUM(A2:A23)</f>
        <v>1</v>
      </c>
      <c r="I5" s="22"/>
      <c r="J5" s="22"/>
      <c r="K5" s="22"/>
      <c r="L5" s="6">
        <f>-L4</f>
        <v>-400</v>
      </c>
      <c r="M5" s="4">
        <f>B11</f>
        <v>44075</v>
      </c>
      <c r="N5" s="8" t="s">
        <v>35</v>
      </c>
      <c r="Q5" s="1">
        <f>Q4-A9</f>
        <v>1200</v>
      </c>
      <c r="R5" s="4">
        <f>B9</f>
        <v>44046</v>
      </c>
    </row>
    <row r="6" spans="1:61" x14ac:dyDescent="0.25">
      <c r="A6" s="1">
        <v>-5344.64</v>
      </c>
      <c r="B6" s="4">
        <v>44169</v>
      </c>
      <c r="C6" s="2" t="s">
        <v>21</v>
      </c>
      <c r="E6" s="16">
        <f>XIRR(A2:A23,B2:B23)</f>
        <v>0.20049565434455874</v>
      </c>
      <c r="F6" s="17" t="s">
        <v>50</v>
      </c>
      <c r="G6" s="2" t="b">
        <f>ABS(POWER(1+E5,1/G4)-1-E6)&lt;1.7%</f>
        <v>1</v>
      </c>
      <c r="I6" s="1">
        <f>E4-I2</f>
        <v>57539.97000000003</v>
      </c>
      <c r="J6" s="9" t="s">
        <v>54</v>
      </c>
      <c r="L6" s="6">
        <v>600</v>
      </c>
      <c r="M6" s="9">
        <v>44155</v>
      </c>
      <c r="N6" s="8" t="s">
        <v>51</v>
      </c>
      <c r="Q6" s="1">
        <f>-A10</f>
        <v>600</v>
      </c>
      <c r="R6" s="4">
        <f>B10</f>
        <v>44054</v>
      </c>
    </row>
    <row r="7" spans="1:61" x14ac:dyDescent="0.25">
      <c r="A7" s="1">
        <v>-819.18</v>
      </c>
      <c r="B7" s="4">
        <v>44169</v>
      </c>
      <c r="C7" s="8" t="s">
        <v>22</v>
      </c>
      <c r="I7" s="1"/>
      <c r="L7" s="1">
        <v>-2400</v>
      </c>
      <c r="M7" s="4">
        <v>44267</v>
      </c>
      <c r="N7" s="8" t="s">
        <v>38</v>
      </c>
      <c r="Q7" s="1">
        <f>Q4-Q5-Q6</f>
        <v>600</v>
      </c>
      <c r="R7" s="9">
        <v>44107</v>
      </c>
    </row>
    <row r="8" spans="1:61" s="2" customFormat="1" x14ac:dyDescent="0.25">
      <c r="A8" s="1">
        <v>-277.95</v>
      </c>
      <c r="B8" s="4">
        <v>44211</v>
      </c>
      <c r="C8" s="8" t="s">
        <v>25</v>
      </c>
      <c r="I8" s="13"/>
      <c r="J8" s="19"/>
      <c r="L8" s="6">
        <f>A12</f>
        <v>-600</v>
      </c>
      <c r="M8" s="4">
        <f>B12</f>
        <v>44281</v>
      </c>
      <c r="N8" s="8" t="s">
        <v>39</v>
      </c>
      <c r="Q8" s="1"/>
    </row>
    <row r="9" spans="1:61" x14ac:dyDescent="0.25">
      <c r="A9" s="1">
        <v>1200</v>
      </c>
      <c r="B9" s="4">
        <v>44046</v>
      </c>
      <c r="C9" s="8" t="s">
        <v>34</v>
      </c>
      <c r="G9" s="1"/>
      <c r="H9" s="4"/>
      <c r="I9" s="13"/>
      <c r="K9" s="16"/>
      <c r="L9" s="6"/>
      <c r="P9" s="12" t="s">
        <v>28</v>
      </c>
      <c r="Q9" s="15">
        <f>SUM(Q10:Q37)</f>
        <v>19200</v>
      </c>
      <c r="S9" s="13" t="b">
        <f>Q9=T9*RENT+L2</f>
        <v>1</v>
      </c>
      <c r="T9" s="2">
        <f>COUNTA(T10:T21)</f>
        <v>8</v>
      </c>
      <c r="V9" s="12" t="s">
        <v>37</v>
      </c>
      <c r="W9" s="15">
        <f>SUM(W10:W21)</f>
        <v>1680</v>
      </c>
      <c r="X9" s="13">
        <f>W9-T9*MNGMNT</f>
        <v>-240</v>
      </c>
    </row>
    <row r="10" spans="1:61" x14ac:dyDescent="0.25">
      <c r="A10" s="1">
        <v>-600</v>
      </c>
      <c r="B10" s="4">
        <v>44054</v>
      </c>
      <c r="C10" s="8" t="s">
        <v>33</v>
      </c>
      <c r="I10" s="13"/>
      <c r="J10" s="20"/>
      <c r="L10" s="6"/>
      <c r="Q10" s="1">
        <f>Q1+L3+L4</f>
        <v>5200</v>
      </c>
      <c r="R10" s="4">
        <f>B9</f>
        <v>44046</v>
      </c>
      <c r="T10" s="14">
        <v>44044</v>
      </c>
    </row>
    <row r="11" spans="1:61" x14ac:dyDescent="0.25">
      <c r="A11" s="1">
        <f>2000+400</f>
        <v>2400</v>
      </c>
      <c r="B11" s="4">
        <v>44075</v>
      </c>
      <c r="C11" s="8" t="s">
        <v>16</v>
      </c>
      <c r="I11" s="16"/>
      <c r="L11" s="6"/>
      <c r="Q11" s="1">
        <f>A11+L5</f>
        <v>2000</v>
      </c>
      <c r="R11" s="4">
        <f>B11</f>
        <v>44075</v>
      </c>
      <c r="T11" s="14">
        <v>44075</v>
      </c>
      <c r="W11" s="6">
        <f>'Bilal 2020'!G6</f>
        <v>240</v>
      </c>
      <c r="X11" s="4">
        <f>'Bilal 2020'!H6</f>
        <v>44077</v>
      </c>
      <c r="Y11" s="2" t="b">
        <f>W11=MNGMNT</f>
        <v>1</v>
      </c>
    </row>
    <row r="12" spans="1:61" x14ac:dyDescent="0.25">
      <c r="A12" s="1">
        <v>-600</v>
      </c>
      <c r="B12" s="4">
        <v>44281</v>
      </c>
      <c r="C12" s="8" t="s">
        <v>39</v>
      </c>
      <c r="I12" s="16"/>
      <c r="J12" s="1"/>
      <c r="L12" s="6"/>
      <c r="Q12" s="1">
        <f>'Bilal 2020'!D2</f>
        <v>2400</v>
      </c>
      <c r="R12" s="4">
        <f>'Bilal 2020'!E2</f>
        <v>44105</v>
      </c>
      <c r="S12" s="2" t="b">
        <f>Q12=Q$1</f>
        <v>1</v>
      </c>
      <c r="T12" s="14">
        <v>44105</v>
      </c>
      <c r="W12" s="6">
        <f>'Bilal 2020'!G7</f>
        <v>240</v>
      </c>
      <c r="X12" s="4">
        <f>'Bilal 2020'!H7</f>
        <v>44105</v>
      </c>
      <c r="Y12" s="2" t="b">
        <f>W12=MNGMNT</f>
        <v>1</v>
      </c>
    </row>
    <row r="13" spans="1:61" x14ac:dyDescent="0.25">
      <c r="A13" s="1">
        <f>-(475+14.25)</f>
        <v>-489.25</v>
      </c>
      <c r="B13" s="4">
        <v>44328</v>
      </c>
      <c r="C13" s="8" t="s">
        <v>7</v>
      </c>
      <c r="I13" s="1"/>
      <c r="L13" s="6"/>
      <c r="Q13" s="1">
        <f>'Bilal 2020'!D3</f>
        <v>2400</v>
      </c>
      <c r="R13" s="4">
        <f>'Bilal 2020'!E3</f>
        <v>44137</v>
      </c>
      <c r="S13" s="2" t="b">
        <f>Q13=Q$1</f>
        <v>1</v>
      </c>
      <c r="T13" s="14">
        <v>44136</v>
      </c>
      <c r="W13" s="6">
        <f>'Bilal 2020'!G8</f>
        <v>240</v>
      </c>
      <c r="X13" s="4">
        <f>'Bilal 2020'!H8</f>
        <v>44137</v>
      </c>
      <c r="Y13" s="2" t="b">
        <f>W13=MNGMNT</f>
        <v>1</v>
      </c>
    </row>
    <row r="14" spans="1:61" x14ac:dyDescent="0.25">
      <c r="A14" s="1">
        <v>-58.82</v>
      </c>
      <c r="B14" s="4">
        <v>44362</v>
      </c>
      <c r="C14" s="8" t="s">
        <v>47</v>
      </c>
      <c r="I14" s="18"/>
      <c r="L14" s="6"/>
      <c r="Q14" s="1">
        <f>'Bilal 2020'!D4</f>
        <v>600</v>
      </c>
      <c r="R14" s="4">
        <f>'Bilal 2020'!E4</f>
        <v>44155</v>
      </c>
    </row>
    <row r="15" spans="1:61" x14ac:dyDescent="0.25">
      <c r="A15" s="1">
        <v>-301.60000000000002</v>
      </c>
      <c r="B15" s="4">
        <v>44363</v>
      </c>
      <c r="C15" s="8" t="s">
        <v>46</v>
      </c>
      <c r="L15" s="6"/>
      <c r="Q15" s="1">
        <f>'Bilal 2020'!D5</f>
        <v>2400</v>
      </c>
      <c r="R15" s="4">
        <f>'Bilal 2020'!E5</f>
        <v>44167</v>
      </c>
      <c r="S15" s="2" t="b">
        <f>Q15=Q$1</f>
        <v>1</v>
      </c>
      <c r="T15" s="14">
        <v>44166</v>
      </c>
      <c r="W15" s="6">
        <f>'Bilal 2020'!G9</f>
        <v>240</v>
      </c>
      <c r="X15" s="4">
        <f>'Bilal 2020'!H9</f>
        <v>44167</v>
      </c>
      <c r="Y15" s="2" t="b">
        <f>W15=MNGMNT</f>
        <v>1</v>
      </c>
    </row>
    <row r="16" spans="1:61" x14ac:dyDescent="0.25">
      <c r="A16" s="1">
        <v>-1500</v>
      </c>
      <c r="B16" s="4">
        <v>44372</v>
      </c>
      <c r="C16" s="2" t="str">
        <f>C$3</f>
        <v>Bilal Bourhani</v>
      </c>
      <c r="L16" s="6"/>
      <c r="Q16" s="1">
        <f>'Bilal 2021'!D2</f>
        <v>2000</v>
      </c>
      <c r="R16" s="4">
        <f>'Bilal 2021'!E2</f>
        <v>44196</v>
      </c>
    </row>
    <row r="17" spans="1:25" x14ac:dyDescent="0.25">
      <c r="A17" s="1">
        <v>298346.5</v>
      </c>
      <c r="B17" s="4">
        <v>44372</v>
      </c>
      <c r="C17" s="17" t="s">
        <v>49</v>
      </c>
      <c r="L17" s="6"/>
      <c r="Q17" s="1">
        <f>'Bilal 2021'!D3</f>
        <v>400</v>
      </c>
      <c r="R17" s="4">
        <f>'Bilal 2021'!E3</f>
        <v>44197</v>
      </c>
      <c r="S17" s="2" t="b">
        <f>Q17+Q16=Q$1</f>
        <v>1</v>
      </c>
      <c r="T17" s="14">
        <v>44197</v>
      </c>
      <c r="W17" s="6">
        <f>'Bilal 2021'!G2</f>
        <v>240</v>
      </c>
      <c r="X17" s="4">
        <f>'Bilal 2021'!H2</f>
        <v>44197</v>
      </c>
      <c r="Y17" s="2" t="b">
        <f>W17=MNGMNT</f>
        <v>1</v>
      </c>
    </row>
    <row r="18" spans="1:25" x14ac:dyDescent="0.25">
      <c r="A18" s="1">
        <v>-4000</v>
      </c>
      <c r="B18" s="4">
        <v>44374</v>
      </c>
      <c r="C18" s="8" t="s">
        <v>52</v>
      </c>
      <c r="E18" s="4"/>
      <c r="F18" s="4"/>
      <c r="G18" s="4"/>
      <c r="H18" s="4"/>
      <c r="L18" s="6"/>
      <c r="Q18" s="1">
        <f>'Bilal 2021'!D4</f>
        <v>400</v>
      </c>
      <c r="R18" s="4">
        <f>'Bilal 2021'!E4</f>
        <v>44229</v>
      </c>
    </row>
    <row r="19" spans="1:25" x14ac:dyDescent="0.25">
      <c r="A19" s="15">
        <f>-ROUND(D19*SUM(A2:A18),2)</f>
        <v>-5013.68</v>
      </c>
      <c r="B19" s="4">
        <v>44374</v>
      </c>
      <c r="C19" s="8" t="s">
        <v>45</v>
      </c>
      <c r="D19" s="16">
        <v>0.08</v>
      </c>
      <c r="E19" s="4"/>
      <c r="F19" s="4"/>
      <c r="G19" s="4"/>
      <c r="H19" s="4"/>
      <c r="L19" s="6"/>
      <c r="Q19" s="1">
        <f>'Bilal 2021'!D5</f>
        <v>2000</v>
      </c>
      <c r="R19" s="4">
        <f>'Bilal 2021'!E5</f>
        <v>44230</v>
      </c>
      <c r="S19" s="2" t="b">
        <f>Q19+Q18=Q$1</f>
        <v>1</v>
      </c>
      <c r="T19" s="14">
        <v>44228</v>
      </c>
      <c r="W19" s="6">
        <f>'Bilal 2021'!G3</f>
        <v>240</v>
      </c>
      <c r="X19" s="4">
        <f>'Bilal 2021'!H3</f>
        <v>44229</v>
      </c>
      <c r="Y19" s="2" t="b">
        <f>W19=MNGMNT</f>
        <v>1</v>
      </c>
    </row>
    <row r="20" spans="1:25" x14ac:dyDescent="0.25">
      <c r="A20" s="1">
        <v>-145.44</v>
      </c>
      <c r="B20" s="4">
        <v>44379</v>
      </c>
      <c r="C20" s="8" t="s">
        <v>53</v>
      </c>
      <c r="E20" s="4"/>
      <c r="F20" s="4"/>
      <c r="G20" s="4"/>
      <c r="H20" s="4"/>
      <c r="I20" s="21"/>
      <c r="L20" s="6"/>
      <c r="Q20" s="1">
        <f>'Bilal 2021'!D6</f>
        <v>2000</v>
      </c>
      <c r="R20" s="4">
        <f>'Bilal 2021'!E6</f>
        <v>44255</v>
      </c>
    </row>
    <row r="21" spans="1:25" x14ac:dyDescent="0.25">
      <c r="A21" s="1">
        <v>-21.31</v>
      </c>
      <c r="B21" s="4">
        <v>44411</v>
      </c>
      <c r="C21" s="8" t="s">
        <v>53</v>
      </c>
      <c r="L21" s="6"/>
      <c r="Q21" s="1">
        <f>'Bilal 2021'!D7</f>
        <v>400</v>
      </c>
      <c r="R21" s="4">
        <f>'Bilal 2021'!E7</f>
        <v>44256</v>
      </c>
      <c r="S21" s="2" t="b">
        <f>Q21+Q20=Q$1</f>
        <v>1</v>
      </c>
      <c r="T21" s="14">
        <v>44256</v>
      </c>
      <c r="W21" s="6">
        <f>'Bilal 2021'!G4</f>
        <v>240</v>
      </c>
      <c r="X21" s="4">
        <f>'Bilal 2021'!H4</f>
        <v>44256</v>
      </c>
      <c r="Y21" s="2" t="b">
        <f>W21=MNGMNT</f>
        <v>1</v>
      </c>
    </row>
    <row r="22" spans="1:25" x14ac:dyDescent="0.25">
      <c r="A22" s="1">
        <v>3300</v>
      </c>
      <c r="B22" s="4">
        <v>44484</v>
      </c>
      <c r="C22" s="8" t="s">
        <v>55</v>
      </c>
      <c r="L22" s="6"/>
      <c r="Q22" s="1">
        <f>L7</f>
        <v>-2400</v>
      </c>
      <c r="R22" s="4">
        <f>M7</f>
        <v>44267</v>
      </c>
      <c r="T22" s="14"/>
    </row>
    <row r="23" spans="1:25" x14ac:dyDescent="0.25">
      <c r="A23" s="1">
        <f>-ROUND(D19*SUM(A20:A22),2)</f>
        <v>-250.66</v>
      </c>
      <c r="B23" s="4">
        <v>44498</v>
      </c>
      <c r="C23" s="2" t="str">
        <f>C19</f>
        <v>MF</v>
      </c>
      <c r="D23" s="16"/>
      <c r="E23" s="13"/>
      <c r="L23" s="6"/>
      <c r="Q23" s="6">
        <f>L8</f>
        <v>-600</v>
      </c>
      <c r="R23" s="4">
        <f>M8</f>
        <v>44281</v>
      </c>
    </row>
    <row r="24" spans="1:25" x14ac:dyDescent="0.25">
      <c r="G24" s="1"/>
    </row>
    <row r="27" spans="1:25" x14ac:dyDescent="0.25">
      <c r="I27" s="21"/>
    </row>
    <row r="28" spans="1:25" x14ac:dyDescent="0.25">
      <c r="I28" s="6"/>
    </row>
    <row r="29" spans="1:25" x14ac:dyDescent="0.25">
      <c r="I29" s="6"/>
    </row>
    <row r="30" spans="1:25" x14ac:dyDescent="0.25">
      <c r="I30" s="6"/>
    </row>
    <row r="31" spans="1:25" x14ac:dyDescent="0.25">
      <c r="I31" s="18"/>
    </row>
    <row r="32" spans="1:25" x14ac:dyDescent="0.25">
      <c r="I32" s="16"/>
    </row>
    <row r="33" spans="9:9" x14ac:dyDescent="0.25">
      <c r="I33" s="13"/>
    </row>
    <row r="34" spans="9:9" x14ac:dyDescent="0.25">
      <c r="I34" s="13"/>
    </row>
  </sheetData>
  <mergeCells count="1">
    <mergeCell ref="I5:K5"/>
  </mergeCells>
  <pageMargins left="0.7" right="0.7" top="0.3" bottom="0.3" header="0.3" footer="0.3"/>
  <pageSetup firstPageNumber="0" orientation="portrait" horizontalDpi="300" verticalDpi="300" r:id="rId1"/>
  <ignoredErrors>
    <ignoredError sqref="G2 E2 J2:J3" formulaRange="1"/>
    <ignoredError sqref="M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536B-2BE0-4830-BAEC-F00047E3AEFD}">
  <dimension ref="A1:L16"/>
  <sheetViews>
    <sheetView workbookViewId="0">
      <selection activeCell="K3" sqref="K3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4.85546875" customWidth="1"/>
    <col min="4" max="4" width="9.7109375" bestFit="1" customWidth="1"/>
    <col min="5" max="5" width="12.85546875" bestFit="1" customWidth="1"/>
    <col min="6" max="6" width="6.28515625" customWidth="1"/>
    <col min="7" max="7" width="10.7109375" bestFit="1" customWidth="1"/>
    <col min="8" max="8" width="10.28515625" bestFit="1" customWidth="1"/>
    <col min="9" max="9" width="20.7109375" bestFit="1" customWidth="1"/>
    <col min="11" max="11" width="10.5703125" bestFit="1" customWidth="1"/>
  </cols>
  <sheetData>
    <row r="1" spans="1:12" x14ac:dyDescent="0.25">
      <c r="A1" s="7">
        <f>SUM(A2:A100)</f>
        <v>22000</v>
      </c>
      <c r="B1" s="8" t="s">
        <v>8</v>
      </c>
      <c r="D1" s="7">
        <f>SUM(D2:D100)</f>
        <v>7800</v>
      </c>
      <c r="E1" s="8" t="s">
        <v>27</v>
      </c>
      <c r="G1" s="7">
        <f>SUM(G2:G25)</f>
        <v>35959.17</v>
      </c>
      <c r="H1" s="8" t="s">
        <v>9</v>
      </c>
      <c r="K1" s="7">
        <f>G1-D1-A1</f>
        <v>6159.1699999999983</v>
      </c>
      <c r="L1" t="s">
        <v>18</v>
      </c>
    </row>
    <row r="2" spans="1:12" x14ac:dyDescent="0.25">
      <c r="A2" s="6">
        <f>-Overall!A3</f>
        <v>12000</v>
      </c>
      <c r="B2" s="4">
        <f>Overall!B3</f>
        <v>43892</v>
      </c>
      <c r="D2" s="6">
        <f>RENT</f>
        <v>2400</v>
      </c>
      <c r="E2" s="4">
        <v>44105</v>
      </c>
      <c r="F2" s="8"/>
      <c r="G2" s="6">
        <v>29342</v>
      </c>
      <c r="I2" t="s">
        <v>10</v>
      </c>
      <c r="K2">
        <f>K1/(D2-G6)</f>
        <v>2.8514675925925919</v>
      </c>
      <c r="L2" t="s">
        <v>19</v>
      </c>
    </row>
    <row r="3" spans="1:12" x14ac:dyDescent="0.25">
      <c r="A3" s="6">
        <f>-Overall!A5</f>
        <v>10000</v>
      </c>
      <c r="B3" s="4">
        <f>Overall!B5</f>
        <v>44130</v>
      </c>
      <c r="D3" s="6">
        <f>RENT</f>
        <v>2400</v>
      </c>
      <c r="E3" s="9">
        <v>44137</v>
      </c>
      <c r="G3" s="6">
        <v>4157.17</v>
      </c>
      <c r="I3" t="s">
        <v>11</v>
      </c>
      <c r="K3" s="11" t="s">
        <v>17</v>
      </c>
    </row>
    <row r="4" spans="1:12" x14ac:dyDescent="0.25">
      <c r="D4" s="6">
        <f>Overall!L6</f>
        <v>600</v>
      </c>
      <c r="E4" s="4">
        <f>Overall!M6</f>
        <v>44155</v>
      </c>
      <c r="G4" s="6">
        <f>300+400+200</f>
        <v>900</v>
      </c>
      <c r="H4" s="9"/>
      <c r="I4" t="s">
        <v>12</v>
      </c>
    </row>
    <row r="5" spans="1:12" x14ac:dyDescent="0.25">
      <c r="D5" s="6">
        <f>RENT</f>
        <v>2400</v>
      </c>
      <c r="E5" s="9">
        <v>44167</v>
      </c>
      <c r="G5" s="6">
        <f>Overall!Q7</f>
        <v>600</v>
      </c>
      <c r="H5" s="9">
        <f>Overall!R7</f>
        <v>44107</v>
      </c>
      <c r="I5" t="s">
        <v>13</v>
      </c>
    </row>
    <row r="6" spans="1:12" x14ac:dyDescent="0.25">
      <c r="D6" s="6"/>
      <c r="G6" s="6">
        <f>MNGMNT</f>
        <v>240</v>
      </c>
      <c r="H6" s="9">
        <v>44077</v>
      </c>
      <c r="I6" s="8" t="s">
        <v>14</v>
      </c>
    </row>
    <row r="7" spans="1:12" x14ac:dyDescent="0.25">
      <c r="B7" s="4"/>
      <c r="D7" s="6"/>
      <c r="G7" s="6">
        <f>MNGMNT</f>
        <v>240</v>
      </c>
      <c r="H7" s="9">
        <f>E2</f>
        <v>44105</v>
      </c>
      <c r="I7" s="8" t="s">
        <v>15</v>
      </c>
    </row>
    <row r="8" spans="1:12" x14ac:dyDescent="0.25">
      <c r="B8" s="4"/>
      <c r="D8" s="6"/>
      <c r="G8" s="6">
        <f>MNGMNT</f>
        <v>240</v>
      </c>
      <c r="H8" s="9">
        <f>E3</f>
        <v>44137</v>
      </c>
      <c r="I8" s="8" t="s">
        <v>20</v>
      </c>
    </row>
    <row r="9" spans="1:12" x14ac:dyDescent="0.25">
      <c r="B9" s="4"/>
      <c r="D9" s="6"/>
      <c r="G9" s="6">
        <f>MNGMNT</f>
        <v>240</v>
      </c>
      <c r="H9" s="9">
        <f>E5</f>
        <v>44167</v>
      </c>
      <c r="I9" s="8" t="s">
        <v>23</v>
      </c>
    </row>
    <row r="10" spans="1:12" x14ac:dyDescent="0.25">
      <c r="B10" s="4"/>
      <c r="D10" s="6"/>
    </row>
    <row r="11" spans="1:12" x14ac:dyDescent="0.25">
      <c r="B11" s="4"/>
    </row>
    <row r="12" spans="1:12" x14ac:dyDescent="0.25">
      <c r="B12" s="4"/>
    </row>
    <row r="13" spans="1:12" x14ac:dyDescent="0.25">
      <c r="B13" s="4"/>
    </row>
    <row r="14" spans="1:12" x14ac:dyDescent="0.25">
      <c r="B14" s="4"/>
    </row>
    <row r="15" spans="1:12" x14ac:dyDescent="0.25">
      <c r="B15" s="4"/>
    </row>
    <row r="16" spans="1:12" x14ac:dyDescent="0.25">
      <c r="B16" s="4"/>
    </row>
  </sheetData>
  <hyperlinks>
    <hyperlink ref="K3" r:id="rId1" xr:uid="{F890D15C-CD19-4633-84AF-29237D845E06}"/>
  </hyperlinks>
  <pageMargins left="0.7" right="0.7" top="0.75" bottom="0.75" header="0.3" footer="0.3"/>
  <pageSetup orientation="portrait" r:id="rId2"/>
  <ignoredErrors>
    <ignoredError sqref="D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4929-FEDA-42FF-9FF6-BF3157820328}">
  <dimension ref="A1:L10"/>
  <sheetViews>
    <sheetView workbookViewId="0">
      <selection activeCell="G1" sqref="G1"/>
    </sheetView>
  </sheetViews>
  <sheetFormatPr defaultRowHeight="15" x14ac:dyDescent="0.25"/>
  <cols>
    <col min="1" max="1" width="9.85546875" bestFit="1" customWidth="1"/>
    <col min="2" max="2" width="10.42578125" bestFit="1" customWidth="1"/>
    <col min="4" max="4" width="9.85546875" bestFit="1" customWidth="1"/>
    <col min="5" max="5" width="12.85546875" bestFit="1" customWidth="1"/>
    <col min="7" max="7" width="9.85546875" bestFit="1" customWidth="1"/>
    <col min="8" max="8" width="12.28515625" bestFit="1" customWidth="1"/>
    <col min="9" max="9" width="12.28515625" style="2" customWidth="1"/>
    <col min="11" max="11" width="12" customWidth="1"/>
  </cols>
  <sheetData>
    <row r="1" spans="1:12" x14ac:dyDescent="0.25">
      <c r="A1" s="7">
        <f>SUM(A2:A25)</f>
        <v>1500</v>
      </c>
      <c r="B1" t="str">
        <f>'Bilal 2020'!B1</f>
        <v>From REIS</v>
      </c>
      <c r="D1" s="7">
        <f>SUM(D2:D25)</f>
        <v>7200</v>
      </c>
      <c r="E1" s="2" t="str">
        <f>'Bilal 2020'!E1</f>
        <v>Rent/Deposit</v>
      </c>
      <c r="G1" s="7">
        <f>SUM(G2:G25)</f>
        <v>2214.0100000000002</v>
      </c>
      <c r="H1" s="2" t="str">
        <f>'Bilal 2020'!H1</f>
        <v>Requested</v>
      </c>
      <c r="K1" s="10">
        <f>'Bilal 2020'!K1+G1-D1-A1</f>
        <v>-326.82000000000153</v>
      </c>
      <c r="L1" s="2" t="str">
        <f>'Bilal 2020'!L1</f>
        <v>Remaining</v>
      </c>
    </row>
    <row r="2" spans="1:12" x14ac:dyDescent="0.25">
      <c r="A2" s="6">
        <f>-Overall!A16</f>
        <v>1500</v>
      </c>
      <c r="B2" s="9">
        <f>Overall!B16</f>
        <v>44372</v>
      </c>
      <c r="D2" s="6">
        <v>2000</v>
      </c>
      <c r="E2" s="9">
        <v>44196</v>
      </c>
      <c r="G2" s="6">
        <f>MNGMNT</f>
        <v>240</v>
      </c>
      <c r="H2" s="9">
        <f>E3</f>
        <v>44197</v>
      </c>
      <c r="I2" s="8" t="s">
        <v>24</v>
      </c>
      <c r="K2" s="2">
        <f>K1/('Bilal 2020'!D2-'Bilal 2020'!G6)</f>
        <v>-0.15130555555555628</v>
      </c>
      <c r="L2" s="2" t="str">
        <f>'Bilal 2020'!L2</f>
        <v>Months</v>
      </c>
    </row>
    <row r="3" spans="1:12" x14ac:dyDescent="0.25">
      <c r="D3" s="6">
        <f>RENT-D2</f>
        <v>400</v>
      </c>
      <c r="E3" s="9">
        <v>44197</v>
      </c>
      <c r="G3" s="6">
        <f>MNGMNT</f>
        <v>240</v>
      </c>
      <c r="H3" s="9">
        <f>E4</f>
        <v>44229</v>
      </c>
      <c r="I3" s="8" t="s">
        <v>26</v>
      </c>
      <c r="K3" s="2" t="str">
        <f>'Bilal 2020'!K3</f>
        <v>https://1drv.ms/u/s!AriNW7CmNe9ygiS94qBLVgw3qSs7?e=qcM2RD</v>
      </c>
    </row>
    <row r="4" spans="1:12" x14ac:dyDescent="0.25">
      <c r="D4" s="6">
        <v>400</v>
      </c>
      <c r="E4" s="9">
        <v>44229</v>
      </c>
      <c r="G4" s="6">
        <f>MNGMNT</f>
        <v>240</v>
      </c>
      <c r="H4" s="9">
        <f>E7</f>
        <v>44256</v>
      </c>
      <c r="I4" s="8" t="s">
        <v>36</v>
      </c>
      <c r="K4" s="2"/>
    </row>
    <row r="5" spans="1:12" x14ac:dyDescent="0.25">
      <c r="D5" s="6">
        <f>RENT-D4</f>
        <v>2000</v>
      </c>
      <c r="E5" s="9">
        <v>44230</v>
      </c>
      <c r="G5" s="6">
        <v>1494.01</v>
      </c>
      <c r="H5" s="9">
        <f>B2</f>
        <v>44372</v>
      </c>
      <c r="I5" s="8" t="s">
        <v>48</v>
      </c>
    </row>
    <row r="6" spans="1:12" x14ac:dyDescent="0.25">
      <c r="D6" s="6">
        <v>2000</v>
      </c>
      <c r="E6" s="9">
        <v>44255</v>
      </c>
    </row>
    <row r="7" spans="1:12" x14ac:dyDescent="0.25">
      <c r="D7" s="6">
        <f>RENT-D6</f>
        <v>400</v>
      </c>
      <c r="E7" s="9">
        <v>44256</v>
      </c>
    </row>
    <row r="8" spans="1:12" x14ac:dyDescent="0.25">
      <c r="D8" s="6"/>
    </row>
    <row r="9" spans="1:12" x14ac:dyDescent="0.25">
      <c r="D9" s="6"/>
    </row>
    <row r="10" spans="1:12" x14ac:dyDescent="0.25">
      <c r="D1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Overall</vt:lpstr>
      <vt:lpstr>Bilal 2020</vt:lpstr>
      <vt:lpstr>Bilal 2021</vt:lpstr>
      <vt:lpstr>MNGMNT</vt:lpstr>
      <vt:lpstr>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Wael Ellithy</dc:creator>
  <dc:description/>
  <cp:lastModifiedBy>Wael Ellithy</cp:lastModifiedBy>
  <cp:revision>31</cp:revision>
  <dcterms:created xsi:type="dcterms:W3CDTF">2019-01-21T17:40:41Z</dcterms:created>
  <dcterms:modified xsi:type="dcterms:W3CDTF">2021-10-30T03:29:03Z</dcterms:modified>
  <dc:language>en-US</dc:language>
</cp:coreProperties>
</file>