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rafat Ahmed\Personal\645\Project\New folder\"/>
    </mc:Choice>
  </mc:AlternateContent>
  <bookViews>
    <workbookView xWindow="0" yWindow="0" windowWidth="19200" windowHeight="7050" firstSheet="5" activeTab="11"/>
  </bookViews>
  <sheets>
    <sheet name="BS" sheetId="7" state="hidden" r:id="rId1"/>
    <sheet name="cash flow" sheetId="8" state="hidden" r:id="rId2"/>
    <sheet name="Sheet1" sheetId="1" state="hidden" r:id="rId3"/>
    <sheet name="Hostorical Ex rate trend" sheetId="2" r:id="rId4"/>
    <sheet name="IS (2)" sheetId="3" state="hidden" r:id="rId5"/>
    <sheet name="Initial capital" sheetId="4" r:id="rId6"/>
    <sheet name="Proforma IS" sheetId="5" r:id="rId7"/>
    <sheet name="Profitability" sheetId="12" r:id="rId8"/>
    <sheet name="CFS" sheetId="9" r:id="rId9"/>
    <sheet name="Pyback period" sheetId="10" r:id="rId10"/>
    <sheet name="NPV" sheetId="11" r:id="rId11"/>
    <sheet name="NPV profile" sheetId="13" r:id="rId12"/>
  </sheets>
  <externalReferences>
    <externalReference r:id="rId13"/>
  </externalReferences>
  <definedNames>
    <definedName name="aaaa">[1]Parameter!$D$6</definedName>
    <definedName name="Co_Code">#REF!</definedName>
    <definedName name="Pre_Per">#REF!</definedName>
    <definedName name="_xlnm.Print_Area" localSheetId="8">CFS!$B$1:$I$64</definedName>
    <definedName name="_xlnm.Print_Area" localSheetId="6">'Proforma IS'!$A$1:$F$25</definedName>
    <definedName name="Rep_Per">#REF!</definedName>
    <definedName name="SAPFuncF4Help" hidden="1">Main.SAPF4Help()</definedName>
    <definedName name="St_Per">#REF!</definedName>
    <definedName name="St_Pre_Per">#REF!</definedName>
    <definedName name="Z_E1EB5FED_8E44_48CC_BCCD_BC84483D882D_.wvu.Cols" localSheetId="8" hidden="1">CFS!$J:$L</definedName>
    <definedName name="Z_E1EB5FED_8E44_48CC_BCCD_BC84483D882D_.wvu.PrintArea" localSheetId="8" hidden="1">CFS!$A$1:$H$35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9" l="1"/>
  <c r="F33" i="9" s="1"/>
  <c r="G17" i="9"/>
  <c r="G33" i="9" s="1"/>
  <c r="H17" i="9"/>
  <c r="H33" i="9" s="1"/>
  <c r="I17" i="9"/>
  <c r="I33" i="9" s="1"/>
  <c r="E17" i="9"/>
  <c r="E33" i="9" s="1"/>
  <c r="B12" i="5"/>
  <c r="E13" i="11"/>
  <c r="I13" i="11"/>
  <c r="H13" i="11"/>
  <c r="G13" i="11"/>
  <c r="F13" i="11"/>
  <c r="E11" i="4"/>
  <c r="E12" i="4"/>
  <c r="E13" i="4"/>
  <c r="E14" i="4"/>
  <c r="E15" i="4"/>
  <c r="E16" i="4"/>
  <c r="E17" i="4"/>
  <c r="E18" i="4"/>
  <c r="E19" i="4"/>
  <c r="E20" i="4"/>
  <c r="E10" i="4"/>
  <c r="F28" i="9"/>
  <c r="F29" i="9" s="1"/>
  <c r="G28" i="9"/>
  <c r="G29" i="9" s="1"/>
  <c r="H28" i="9"/>
  <c r="H29" i="9" s="1"/>
  <c r="I28" i="9"/>
  <c r="I29" i="9" s="1"/>
  <c r="E22" i="9"/>
  <c r="F23" i="9"/>
  <c r="G23" i="9"/>
  <c r="H23" i="9"/>
  <c r="I23" i="9"/>
  <c r="E16" i="9" l="1"/>
  <c r="E32" i="9" s="1"/>
  <c r="F13" i="9"/>
  <c r="G13" i="9"/>
  <c r="H13" i="9"/>
  <c r="I13" i="9"/>
  <c r="C4" i="5"/>
  <c r="E28" i="9"/>
  <c r="E6" i="9"/>
  <c r="H11" i="5"/>
  <c r="H9" i="5"/>
  <c r="H4" i="5"/>
  <c r="B5" i="5"/>
  <c r="E9" i="9" s="1"/>
  <c r="F6" i="9" l="1"/>
  <c r="C12" i="5"/>
  <c r="F16" i="9" s="1"/>
  <c r="F32" i="9" s="1"/>
  <c r="D4" i="5"/>
  <c r="G6" i="9"/>
  <c r="E29" i="9"/>
  <c r="E23" i="9"/>
  <c r="B10" i="5"/>
  <c r="E8" i="9" s="1"/>
  <c r="B9" i="5"/>
  <c r="B8" i="5" s="1"/>
  <c r="B16" i="5"/>
  <c r="E13" i="9" s="1"/>
  <c r="B6" i="5"/>
  <c r="D8" i="12" s="1"/>
  <c r="C5" i="5"/>
  <c r="F9" i="9" s="1"/>
  <c r="D21" i="4"/>
  <c r="E4" i="5" l="1"/>
  <c r="D12" i="5"/>
  <c r="G16" i="9" s="1"/>
  <c r="G32" i="9" s="1"/>
  <c r="E7" i="9"/>
  <c r="E11" i="9" s="1"/>
  <c r="H2" i="5"/>
  <c r="E21" i="4"/>
  <c r="D14" i="11"/>
  <c r="C9" i="5"/>
  <c r="C8" i="5" s="1"/>
  <c r="C10" i="5"/>
  <c r="C6" i="5"/>
  <c r="E8" i="12" s="1"/>
  <c r="AH22" i="2"/>
  <c r="AH21" i="2"/>
  <c r="E12" i="5" l="1"/>
  <c r="H16" i="9" s="1"/>
  <c r="H32" i="9" s="1"/>
  <c r="F4" i="5"/>
  <c r="H6" i="9"/>
  <c r="I14" i="11"/>
  <c r="F14" i="11"/>
  <c r="E14" i="11"/>
  <c r="G14" i="11"/>
  <c r="H14" i="11"/>
  <c r="F8" i="9"/>
  <c r="F7" i="9"/>
  <c r="B14" i="5"/>
  <c r="B19" i="5" s="1"/>
  <c r="B21" i="5" s="1"/>
  <c r="E15" i="9" s="1"/>
  <c r="D5" i="5"/>
  <c r="D10" i="5"/>
  <c r="D9" i="5"/>
  <c r="M18" i="1"/>
  <c r="M24" i="1"/>
  <c r="M29" i="1" s="1"/>
  <c r="D8" i="5" l="1"/>
  <c r="I6" i="9"/>
  <c r="F12" i="5"/>
  <c r="I16" i="9" s="1"/>
  <c r="I32" i="9" s="1"/>
  <c r="C14" i="5"/>
  <c r="C19" i="5" s="1"/>
  <c r="M28" i="1"/>
  <c r="D6" i="5"/>
  <c r="F8" i="12" s="1"/>
  <c r="G9" i="9"/>
  <c r="F11" i="9"/>
  <c r="G7" i="9"/>
  <c r="G8" i="9"/>
  <c r="B22" i="5"/>
  <c r="B24" i="5" s="1"/>
  <c r="E14" i="9" s="1"/>
  <c r="E5" i="5"/>
  <c r="E9" i="5"/>
  <c r="E10" i="5"/>
  <c r="H8" i="9" s="1"/>
  <c r="M26" i="1"/>
  <c r="Q25" i="1"/>
  <c r="Q24" i="1"/>
  <c r="Q22" i="1"/>
  <c r="N22" i="1"/>
  <c r="J25" i="1"/>
  <c r="L11" i="1"/>
  <c r="L13" i="1" s="1"/>
  <c r="C3" i="1"/>
  <c r="I7" i="1"/>
  <c r="K7" i="1" s="1"/>
  <c r="F10" i="1"/>
  <c r="R16" i="1"/>
  <c r="R15" i="1"/>
  <c r="E11" i="1"/>
  <c r="E12" i="1" s="1"/>
  <c r="E8" i="5" l="1"/>
  <c r="D14" i="5"/>
  <c r="E18" i="9"/>
  <c r="E31" i="9" s="1"/>
  <c r="E34" i="9" s="1"/>
  <c r="C21" i="5"/>
  <c r="F15" i="9" s="1"/>
  <c r="I10" i="1"/>
  <c r="I5" i="1"/>
  <c r="D19" i="5"/>
  <c r="D21" i="5" s="1"/>
  <c r="G15" i="9" s="1"/>
  <c r="E6" i="5"/>
  <c r="G8" i="12" s="1"/>
  <c r="H9" i="9"/>
  <c r="G11" i="9"/>
  <c r="H7" i="9"/>
  <c r="F5" i="5"/>
  <c r="F9" i="5"/>
  <c r="F10" i="5"/>
  <c r="I8" i="9" s="1"/>
  <c r="B25" i="5"/>
  <c r="F12" i="1"/>
  <c r="G10" i="1"/>
  <c r="F8" i="5" l="1"/>
  <c r="E14" i="5"/>
  <c r="E19" i="5" s="1"/>
  <c r="E21" i="5" s="1"/>
  <c r="D8" i="10"/>
  <c r="D15" i="11" s="1"/>
  <c r="I15" i="11" s="1"/>
  <c r="D22" i="5"/>
  <c r="D24" i="5" s="1"/>
  <c r="G14" i="9" s="1"/>
  <c r="C22" i="5"/>
  <c r="I7" i="9"/>
  <c r="H11" i="9"/>
  <c r="H15" i="9"/>
  <c r="D9" i="12"/>
  <c r="D10" i="12"/>
  <c r="D11" i="12" s="1"/>
  <c r="F6" i="5"/>
  <c r="H8" i="12" s="1"/>
  <c r="I9" i="9"/>
  <c r="I11" i="9" s="1"/>
  <c r="E35" i="9"/>
  <c r="E22" i="5" l="1"/>
  <c r="E24" i="5" s="1"/>
  <c r="F14" i="5"/>
  <c r="F19" i="5" s="1"/>
  <c r="G18" i="9"/>
  <c r="G31" i="9" s="1"/>
  <c r="G34" i="9" s="1"/>
  <c r="F8" i="10" s="1"/>
  <c r="D25" i="5"/>
  <c r="F9" i="12" s="1"/>
  <c r="C24" i="5"/>
  <c r="F14" i="9" s="1"/>
  <c r="H15" i="11"/>
  <c r="E15" i="11"/>
  <c r="G15" i="11"/>
  <c r="F15" i="11"/>
  <c r="D9" i="10"/>
  <c r="H14" i="9"/>
  <c r="H18" i="9" s="1"/>
  <c r="F10" i="12"/>
  <c r="F11" i="12" s="1"/>
  <c r="F21" i="5" l="1"/>
  <c r="I15" i="9" s="1"/>
  <c r="E25" i="5"/>
  <c r="G10" i="12" s="1"/>
  <c r="G11" i="12" s="1"/>
  <c r="F18" i="9"/>
  <c r="F31" i="9" s="1"/>
  <c r="C25" i="5"/>
  <c r="E10" i="12" s="1"/>
  <c r="E11" i="12" s="1"/>
  <c r="D17" i="11"/>
  <c r="G17" i="11" s="1"/>
  <c r="F22" i="5" l="1"/>
  <c r="G9" i="12"/>
  <c r="F34" i="9"/>
  <c r="E9" i="12"/>
  <c r="I17" i="11"/>
  <c r="H17" i="11"/>
  <c r="E17" i="11"/>
  <c r="F17" i="11"/>
  <c r="H31" i="9"/>
  <c r="F24" i="5" l="1"/>
  <c r="I14" i="9" s="1"/>
  <c r="I18" i="9" s="1"/>
  <c r="I31" i="9" s="1"/>
  <c r="I34" i="9" s="1"/>
  <c r="H8" i="10" s="1"/>
  <c r="F35" i="9"/>
  <c r="H34" i="9"/>
  <c r="D22" i="13" s="1"/>
  <c r="F22" i="13" s="1"/>
  <c r="E8" i="10"/>
  <c r="D16" i="11" s="1"/>
  <c r="D23" i="13" l="1"/>
  <c r="F23" i="13" s="1"/>
  <c r="G23" i="13" s="1"/>
  <c r="J34" i="9"/>
  <c r="F25" i="5"/>
  <c r="H10" i="12" s="1"/>
  <c r="H11" i="12" s="1"/>
  <c r="D12" i="13"/>
  <c r="F12" i="13" s="1"/>
  <c r="G12" i="13" s="1"/>
  <c r="D11" i="13"/>
  <c r="F11" i="13" s="1"/>
  <c r="G11" i="13" s="1"/>
  <c r="D7" i="13"/>
  <c r="D18" i="13"/>
  <c r="E18" i="13" s="1"/>
  <c r="D13" i="13"/>
  <c r="F13" i="13" s="1"/>
  <c r="G13" i="13" s="1"/>
  <c r="D20" i="13"/>
  <c r="F20" i="13" s="1"/>
  <c r="G20" i="13" s="1"/>
  <c r="G22" i="13"/>
  <c r="E22" i="13"/>
  <c r="D9" i="13"/>
  <c r="F9" i="13" s="1"/>
  <c r="D21" i="13"/>
  <c r="F21" i="13" s="1"/>
  <c r="D15" i="13"/>
  <c r="F15" i="13" s="1"/>
  <c r="D17" i="13"/>
  <c r="F17" i="13" s="1"/>
  <c r="D10" i="13"/>
  <c r="F10" i="13" s="1"/>
  <c r="D16" i="13"/>
  <c r="F16" i="13" s="1"/>
  <c r="D14" i="13"/>
  <c r="F14" i="13" s="1"/>
  <c r="D8" i="13"/>
  <c r="F8" i="13" s="1"/>
  <c r="D19" i="13"/>
  <c r="F19" i="13" s="1"/>
  <c r="G16" i="11"/>
  <c r="H16" i="11"/>
  <c r="F16" i="11"/>
  <c r="I16" i="11"/>
  <c r="E16" i="11"/>
  <c r="G8" i="10"/>
  <c r="D18" i="11" s="1"/>
  <c r="H18" i="11" s="1"/>
  <c r="E9" i="10"/>
  <c r="G35" i="9"/>
  <c r="D19" i="11"/>
  <c r="F19" i="11" s="1"/>
  <c r="H9" i="12" l="1"/>
  <c r="E11" i="13"/>
  <c r="E20" i="13"/>
  <c r="E23" i="13"/>
  <c r="E12" i="13"/>
  <c r="E13" i="13"/>
  <c r="F18" i="13"/>
  <c r="G18" i="13" s="1"/>
  <c r="E7" i="13"/>
  <c r="F7" i="13"/>
  <c r="G7" i="13" s="1"/>
  <c r="G17" i="13"/>
  <c r="E17" i="13"/>
  <c r="G19" i="13"/>
  <c r="E19" i="13"/>
  <c r="G9" i="13"/>
  <c r="E9" i="13"/>
  <c r="G21" i="13"/>
  <c r="E21" i="13"/>
  <c r="G15" i="13"/>
  <c r="E15" i="13"/>
  <c r="G8" i="13"/>
  <c r="E8" i="13"/>
  <c r="G16" i="13"/>
  <c r="E16" i="13"/>
  <c r="G14" i="13"/>
  <c r="E14" i="13"/>
  <c r="G10" i="13"/>
  <c r="E10" i="13"/>
  <c r="E18" i="11"/>
  <c r="I18" i="11"/>
  <c r="F18" i="11"/>
  <c r="G18" i="11"/>
  <c r="F9" i="10"/>
  <c r="H35" i="9"/>
  <c r="D20" i="11"/>
  <c r="E20" i="11" s="1"/>
  <c r="I19" i="11"/>
  <c r="G19" i="11"/>
  <c r="E19" i="11"/>
  <c r="H19" i="11"/>
  <c r="D22" i="11" l="1"/>
  <c r="G9" i="10"/>
  <c r="G11" i="10" s="1"/>
  <c r="I35" i="9"/>
  <c r="H9" i="10" s="1"/>
  <c r="H20" i="11"/>
  <c r="H23" i="11" s="1"/>
  <c r="G20" i="11"/>
  <c r="G22" i="11" s="1"/>
  <c r="I20" i="11"/>
  <c r="I23" i="11" s="1"/>
  <c r="F20" i="11"/>
  <c r="F21" i="11" s="1"/>
  <c r="D23" i="11"/>
  <c r="D21" i="11"/>
  <c r="E23" i="11"/>
  <c r="E21" i="11"/>
  <c r="E22" i="11"/>
  <c r="H21" i="11" l="1"/>
  <c r="H22" i="11"/>
  <c r="I21" i="11"/>
  <c r="I22" i="11"/>
  <c r="F22" i="11"/>
  <c r="F23" i="11"/>
  <c r="G21" i="11"/>
  <c r="G23" i="11"/>
</calcChain>
</file>

<file path=xl/sharedStrings.xml><?xml version="1.0" encoding="utf-8"?>
<sst xmlns="http://schemas.openxmlformats.org/spreadsheetml/2006/main" count="480" uniqueCount="348">
  <si>
    <t>US interest rate</t>
  </si>
  <si>
    <t>BDT interest rate</t>
  </si>
  <si>
    <t>Rate</t>
  </si>
  <si>
    <t>Date</t>
  </si>
  <si>
    <t>Particulars</t>
  </si>
  <si>
    <t>2019</t>
  </si>
  <si>
    <t>2018</t>
  </si>
  <si>
    <t>2017</t>
  </si>
  <si>
    <t>2016</t>
  </si>
  <si>
    <t>2015</t>
  </si>
  <si>
    <t>Revenue</t>
  </si>
  <si>
    <t>299,776,900.00</t>
  </si>
  <si>
    <t>150,779,610.00</t>
  </si>
  <si>
    <t>101,221,172.00</t>
  </si>
  <si>
    <t>40,348,415.00</t>
  </si>
  <si>
    <t>80,696,830.00</t>
  </si>
  <si>
    <t>Cost of Goods Sold</t>
  </si>
  <si>
    <t>208,710,426.00</t>
  </si>
  <si>
    <t>93,268,441.00</t>
  </si>
  <si>
    <t>62,950,658.00</t>
  </si>
  <si>
    <t>30,745,437.00</t>
  </si>
  <si>
    <t>61,490,873.00</t>
  </si>
  <si>
    <t>Gross Profit</t>
  </si>
  <si>
    <t>91,066,474.00</t>
  </si>
  <si>
    <t>57,511,169.00</t>
  </si>
  <si>
    <t>38,270,514.00</t>
  </si>
  <si>
    <t>9,602,978.00</t>
  </si>
  <si>
    <t>19,205,957.00</t>
  </si>
  <si>
    <t>Operating Expenses</t>
  </si>
  <si>
    <t>10,764,173.00</t>
  </si>
  <si>
    <t>7,314,468.00</t>
  </si>
  <si>
    <t>5,941,346.00</t>
  </si>
  <si>
    <t>2,590,248.00</t>
  </si>
  <si>
    <t>6,215,183.00</t>
  </si>
  <si>
    <t>Administrative Expenses</t>
  </si>
  <si>
    <t>9,299,186.00</t>
  </si>
  <si>
    <t>5,546,577.00</t>
  </si>
  <si>
    <t>4,591,373.00</t>
  </si>
  <si>
    <t>1,985,406.00</t>
  </si>
  <si>
    <t>4,505,500.00</t>
  </si>
  <si>
    <t>Selling &amp; Distribution expenses</t>
  </si>
  <si>
    <t>1,464,987.00</t>
  </si>
  <si>
    <t>1,767,891.00</t>
  </si>
  <si>
    <t>1,349,973.00</t>
  </si>
  <si>
    <t>604,842.00</t>
  </si>
  <si>
    <t>1,709,683.00</t>
  </si>
  <si>
    <t>Foreign exchange gain/ (Loss)</t>
  </si>
  <si>
    <t>Profit from Operations</t>
  </si>
  <si>
    <t>80,302,301.00</t>
  </si>
  <si>
    <t>50,196,701.00</t>
  </si>
  <si>
    <t>32,329,168.00</t>
  </si>
  <si>
    <t>7,012,730.00</t>
  </si>
  <si>
    <t>12,990,774.00</t>
  </si>
  <si>
    <t>Other Income</t>
  </si>
  <si>
    <t>85,450.00</t>
  </si>
  <si>
    <t>81,675.00</t>
  </si>
  <si>
    <t>451,648.00</t>
  </si>
  <si>
    <t>17,000.00</t>
  </si>
  <si>
    <t>40,000.00</t>
  </si>
  <si>
    <t>Finance Cost</t>
  </si>
  <si>
    <t>26,865,506.00</t>
  </si>
  <si>
    <t>21,689,637.00</t>
  </si>
  <si>
    <t>18,993,428.00</t>
  </si>
  <si>
    <t>4,284,825.00</t>
  </si>
  <si>
    <t>7,534,933.00</t>
  </si>
  <si>
    <t>Profit before WPPF &amp; Tax</t>
  </si>
  <si>
    <t>53,522,245.00</t>
  </si>
  <si>
    <t>28,588,739.00</t>
  </si>
  <si>
    <t>13,787,388.00</t>
  </si>
  <si>
    <t>2,744,905.00</t>
  </si>
  <si>
    <t>5,495,841.00</t>
  </si>
  <si>
    <t>Profit before Tax</t>
  </si>
  <si>
    <t>50,846,133.00</t>
  </si>
  <si>
    <t>27,159,302.00</t>
  </si>
  <si>
    <t>13,098,019.00</t>
  </si>
  <si>
    <t>1,528,686.00</t>
  </si>
  <si>
    <t>3,063,097.00</t>
  </si>
  <si>
    <t>Current Tax Expense</t>
  </si>
  <si>
    <t>6,355,767.00</t>
  </si>
  <si>
    <t>3,394,913.00</t>
  </si>
  <si>
    <t>-</t>
  </si>
  <si>
    <t>Net Profit after Tax</t>
  </si>
  <si>
    <t>45,241,651.00</t>
  </si>
  <si>
    <t>22,916,618.00</t>
  </si>
  <si>
    <t>11,460,767.00</t>
  </si>
  <si>
    <t>1,337,600.00</t>
  </si>
  <si>
    <t>2,680,210.00</t>
  </si>
  <si>
    <t>Basic Earnings per Share</t>
  </si>
  <si>
    <t>3.46</t>
  </si>
  <si>
    <t>2.01</t>
  </si>
  <si>
    <t>0.13</t>
  </si>
  <si>
    <t>0.26</t>
  </si>
  <si>
    <t>Factory Building</t>
  </si>
  <si>
    <t>Plant and machinery</t>
  </si>
  <si>
    <t xml:space="preserve">Land </t>
  </si>
  <si>
    <t>Office equipments</t>
  </si>
  <si>
    <t>Furniture and fixture</t>
  </si>
  <si>
    <t>Promotional expenses</t>
  </si>
  <si>
    <t>Company formation and registration</t>
  </si>
  <si>
    <t>Leagal and other consultancy fees</t>
  </si>
  <si>
    <t>Motor Vehicles</t>
  </si>
  <si>
    <t>Initial HR expenses</t>
  </si>
  <si>
    <t>Initial Working capital</t>
  </si>
  <si>
    <t>Contribution to WPPF</t>
  </si>
  <si>
    <t>Current Tax Expense (32.5%)</t>
  </si>
  <si>
    <t>Property, Plant &amp; Equipment</t>
  </si>
  <si>
    <t>120,666,897.00</t>
  </si>
  <si>
    <t>127,681,410.00</t>
  </si>
  <si>
    <t>123,298,782.00</t>
  </si>
  <si>
    <t>130,837,463.00</t>
  </si>
  <si>
    <t>134,839,035.00</t>
  </si>
  <si>
    <t>Capital Work-in-Progress</t>
  </si>
  <si>
    <t>101,317,199.00</t>
  </si>
  <si>
    <t>98,231,874.00</t>
  </si>
  <si>
    <t>43,251,250.00</t>
  </si>
  <si>
    <t>Long Term Security Deposit</t>
  </si>
  <si>
    <t>152,000.00</t>
  </si>
  <si>
    <t>Deferred revenue expenses</t>
  </si>
  <si>
    <t>1,135,762.00</t>
  </si>
  <si>
    <t>Accumulated loss account</t>
  </si>
  <si>
    <t>16,369,471.00</t>
  </si>
  <si>
    <t>17,148,971.00</t>
  </si>
  <si>
    <t>Total Non-Current Assets</t>
  </si>
  <si>
    <t>222,136,096.00</t>
  </si>
  <si>
    <t>226,065,284.00</t>
  </si>
  <si>
    <t>166,702,032.00</t>
  </si>
  <si>
    <t>147,358,934.00</t>
  </si>
  <si>
    <t>153,275,768.00</t>
  </si>
  <si>
    <t>Inventories</t>
  </si>
  <si>
    <t>154,876,839.00</t>
  </si>
  <si>
    <t>83,030,279.00</t>
  </si>
  <si>
    <t>90,265,699.00</t>
  </si>
  <si>
    <t>69,497,149.00</t>
  </si>
  <si>
    <t>80,801,613.00</t>
  </si>
  <si>
    <t>Bill receivables</t>
  </si>
  <si>
    <t>141,243,960.00</t>
  </si>
  <si>
    <t>117,178,443.00</t>
  </si>
  <si>
    <t>137,762,123.00</t>
  </si>
  <si>
    <t>162,830,372.00</t>
  </si>
  <si>
    <t>134,974,194.00</t>
  </si>
  <si>
    <t>Advances, Deposits &amp; Prepayments</t>
  </si>
  <si>
    <t>7,850,000.00</t>
  </si>
  <si>
    <t>6,000,000.00</t>
  </si>
  <si>
    <t>12,000,000.00</t>
  </si>
  <si>
    <t>Cash &amp; Cash Equivalents</t>
  </si>
  <si>
    <t>3,435,755.00</t>
  </si>
  <si>
    <t>22,478,904.00</t>
  </si>
  <si>
    <t>760,650.00</t>
  </si>
  <si>
    <t>1,039,322.00</t>
  </si>
  <si>
    <t>1,070,511.00</t>
  </si>
  <si>
    <t>Total Current Assets</t>
  </si>
  <si>
    <t>307,406,554.00</t>
  </si>
  <si>
    <t>230,537,626.00</t>
  </si>
  <si>
    <t>234,788,472.00</t>
  </si>
  <si>
    <t>239,366,843.00</t>
  </si>
  <si>
    <t>228,846,318.00</t>
  </si>
  <si>
    <t>Total Assets</t>
  </si>
  <si>
    <t>529,542,650.00</t>
  </si>
  <si>
    <t>456,602,910.00</t>
  </si>
  <si>
    <t>401,490,504.00</t>
  </si>
  <si>
    <t>386,725,777.00</t>
  </si>
  <si>
    <t>382,122,086.00</t>
  </si>
  <si>
    <t>Share Capital</t>
  </si>
  <si>
    <t>130,799,800.00</t>
  </si>
  <si>
    <t>113,738,960.00</t>
  </si>
  <si>
    <t>103,399,060.00</t>
  </si>
  <si>
    <t>Tax holiday reserve</t>
  </si>
  <si>
    <t>6,476,131.00</t>
  </si>
  <si>
    <t>Revaluation Reserve</t>
  </si>
  <si>
    <t>66,865,432.00</t>
  </si>
  <si>
    <t>67,745,631.00</t>
  </si>
  <si>
    <t>68,601,380.00</t>
  </si>
  <si>
    <t/>
  </si>
  <si>
    <t>Capital reserve</t>
  </si>
  <si>
    <t>87,065,108.00</t>
  </si>
  <si>
    <t>Retained Earnings</t>
  </si>
  <si>
    <t>28,732,221.00</t>
  </si>
  <si>
    <t>11,898,155.00</t>
  </si>
  <si>
    <t>(1,656,562.00)</t>
  </si>
  <si>
    <t>943,175.00</t>
  </si>
  <si>
    <t>385,075.00</t>
  </si>
  <si>
    <t>Total Shareholders' Equity</t>
  </si>
  <si>
    <t>232,873,584.00</t>
  </si>
  <si>
    <t>199,858,877.00</t>
  </si>
  <si>
    <t>176,820,009.00</t>
  </si>
  <si>
    <t>197,883,474.00</t>
  </si>
  <si>
    <t>197,325,374.00</t>
  </si>
  <si>
    <t>Long Term Borrowings Net off Current Maturity</t>
  </si>
  <si>
    <t>191,660,951.00</t>
  </si>
  <si>
    <t>Deferred Tax liabilities</t>
  </si>
  <si>
    <t>14,569,997.00</t>
  </si>
  <si>
    <t>15,321,281.00</t>
  </si>
  <si>
    <t>Workers participation fund</t>
  </si>
  <si>
    <t>2,962,000.00</t>
  </si>
  <si>
    <t>1,429,437.00</t>
  </si>
  <si>
    <t>689,369.00</t>
  </si>
  <si>
    <t>80,457.00</t>
  </si>
  <si>
    <t>161,216.00</t>
  </si>
  <si>
    <t>Provision for income tax</t>
  </si>
  <si>
    <t>15,095,945.00</t>
  </si>
  <si>
    <t>Total Non-Current Liabilities</t>
  </si>
  <si>
    <t>17,531,997.00</t>
  </si>
  <si>
    <t>16,750,718.00</t>
  </si>
  <si>
    <t>207,446,265.00</t>
  </si>
  <si>
    <t>Short Term Borrowings</t>
  </si>
  <si>
    <t>15,000,000.00</t>
  </si>
  <si>
    <t>10,000,000.00</t>
  </si>
  <si>
    <t>Long Term Borrowings Current Maturity</t>
  </si>
  <si>
    <t>235,216,094.00</t>
  </si>
  <si>
    <t>208,350,588.00</t>
  </si>
  <si>
    <t>172,667,523.00</t>
  </si>
  <si>
    <t>167,304,022.00</t>
  </si>
  <si>
    <t>Trade and other payables</t>
  </si>
  <si>
    <t>883,879.00</t>
  </si>
  <si>
    <t>167,200.00</t>
  </si>
  <si>
    <t>191,075.00</t>
  </si>
  <si>
    <t>75,200.00</t>
  </si>
  <si>
    <t>Creditors/ liability for expenses</t>
  </si>
  <si>
    <t>1,109,512.00</t>
  </si>
  <si>
    <t>910,709.00</t>
  </si>
  <si>
    <t>423,435.00</t>
  </si>
  <si>
    <t>486,470.00</t>
  </si>
  <si>
    <t>914,707.00</t>
  </si>
  <si>
    <t>Creditors/ liability for other finance</t>
  </si>
  <si>
    <t>2,080,960.00</t>
  </si>
  <si>
    <t>2,073,960.00</t>
  </si>
  <si>
    <t>3,073,960.00</t>
  </si>
  <si>
    <t>Deferred Tax liability</t>
  </si>
  <si>
    <t>14,595,760.00</t>
  </si>
  <si>
    <t>Provision for Taxation</t>
  </si>
  <si>
    <t>24,846,625.00</t>
  </si>
  <si>
    <t>18,490,858.00</t>
  </si>
  <si>
    <t>13,458,693.00</t>
  </si>
  <si>
    <t>13,267,607.00</t>
  </si>
  <si>
    <t>Total Current Liabilities</t>
  </si>
  <si>
    <t>279,137,070.00</t>
  </si>
  <si>
    <t>239,993,315.00</t>
  </si>
  <si>
    <t>17,284,230.00</t>
  </si>
  <si>
    <t>188,842,303.00</t>
  </si>
  <si>
    <t>184,796,712.00</t>
  </si>
  <si>
    <t>Total Equity and Liabilities</t>
  </si>
  <si>
    <t>529,542,651.00</t>
  </si>
  <si>
    <t>401,550,504.00</t>
  </si>
  <si>
    <t>Nav</t>
  </si>
  <si>
    <t>17.80</t>
  </si>
  <si>
    <t>17.57</t>
  </si>
  <si>
    <t>17.10</t>
  </si>
  <si>
    <t>19.14</t>
  </si>
  <si>
    <t>19.08</t>
  </si>
  <si>
    <t>Cash Receipts from Customers and Others</t>
  </si>
  <si>
    <t>275,711,383.00</t>
  </si>
  <si>
    <t>171,363,290.00</t>
  </si>
  <si>
    <t>126,741,069.00</t>
  </si>
  <si>
    <t>12,509,237.00</t>
  </si>
  <si>
    <t>62,042,044.00</t>
  </si>
  <si>
    <t>Cash Paid to Suppliers, Employees and Others</t>
  </si>
  <si>
    <t>(296,500,057.00)</t>
  </si>
  <si>
    <t>(88,930,587.00)</t>
  </si>
  <si>
    <t>(127,019,741.00)</t>
  </si>
  <si>
    <t>(17,592,738.00)</t>
  </si>
  <si>
    <t>(61,813,853.00)</t>
  </si>
  <si>
    <t>Other receipts</t>
  </si>
  <si>
    <t>Net Cash Generated from Operating Activities</t>
  </si>
  <si>
    <t>(20,703,224.00)</t>
  </si>
  <si>
    <t>82,514,378.00</t>
  </si>
  <si>
    <t>(278,672.00)</t>
  </si>
  <si>
    <t>(5,083,501.00)</t>
  </si>
  <si>
    <t>228,191.00</t>
  </si>
  <si>
    <t>Acquisition of Property, Plant &amp; Equipment</t>
  </si>
  <si>
    <t>(3,339,925.00)</t>
  </si>
  <si>
    <t>(65,796,124.00)</t>
  </si>
  <si>
    <t>Net Cash Used in Investing Activities</t>
  </si>
  <si>
    <t>Loan Taken</t>
  </si>
  <si>
    <t>5,000,000.00</t>
  </si>
  <si>
    <t>Loan Repaid</t>
  </si>
  <si>
    <t>(500,000.00)</t>
  </si>
  <si>
    <t>Net received/(payment) in long term loan from bank</t>
  </si>
  <si>
    <t>(5,000,000.00)</t>
  </si>
  <si>
    <t>5,052,312.00</t>
  </si>
  <si>
    <t>188,811.00</t>
  </si>
  <si>
    <t>Net Cash Used in Financing Activities</t>
  </si>
  <si>
    <t>(311,189.00)</t>
  </si>
  <si>
    <t>BDT</t>
  </si>
  <si>
    <t>A.</t>
  </si>
  <si>
    <t>Cash flow from operating activities</t>
  </si>
  <si>
    <t>Net cash flow from operating activities</t>
  </si>
  <si>
    <t>B.</t>
  </si>
  <si>
    <t>Cash flow from investing activities</t>
  </si>
  <si>
    <t>C.</t>
  </si>
  <si>
    <t>Cash flow from financing activities</t>
  </si>
  <si>
    <t>Net cash used in financing activities</t>
  </si>
  <si>
    <t>Cash receipt from customers</t>
  </si>
  <si>
    <t>Cash paid to suppliers</t>
  </si>
  <si>
    <t>Cash generated from operating activities</t>
  </si>
  <si>
    <t>Interest received</t>
  </si>
  <si>
    <t>Income tax paid</t>
  </si>
  <si>
    <t>Realized foreign exchange gain/ (loss)</t>
  </si>
  <si>
    <t>Payback period</t>
  </si>
  <si>
    <t xml:space="preserve">Cumulative cash outflow </t>
  </si>
  <si>
    <t>Sl No</t>
  </si>
  <si>
    <t>Discount rate</t>
  </si>
  <si>
    <t>NPV</t>
  </si>
  <si>
    <t>Perpetual operation</t>
  </si>
  <si>
    <t>USD</t>
  </si>
  <si>
    <t>Particular</t>
  </si>
  <si>
    <t>Amount</t>
  </si>
  <si>
    <t>Total</t>
  </si>
  <si>
    <t>years</t>
  </si>
  <si>
    <t>VF</t>
  </si>
  <si>
    <t>BATA</t>
  </si>
  <si>
    <t>Apex</t>
  </si>
  <si>
    <t>Legacy</t>
  </si>
  <si>
    <t>Net cash flow</t>
  </si>
  <si>
    <t>Cumulative cash flow</t>
  </si>
  <si>
    <t>Initial investment</t>
  </si>
  <si>
    <t>Year 0</t>
  </si>
  <si>
    <t>Year 1</t>
  </si>
  <si>
    <t>Year 2</t>
  </si>
  <si>
    <t>Year 3</t>
  </si>
  <si>
    <t>Year 4</t>
  </si>
  <si>
    <t>Year 5</t>
  </si>
  <si>
    <t>Year</t>
  </si>
  <si>
    <t>Cash flow</t>
  </si>
  <si>
    <t>USD converted</t>
  </si>
  <si>
    <t>Perpetuity factor</t>
  </si>
  <si>
    <t>Expected exchange rate</t>
  </si>
  <si>
    <t>NPV (@18%)</t>
  </si>
  <si>
    <t>IRR</t>
  </si>
  <si>
    <t>MIRR</t>
  </si>
  <si>
    <t>Initial Investment</t>
  </si>
  <si>
    <t>5 years of operation</t>
  </si>
  <si>
    <t>Gross Profit margin</t>
  </si>
  <si>
    <t>Net Profit margin</t>
  </si>
  <si>
    <t>EPS (@BDT852/ share)</t>
  </si>
  <si>
    <t>EPS (@USD10/ share)</t>
  </si>
  <si>
    <t>Brand Royalty fee</t>
  </si>
  <si>
    <t>Cash outflow  (A+B+C)</t>
  </si>
  <si>
    <t>Add: Brand Royalty fee</t>
  </si>
  <si>
    <t xml:space="preserve">Net cash outflow </t>
  </si>
  <si>
    <t>Payment of leasehold assets</t>
  </si>
  <si>
    <t>Management/ Technical service fees</t>
  </si>
  <si>
    <t>Expacted fluctuation in exchange rate</t>
  </si>
  <si>
    <t>Net cash used in investing activities</t>
  </si>
  <si>
    <t>Acquisition of PPE</t>
  </si>
  <si>
    <t>Add: Mgt./ Technical service fees</t>
  </si>
  <si>
    <t>Cont. to WPPF fund</t>
  </si>
  <si>
    <t>Cash paid for admin exp.</t>
  </si>
  <si>
    <t>Cash paid for selling and dist.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</si>
</sst>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_(* #,##0.0000000_);_(* \(#,##0.0000000\);_(* &quot;-&quot;??_);_(@_)"/>
    <numFmt numFmtId="169" formatCode="0.000%"/>
    <numFmt numFmtId="170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u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u/>
      <sz val="10"/>
      <color theme="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8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0" fontId="0" fillId="0" borderId="0" xfId="2" applyNumberFormat="1" applyFont="1"/>
    <xf numFmtId="169" fontId="0" fillId="0" borderId="0" xfId="2" applyNumberFormat="1" applyFont="1"/>
    <xf numFmtId="14" fontId="0" fillId="0" borderId="0" xfId="0" applyNumberFormat="1"/>
    <xf numFmtId="17" fontId="0" fillId="0" borderId="0" xfId="0" applyNumberFormat="1"/>
    <xf numFmtId="0" fontId="3" fillId="0" borderId="0" xfId="3" applyNumberFormat="1"/>
    <xf numFmtId="0" fontId="3" fillId="0" borderId="0" xfId="3" applyNumberFormat="1" applyAlignment="1">
      <alignment horizontal="right"/>
    </xf>
    <xf numFmtId="0" fontId="2" fillId="0" borderId="0" xfId="0" applyFont="1"/>
    <xf numFmtId="43" fontId="3" fillId="0" borderId="0" xfId="1" applyNumberFormat="1" applyFont="1" applyAlignment="1">
      <alignment horizontal="right"/>
    </xf>
    <xf numFmtId="0" fontId="3" fillId="0" borderId="0" xfId="3"/>
    <xf numFmtId="0" fontId="3" fillId="0" borderId="0" xfId="3" applyAlignment="1">
      <alignment horizontal="center" vertical="center"/>
    </xf>
    <xf numFmtId="0" fontId="3" fillId="0" borderId="0" xfId="3" applyAlignment="1">
      <alignment horizontal="right"/>
    </xf>
    <xf numFmtId="43" fontId="1" fillId="0" borderId="0" xfId="1" applyFont="1"/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2" fontId="7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164" fontId="7" fillId="2" borderId="1" xfId="1" applyNumberFormat="1" applyFont="1" applyFill="1" applyBorder="1"/>
    <xf numFmtId="0" fontId="6" fillId="6" borderId="1" xfId="0" applyFont="1" applyFill="1" applyBorder="1"/>
    <xf numFmtId="164" fontId="6" fillId="6" borderId="1" xfId="1" applyNumberFormat="1" applyFont="1" applyFill="1" applyBorder="1"/>
    <xf numFmtId="0" fontId="6" fillId="3" borderId="1" xfId="0" applyFont="1" applyFill="1" applyBorder="1"/>
    <xf numFmtId="164" fontId="6" fillId="3" borderId="1" xfId="1" applyNumberFormat="1" applyFont="1" applyFill="1" applyBorder="1"/>
    <xf numFmtId="5" fontId="6" fillId="3" borderId="1" xfId="1" applyNumberFormat="1" applyFont="1" applyFill="1" applyBorder="1"/>
    <xf numFmtId="0" fontId="5" fillId="5" borderId="1" xfId="0" applyFont="1" applyFill="1" applyBorder="1"/>
    <xf numFmtId="10" fontId="5" fillId="5" borderId="1" xfId="0" applyNumberFormat="1" applyFont="1" applyFill="1" applyBorder="1"/>
    <xf numFmtId="0" fontId="6" fillId="5" borderId="1" xfId="0" applyFont="1" applyFill="1" applyBorder="1"/>
    <xf numFmtId="164" fontId="6" fillId="5" borderId="1" xfId="1" applyNumberFormat="1" applyFont="1" applyFill="1" applyBorder="1"/>
    <xf numFmtId="164" fontId="6" fillId="9" borderId="1" xfId="1" applyNumberFormat="1" applyFont="1" applyFill="1" applyBorder="1"/>
    <xf numFmtId="164" fontId="10" fillId="2" borderId="1" xfId="4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0" fontId="11" fillId="3" borderId="1" xfId="2" applyNumberFormat="1" applyFont="1" applyFill="1" applyBorder="1" applyAlignment="1">
      <alignment horizontal="center" vertical="center"/>
    </xf>
    <xf numFmtId="164" fontId="11" fillId="3" borderId="1" xfId="4" applyNumberFormat="1" applyFont="1" applyFill="1" applyBorder="1" applyAlignment="1">
      <alignment vertical="center"/>
    </xf>
    <xf numFmtId="5" fontId="11" fillId="3" borderId="1" xfId="12" applyNumberFormat="1" applyFont="1" applyFill="1" applyBorder="1" applyAlignment="1">
      <alignment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4" xfId="1" applyNumberFormat="1" applyFont="1" applyFill="1" applyBorder="1" applyAlignment="1">
      <alignment horizontal="center" vertical="center"/>
    </xf>
    <xf numFmtId="0" fontId="7" fillId="2" borderId="15" xfId="1" applyNumberFormat="1" applyFont="1" applyFill="1" applyBorder="1" applyAlignment="1">
      <alignment horizontal="center" vertical="center"/>
    </xf>
    <xf numFmtId="0" fontId="6" fillId="6" borderId="28" xfId="0" applyFont="1" applyFill="1" applyBorder="1"/>
    <xf numFmtId="164" fontId="6" fillId="6" borderId="17" xfId="1" applyNumberFormat="1" applyFont="1" applyFill="1" applyBorder="1"/>
    <xf numFmtId="43" fontId="7" fillId="2" borderId="24" xfId="1" applyNumberFormat="1" applyFont="1" applyFill="1" applyBorder="1"/>
    <xf numFmtId="164" fontId="7" fillId="2" borderId="25" xfId="1" applyNumberFormat="1" applyFont="1" applyFill="1" applyBorder="1"/>
    <xf numFmtId="0" fontId="7" fillId="2" borderId="28" xfId="0" applyFont="1" applyFill="1" applyBorder="1" applyAlignment="1">
      <alignment horizontal="left" vertical="center" wrapText="1"/>
    </xf>
    <xf numFmtId="9" fontId="7" fillId="2" borderId="17" xfId="0" applyNumberFormat="1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left" vertical="center"/>
    </xf>
    <xf numFmtId="2" fontId="7" fillId="2" borderId="17" xfId="1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/>
    <xf numFmtId="164" fontId="6" fillId="5" borderId="17" xfId="1" applyNumberFormat="1" applyFont="1" applyFill="1" applyBorder="1"/>
    <xf numFmtId="0" fontId="6" fillId="3" borderId="30" xfId="0" applyFont="1" applyFill="1" applyBorder="1" applyAlignment="1"/>
    <xf numFmtId="5" fontId="6" fillId="3" borderId="17" xfId="1" applyNumberFormat="1" applyFont="1" applyFill="1" applyBorder="1"/>
    <xf numFmtId="0" fontId="6" fillId="3" borderId="31" xfId="0" applyFont="1" applyFill="1" applyBorder="1" applyAlignment="1"/>
    <xf numFmtId="0" fontId="6" fillId="3" borderId="28" xfId="0" applyFont="1" applyFill="1" applyBorder="1"/>
    <xf numFmtId="0" fontId="7" fillId="2" borderId="28" xfId="0" applyFont="1" applyFill="1" applyBorder="1"/>
    <xf numFmtId="164" fontId="7" fillId="2" borderId="17" xfId="1" applyNumberFormat="1" applyFont="1" applyFill="1" applyBorder="1"/>
    <xf numFmtId="0" fontId="5" fillId="5" borderId="28" xfId="0" applyFont="1" applyFill="1" applyBorder="1"/>
    <xf numFmtId="10" fontId="5" fillId="5" borderId="17" xfId="0" applyNumberFormat="1" applyFont="1" applyFill="1" applyBorder="1"/>
    <xf numFmtId="0" fontId="5" fillId="5" borderId="32" xfId="0" applyFont="1" applyFill="1" applyBorder="1"/>
    <xf numFmtId="0" fontId="5" fillId="5" borderId="24" xfId="0" applyFont="1" applyFill="1" applyBorder="1"/>
    <xf numFmtId="10" fontId="5" fillId="5" borderId="24" xfId="0" applyNumberFormat="1" applyFont="1" applyFill="1" applyBorder="1"/>
    <xf numFmtId="10" fontId="5" fillId="5" borderId="25" xfId="0" applyNumberFormat="1" applyFont="1" applyFill="1" applyBorder="1"/>
    <xf numFmtId="0" fontId="10" fillId="2" borderId="28" xfId="4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1" fillId="3" borderId="28" xfId="4" applyNumberFormat="1" applyFont="1" applyFill="1" applyBorder="1" applyAlignment="1">
      <alignment horizontal="center" vertical="center"/>
    </xf>
    <xf numFmtId="5" fontId="11" fillId="3" borderId="17" xfId="12" applyNumberFormat="1" applyFont="1" applyFill="1" applyBorder="1" applyAlignment="1">
      <alignment vertical="center"/>
    </xf>
    <xf numFmtId="0" fontId="10" fillId="3" borderId="28" xfId="4" applyNumberFormat="1" applyFont="1" applyFill="1" applyBorder="1" applyAlignment="1">
      <alignment horizontal="center" vertical="center"/>
    </xf>
    <xf numFmtId="0" fontId="11" fillId="3" borderId="28" xfId="5" applyFont="1" applyFill="1" applyBorder="1" applyAlignment="1">
      <alignment horizontal="center" vertical="center"/>
    </xf>
    <xf numFmtId="0" fontId="11" fillId="3" borderId="32" xfId="5" applyFont="1" applyFill="1" applyBorder="1" applyAlignment="1">
      <alignment horizontal="center" vertical="center"/>
    </xf>
    <xf numFmtId="10" fontId="11" fillId="3" borderId="24" xfId="2" applyNumberFormat="1" applyFont="1" applyFill="1" applyBorder="1" applyAlignment="1">
      <alignment horizontal="center" vertical="center"/>
    </xf>
    <xf numFmtId="164" fontId="11" fillId="3" borderId="24" xfId="4" applyNumberFormat="1" applyFont="1" applyFill="1" applyBorder="1" applyAlignment="1">
      <alignment vertical="center"/>
    </xf>
    <xf numFmtId="5" fontId="11" fillId="3" borderId="24" xfId="12" applyNumberFormat="1" applyFont="1" applyFill="1" applyBorder="1" applyAlignment="1">
      <alignment vertical="center"/>
    </xf>
    <xf numFmtId="5" fontId="11" fillId="3" borderId="25" xfId="12" applyNumberFormat="1" applyFont="1" applyFill="1" applyBorder="1" applyAlignment="1">
      <alignment vertical="center"/>
    </xf>
    <xf numFmtId="10" fontId="6" fillId="9" borderId="1" xfId="2" applyNumberFormat="1" applyFont="1" applyFill="1" applyBorder="1"/>
    <xf numFmtId="43" fontId="6" fillId="9" borderId="1" xfId="1" applyNumberFormat="1" applyFont="1" applyFill="1" applyBorder="1"/>
    <xf numFmtId="0" fontId="7" fillId="2" borderId="17" xfId="0" applyFont="1" applyFill="1" applyBorder="1" applyAlignment="1">
      <alignment horizontal="center" vertical="center"/>
    </xf>
    <xf numFmtId="0" fontId="6" fillId="9" borderId="28" xfId="0" applyFont="1" applyFill="1" applyBorder="1"/>
    <xf numFmtId="10" fontId="6" fillId="9" borderId="17" xfId="2" applyNumberFormat="1" applyFont="1" applyFill="1" applyBorder="1"/>
    <xf numFmtId="43" fontId="6" fillId="9" borderId="17" xfId="1" applyNumberFormat="1" applyFont="1" applyFill="1" applyBorder="1"/>
    <xf numFmtId="0" fontId="6" fillId="9" borderId="32" xfId="0" applyFont="1" applyFill="1" applyBorder="1"/>
    <xf numFmtId="170" fontId="6" fillId="9" borderId="24" xfId="0" applyNumberFormat="1" applyFont="1" applyFill="1" applyBorder="1"/>
    <xf numFmtId="170" fontId="6" fillId="9" borderId="25" xfId="0" applyNumberFormat="1" applyFont="1" applyFill="1" applyBorder="1"/>
    <xf numFmtId="164" fontId="5" fillId="6" borderId="1" xfId="1" applyNumberFormat="1" applyFont="1" applyFill="1" applyBorder="1"/>
    <xf numFmtId="164" fontId="5" fillId="4" borderId="1" xfId="1" applyNumberFormat="1" applyFont="1" applyFill="1" applyBorder="1"/>
    <xf numFmtId="0" fontId="2" fillId="4" borderId="0" xfId="0" applyFont="1" applyFill="1"/>
    <xf numFmtId="43" fontId="0" fillId="4" borderId="0" xfId="1" applyFont="1" applyFill="1"/>
    <xf numFmtId="0" fontId="0" fillId="4" borderId="0" xfId="0" applyFill="1"/>
    <xf numFmtId="0" fontId="7" fillId="2" borderId="15" xfId="0" applyFont="1" applyFill="1" applyBorder="1" applyAlignment="1">
      <alignment horizontal="center" vertical="center"/>
    </xf>
    <xf numFmtId="0" fontId="6" fillId="9" borderId="28" xfId="3" applyNumberFormat="1" applyFont="1" applyFill="1" applyBorder="1"/>
    <xf numFmtId="164" fontId="6" fillId="9" borderId="17" xfId="1" applyNumberFormat="1" applyFont="1" applyFill="1" applyBorder="1"/>
    <xf numFmtId="0" fontId="5" fillId="4" borderId="28" xfId="3" applyNumberFormat="1" applyFont="1" applyFill="1" applyBorder="1"/>
    <xf numFmtId="164" fontId="5" fillId="4" borderId="17" xfId="1" applyNumberFormat="1" applyFont="1" applyFill="1" applyBorder="1"/>
    <xf numFmtId="0" fontId="5" fillId="6" borderId="28" xfId="3" applyNumberFormat="1" applyFont="1" applyFill="1" applyBorder="1"/>
    <xf numFmtId="164" fontId="5" fillId="6" borderId="17" xfId="1" applyNumberFormat="1" applyFont="1" applyFill="1" applyBorder="1"/>
    <xf numFmtId="0" fontId="7" fillId="2" borderId="32" xfId="3" applyNumberFormat="1" applyFont="1" applyFill="1" applyBorder="1"/>
    <xf numFmtId="164" fontId="7" fillId="2" borderId="24" xfId="0" applyNumberFormat="1" applyFont="1" applyFill="1" applyBorder="1"/>
    <xf numFmtId="164" fontId="7" fillId="2" borderId="25" xfId="0" applyNumberFormat="1" applyFont="1" applyFill="1" applyBorder="1"/>
    <xf numFmtId="164" fontId="7" fillId="2" borderId="1" xfId="1" applyNumberFormat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/>
    </xf>
    <xf numFmtId="7" fontId="6" fillId="3" borderId="17" xfId="0" applyNumberFormat="1" applyFont="1" applyFill="1" applyBorder="1"/>
    <xf numFmtId="0" fontId="9" fillId="2" borderId="32" xfId="0" applyFont="1" applyFill="1" applyBorder="1"/>
    <xf numFmtId="0" fontId="7" fillId="2" borderId="24" xfId="0" applyFont="1" applyFill="1" applyBorder="1" applyAlignment="1">
      <alignment horizontal="right"/>
    </xf>
    <xf numFmtId="164" fontId="7" fillId="2" borderId="24" xfId="1" applyNumberFormat="1" applyFont="1" applyFill="1" applyBorder="1"/>
    <xf numFmtId="7" fontId="7" fillId="2" borderId="25" xfId="0" applyNumberFormat="1" applyFont="1" applyFill="1" applyBorder="1"/>
    <xf numFmtId="0" fontId="12" fillId="0" borderId="0" xfId="6" applyNumberFormat="1" applyFont="1" applyFill="1" applyAlignment="1">
      <alignment horizontal="center" vertical="center"/>
    </xf>
    <xf numFmtId="0" fontId="13" fillId="0" borderId="0" xfId="5" applyFont="1" applyAlignment="1">
      <alignment vertical="center"/>
    </xf>
    <xf numFmtId="164" fontId="13" fillId="0" borderId="0" xfId="4" applyNumberFormat="1" applyFont="1" applyFill="1" applyAlignment="1">
      <alignment vertical="center"/>
    </xf>
    <xf numFmtId="164" fontId="13" fillId="0" borderId="0" xfId="4" applyNumberFormat="1" applyFont="1" applyFill="1" applyBorder="1" applyAlignment="1">
      <alignment vertical="center"/>
    </xf>
    <xf numFmtId="164" fontId="14" fillId="0" borderId="11" xfId="4" applyNumberFormat="1" applyFont="1" applyFill="1" applyBorder="1" applyAlignment="1">
      <alignment horizontal="center" vertical="center"/>
    </xf>
    <xf numFmtId="1" fontId="15" fillId="2" borderId="14" xfId="4" applyNumberFormat="1" applyFont="1" applyFill="1" applyBorder="1" applyAlignment="1">
      <alignment horizontal="center" vertical="center"/>
    </xf>
    <xf numFmtId="1" fontId="15" fillId="2" borderId="15" xfId="4" applyNumberFormat="1" applyFont="1" applyFill="1" applyBorder="1" applyAlignment="1">
      <alignment horizontal="center" vertical="center"/>
    </xf>
    <xf numFmtId="164" fontId="14" fillId="0" borderId="16" xfId="4" applyNumberFormat="1" applyFont="1" applyFill="1" applyBorder="1" applyAlignment="1">
      <alignment horizontal="center" vertical="center"/>
    </xf>
    <xf numFmtId="0" fontId="16" fillId="2" borderId="1" xfId="7" applyFont="1" applyFill="1" applyBorder="1" applyAlignment="1">
      <alignment horizontal="center" vertical="center" wrapText="1"/>
    </xf>
    <xf numFmtId="0" fontId="16" fillId="2" borderId="17" xfId="7" applyFont="1" applyFill="1" applyBorder="1" applyAlignment="1">
      <alignment horizontal="center" vertical="center" wrapText="1"/>
    </xf>
    <xf numFmtId="0" fontId="14" fillId="7" borderId="16" xfId="5" applyFont="1" applyFill="1" applyBorder="1" applyAlignment="1">
      <alignment vertical="center"/>
    </xf>
    <xf numFmtId="0" fontId="14" fillId="7" borderId="3" xfId="5" applyFont="1" applyFill="1" applyBorder="1" applyAlignment="1">
      <alignment vertical="center"/>
    </xf>
    <xf numFmtId="164" fontId="13" fillId="7" borderId="3" xfId="4" applyNumberFormat="1" applyFont="1" applyFill="1" applyBorder="1" applyAlignment="1">
      <alignment vertical="center"/>
    </xf>
    <xf numFmtId="0" fontId="13" fillId="7" borderId="18" xfId="5" applyFont="1" applyFill="1" applyBorder="1" applyAlignment="1">
      <alignment vertical="center"/>
    </xf>
    <xf numFmtId="164" fontId="13" fillId="7" borderId="0" xfId="4" applyNumberFormat="1" applyFont="1" applyFill="1" applyBorder="1" applyAlignment="1">
      <alignment vertical="center"/>
    </xf>
    <xf numFmtId="0" fontId="13" fillId="7" borderId="0" xfId="5" applyFont="1" applyFill="1" applyBorder="1" applyAlignment="1">
      <alignment vertical="center"/>
    </xf>
    <xf numFmtId="0" fontId="13" fillId="6" borderId="16" xfId="5" applyFont="1" applyFill="1" applyBorder="1" applyAlignment="1">
      <alignment vertical="center"/>
    </xf>
    <xf numFmtId="164" fontId="13" fillId="6" borderId="0" xfId="4" applyNumberFormat="1" applyFont="1" applyFill="1" applyAlignment="1">
      <alignment vertical="center"/>
    </xf>
    <xf numFmtId="0" fontId="13" fillId="6" borderId="0" xfId="5" applyFont="1" applyFill="1" applyAlignment="1">
      <alignment vertical="center"/>
    </xf>
    <xf numFmtId="164" fontId="13" fillId="6" borderId="0" xfId="4" applyNumberFormat="1" applyFont="1" applyFill="1" applyBorder="1" applyAlignment="1">
      <alignment vertical="center"/>
    </xf>
    <xf numFmtId="0" fontId="13" fillId="6" borderId="2" xfId="5" applyFont="1" applyFill="1" applyBorder="1" applyAlignment="1">
      <alignment vertical="center"/>
    </xf>
    <xf numFmtId="0" fontId="13" fillId="6" borderId="3" xfId="4" applyNumberFormat="1" applyFont="1" applyFill="1" applyBorder="1" applyAlignment="1">
      <alignment vertical="center"/>
    </xf>
    <xf numFmtId="0" fontId="13" fillId="6" borderId="4" xfId="4" applyNumberFormat="1" applyFont="1" applyFill="1" applyBorder="1" applyAlignment="1">
      <alignment vertical="center"/>
    </xf>
    <xf numFmtId="0" fontId="14" fillId="6" borderId="3" xfId="4" applyNumberFormat="1" applyFont="1" applyFill="1" applyBorder="1" applyAlignment="1">
      <alignment vertical="center"/>
    </xf>
    <xf numFmtId="0" fontId="14" fillId="6" borderId="4" xfId="4" applyNumberFormat="1" applyFont="1" applyFill="1" applyBorder="1" applyAlignment="1">
      <alignment vertical="center"/>
    </xf>
    <xf numFmtId="0" fontId="13" fillId="6" borderId="3" xfId="5" applyFont="1" applyFill="1" applyBorder="1" applyAlignment="1">
      <alignment vertical="center"/>
    </xf>
    <xf numFmtId="0" fontId="13" fillId="6" borderId="4" xfId="5" applyFont="1" applyFill="1" applyBorder="1" applyAlignment="1">
      <alignment vertical="center"/>
    </xf>
    <xf numFmtId="0" fontId="13" fillId="4" borderId="16" xfId="5" applyFont="1" applyFill="1" applyBorder="1" applyAlignment="1">
      <alignment vertical="center"/>
    </xf>
    <xf numFmtId="0" fontId="13" fillId="4" borderId="2" xfId="5" applyFont="1" applyFill="1" applyBorder="1" applyAlignment="1">
      <alignment vertical="center"/>
    </xf>
    <xf numFmtId="0" fontId="17" fillId="4" borderId="3" xfId="5" applyFont="1" applyFill="1" applyBorder="1" applyAlignment="1">
      <alignment vertical="center"/>
    </xf>
    <xf numFmtId="0" fontId="13" fillId="4" borderId="4" xfId="5" applyFont="1" applyFill="1" applyBorder="1" applyAlignment="1">
      <alignment vertical="center"/>
    </xf>
    <xf numFmtId="164" fontId="13" fillId="4" borderId="0" xfId="4" applyNumberFormat="1" applyFont="1" applyFill="1" applyBorder="1" applyAlignment="1">
      <alignment vertical="center"/>
    </xf>
    <xf numFmtId="0" fontId="13" fillId="4" borderId="0" xfId="5" applyFont="1" applyFill="1" applyAlignment="1">
      <alignment vertical="center"/>
    </xf>
    <xf numFmtId="0" fontId="13" fillId="8" borderId="2" xfId="5" applyFont="1" applyFill="1" applyBorder="1" applyAlignment="1">
      <alignment vertical="center"/>
    </xf>
    <xf numFmtId="0" fontId="18" fillId="4" borderId="4" xfId="5" applyFont="1" applyFill="1" applyBorder="1" applyAlignment="1">
      <alignment vertical="center"/>
    </xf>
    <xf numFmtId="0" fontId="13" fillId="6" borderId="4" xfId="4" applyNumberFormat="1" applyFont="1" applyFill="1" applyBorder="1"/>
    <xf numFmtId="0" fontId="17" fillId="4" borderId="3" xfId="4" applyNumberFormat="1" applyFont="1" applyFill="1" applyBorder="1" applyAlignment="1">
      <alignment vertical="center"/>
    </xf>
    <xf numFmtId="0" fontId="18" fillId="4" borderId="4" xfId="4" applyNumberFormat="1" applyFont="1" applyFill="1" applyBorder="1" applyAlignment="1">
      <alignment vertical="center"/>
    </xf>
    <xf numFmtId="0" fontId="17" fillId="4" borderId="0" xfId="5" applyFont="1" applyFill="1" applyAlignment="1">
      <alignment vertical="center"/>
    </xf>
    <xf numFmtId="0" fontId="17" fillId="6" borderId="0" xfId="5" applyFont="1" applyFill="1" applyAlignment="1">
      <alignment vertical="center"/>
    </xf>
    <xf numFmtId="0" fontId="14" fillId="4" borderId="3" xfId="9" applyNumberFormat="1" applyFont="1" applyFill="1" applyBorder="1" applyAlignment="1">
      <alignment vertical="center"/>
    </xf>
    <xf numFmtId="0" fontId="13" fillId="6" borderId="3" xfId="9" applyNumberFormat="1" applyFont="1" applyFill="1" applyBorder="1" applyAlignment="1">
      <alignment vertical="center"/>
    </xf>
    <xf numFmtId="0" fontId="18" fillId="6" borderId="4" xfId="4" applyNumberFormat="1" applyFont="1" applyFill="1" applyBorder="1" applyAlignment="1">
      <alignment vertical="center"/>
    </xf>
    <xf numFmtId="0" fontId="15" fillId="2" borderId="16" xfId="5" applyFont="1" applyFill="1" applyBorder="1" applyAlignment="1">
      <alignment vertical="center"/>
    </xf>
    <xf numFmtId="0" fontId="15" fillId="2" borderId="2" xfId="5" applyFont="1" applyFill="1" applyBorder="1" applyAlignment="1">
      <alignment vertical="center"/>
    </xf>
    <xf numFmtId="0" fontId="15" fillId="2" borderId="3" xfId="9" applyNumberFormat="1" applyFont="1" applyFill="1" applyBorder="1" applyAlignment="1">
      <alignment vertical="center"/>
    </xf>
    <xf numFmtId="0" fontId="15" fillId="2" borderId="4" xfId="9" applyNumberFormat="1" applyFont="1" applyFill="1" applyBorder="1" applyAlignment="1">
      <alignment vertical="center"/>
    </xf>
    <xf numFmtId="164" fontId="15" fillId="2" borderId="0" xfId="1" applyNumberFormat="1" applyFont="1" applyFill="1" applyBorder="1" applyAlignment="1">
      <alignment vertical="center"/>
    </xf>
    <xf numFmtId="0" fontId="15" fillId="2" borderId="0" xfId="5" applyFont="1" applyFill="1" applyAlignment="1">
      <alignment vertical="center"/>
    </xf>
    <xf numFmtId="164" fontId="15" fillId="2" borderId="0" xfId="4" applyNumberFormat="1" applyFont="1" applyFill="1" applyBorder="1" applyAlignment="1">
      <alignment vertical="center"/>
    </xf>
    <xf numFmtId="0" fontId="14" fillId="5" borderId="20" xfId="5" applyFont="1" applyFill="1" applyBorder="1" applyAlignment="1">
      <alignment vertical="center"/>
    </xf>
    <xf numFmtId="0" fontId="13" fillId="5" borderId="21" xfId="5" applyFont="1" applyFill="1" applyBorder="1" applyAlignment="1">
      <alignment vertical="center"/>
    </xf>
    <xf numFmtId="0" fontId="14" fillId="5" borderId="22" xfId="9" applyNumberFormat="1" applyFont="1" applyFill="1" applyBorder="1" applyAlignment="1">
      <alignment vertical="center"/>
    </xf>
    <xf numFmtId="0" fontId="14" fillId="5" borderId="23" xfId="9" applyNumberFormat="1" applyFont="1" applyFill="1" applyBorder="1" applyAlignment="1">
      <alignment vertical="center"/>
    </xf>
    <xf numFmtId="164" fontId="13" fillId="5" borderId="0" xfId="4" applyNumberFormat="1" applyFont="1" applyFill="1" applyBorder="1" applyAlignment="1">
      <alignment vertical="center"/>
    </xf>
    <xf numFmtId="0" fontId="13" fillId="5" borderId="0" xfId="5" applyFont="1" applyFill="1" applyAlignment="1">
      <alignment vertical="center"/>
    </xf>
    <xf numFmtId="0" fontId="14" fillId="0" borderId="0" xfId="5" applyFont="1" applyAlignment="1">
      <alignment vertical="center"/>
    </xf>
    <xf numFmtId="0" fontId="13" fillId="0" borderId="0" xfId="4" applyNumberFormat="1" applyFont="1" applyFill="1" applyBorder="1" applyAlignment="1">
      <alignment vertical="center"/>
    </xf>
    <xf numFmtId="164" fontId="13" fillId="0" borderId="0" xfId="1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vertical="center"/>
    </xf>
    <xf numFmtId="164" fontId="13" fillId="0" borderId="0" xfId="5" applyNumberFormat="1" applyFont="1" applyAlignment="1">
      <alignment vertical="center"/>
    </xf>
    <xf numFmtId="0" fontId="18" fillId="0" borderId="0" xfId="5" applyFont="1" applyAlignment="1">
      <alignment vertical="center"/>
    </xf>
    <xf numFmtId="0" fontId="18" fillId="0" borderId="0" xfId="4" applyNumberFormat="1" applyFont="1" applyFill="1" applyBorder="1" applyAlignment="1">
      <alignment vertical="center"/>
    </xf>
    <xf numFmtId="0" fontId="13" fillId="0" borderId="7" xfId="4" applyNumberFormat="1" applyFont="1" applyFill="1" applyBorder="1" applyAlignment="1">
      <alignment horizontal="center" vertical="center"/>
    </xf>
    <xf numFmtId="164" fontId="13" fillId="0" borderId="7" xfId="4" applyNumberFormat="1" applyFont="1" applyFill="1" applyBorder="1" applyAlignment="1">
      <alignment vertical="center"/>
    </xf>
    <xf numFmtId="5" fontId="13" fillId="0" borderId="7" xfId="12" applyNumberFormat="1" applyFont="1" applyBorder="1" applyAlignment="1">
      <alignment vertical="center"/>
    </xf>
    <xf numFmtId="0" fontId="13" fillId="0" borderId="0" xfId="5" applyFont="1" applyBorder="1" applyAlignment="1">
      <alignment horizontal="center" vertical="center"/>
    </xf>
    <xf numFmtId="5" fontId="13" fillId="0" borderId="0" xfId="12" applyNumberFormat="1" applyFont="1" applyBorder="1" applyAlignment="1">
      <alignment vertical="center"/>
    </xf>
    <xf numFmtId="0" fontId="13" fillId="0" borderId="0" xfId="5" applyFont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164" fontId="13" fillId="6" borderId="1" xfId="4" applyNumberFormat="1" applyFont="1" applyFill="1" applyBorder="1" applyAlignment="1">
      <alignment horizontal="right" vertical="center"/>
    </xf>
    <xf numFmtId="164" fontId="13" fillId="6" borderId="17" xfId="4" applyNumberFormat="1" applyFont="1" applyFill="1" applyBorder="1" applyAlignment="1">
      <alignment horizontal="right" vertical="center"/>
    </xf>
    <xf numFmtId="164" fontId="14" fillId="4" borderId="1" xfId="4" applyNumberFormat="1" applyFont="1" applyFill="1" applyBorder="1" applyAlignment="1">
      <alignment horizontal="right" vertical="center"/>
    </xf>
    <xf numFmtId="164" fontId="14" fillId="4" borderId="17" xfId="4" applyNumberFormat="1" applyFont="1" applyFill="1" applyBorder="1" applyAlignment="1">
      <alignment horizontal="right" vertical="center"/>
    </xf>
    <xf numFmtId="164" fontId="14" fillId="6" borderId="1" xfId="4" applyNumberFormat="1" applyFont="1" applyFill="1" applyBorder="1" applyAlignment="1">
      <alignment horizontal="right" vertical="center"/>
    </xf>
    <xf numFmtId="164" fontId="14" fillId="6" borderId="17" xfId="4" applyNumberFormat="1" applyFont="1" applyFill="1" applyBorder="1" applyAlignment="1">
      <alignment horizontal="right" vertical="center"/>
    </xf>
    <xf numFmtId="164" fontId="13" fillId="6" borderId="1" xfId="8" applyNumberFormat="1" applyFont="1" applyFill="1" applyBorder="1" applyAlignment="1">
      <alignment horizontal="right" vertical="center"/>
    </xf>
    <xf numFmtId="164" fontId="15" fillId="2" borderId="1" xfId="4" applyNumberFormat="1" applyFont="1" applyFill="1" applyBorder="1" applyAlignment="1">
      <alignment horizontal="right" vertical="center"/>
    </xf>
    <xf numFmtId="164" fontId="15" fillId="2" borderId="17" xfId="4" applyNumberFormat="1" applyFont="1" applyFill="1" applyBorder="1" applyAlignment="1">
      <alignment horizontal="right" vertical="center"/>
    </xf>
    <xf numFmtId="164" fontId="14" fillId="5" borderId="24" xfId="4" applyNumberFormat="1" applyFont="1" applyFill="1" applyBorder="1" applyAlignment="1">
      <alignment horizontal="right" vertical="center"/>
    </xf>
    <xf numFmtId="164" fontId="14" fillId="5" borderId="25" xfId="4" applyNumberFormat="1" applyFont="1" applyFill="1" applyBorder="1" applyAlignment="1">
      <alignment horizontal="right" vertical="center"/>
    </xf>
    <xf numFmtId="164" fontId="7" fillId="2" borderId="14" xfId="1" applyNumberFormat="1" applyFont="1" applyFill="1" applyBorder="1" applyAlignment="1">
      <alignment horizontal="center" vertical="center"/>
    </xf>
    <xf numFmtId="164" fontId="7" fillId="2" borderId="15" xfId="1" applyNumberFormat="1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6" xfId="3" applyNumberFormat="1" applyFont="1" applyFill="1" applyBorder="1" applyAlignment="1">
      <alignment horizontal="center" vertical="center"/>
    </xf>
    <xf numFmtId="0" fontId="7" fillId="2" borderId="28" xfId="3" applyNumberFormat="1" applyFont="1" applyFill="1" applyBorder="1" applyAlignment="1">
      <alignment horizontal="center" vertical="center"/>
    </xf>
    <xf numFmtId="0" fontId="6" fillId="0" borderId="27" xfId="3" applyNumberFormat="1" applyFont="1" applyFill="1" applyBorder="1" applyAlignment="1">
      <alignment horizontal="center"/>
    </xf>
    <xf numFmtId="0" fontId="6" fillId="0" borderId="3" xfId="3" applyNumberFormat="1" applyFont="1" applyFill="1" applyBorder="1" applyAlignment="1">
      <alignment horizontal="center"/>
    </xf>
    <xf numFmtId="0" fontId="6" fillId="0" borderId="18" xfId="3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 vertical="center"/>
    </xf>
    <xf numFmtId="0" fontId="13" fillId="8" borderId="2" xfId="5" applyFont="1" applyFill="1" applyBorder="1" applyAlignment="1">
      <alignment horizontal="center" vertical="center"/>
    </xf>
    <xf numFmtId="0" fontId="13" fillId="8" borderId="3" xfId="5" applyFont="1" applyFill="1" applyBorder="1" applyAlignment="1">
      <alignment horizontal="center" vertical="center"/>
    </xf>
    <xf numFmtId="0" fontId="13" fillId="8" borderId="18" xfId="5" applyFont="1" applyFill="1" applyBorder="1" applyAlignment="1">
      <alignment horizontal="center" vertical="center"/>
    </xf>
    <xf numFmtId="0" fontId="14" fillId="8" borderId="16" xfId="5" applyFont="1" applyFill="1" applyBorder="1" applyAlignment="1">
      <alignment horizontal="center" vertical="center"/>
    </xf>
    <xf numFmtId="0" fontId="14" fillId="8" borderId="0" xfId="5" applyFont="1" applyFill="1" applyBorder="1" applyAlignment="1">
      <alignment horizontal="center" vertical="center"/>
    </xf>
    <xf numFmtId="0" fontId="14" fillId="8" borderId="19" xfId="5" applyFont="1" applyFill="1" applyBorder="1" applyAlignment="1">
      <alignment horizontal="center" vertical="center"/>
    </xf>
    <xf numFmtId="0" fontId="13" fillId="8" borderId="16" xfId="5" applyFont="1" applyFill="1" applyBorder="1" applyAlignment="1">
      <alignment horizontal="center" vertical="center"/>
    </xf>
    <xf numFmtId="0" fontId="13" fillId="8" borderId="0" xfId="5" applyFont="1" applyFill="1" applyBorder="1" applyAlignment="1">
      <alignment horizontal="center" vertical="center"/>
    </xf>
    <xf numFmtId="0" fontId="13" fillId="8" borderId="19" xfId="5" applyFont="1" applyFill="1" applyBorder="1" applyAlignment="1">
      <alignment horizontal="center" vertical="center"/>
    </xf>
    <xf numFmtId="0" fontId="14" fillId="7" borderId="3" xfId="4" applyNumberFormat="1" applyFont="1" applyFill="1" applyBorder="1" applyAlignment="1">
      <alignment horizontal="left" vertical="center"/>
    </xf>
    <xf numFmtId="164" fontId="15" fillId="2" borderId="12" xfId="4" applyNumberFormat="1" applyFont="1" applyFill="1" applyBorder="1" applyAlignment="1">
      <alignment horizontal="center" vertical="center"/>
    </xf>
    <xf numFmtId="164" fontId="15" fillId="2" borderId="13" xfId="4" applyNumberFormat="1" applyFont="1" applyFill="1" applyBorder="1" applyAlignment="1">
      <alignment horizontal="center" vertical="center"/>
    </xf>
    <xf numFmtId="164" fontId="15" fillId="2" borderId="9" xfId="4" applyNumberFormat="1" applyFont="1" applyFill="1" applyBorder="1" applyAlignment="1">
      <alignment horizontal="center" vertical="center"/>
    </xf>
    <xf numFmtId="164" fontId="15" fillId="2" borderId="8" xfId="4" applyNumberFormat="1" applyFont="1" applyFill="1" applyBorder="1" applyAlignment="1">
      <alignment horizontal="center" vertical="center"/>
    </xf>
    <xf numFmtId="0" fontId="13" fillId="6" borderId="2" xfId="5" applyFont="1" applyFill="1" applyBorder="1" applyAlignment="1">
      <alignment horizontal="center" vertical="center"/>
    </xf>
    <xf numFmtId="0" fontId="13" fillId="6" borderId="3" xfId="5" applyFont="1" applyFill="1" applyBorder="1" applyAlignment="1">
      <alignment horizontal="center" vertical="center"/>
    </xf>
    <xf numFmtId="0" fontId="13" fillId="6" borderId="18" xfId="5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6" fillId="8" borderId="27" xfId="0" applyFont="1" applyFill="1" applyBorder="1"/>
    <xf numFmtId="0" fontId="6" fillId="8" borderId="3" xfId="0" applyFont="1" applyFill="1" applyBorder="1"/>
    <xf numFmtId="0" fontId="6" fillId="8" borderId="18" xfId="0" applyFont="1" applyFill="1" applyBorder="1"/>
    <xf numFmtId="0" fontId="7" fillId="2" borderId="29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7" fillId="2" borderId="14" xfId="4" applyNumberFormat="1" applyFont="1" applyFill="1" applyBorder="1" applyAlignment="1">
      <alignment horizontal="center" vertical="center"/>
    </xf>
    <xf numFmtId="164" fontId="7" fillId="2" borderId="1" xfId="4" applyNumberFormat="1" applyFont="1" applyFill="1" applyBorder="1" applyAlignment="1">
      <alignment horizontal="center" vertical="center"/>
    </xf>
    <xf numFmtId="0" fontId="7" fillId="2" borderId="26" xfId="4" applyNumberFormat="1" applyFont="1" applyFill="1" applyBorder="1" applyAlignment="1">
      <alignment horizontal="center" vertical="center"/>
    </xf>
    <xf numFmtId="0" fontId="7" fillId="2" borderId="28" xfId="4" applyNumberFormat="1" applyFont="1" applyFill="1" applyBorder="1" applyAlignment="1">
      <alignment horizontal="center" vertical="center"/>
    </xf>
    <xf numFmtId="164" fontId="7" fillId="2" borderId="17" xfId="4" applyNumberFormat="1" applyFont="1" applyFill="1" applyBorder="1" applyAlignment="1">
      <alignment horizontal="center" vertical="center"/>
    </xf>
    <xf numFmtId="164" fontId="7" fillId="2" borderId="15" xfId="4" applyNumberFormat="1" applyFont="1" applyFill="1" applyBorder="1" applyAlignment="1">
      <alignment horizontal="center" vertical="center"/>
    </xf>
  </cellXfs>
  <cellStyles count="13">
    <cellStyle name="Comma" xfId="1" builtinId="3"/>
    <cellStyle name="Comma 2" xfId="4"/>
    <cellStyle name="Comma 2 2" xfId="6"/>
    <cellStyle name="Comma 2 4" xfId="10"/>
    <cellStyle name="Comma 3" xfId="9"/>
    <cellStyle name="Comma 3 2 2 2" xfId="11"/>
    <cellStyle name="Comma 6" xfId="8"/>
    <cellStyle name="Currency" xfId="12" builtinId="4"/>
    <cellStyle name="Normal" xfId="0" builtinId="0"/>
    <cellStyle name="Normal 2" xfId="3"/>
    <cellStyle name="Normal 2 3 2" xfId="7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Exchange rate fluctuation trend (BDT/$)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'Hostorical Ex rate trend'!$B$15</c:f>
              <c:strCache>
                <c:ptCount val="1"/>
                <c:pt idx="0">
                  <c:v>Rate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'Hostorical Ex rate trend'!$C$14:$BK$14</c:f>
              <c:numCache>
                <c:formatCode>mmm\-yy</c:formatCode>
                <c:ptCount val="61"/>
                <c:pt idx="0">
                  <c:v>42614</c:v>
                </c:pt>
                <c:pt idx="1">
                  <c:v>42644</c:v>
                </c:pt>
                <c:pt idx="2">
                  <c:v>42675</c:v>
                </c:pt>
                <c:pt idx="3">
                  <c:v>42705</c:v>
                </c:pt>
                <c:pt idx="4">
                  <c:v>42736</c:v>
                </c:pt>
                <c:pt idx="5">
                  <c:v>42767</c:v>
                </c:pt>
                <c:pt idx="6">
                  <c:v>42795</c:v>
                </c:pt>
                <c:pt idx="7">
                  <c:v>42826</c:v>
                </c:pt>
                <c:pt idx="8">
                  <c:v>42856</c:v>
                </c:pt>
                <c:pt idx="9">
                  <c:v>42887</c:v>
                </c:pt>
                <c:pt idx="10">
                  <c:v>42917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43132</c:v>
                </c:pt>
                <c:pt idx="18">
                  <c:v>43160</c:v>
                </c:pt>
                <c:pt idx="19">
                  <c:v>43191</c:v>
                </c:pt>
                <c:pt idx="20">
                  <c:v>43221</c:v>
                </c:pt>
                <c:pt idx="21">
                  <c:v>43252</c:v>
                </c:pt>
                <c:pt idx="22">
                  <c:v>43282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43497</c:v>
                </c:pt>
                <c:pt idx="30">
                  <c:v>43525</c:v>
                </c:pt>
                <c:pt idx="31">
                  <c:v>43556</c:v>
                </c:pt>
                <c:pt idx="32">
                  <c:v>43586</c:v>
                </c:pt>
                <c:pt idx="33">
                  <c:v>43617</c:v>
                </c:pt>
                <c:pt idx="34">
                  <c:v>43647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  <c:pt idx="41">
                  <c:v>43862</c:v>
                </c:pt>
                <c:pt idx="42">
                  <c:v>43891</c:v>
                </c:pt>
                <c:pt idx="43">
                  <c:v>43922</c:v>
                </c:pt>
                <c:pt idx="44">
                  <c:v>43952</c:v>
                </c:pt>
                <c:pt idx="45">
                  <c:v>43983</c:v>
                </c:pt>
                <c:pt idx="46">
                  <c:v>44013</c:v>
                </c:pt>
                <c:pt idx="47">
                  <c:v>44044</c:v>
                </c:pt>
                <c:pt idx="48">
                  <c:v>44075</c:v>
                </c:pt>
                <c:pt idx="49">
                  <c:v>44105</c:v>
                </c:pt>
                <c:pt idx="50">
                  <c:v>44136</c:v>
                </c:pt>
                <c:pt idx="51">
                  <c:v>44166</c:v>
                </c:pt>
                <c:pt idx="52">
                  <c:v>44197</c:v>
                </c:pt>
                <c:pt idx="53">
                  <c:v>44228</c:v>
                </c:pt>
                <c:pt idx="54">
                  <c:v>44256</c:v>
                </c:pt>
                <c:pt idx="55">
                  <c:v>44287</c:v>
                </c:pt>
                <c:pt idx="56">
                  <c:v>44317</c:v>
                </c:pt>
                <c:pt idx="57">
                  <c:v>44348</c:v>
                </c:pt>
                <c:pt idx="58">
                  <c:v>44378</c:v>
                </c:pt>
                <c:pt idx="59">
                  <c:v>44409</c:v>
                </c:pt>
                <c:pt idx="60">
                  <c:v>44440</c:v>
                </c:pt>
              </c:numCache>
            </c:numRef>
          </c:cat>
          <c:val>
            <c:numRef>
              <c:f>'Hostorical Ex rate trend'!$C$15:$BK$15</c:f>
              <c:numCache>
                <c:formatCode>General</c:formatCode>
                <c:ptCount val="61"/>
                <c:pt idx="0">
                  <c:v>78.319999999999993</c:v>
                </c:pt>
                <c:pt idx="1">
                  <c:v>78.400000000000006</c:v>
                </c:pt>
                <c:pt idx="2">
                  <c:v>78.62</c:v>
                </c:pt>
                <c:pt idx="3">
                  <c:v>79.150000000000006</c:v>
                </c:pt>
                <c:pt idx="4">
                  <c:v>79.17</c:v>
                </c:pt>
                <c:pt idx="5">
                  <c:v>79.45</c:v>
                </c:pt>
                <c:pt idx="6">
                  <c:v>79.7</c:v>
                </c:pt>
                <c:pt idx="7">
                  <c:v>80.150000000000006</c:v>
                </c:pt>
                <c:pt idx="8">
                  <c:v>80.63</c:v>
                </c:pt>
                <c:pt idx="9">
                  <c:v>80.89</c:v>
                </c:pt>
                <c:pt idx="10">
                  <c:v>80.87</c:v>
                </c:pt>
                <c:pt idx="11">
                  <c:v>81.2</c:v>
                </c:pt>
                <c:pt idx="12">
                  <c:v>80.83</c:v>
                </c:pt>
                <c:pt idx="13">
                  <c:v>81.349999999999994</c:v>
                </c:pt>
                <c:pt idx="14">
                  <c:v>81.95</c:v>
                </c:pt>
                <c:pt idx="15">
                  <c:v>83.2</c:v>
                </c:pt>
                <c:pt idx="16">
                  <c:v>83.15</c:v>
                </c:pt>
                <c:pt idx="17">
                  <c:v>82.9</c:v>
                </c:pt>
                <c:pt idx="18">
                  <c:v>83</c:v>
                </c:pt>
                <c:pt idx="19">
                  <c:v>83.03</c:v>
                </c:pt>
                <c:pt idx="20">
                  <c:v>84.2</c:v>
                </c:pt>
                <c:pt idx="21">
                  <c:v>84.7</c:v>
                </c:pt>
                <c:pt idx="22">
                  <c:v>83.4</c:v>
                </c:pt>
                <c:pt idx="23">
                  <c:v>83.8</c:v>
                </c:pt>
                <c:pt idx="24">
                  <c:v>83.86</c:v>
                </c:pt>
                <c:pt idx="25">
                  <c:v>83.79</c:v>
                </c:pt>
                <c:pt idx="26">
                  <c:v>83.78</c:v>
                </c:pt>
                <c:pt idx="27">
                  <c:v>83.8</c:v>
                </c:pt>
                <c:pt idx="28">
                  <c:v>83.91</c:v>
                </c:pt>
                <c:pt idx="29">
                  <c:v>84.05</c:v>
                </c:pt>
                <c:pt idx="30">
                  <c:v>84.2</c:v>
                </c:pt>
                <c:pt idx="31">
                  <c:v>84.37</c:v>
                </c:pt>
                <c:pt idx="32">
                  <c:v>84.45</c:v>
                </c:pt>
                <c:pt idx="33">
                  <c:v>84.69</c:v>
                </c:pt>
                <c:pt idx="34">
                  <c:v>84.47</c:v>
                </c:pt>
                <c:pt idx="35">
                  <c:v>84.42</c:v>
                </c:pt>
                <c:pt idx="36">
                  <c:v>84.46</c:v>
                </c:pt>
                <c:pt idx="37">
                  <c:v>84.6</c:v>
                </c:pt>
                <c:pt idx="38">
                  <c:v>84.79</c:v>
                </c:pt>
                <c:pt idx="39">
                  <c:v>84.81</c:v>
                </c:pt>
                <c:pt idx="40">
                  <c:v>84.78</c:v>
                </c:pt>
                <c:pt idx="41">
                  <c:v>84.92</c:v>
                </c:pt>
                <c:pt idx="42">
                  <c:v>84.75</c:v>
                </c:pt>
                <c:pt idx="43">
                  <c:v>84.8</c:v>
                </c:pt>
                <c:pt idx="44">
                  <c:v>84.95</c:v>
                </c:pt>
                <c:pt idx="45">
                  <c:v>84.88</c:v>
                </c:pt>
                <c:pt idx="46">
                  <c:v>84.8</c:v>
                </c:pt>
                <c:pt idx="47">
                  <c:v>84.77</c:v>
                </c:pt>
                <c:pt idx="48">
                  <c:v>84.68</c:v>
                </c:pt>
                <c:pt idx="49">
                  <c:v>84.79</c:v>
                </c:pt>
                <c:pt idx="50">
                  <c:v>84.84</c:v>
                </c:pt>
                <c:pt idx="51">
                  <c:v>84.64</c:v>
                </c:pt>
                <c:pt idx="52">
                  <c:v>84.74</c:v>
                </c:pt>
                <c:pt idx="53">
                  <c:v>84.75</c:v>
                </c:pt>
                <c:pt idx="54">
                  <c:v>84.75</c:v>
                </c:pt>
                <c:pt idx="55">
                  <c:v>84.7</c:v>
                </c:pt>
                <c:pt idx="56">
                  <c:v>84.86</c:v>
                </c:pt>
                <c:pt idx="57">
                  <c:v>84.83</c:v>
                </c:pt>
                <c:pt idx="58">
                  <c:v>84.84</c:v>
                </c:pt>
                <c:pt idx="59">
                  <c:v>84.85</c:v>
                </c:pt>
                <c:pt idx="60">
                  <c:v>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8-4439-BBAA-A443D330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-622389328"/>
        <c:axId val="-622387696"/>
      </c:areaChart>
      <c:dateAx>
        <c:axId val="-6223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387696"/>
        <c:crosses val="autoZero"/>
        <c:auto val="1"/>
        <c:lblOffset val="100"/>
        <c:baseTimeUnit val="months"/>
      </c:dateAx>
      <c:valAx>
        <c:axId val="-622387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Exhange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3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Profitability!$C$8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Profitability!$D$7:$H$7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Profitability!$D$8:$H$8</c:f>
              <c:numCache>
                <c:formatCode>0.00%</c:formatCode>
                <c:ptCount val="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0.4499999999999999</c:v>
                </c:pt>
                <c:pt idx="4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8-4586-BDA2-3019D62D02D1}"/>
            </c:ext>
          </c:extLst>
        </c:ser>
        <c:ser>
          <c:idx val="1"/>
          <c:order val="1"/>
          <c:tx>
            <c:strRef>
              <c:f>Profitability!$C$9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Profitability!$D$7:$H$7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Profitability!$D$9:$H$9</c:f>
              <c:numCache>
                <c:formatCode>0.00%</c:formatCode>
                <c:ptCount val="5"/>
                <c:pt idx="0">
                  <c:v>8.8880232558139538E-2</c:v>
                </c:pt>
                <c:pt idx="1">
                  <c:v>0.12713154069767441</c:v>
                </c:pt>
                <c:pt idx="2">
                  <c:v>0.16232883357558139</c:v>
                </c:pt>
                <c:pt idx="3">
                  <c:v>0.16310036337209297</c:v>
                </c:pt>
                <c:pt idx="4">
                  <c:v>0.16387168604651156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8-4586-BDA2-3019D62D0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84162384"/>
        <c:axId val="-484159120"/>
      </c:lineChart>
      <c:catAx>
        <c:axId val="-4841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159120"/>
        <c:crosses val="autoZero"/>
        <c:auto val="1"/>
        <c:lblAlgn val="ctr"/>
        <c:lblOffset val="100"/>
        <c:noMultiLvlLbl val="0"/>
      </c:catAx>
      <c:valAx>
        <c:axId val="-4841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1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NPV</a:t>
            </a:r>
            <a:r>
              <a:rPr lang="en-US"/>
              <a:t> </a:t>
            </a:r>
            <a:r>
              <a:rPr lang="en-US" sz="1200"/>
              <a:t>(@18%)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NPV!$E$13:$I$13</c:f>
              <c:numCache>
                <c:formatCode>0.00</c:formatCode>
                <c:ptCount val="5"/>
                <c:pt idx="0">
                  <c:v>84.347999999999999</c:v>
                </c:pt>
                <c:pt idx="1">
                  <c:v>85.2</c:v>
                </c:pt>
                <c:pt idx="2">
                  <c:v>86.052000000000007</c:v>
                </c:pt>
                <c:pt idx="3">
                  <c:v>86.904000000000011</c:v>
                </c:pt>
                <c:pt idx="4">
                  <c:v>87.756</c:v>
                </c:pt>
              </c:numCache>
            </c:numRef>
          </c:cat>
          <c:val>
            <c:numRef>
              <c:f>NPV!$E$21:$I$21</c:f>
              <c:numCache>
                <c:formatCode>_(* #,##0_);_(* \(#,##0\);_(* "-"??_);_(@_)</c:formatCode>
                <c:ptCount val="5"/>
                <c:pt idx="0">
                  <c:v>7624484.1325222254</c:v>
                </c:pt>
                <c:pt idx="1">
                  <c:v>7516596.0987087395</c:v>
                </c:pt>
                <c:pt idx="2">
                  <c:v>7410844.4616044331</c:v>
                </c:pt>
                <c:pt idx="3">
                  <c:v>7307166.386011973</c:v>
                </c:pt>
                <c:pt idx="4">
                  <c:v>7205501.4769358747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9-4E36-B8AD-FE1651EA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3441680"/>
        <c:axId val="-363436784"/>
      </c:lineChart>
      <c:catAx>
        <c:axId val="-3634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Exhange</a:t>
                </a:r>
                <a:r>
                  <a:rPr lang="en-US" baseline="0"/>
                  <a:t> rtae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436784"/>
        <c:crosses val="autoZero"/>
        <c:auto val="1"/>
        <c:lblAlgn val="ctr"/>
        <c:lblOffset val="100"/>
        <c:noMultiLvlLbl val="0"/>
      </c:catAx>
      <c:valAx>
        <c:axId val="-363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</a:t>
                </a:r>
                <a:r>
                  <a:rPr lang="en-US" baseline="0"/>
                  <a:t> value (USD)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3441680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NPV</a:t>
            </a:r>
            <a:r>
              <a:rPr lang="en-US" baseline="0"/>
              <a:t> Profile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'NPV profile'!$G$6</c:f>
              <c:strCache>
                <c:ptCount val="1"/>
                <c:pt idx="0">
                  <c:v>USD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'NPV profile'!$C$7:$C$23</c:f>
              <c:numCache>
                <c:formatCode>0.00%</c:formatCode>
                <c:ptCount val="17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</c:numCache>
            </c:numRef>
          </c:xVal>
          <c:yVal>
            <c:numRef>
              <c:f>'NPV profile'!$G$7:$G$23</c:f>
              <c:numCache>
                <c:formatCode>"$"#,##0_);\("$"#,##0\)</c:formatCode>
                <c:ptCount val="17"/>
                <c:pt idx="0">
                  <c:v>53357632.878311642</c:v>
                </c:pt>
                <c:pt idx="1">
                  <c:v>29352523.330881834</c:v>
                </c:pt>
                <c:pt idx="2">
                  <c:v>19129814.667893358</c:v>
                </c:pt>
                <c:pt idx="3">
                  <c:v>13496917.015334053</c:v>
                </c:pt>
                <c:pt idx="4">
                  <c:v>9947125.8442682549</c:v>
                </c:pt>
                <c:pt idx="5">
                  <c:v>7516596.0987087395</c:v>
                </c:pt>
                <c:pt idx="6">
                  <c:v>5755741.3970464347</c:v>
                </c:pt>
                <c:pt idx="7">
                  <c:v>4426707.6637914479</c:v>
                </c:pt>
                <c:pt idx="8">
                  <c:v>3391918.5446032081</c:v>
                </c:pt>
                <c:pt idx="9">
                  <c:v>2566311.0859674504</c:v>
                </c:pt>
                <c:pt idx="10">
                  <c:v>1894493.4393737577</c:v>
                </c:pt>
                <c:pt idx="11">
                  <c:v>1338868.0601547477</c:v>
                </c:pt>
                <c:pt idx="12">
                  <c:v>873034.43546855357</c:v>
                </c:pt>
                <c:pt idx="13">
                  <c:v>477922.48211431463</c:v>
                </c:pt>
                <c:pt idx="14">
                  <c:v>139423.31216779043</c:v>
                </c:pt>
                <c:pt idx="15">
                  <c:v>-153117.95758918906</c:v>
                </c:pt>
                <c:pt idx="16">
                  <c:v>-407892.23204526317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2-416C-AA48-B8DC3CF3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153680"/>
        <c:axId val="-521448016"/>
      </c:scatterChart>
      <c:valAx>
        <c:axId val="-4841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1448016"/>
        <c:crosses val="autoZero"/>
        <c:crossBetween val="midCat"/>
      </c:valAx>
      <c:valAx>
        <c:axId val="-5214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</a:t>
                </a:r>
                <a:r>
                  <a:rPr lang="en-US" baseline="0"/>
                  <a:t> Values (USD)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415368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276225</xdr:colOff>
      <xdr:row>29</xdr:row>
      <xdr:rowOff>23812</xdr:rowOff>
    </xdr:from>
    <xdr:to>
      <xdr:col>59</xdr:col>
      <xdr:colOff>266700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</xdr:row>
      <xdr:rowOff>80962</xdr:rowOff>
    </xdr:from>
    <xdr:to>
      <xdr:col>16</xdr:col>
      <xdr:colOff>381000</xdr:colOff>
      <xdr:row>21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12</xdr:row>
      <xdr:rowOff>4762</xdr:rowOff>
    </xdr:from>
    <xdr:to>
      <xdr:col>16</xdr:col>
      <xdr:colOff>404812</xdr:colOff>
      <xdr:row>26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5</xdr:row>
      <xdr:rowOff>128587</xdr:rowOff>
    </xdr:from>
    <xdr:to>
      <xdr:col>16</xdr:col>
      <xdr:colOff>28574</xdr:colOff>
      <xdr:row>23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PL-18_Report/11.Nov'18/Sun6_Nov'18/HPL%20FS-18%20OCT,2018_Online-0K_4.12.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XLB_WorkbookFile"/>
      <sheetName val="Parameter"/>
      <sheetName val="TRIAL BALANCE_HAR"/>
      <sheetName val="HARP_PL"/>
      <sheetName val="HARIPUR_BALANCE SHEET"/>
    </sheetNames>
    <sheetDataSet>
      <sheetData sheetId="0"/>
      <sheetData sheetId="1">
        <row r="6">
          <cell r="D6" t="str">
            <v>HAR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5" workbookViewId="0">
      <selection activeCell="B13" sqref="B13"/>
    </sheetView>
  </sheetViews>
  <sheetFormatPr defaultColWidth="8.81640625" defaultRowHeight="15.5" x14ac:dyDescent="0.35"/>
  <cols>
    <col min="1" max="1" width="44.26953125" style="16" bestFit="1" customWidth="1"/>
    <col min="2" max="6" width="15" style="16" bestFit="1" customWidth="1"/>
    <col min="7" max="16384" width="8.81640625" style="16"/>
  </cols>
  <sheetData>
    <row r="1" spans="1:6" x14ac:dyDescent="0.35">
      <c r="A1" s="16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7" t="s">
        <v>9</v>
      </c>
    </row>
    <row r="2" spans="1:6" x14ac:dyDescent="0.35">
      <c r="A2" s="16" t="s">
        <v>105</v>
      </c>
      <c r="B2" s="18" t="s">
        <v>106</v>
      </c>
      <c r="C2" s="18" t="s">
        <v>107</v>
      </c>
      <c r="D2" s="18" t="s">
        <v>108</v>
      </c>
      <c r="E2" s="18" t="s">
        <v>109</v>
      </c>
      <c r="F2" s="18" t="s">
        <v>110</v>
      </c>
    </row>
    <row r="3" spans="1:6" x14ac:dyDescent="0.35">
      <c r="A3" s="16" t="s">
        <v>111</v>
      </c>
      <c r="B3" s="18" t="s">
        <v>112</v>
      </c>
      <c r="C3" s="18" t="s">
        <v>113</v>
      </c>
      <c r="D3" s="18" t="s">
        <v>114</v>
      </c>
      <c r="E3" s="18" t="s">
        <v>80</v>
      </c>
      <c r="F3" s="18" t="s">
        <v>80</v>
      </c>
    </row>
    <row r="4" spans="1:6" x14ac:dyDescent="0.35">
      <c r="A4" s="16" t="s">
        <v>115</v>
      </c>
      <c r="B4" s="18" t="s">
        <v>116</v>
      </c>
      <c r="C4" s="18" t="s">
        <v>116</v>
      </c>
      <c r="D4" s="18" t="s">
        <v>116</v>
      </c>
      <c r="E4" s="18" t="s">
        <v>116</v>
      </c>
      <c r="F4" s="18" t="s">
        <v>116</v>
      </c>
    </row>
    <row r="5" spans="1:6" x14ac:dyDescent="0.35">
      <c r="A5" s="16" t="s">
        <v>117</v>
      </c>
      <c r="B5" s="18" t="s">
        <v>80</v>
      </c>
      <c r="C5" s="18" t="s">
        <v>80</v>
      </c>
      <c r="D5" s="18" t="s">
        <v>80</v>
      </c>
      <c r="E5" s="18" t="s">
        <v>80</v>
      </c>
      <c r="F5" s="18" t="s">
        <v>118</v>
      </c>
    </row>
    <row r="6" spans="1:6" x14ac:dyDescent="0.35">
      <c r="A6" s="16" t="s">
        <v>119</v>
      </c>
      <c r="B6" s="18" t="s">
        <v>80</v>
      </c>
      <c r="C6" s="18" t="s">
        <v>80</v>
      </c>
      <c r="D6" s="18" t="s">
        <v>80</v>
      </c>
      <c r="E6" s="18" t="s">
        <v>120</v>
      </c>
      <c r="F6" s="18" t="s">
        <v>121</v>
      </c>
    </row>
    <row r="7" spans="1:6" x14ac:dyDescent="0.35">
      <c r="A7" s="16" t="s">
        <v>122</v>
      </c>
      <c r="B7" s="18" t="s">
        <v>123</v>
      </c>
      <c r="C7" s="18" t="s">
        <v>124</v>
      </c>
      <c r="D7" s="18" t="s">
        <v>125</v>
      </c>
      <c r="E7" s="18" t="s">
        <v>126</v>
      </c>
      <c r="F7" s="18" t="s">
        <v>127</v>
      </c>
    </row>
    <row r="8" spans="1:6" x14ac:dyDescent="0.35">
      <c r="A8" s="16" t="s">
        <v>128</v>
      </c>
      <c r="B8" s="18" t="s">
        <v>129</v>
      </c>
      <c r="C8" s="18" t="s">
        <v>130</v>
      </c>
      <c r="D8" s="18" t="s">
        <v>131</v>
      </c>
      <c r="E8" s="18" t="s">
        <v>132</v>
      </c>
      <c r="F8" s="18" t="s">
        <v>133</v>
      </c>
    </row>
    <row r="9" spans="1:6" x14ac:dyDescent="0.35">
      <c r="A9" s="16" t="s">
        <v>134</v>
      </c>
      <c r="B9" s="18" t="s">
        <v>135</v>
      </c>
      <c r="C9" s="18" t="s">
        <v>136</v>
      </c>
      <c r="D9" s="18" t="s">
        <v>137</v>
      </c>
      <c r="E9" s="18" t="s">
        <v>138</v>
      </c>
      <c r="F9" s="18" t="s">
        <v>139</v>
      </c>
    </row>
    <row r="10" spans="1:6" x14ac:dyDescent="0.35">
      <c r="A10" s="16" t="s">
        <v>140</v>
      </c>
      <c r="B10" s="18" t="s">
        <v>141</v>
      </c>
      <c r="C10" s="18" t="s">
        <v>141</v>
      </c>
      <c r="D10" s="18" t="s">
        <v>142</v>
      </c>
      <c r="E10" s="18" t="s">
        <v>142</v>
      </c>
      <c r="F10" s="18" t="s">
        <v>143</v>
      </c>
    </row>
    <row r="11" spans="1:6" x14ac:dyDescent="0.35">
      <c r="A11" s="16" t="s">
        <v>144</v>
      </c>
      <c r="B11" s="18" t="s">
        <v>145</v>
      </c>
      <c r="C11" s="18" t="s">
        <v>146</v>
      </c>
      <c r="D11" s="18" t="s">
        <v>147</v>
      </c>
      <c r="E11" s="18" t="s">
        <v>148</v>
      </c>
      <c r="F11" s="18" t="s">
        <v>149</v>
      </c>
    </row>
    <row r="12" spans="1:6" x14ac:dyDescent="0.35">
      <c r="A12" s="16" t="s">
        <v>150</v>
      </c>
      <c r="B12" s="18" t="s">
        <v>151</v>
      </c>
      <c r="C12" s="18" t="s">
        <v>152</v>
      </c>
      <c r="D12" s="18" t="s">
        <v>153</v>
      </c>
      <c r="E12" s="18" t="s">
        <v>154</v>
      </c>
      <c r="F12" s="18" t="s">
        <v>155</v>
      </c>
    </row>
    <row r="13" spans="1:6" x14ac:dyDescent="0.35">
      <c r="A13" s="16" t="s">
        <v>156</v>
      </c>
      <c r="B13" s="18" t="s">
        <v>157</v>
      </c>
      <c r="C13" s="18" t="s">
        <v>158</v>
      </c>
      <c r="D13" s="18" t="s">
        <v>159</v>
      </c>
      <c r="E13" s="18" t="s">
        <v>160</v>
      </c>
      <c r="F13" s="18" t="s">
        <v>161</v>
      </c>
    </row>
    <row r="14" spans="1:6" x14ac:dyDescent="0.35">
      <c r="A14" s="16" t="s">
        <v>162</v>
      </c>
      <c r="B14" s="18" t="s">
        <v>163</v>
      </c>
      <c r="C14" s="18" t="s">
        <v>164</v>
      </c>
      <c r="D14" s="18" t="s">
        <v>165</v>
      </c>
      <c r="E14" s="18" t="s">
        <v>165</v>
      </c>
      <c r="F14" s="18" t="s">
        <v>165</v>
      </c>
    </row>
    <row r="15" spans="1:6" x14ac:dyDescent="0.35">
      <c r="A15" s="16" t="s">
        <v>166</v>
      </c>
      <c r="B15" s="18" t="s">
        <v>167</v>
      </c>
      <c r="C15" s="18" t="s">
        <v>167</v>
      </c>
      <c r="D15" s="18" t="s">
        <v>167</v>
      </c>
      <c r="E15" s="18" t="s">
        <v>167</v>
      </c>
      <c r="F15" s="18" t="s">
        <v>167</v>
      </c>
    </row>
    <row r="16" spans="1:6" x14ac:dyDescent="0.35">
      <c r="A16" s="16" t="s">
        <v>168</v>
      </c>
      <c r="B16" s="18" t="s">
        <v>169</v>
      </c>
      <c r="C16" s="18" t="s">
        <v>170</v>
      </c>
      <c r="D16" s="18" t="s">
        <v>171</v>
      </c>
      <c r="E16" s="18" t="s">
        <v>80</v>
      </c>
      <c r="F16" s="18" t="s">
        <v>172</v>
      </c>
    </row>
    <row r="17" spans="1:6" x14ac:dyDescent="0.35">
      <c r="A17" s="16" t="s">
        <v>173</v>
      </c>
      <c r="B17" s="18" t="s">
        <v>80</v>
      </c>
      <c r="C17" s="18" t="s">
        <v>80</v>
      </c>
      <c r="D17" s="18" t="s">
        <v>80</v>
      </c>
      <c r="E17" s="18" t="s">
        <v>174</v>
      </c>
      <c r="F17" s="18" t="s">
        <v>174</v>
      </c>
    </row>
    <row r="18" spans="1:6" x14ac:dyDescent="0.35">
      <c r="A18" s="16" t="s">
        <v>175</v>
      </c>
      <c r="B18" s="18" t="s">
        <v>176</v>
      </c>
      <c r="C18" s="18" t="s">
        <v>177</v>
      </c>
      <c r="D18" s="18" t="s">
        <v>178</v>
      </c>
      <c r="E18" s="18" t="s">
        <v>179</v>
      </c>
      <c r="F18" s="18" t="s">
        <v>180</v>
      </c>
    </row>
    <row r="19" spans="1:6" x14ac:dyDescent="0.35">
      <c r="A19" s="16" t="s">
        <v>181</v>
      </c>
      <c r="B19" s="18" t="s">
        <v>182</v>
      </c>
      <c r="C19" s="18" t="s">
        <v>183</v>
      </c>
      <c r="D19" s="18" t="s">
        <v>184</v>
      </c>
      <c r="E19" s="18" t="s">
        <v>185</v>
      </c>
      <c r="F19" s="18" t="s">
        <v>186</v>
      </c>
    </row>
    <row r="20" spans="1:6" x14ac:dyDescent="0.35">
      <c r="A20" s="16" t="s">
        <v>187</v>
      </c>
      <c r="B20" s="18" t="s">
        <v>80</v>
      </c>
      <c r="C20" s="18" t="s">
        <v>80</v>
      </c>
      <c r="D20" s="18" t="s">
        <v>188</v>
      </c>
      <c r="E20" s="18" t="s">
        <v>80</v>
      </c>
      <c r="F20" s="18" t="s">
        <v>172</v>
      </c>
    </row>
    <row r="21" spans="1:6" x14ac:dyDescent="0.35">
      <c r="A21" s="16" t="s">
        <v>189</v>
      </c>
      <c r="B21" s="18" t="s">
        <v>190</v>
      </c>
      <c r="C21" s="18" t="s">
        <v>191</v>
      </c>
      <c r="D21" s="18" t="s">
        <v>80</v>
      </c>
      <c r="E21" s="18" t="s">
        <v>80</v>
      </c>
      <c r="F21" s="18" t="s">
        <v>172</v>
      </c>
    </row>
    <row r="22" spans="1:6" x14ac:dyDescent="0.35">
      <c r="A22" s="16" t="s">
        <v>192</v>
      </c>
      <c r="B22" s="18" t="s">
        <v>193</v>
      </c>
      <c r="C22" s="18" t="s">
        <v>194</v>
      </c>
      <c r="D22" s="18" t="s">
        <v>195</v>
      </c>
      <c r="E22" s="18" t="s">
        <v>196</v>
      </c>
      <c r="F22" s="18" t="s">
        <v>197</v>
      </c>
    </row>
    <row r="23" spans="1:6" x14ac:dyDescent="0.35">
      <c r="A23" s="16" t="s">
        <v>198</v>
      </c>
      <c r="B23" s="18" t="s">
        <v>80</v>
      </c>
      <c r="C23" s="18" t="s">
        <v>80</v>
      </c>
      <c r="D23" s="18" t="s">
        <v>199</v>
      </c>
      <c r="E23" s="18" t="s">
        <v>80</v>
      </c>
      <c r="F23" s="18" t="s">
        <v>80</v>
      </c>
    </row>
    <row r="24" spans="1:6" x14ac:dyDescent="0.35">
      <c r="A24" s="16" t="s">
        <v>200</v>
      </c>
      <c r="B24" s="18" t="s">
        <v>201</v>
      </c>
      <c r="C24" s="18" t="s">
        <v>202</v>
      </c>
      <c r="D24" s="18" t="s">
        <v>203</v>
      </c>
      <c r="E24" s="18" t="s">
        <v>80</v>
      </c>
      <c r="F24" s="18" t="s">
        <v>80</v>
      </c>
    </row>
    <row r="25" spans="1:6" x14ac:dyDescent="0.35">
      <c r="A25" s="16" t="s">
        <v>204</v>
      </c>
      <c r="B25" s="18" t="s">
        <v>205</v>
      </c>
      <c r="C25" s="18" t="s">
        <v>206</v>
      </c>
      <c r="D25" s="18" t="s">
        <v>80</v>
      </c>
      <c r="E25" s="18" t="s">
        <v>80</v>
      </c>
      <c r="F25" s="18" t="s">
        <v>80</v>
      </c>
    </row>
    <row r="26" spans="1:6" x14ac:dyDescent="0.35">
      <c r="A26" s="16" t="s">
        <v>207</v>
      </c>
      <c r="B26" s="18" t="s">
        <v>208</v>
      </c>
      <c r="C26" s="18" t="s">
        <v>209</v>
      </c>
      <c r="D26" s="18" t="s">
        <v>80</v>
      </c>
      <c r="E26" s="18" t="s">
        <v>210</v>
      </c>
      <c r="F26" s="18" t="s">
        <v>211</v>
      </c>
    </row>
    <row r="27" spans="1:6" x14ac:dyDescent="0.35">
      <c r="A27" s="16" t="s">
        <v>212</v>
      </c>
      <c r="B27" s="18" t="s">
        <v>213</v>
      </c>
      <c r="C27" s="18" t="s">
        <v>214</v>
      </c>
      <c r="D27" s="18" t="s">
        <v>215</v>
      </c>
      <c r="E27" s="18" t="s">
        <v>216</v>
      </c>
      <c r="F27" s="18" t="s">
        <v>216</v>
      </c>
    </row>
    <row r="28" spans="1:6" x14ac:dyDescent="0.35">
      <c r="A28" s="16" t="s">
        <v>217</v>
      </c>
      <c r="B28" s="18" t="s">
        <v>218</v>
      </c>
      <c r="C28" s="18" t="s">
        <v>219</v>
      </c>
      <c r="D28" s="18" t="s">
        <v>220</v>
      </c>
      <c r="E28" s="18" t="s">
        <v>221</v>
      </c>
      <c r="F28" s="18" t="s">
        <v>222</v>
      </c>
    </row>
    <row r="29" spans="1:6" x14ac:dyDescent="0.35">
      <c r="A29" s="16" t="s">
        <v>223</v>
      </c>
      <c r="B29" s="18" t="s">
        <v>224</v>
      </c>
      <c r="C29" s="18" t="s">
        <v>225</v>
      </c>
      <c r="D29" s="18" t="s">
        <v>225</v>
      </c>
      <c r="E29" s="18" t="s">
        <v>225</v>
      </c>
      <c r="F29" s="18" t="s">
        <v>226</v>
      </c>
    </row>
    <row r="30" spans="1:6" x14ac:dyDescent="0.35">
      <c r="A30" s="16" t="s">
        <v>227</v>
      </c>
      <c r="B30" s="18" t="s">
        <v>80</v>
      </c>
      <c r="C30" s="18" t="s">
        <v>80</v>
      </c>
      <c r="D30" s="18" t="s">
        <v>228</v>
      </c>
      <c r="E30" s="18" t="s">
        <v>80</v>
      </c>
      <c r="F30" s="18" t="s">
        <v>80</v>
      </c>
    </row>
    <row r="31" spans="1:6" x14ac:dyDescent="0.35">
      <c r="A31" s="16" t="s">
        <v>229</v>
      </c>
      <c r="B31" s="18" t="s">
        <v>230</v>
      </c>
      <c r="C31" s="18" t="s">
        <v>231</v>
      </c>
      <c r="D31" s="18" t="s">
        <v>80</v>
      </c>
      <c r="E31" s="18" t="s">
        <v>232</v>
      </c>
      <c r="F31" s="18" t="s">
        <v>233</v>
      </c>
    </row>
    <row r="32" spans="1:6" x14ac:dyDescent="0.35">
      <c r="A32" s="16" t="s">
        <v>234</v>
      </c>
      <c r="B32" s="18" t="s">
        <v>235</v>
      </c>
      <c r="C32" s="18" t="s">
        <v>236</v>
      </c>
      <c r="D32" s="18" t="s">
        <v>237</v>
      </c>
      <c r="E32" s="18" t="s">
        <v>238</v>
      </c>
      <c r="F32" s="18" t="s">
        <v>239</v>
      </c>
    </row>
    <row r="33" spans="1:6" x14ac:dyDescent="0.35">
      <c r="A33" s="16" t="s">
        <v>240</v>
      </c>
      <c r="B33" s="18" t="s">
        <v>241</v>
      </c>
      <c r="C33" s="18" t="s">
        <v>158</v>
      </c>
      <c r="D33" s="18" t="s">
        <v>242</v>
      </c>
      <c r="E33" s="18" t="s">
        <v>160</v>
      </c>
      <c r="F33" s="18" t="s">
        <v>161</v>
      </c>
    </row>
    <row r="34" spans="1:6" x14ac:dyDescent="0.35">
      <c r="A34" s="16" t="s">
        <v>243</v>
      </c>
      <c r="B34" s="18" t="s">
        <v>244</v>
      </c>
      <c r="C34" s="18" t="s">
        <v>245</v>
      </c>
      <c r="D34" s="18" t="s">
        <v>246</v>
      </c>
      <c r="E34" s="18" t="s">
        <v>247</v>
      </c>
      <c r="F34" s="18" t="s">
        <v>248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1"/>
  <sheetViews>
    <sheetView workbookViewId="0">
      <selection activeCell="B5" sqref="B5:H11"/>
    </sheetView>
  </sheetViews>
  <sheetFormatPr defaultRowHeight="14.5" x14ac:dyDescent="0.35"/>
  <cols>
    <col min="2" max="2" width="20.1796875" bestFit="1" customWidth="1"/>
    <col min="3" max="3" width="18.1796875" bestFit="1" customWidth="1"/>
    <col min="4" max="4" width="14.453125" style="2" bestFit="1" customWidth="1"/>
    <col min="5" max="5" width="16.26953125" style="2" bestFit="1" customWidth="1"/>
    <col min="6" max="8" width="17.453125" style="2" bestFit="1" customWidth="1"/>
  </cols>
  <sheetData>
    <row r="4" spans="2:8" ht="15" thickBot="1" x14ac:dyDescent="0.4"/>
    <row r="5" spans="2:8" x14ac:dyDescent="0.35">
      <c r="B5" s="41" t="s">
        <v>304</v>
      </c>
      <c r="C5" s="42" t="s">
        <v>315</v>
      </c>
      <c r="D5" s="43" t="s">
        <v>316</v>
      </c>
      <c r="E5" s="42" t="s">
        <v>317</v>
      </c>
      <c r="F5" s="43" t="s">
        <v>318</v>
      </c>
      <c r="G5" s="42" t="s">
        <v>319</v>
      </c>
      <c r="H5" s="44" t="s">
        <v>320</v>
      </c>
    </row>
    <row r="6" spans="2:8" x14ac:dyDescent="0.35">
      <c r="B6" s="219"/>
      <c r="C6" s="220"/>
      <c r="D6" s="220"/>
      <c r="E6" s="220"/>
      <c r="F6" s="220"/>
      <c r="G6" s="220"/>
      <c r="H6" s="221"/>
    </row>
    <row r="7" spans="2:8" x14ac:dyDescent="0.35">
      <c r="B7" s="45" t="s">
        <v>314</v>
      </c>
      <c r="C7" s="27">
        <v>-269600000</v>
      </c>
      <c r="D7" s="27"/>
      <c r="E7" s="27"/>
      <c r="F7" s="27"/>
      <c r="G7" s="27"/>
      <c r="H7" s="46"/>
    </row>
    <row r="8" spans="2:8" x14ac:dyDescent="0.35">
      <c r="B8" s="45" t="s">
        <v>312</v>
      </c>
      <c r="C8" s="26"/>
      <c r="D8" s="27">
        <f>CFS!E34</f>
        <v>3909250</v>
      </c>
      <c r="E8" s="27">
        <f>CFS!F34</f>
        <v>28693250</v>
      </c>
      <c r="F8" s="27">
        <f>CFS!G34</f>
        <v>107130013.75</v>
      </c>
      <c r="G8" s="27">
        <f>CFS!H34</f>
        <v>149711681.24999994</v>
      </c>
      <c r="H8" s="46">
        <f>CFS!I34</f>
        <v>187435856.24999994</v>
      </c>
    </row>
    <row r="9" spans="2:8" x14ac:dyDescent="0.35">
      <c r="B9" s="45" t="s">
        <v>313</v>
      </c>
      <c r="C9" s="26"/>
      <c r="D9" s="27">
        <f>CFS!E35</f>
        <v>3909250</v>
      </c>
      <c r="E9" s="27">
        <f>CFS!F35</f>
        <v>32602500</v>
      </c>
      <c r="F9" s="27">
        <f>CFS!G35</f>
        <v>139732513.75</v>
      </c>
      <c r="G9" s="27">
        <f>CFS!H35</f>
        <v>289444194.99999994</v>
      </c>
      <c r="H9" s="46">
        <f>CFS!I35</f>
        <v>476880051.24999988</v>
      </c>
    </row>
    <row r="10" spans="2:8" x14ac:dyDescent="0.35">
      <c r="B10" s="222"/>
      <c r="C10" s="223"/>
      <c r="D10" s="223"/>
      <c r="E10" s="223"/>
      <c r="F10" s="223"/>
      <c r="G10" s="223"/>
      <c r="H10" s="224"/>
    </row>
    <row r="11" spans="2:8" s="14" customFormat="1" ht="15" thickBot="1" x14ac:dyDescent="0.4">
      <c r="B11" s="225" t="s">
        <v>297</v>
      </c>
      <c r="C11" s="226"/>
      <c r="D11" s="226"/>
      <c r="E11" s="226"/>
      <c r="F11" s="227"/>
      <c r="G11" s="47">
        <f>3+((-F9-C7)/G9)</f>
        <v>3.4486788420476011</v>
      </c>
      <c r="H11" s="48" t="s">
        <v>307</v>
      </c>
    </row>
  </sheetData>
  <mergeCells count="3">
    <mergeCell ref="B6:H6"/>
    <mergeCell ref="B10:H10"/>
    <mergeCell ref="B11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23"/>
  <sheetViews>
    <sheetView topLeftCell="A5" workbookViewId="0">
      <selection activeCell="B10" sqref="B10:I23"/>
    </sheetView>
  </sheetViews>
  <sheetFormatPr defaultRowHeight="14.5" x14ac:dyDescent="0.35"/>
  <cols>
    <col min="2" max="2" width="22.453125" bestFit="1" customWidth="1"/>
    <col min="4" max="4" width="17.54296875" customWidth="1"/>
    <col min="5" max="8" width="14.26953125" bestFit="1" customWidth="1"/>
    <col min="9" max="9" width="16.81640625" bestFit="1" customWidth="1"/>
  </cols>
  <sheetData>
    <row r="9" spans="2:9" ht="15" thickBot="1" x14ac:dyDescent="0.4"/>
    <row r="10" spans="2:9" x14ac:dyDescent="0.35">
      <c r="B10" s="192" t="s">
        <v>304</v>
      </c>
      <c r="C10" s="194" t="s">
        <v>321</v>
      </c>
      <c r="D10" s="194" t="s">
        <v>322</v>
      </c>
      <c r="E10" s="194"/>
      <c r="F10" s="194"/>
      <c r="G10" s="194"/>
      <c r="H10" s="194"/>
      <c r="I10" s="201"/>
    </row>
    <row r="11" spans="2:9" x14ac:dyDescent="0.35">
      <c r="B11" s="193"/>
      <c r="C11" s="195"/>
      <c r="D11" s="229" t="s">
        <v>282</v>
      </c>
      <c r="E11" s="195" t="s">
        <v>323</v>
      </c>
      <c r="F11" s="195"/>
      <c r="G11" s="195"/>
      <c r="H11" s="195"/>
      <c r="I11" s="228"/>
    </row>
    <row r="12" spans="2:9" ht="28" x14ac:dyDescent="0.35">
      <c r="B12" s="49" t="s">
        <v>341</v>
      </c>
      <c r="C12" s="21"/>
      <c r="D12" s="230"/>
      <c r="E12" s="22">
        <v>-0.01</v>
      </c>
      <c r="F12" s="22">
        <v>0</v>
      </c>
      <c r="G12" s="22">
        <v>0.01</v>
      </c>
      <c r="H12" s="22">
        <v>0.02</v>
      </c>
      <c r="I12" s="50">
        <v>0.03</v>
      </c>
    </row>
    <row r="13" spans="2:9" x14ac:dyDescent="0.35">
      <c r="B13" s="51" t="s">
        <v>325</v>
      </c>
      <c r="C13" s="21"/>
      <c r="D13" s="231"/>
      <c r="E13" s="23">
        <f>85.2*99%</f>
        <v>84.347999999999999</v>
      </c>
      <c r="F13" s="23">
        <f>85.2*100%</f>
        <v>85.2</v>
      </c>
      <c r="G13" s="23">
        <f>85.2*101%</f>
        <v>86.052000000000007</v>
      </c>
      <c r="H13" s="23">
        <f>85.2*102%</f>
        <v>86.904000000000011</v>
      </c>
      <c r="I13" s="52">
        <f>85.2*103%</f>
        <v>87.756</v>
      </c>
    </row>
    <row r="14" spans="2:9" x14ac:dyDescent="0.35">
      <c r="B14" s="53" t="s">
        <v>329</v>
      </c>
      <c r="C14" s="33"/>
      <c r="D14" s="34">
        <f>-'Initial capital'!D21</f>
        <v>-269600000</v>
      </c>
      <c r="E14" s="34">
        <f>-'Initial capital'!$E$21</f>
        <v>-3164319.2488262909</v>
      </c>
      <c r="F14" s="34">
        <f>-'Initial capital'!$E$21</f>
        <v>-3164319.2488262909</v>
      </c>
      <c r="G14" s="34">
        <f>-'Initial capital'!$E$21</f>
        <v>-3164319.2488262909</v>
      </c>
      <c r="H14" s="34">
        <f>-'Initial capital'!$E$21</f>
        <v>-3164319.2488262909</v>
      </c>
      <c r="I14" s="54">
        <f>-'Initial capital'!$E$21</f>
        <v>-3164319.2488262909</v>
      </c>
    </row>
    <row r="15" spans="2:9" x14ac:dyDescent="0.35">
      <c r="B15" s="55"/>
      <c r="C15" s="28">
        <v>2022</v>
      </c>
      <c r="D15" s="29">
        <f>'Pyback period'!D8</f>
        <v>3909250</v>
      </c>
      <c r="E15" s="30">
        <f>$D15/E$13</f>
        <v>46346.682790344763</v>
      </c>
      <c r="F15" s="30">
        <f t="shared" ref="F15:I20" si="0">$D15/F$13</f>
        <v>45883.215962441311</v>
      </c>
      <c r="G15" s="30">
        <f t="shared" si="0"/>
        <v>45428.926695486443</v>
      </c>
      <c r="H15" s="30">
        <f t="shared" si="0"/>
        <v>44983.545061216966</v>
      </c>
      <c r="I15" s="56">
        <f t="shared" si="0"/>
        <v>44546.811614020691</v>
      </c>
    </row>
    <row r="16" spans="2:9" x14ac:dyDescent="0.35">
      <c r="B16" s="55"/>
      <c r="C16" s="28">
        <v>2023</v>
      </c>
      <c r="D16" s="29">
        <f>'Pyback period'!E8</f>
        <v>28693250</v>
      </c>
      <c r="E16" s="30">
        <f t="shared" ref="E16:E20" si="1">$D16/E$13</f>
        <v>340177.00478968082</v>
      </c>
      <c r="F16" s="30">
        <f t="shared" si="0"/>
        <v>336775.23474178405</v>
      </c>
      <c r="G16" s="30">
        <f t="shared" si="0"/>
        <v>333440.82647701388</v>
      </c>
      <c r="H16" s="30">
        <f t="shared" si="0"/>
        <v>330171.79876645491</v>
      </c>
      <c r="I16" s="56">
        <f t="shared" si="0"/>
        <v>326966.24732212041</v>
      </c>
    </row>
    <row r="17" spans="2:9" x14ac:dyDescent="0.35">
      <c r="B17" s="55"/>
      <c r="C17" s="28">
        <v>2024</v>
      </c>
      <c r="D17" s="29">
        <f>'Pyback period'!F8</f>
        <v>107130013.75</v>
      </c>
      <c r="E17" s="30">
        <f t="shared" si="1"/>
        <v>1270095.4824062218</v>
      </c>
      <c r="F17" s="30">
        <f t="shared" si="0"/>
        <v>1257394.5275821595</v>
      </c>
      <c r="G17" s="30">
        <f t="shared" si="0"/>
        <v>1244945.0768140194</v>
      </c>
      <c r="H17" s="30">
        <f t="shared" si="0"/>
        <v>1232739.7329236858</v>
      </c>
      <c r="I17" s="56">
        <f t="shared" si="0"/>
        <v>1220771.3860020968</v>
      </c>
    </row>
    <row r="18" spans="2:9" x14ac:dyDescent="0.35">
      <c r="B18" s="55"/>
      <c r="C18" s="28">
        <v>2025</v>
      </c>
      <c r="D18" s="29">
        <f>'Pyback period'!G8</f>
        <v>149711681.24999994</v>
      </c>
      <c r="E18" s="30">
        <f t="shared" si="1"/>
        <v>1774928.6438326924</v>
      </c>
      <c r="F18" s="30">
        <f t="shared" si="0"/>
        <v>1757179.3573943654</v>
      </c>
      <c r="G18" s="30">
        <f t="shared" si="0"/>
        <v>1739781.5419746193</v>
      </c>
      <c r="H18" s="30">
        <f t="shared" si="0"/>
        <v>1722724.8601905543</v>
      </c>
      <c r="I18" s="56">
        <f t="shared" si="0"/>
        <v>1705999.3761110345</v>
      </c>
    </row>
    <row r="19" spans="2:9" x14ac:dyDescent="0.35">
      <c r="B19" s="57"/>
      <c r="C19" s="28">
        <v>2026</v>
      </c>
      <c r="D19" s="29">
        <f>'Pyback period'!H8</f>
        <v>187435856.24999994</v>
      </c>
      <c r="E19" s="30">
        <f t="shared" si="1"/>
        <v>2222173.0953905242</v>
      </c>
      <c r="F19" s="30">
        <f t="shared" si="0"/>
        <v>2199951.364436619</v>
      </c>
      <c r="G19" s="30">
        <f t="shared" si="0"/>
        <v>2178169.6677590287</v>
      </c>
      <c r="H19" s="30">
        <f t="shared" si="0"/>
        <v>2156815.0631731558</v>
      </c>
      <c r="I19" s="56">
        <f t="shared" si="0"/>
        <v>2135875.1111035137</v>
      </c>
    </row>
    <row r="20" spans="2:9" x14ac:dyDescent="0.35">
      <c r="B20" s="58" t="s">
        <v>324</v>
      </c>
      <c r="C20" s="28"/>
      <c r="D20" s="29">
        <f>(NPV!$D$19*1.05)/(0.18-0.05)</f>
        <v>1513904992.788461</v>
      </c>
      <c r="E20" s="30">
        <f t="shared" si="1"/>
        <v>17948321.155077312</v>
      </c>
      <c r="F20" s="30">
        <f t="shared" si="0"/>
        <v>17768837.943526536</v>
      </c>
      <c r="G20" s="30">
        <f t="shared" si="0"/>
        <v>17592908.85497677</v>
      </c>
      <c r="H20" s="30">
        <f t="shared" si="0"/>
        <v>17420429.356398564</v>
      </c>
      <c r="I20" s="56">
        <f t="shared" si="0"/>
        <v>17251298.974297609</v>
      </c>
    </row>
    <row r="21" spans="2:9" x14ac:dyDescent="0.35">
      <c r="B21" s="59" t="s">
        <v>326</v>
      </c>
      <c r="C21" s="24"/>
      <c r="D21" s="25">
        <f>NPV(0.18,D15:D19)+(D20/1.18^5)-'Initial capital'!$D$21</f>
        <v>640413987.60998464</v>
      </c>
      <c r="E21" s="25">
        <f>NPV(0.18,E15:E19)+(E20/1.18^5)-'Initial capital'!$E$21</f>
        <v>7624484.1325222254</v>
      </c>
      <c r="F21" s="25">
        <f>NPV(0.18,F15:F19)+(F20/1.18^5)-'Initial capital'!$E$21</f>
        <v>7516596.0987087395</v>
      </c>
      <c r="G21" s="25">
        <f>NPV(0.18,G15:G19)+(G20/1.18^5)-'Initial capital'!$E$21</f>
        <v>7410844.4616044331</v>
      </c>
      <c r="H21" s="25">
        <f>NPV(0.18,H15:H19)+(H20/1.18^5)-'Initial capital'!$E$21</f>
        <v>7307166.386011973</v>
      </c>
      <c r="I21" s="60">
        <f>NPV(0.18,I15:I19)+(I20/1.18^5)-'Initial capital'!$E$21</f>
        <v>7205501.4769358747</v>
      </c>
    </row>
    <row r="22" spans="2:9" x14ac:dyDescent="0.35">
      <c r="B22" s="61" t="s">
        <v>327</v>
      </c>
      <c r="C22" s="31"/>
      <c r="D22" s="32">
        <f>IRR(D14:D20)</f>
        <v>0.45834755246416559</v>
      </c>
      <c r="E22" s="32">
        <f t="shared" ref="E22:I22" si="2">IRR(E14:E20)</f>
        <v>0.46127426413261396</v>
      </c>
      <c r="F22" s="32">
        <f t="shared" si="2"/>
        <v>0.45834755246416559</v>
      </c>
      <c r="G22" s="32">
        <f t="shared" si="2"/>
        <v>0.45545783690534192</v>
      </c>
      <c r="H22" s="32">
        <f t="shared" si="2"/>
        <v>0.45260427749084009</v>
      </c>
      <c r="I22" s="62">
        <f t="shared" si="2"/>
        <v>0.44978606153094036</v>
      </c>
    </row>
    <row r="23" spans="2:9" ht="15" thickBot="1" x14ac:dyDescent="0.4">
      <c r="B23" s="63" t="s">
        <v>328</v>
      </c>
      <c r="C23" s="64"/>
      <c r="D23" s="65">
        <f>MIRR(D14:D20,0.18,0.18)</f>
        <v>0.41718453428804181</v>
      </c>
      <c r="E23" s="65">
        <f t="shared" ref="E23:I23" si="3">MIRR(E14:E20,0.18,0.18)</f>
        <v>0.41956038699832909</v>
      </c>
      <c r="F23" s="65">
        <f t="shared" si="3"/>
        <v>0.41718453428804181</v>
      </c>
      <c r="G23" s="65">
        <f t="shared" si="3"/>
        <v>0.41483623951937321</v>
      </c>
      <c r="H23" s="65">
        <f t="shared" si="3"/>
        <v>0.41251491489747649</v>
      </c>
      <c r="I23" s="66">
        <f t="shared" si="3"/>
        <v>0.41021999077277704</v>
      </c>
    </row>
  </sheetData>
  <mergeCells count="5">
    <mergeCell ref="D10:I10"/>
    <mergeCell ref="E11:I11"/>
    <mergeCell ref="C10:C11"/>
    <mergeCell ref="B10:B11"/>
    <mergeCell ref="D11:D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tabSelected="1" topLeftCell="A16" workbookViewId="0">
      <selection activeCell="F28" sqref="F28"/>
    </sheetView>
  </sheetViews>
  <sheetFormatPr defaultRowHeight="14.5" x14ac:dyDescent="0.35"/>
  <cols>
    <col min="2" max="2" width="5.54296875" bestFit="1" customWidth="1"/>
    <col min="3" max="3" width="13.7265625" bestFit="1" customWidth="1"/>
    <col min="4" max="4" width="14.54296875" bestFit="1" customWidth="1"/>
    <col min="5" max="5" width="12.54296875" bestFit="1" customWidth="1"/>
    <col min="6" max="6" width="15.453125" bestFit="1" customWidth="1"/>
    <col min="7" max="7" width="12.81640625" bestFit="1" customWidth="1"/>
  </cols>
  <sheetData>
    <row r="3" spans="2:7" ht="15" thickBot="1" x14ac:dyDescent="0.4"/>
    <row r="4" spans="2:7" x14ac:dyDescent="0.35">
      <c r="B4" s="234" t="s">
        <v>299</v>
      </c>
      <c r="C4" s="232" t="s">
        <v>300</v>
      </c>
      <c r="D4" s="232" t="s">
        <v>301</v>
      </c>
      <c r="E4" s="232"/>
      <c r="F4" s="232"/>
      <c r="G4" s="237"/>
    </row>
    <row r="5" spans="2:7" x14ac:dyDescent="0.35">
      <c r="B5" s="235"/>
      <c r="C5" s="233"/>
      <c r="D5" s="233" t="s">
        <v>330</v>
      </c>
      <c r="E5" s="233"/>
      <c r="F5" s="233" t="s">
        <v>302</v>
      </c>
      <c r="G5" s="236"/>
    </row>
    <row r="6" spans="2:7" x14ac:dyDescent="0.35">
      <c r="B6" s="67"/>
      <c r="C6" s="36"/>
      <c r="D6" s="37" t="s">
        <v>282</v>
      </c>
      <c r="E6" s="37" t="s">
        <v>303</v>
      </c>
      <c r="F6" s="37" t="s">
        <v>282</v>
      </c>
      <c r="G6" s="68" t="s">
        <v>303</v>
      </c>
    </row>
    <row r="7" spans="2:7" x14ac:dyDescent="0.35">
      <c r="B7" s="69">
        <v>1</v>
      </c>
      <c r="C7" s="38">
        <v>0.08</v>
      </c>
      <c r="D7" s="39">
        <f>NPV(C7,CFS!$E$34:$I$34)-'Initial capital'!$D$21</f>
        <v>81271021.243715048</v>
      </c>
      <c r="E7" s="40">
        <f t="shared" ref="E7:E23" si="0">D7/85.2</f>
        <v>953885.22586520005</v>
      </c>
      <c r="F7" s="39">
        <f>D7+((CFS!$I$34*1.05)/(C7-0.05))/(1+C7)^5</f>
        <v>4546070321.232152</v>
      </c>
      <c r="G7" s="70">
        <f t="shared" ref="G7:G23" si="1">F7/85.2</f>
        <v>53357632.878311642</v>
      </c>
    </row>
    <row r="8" spans="2:7" x14ac:dyDescent="0.35">
      <c r="B8" s="69">
        <v>2</v>
      </c>
      <c r="C8" s="38">
        <v>0.1</v>
      </c>
      <c r="D8" s="39">
        <f>NPV(C8,CFS!$E$34:$I$34)-'Initial capital'!$D$21</f>
        <v>56793670.910146236</v>
      </c>
      <c r="E8" s="40">
        <f t="shared" si="0"/>
        <v>666592.38157448627</v>
      </c>
      <c r="F8" s="39">
        <f>D8+((CFS!$I$34*1.05)/(C8-0.05))/(1+C8)^5</f>
        <v>2500834987.7911325</v>
      </c>
      <c r="G8" s="70">
        <f t="shared" si="1"/>
        <v>29352523.330881834</v>
      </c>
    </row>
    <row r="9" spans="2:7" x14ac:dyDescent="0.35">
      <c r="B9" s="71">
        <v>3</v>
      </c>
      <c r="C9" s="38">
        <v>0.12</v>
      </c>
      <c r="D9" s="39">
        <f>NPV(C9,CFS!$E$34:$I$34)-'Initial capital'!$D$21</f>
        <v>34518131.291601539</v>
      </c>
      <c r="E9" s="40">
        <f t="shared" si="0"/>
        <v>405142.38605166122</v>
      </c>
      <c r="F9" s="39">
        <f>D9+((CFS!$I$34*1.05)/(C9-0.05))/(1+C9)^5</f>
        <v>1629860209.704514</v>
      </c>
      <c r="G9" s="70">
        <f t="shared" si="1"/>
        <v>19129814.667893358</v>
      </c>
    </row>
    <row r="10" spans="2:7" x14ac:dyDescent="0.35">
      <c r="B10" s="72">
        <v>4</v>
      </c>
      <c r="C10" s="38">
        <v>0.14000000000000001</v>
      </c>
      <c r="D10" s="39">
        <f>NPV(C10,CFS!$E$34:$I$34)-'Initial capital'!$D$21</f>
        <v>14207042.713285565</v>
      </c>
      <c r="E10" s="40">
        <f t="shared" si="0"/>
        <v>166749.32762072259</v>
      </c>
      <c r="F10" s="39">
        <f>D10+((CFS!$I$34*1.05)/(C10-0.05))/(1+C10)^5</f>
        <v>1149937329.7064614</v>
      </c>
      <c r="G10" s="70">
        <f t="shared" si="1"/>
        <v>13496917.015334053</v>
      </c>
    </row>
    <row r="11" spans="2:7" x14ac:dyDescent="0.35">
      <c r="B11" s="69">
        <v>5</v>
      </c>
      <c r="C11" s="38">
        <v>0.16</v>
      </c>
      <c r="D11" s="39">
        <f>NPV(C11,CFS!$E$34:$I$34)-'Initial capital'!$D$21</f>
        <v>-4347453.0840443969</v>
      </c>
      <c r="E11" s="40">
        <f t="shared" si="0"/>
        <v>-51026.444648408411</v>
      </c>
      <c r="F11" s="39">
        <f>D11+((CFS!$I$34*1.05)/(C11-0.05))/(1+C11)^5</f>
        <v>847495121.93165541</v>
      </c>
      <c r="G11" s="70">
        <f t="shared" si="1"/>
        <v>9947125.8442682549</v>
      </c>
    </row>
    <row r="12" spans="2:7" x14ac:dyDescent="0.35">
      <c r="B12" s="69">
        <v>6</v>
      </c>
      <c r="C12" s="38">
        <v>0.18</v>
      </c>
      <c r="D12" s="39">
        <f>NPV(C12,CFS!$E$34:$I$34)-'Initial capital'!$D$21</f>
        <v>-21327837.235157758</v>
      </c>
      <c r="E12" s="40">
        <f t="shared" si="0"/>
        <v>-250326.72811218025</v>
      </c>
      <c r="F12" s="39">
        <f>D12+((CFS!$I$34*1.05)/(C12-0.05))/(1+C12)^5</f>
        <v>640413987.60998464</v>
      </c>
      <c r="G12" s="70">
        <f t="shared" si="1"/>
        <v>7516596.0987087395</v>
      </c>
    </row>
    <row r="13" spans="2:7" x14ac:dyDescent="0.35">
      <c r="B13" s="71">
        <v>7</v>
      </c>
      <c r="C13" s="38">
        <v>0.2</v>
      </c>
      <c r="D13" s="39">
        <f>NPV(C13,CFS!$E$34:$I$34)-'Initial capital'!$D$21</f>
        <v>-36894700.701678276</v>
      </c>
      <c r="E13" s="40">
        <f t="shared" si="0"/>
        <v>-433036.39321218635</v>
      </c>
      <c r="F13" s="39">
        <f>D13+((CFS!$I$34*1.05)/(C13-0.05))/(1+C13)^5</f>
        <v>490389167.02835625</v>
      </c>
      <c r="G13" s="70">
        <f t="shared" si="1"/>
        <v>5755741.3970464347</v>
      </c>
    </row>
    <row r="14" spans="2:7" x14ac:dyDescent="0.35">
      <c r="B14" s="72">
        <v>8</v>
      </c>
      <c r="C14" s="38">
        <v>0.22</v>
      </c>
      <c r="D14" s="39">
        <f>NPV(C14,CFS!$E$34:$I$34)-'Initial capital'!$D$21</f>
        <v>-51189701.347456276</v>
      </c>
      <c r="E14" s="40">
        <f t="shared" si="0"/>
        <v>-600818.09093258542</v>
      </c>
      <c r="F14" s="39">
        <f>D14+((CFS!$I$34*1.05)/(C14-0.05))/(1+C14)^5</f>
        <v>377155492.95503139</v>
      </c>
      <c r="G14" s="70">
        <f t="shared" si="1"/>
        <v>4426707.6637914479</v>
      </c>
    </row>
    <row r="15" spans="2:7" x14ac:dyDescent="0.35">
      <c r="B15" s="69">
        <v>9</v>
      </c>
      <c r="C15" s="38">
        <v>0.24</v>
      </c>
      <c r="D15" s="39">
        <f>NPV(C15,CFS!$E$34:$I$34)-'Initial capital'!$D$21</f>
        <v>-64338079.030252546</v>
      </c>
      <c r="E15" s="40">
        <f t="shared" si="0"/>
        <v>-755141.77265554632</v>
      </c>
      <c r="F15" s="39">
        <f>D15+((CFS!$I$34*1.05)/(C15-0.05))/(1+C15)^5</f>
        <v>288991460.00019336</v>
      </c>
      <c r="G15" s="70">
        <f t="shared" si="1"/>
        <v>3391918.5446032081</v>
      </c>
    </row>
    <row r="16" spans="2:7" x14ac:dyDescent="0.35">
      <c r="B16" s="69">
        <v>10</v>
      </c>
      <c r="C16" s="38">
        <v>0.26</v>
      </c>
      <c r="D16" s="39">
        <f>NPV(C16,CFS!$E$34:$I$34)-'Initial capital'!$D$21</f>
        <v>-76450800.849270314</v>
      </c>
      <c r="E16" s="40">
        <f t="shared" si="0"/>
        <v>-897309.86912289099</v>
      </c>
      <c r="F16" s="39">
        <f>D16+((CFS!$I$34*1.05)/(C16-0.05))/(1+C16)^5</f>
        <v>218649704.52442679</v>
      </c>
      <c r="G16" s="70">
        <f t="shared" si="1"/>
        <v>2566311.0859674504</v>
      </c>
    </row>
    <row r="17" spans="2:7" x14ac:dyDescent="0.35">
      <c r="B17" s="69">
        <v>11</v>
      </c>
      <c r="C17" s="38">
        <v>0.28000000000000003</v>
      </c>
      <c r="D17" s="39">
        <f>NPV(C17,CFS!$E$34:$I$34)-'Initial capital'!$D$21</f>
        <v>-87626395.961153388</v>
      </c>
      <c r="E17" s="40">
        <f t="shared" si="0"/>
        <v>-1028478.8258351337</v>
      </c>
      <c r="F17" s="39">
        <f>D17+((CFS!$I$34*1.05)/(C17-0.05))/(1+C17)^5</f>
        <v>161410841.03464416</v>
      </c>
      <c r="G17" s="70">
        <f t="shared" si="1"/>
        <v>1894493.4393737577</v>
      </c>
    </row>
    <row r="18" spans="2:7" x14ac:dyDescent="0.35">
      <c r="B18" s="72">
        <v>12</v>
      </c>
      <c r="C18" s="38">
        <v>0.3</v>
      </c>
      <c r="D18" s="39">
        <f>NPV(C18,CFS!$E$34:$I$34)-'Initial capital'!$D$21</f>
        <v>-97952529.057240576</v>
      </c>
      <c r="E18" s="40">
        <f t="shared" si="0"/>
        <v>-1149677.571094373</v>
      </c>
      <c r="F18" s="39">
        <f>D18+((CFS!$I$34*1.05)/(C18-0.05))/(1+C18)^5</f>
        <v>114071558.7251845</v>
      </c>
      <c r="G18" s="70">
        <f t="shared" si="1"/>
        <v>1338868.0601547477</v>
      </c>
    </row>
    <row r="19" spans="2:7" x14ac:dyDescent="0.35">
      <c r="B19" s="69">
        <v>13</v>
      </c>
      <c r="C19" s="38">
        <v>0.32</v>
      </c>
      <c r="D19" s="39">
        <f>NPV(C19,CFS!$E$34:$I$34)-'Initial capital'!$D$21</f>
        <v>-107507353.19734675</v>
      </c>
      <c r="E19" s="40">
        <f t="shared" si="0"/>
        <v>-1261823.3943350557</v>
      </c>
      <c r="F19" s="39">
        <f>D19+((CFS!$I$34*1.05)/(C19-0.05))/(1+C19)^5</f>
        <v>74382533.901920766</v>
      </c>
      <c r="G19" s="70">
        <f t="shared" si="1"/>
        <v>873034.43546855357</v>
      </c>
    </row>
    <row r="20" spans="2:7" x14ac:dyDescent="0.35">
      <c r="B20" s="72">
        <v>14</v>
      </c>
      <c r="C20" s="38">
        <v>0.34</v>
      </c>
      <c r="D20" s="39">
        <f>NPV(C20,CFS!$E$34:$I$34)-'Initial capital'!$D$21</f>
        <v>-116360675.83871052</v>
      </c>
      <c r="E20" s="40">
        <f t="shared" si="0"/>
        <v>-1365735.6319097478</v>
      </c>
      <c r="F20" s="39">
        <f>D20+((CFS!$I$34*1.05)/(C20-0.05))/(1+C20)^5</f>
        <v>40718995.476139605</v>
      </c>
      <c r="G20" s="70">
        <f t="shared" si="1"/>
        <v>477922.48211431463</v>
      </c>
    </row>
    <row r="21" spans="2:7" x14ac:dyDescent="0.35">
      <c r="B21" s="69">
        <v>15</v>
      </c>
      <c r="C21" s="38">
        <v>0.36</v>
      </c>
      <c r="D21" s="39">
        <f>NPV(C21,CFS!$E$34:$I$34)-'Initial capital'!$D$21</f>
        <v>-124574966.28176412</v>
      </c>
      <c r="E21" s="40">
        <f t="shared" si="0"/>
        <v>-1462147.4915700015</v>
      </c>
      <c r="F21" s="39">
        <f>D21+((CFS!$I$34*1.05)/(C21-0.05))/(1+C21)^5</f>
        <v>11878866.196695745</v>
      </c>
      <c r="G21" s="70">
        <f t="shared" si="1"/>
        <v>139423.31216779043</v>
      </c>
    </row>
    <row r="22" spans="2:7" x14ac:dyDescent="0.35">
      <c r="B22" s="72">
        <v>16</v>
      </c>
      <c r="C22" s="38">
        <v>0.38</v>
      </c>
      <c r="D22" s="39">
        <f>NPV(C22,CFS!$E$34:$I$34)-'Initial capital'!$D$21</f>
        <v>-132206228.13817796</v>
      </c>
      <c r="E22" s="40">
        <f t="shared" si="0"/>
        <v>-1551716.2927016192</v>
      </c>
      <c r="F22" s="39">
        <f>D22+((CFS!$I$34*1.05)/(C22-0.05))/(1+C22)^5</f>
        <v>-13045649.986598909</v>
      </c>
      <c r="G22" s="70">
        <f t="shared" si="1"/>
        <v>-153117.95758918906</v>
      </c>
    </row>
    <row r="23" spans="2:7" ht="15" thickBot="1" x14ac:dyDescent="0.4">
      <c r="B23" s="73">
        <v>17</v>
      </c>
      <c r="C23" s="74">
        <v>0.4</v>
      </c>
      <c r="D23" s="75">
        <f>NPV(C23,CFS!$E$34:$I$34)-'Initial capital'!$D$21</f>
        <v>-139304756.6211251</v>
      </c>
      <c r="E23" s="76">
        <f t="shared" si="0"/>
        <v>-1635032.3547080411</v>
      </c>
      <c r="F23" s="75">
        <f>D23+((CFS!$I$34*1.05)/(C23-0.05))/(1+C23)^5</f>
        <v>-34752418.170256421</v>
      </c>
      <c r="G23" s="77">
        <f t="shared" si="1"/>
        <v>-407892.23204526317</v>
      </c>
    </row>
  </sheetData>
  <mergeCells count="5">
    <mergeCell ref="C4:C5"/>
    <mergeCell ref="B4:B5"/>
    <mergeCell ref="F5:G5"/>
    <mergeCell ref="D5:E5"/>
    <mergeCell ref="D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3" sqref="B13"/>
    </sheetView>
  </sheetViews>
  <sheetFormatPr defaultColWidth="8.81640625" defaultRowHeight="15.5" x14ac:dyDescent="0.35"/>
  <cols>
    <col min="1" max="1" width="48.81640625" style="16" bestFit="1" customWidth="1"/>
    <col min="2" max="2" width="16.26953125" style="16" bestFit="1" customWidth="1"/>
    <col min="3" max="3" width="15.26953125" style="16" bestFit="1" customWidth="1"/>
    <col min="4" max="4" width="16.26953125" style="16" bestFit="1" customWidth="1"/>
    <col min="5" max="6" width="15.26953125" style="16" bestFit="1" customWidth="1"/>
    <col min="7" max="16384" width="8.81640625" style="16"/>
  </cols>
  <sheetData>
    <row r="1" spans="1:6" x14ac:dyDescent="0.3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</row>
    <row r="2" spans="1:6" x14ac:dyDescent="0.35">
      <c r="A2" s="16" t="s">
        <v>249</v>
      </c>
      <c r="B2" s="16" t="s">
        <v>250</v>
      </c>
      <c r="C2" s="16" t="s">
        <v>251</v>
      </c>
      <c r="D2" s="16" t="s">
        <v>252</v>
      </c>
      <c r="E2" s="16" t="s">
        <v>253</v>
      </c>
      <c r="F2" s="16" t="s">
        <v>254</v>
      </c>
    </row>
    <row r="3" spans="1:6" x14ac:dyDescent="0.35">
      <c r="A3" s="16" t="s">
        <v>255</v>
      </c>
      <c r="B3" s="16" t="s">
        <v>256</v>
      </c>
      <c r="C3" s="16" t="s">
        <v>257</v>
      </c>
      <c r="D3" s="16" t="s">
        <v>258</v>
      </c>
      <c r="E3" s="16" t="s">
        <v>259</v>
      </c>
      <c r="F3" s="16" t="s">
        <v>260</v>
      </c>
    </row>
    <row r="4" spans="1:6" x14ac:dyDescent="0.35">
      <c r="A4" s="16" t="s">
        <v>261</v>
      </c>
      <c r="B4" s="16" t="s">
        <v>54</v>
      </c>
      <c r="C4" s="16" t="s">
        <v>55</v>
      </c>
      <c r="D4" s="16" t="s">
        <v>80</v>
      </c>
      <c r="E4" s="16" t="s">
        <v>80</v>
      </c>
      <c r="F4" s="16" t="s">
        <v>172</v>
      </c>
    </row>
    <row r="5" spans="1:6" x14ac:dyDescent="0.35">
      <c r="A5" s="16" t="s">
        <v>262</v>
      </c>
      <c r="B5" s="16" t="s">
        <v>263</v>
      </c>
      <c r="C5" s="16" t="s">
        <v>264</v>
      </c>
      <c r="D5" s="16" t="s">
        <v>265</v>
      </c>
      <c r="E5" s="16" t="s">
        <v>266</v>
      </c>
      <c r="F5" s="16" t="s">
        <v>267</v>
      </c>
    </row>
    <row r="6" spans="1:6" x14ac:dyDescent="0.35">
      <c r="A6" s="16" t="s">
        <v>268</v>
      </c>
      <c r="B6" s="16" t="s">
        <v>269</v>
      </c>
      <c r="C6" s="16" t="s">
        <v>270</v>
      </c>
      <c r="D6" s="16" t="s">
        <v>80</v>
      </c>
      <c r="E6" s="16" t="s">
        <v>80</v>
      </c>
      <c r="F6" s="16" t="s">
        <v>80</v>
      </c>
    </row>
    <row r="7" spans="1:6" x14ac:dyDescent="0.35">
      <c r="A7" s="16" t="s">
        <v>271</v>
      </c>
      <c r="B7" s="16" t="s">
        <v>269</v>
      </c>
      <c r="C7" s="16" t="s">
        <v>270</v>
      </c>
      <c r="D7" s="16" t="s">
        <v>80</v>
      </c>
      <c r="E7" s="16" t="s">
        <v>80</v>
      </c>
      <c r="F7" s="16" t="s">
        <v>80</v>
      </c>
    </row>
    <row r="8" spans="1:6" x14ac:dyDescent="0.35">
      <c r="A8" s="16" t="s">
        <v>272</v>
      </c>
      <c r="B8" s="16" t="s">
        <v>273</v>
      </c>
      <c r="C8" s="16" t="s">
        <v>206</v>
      </c>
      <c r="D8" s="16" t="s">
        <v>80</v>
      </c>
      <c r="E8" s="16" t="s">
        <v>80</v>
      </c>
      <c r="F8" s="16" t="s">
        <v>80</v>
      </c>
    </row>
    <row r="9" spans="1:6" x14ac:dyDescent="0.35">
      <c r="A9" s="16" t="s">
        <v>274</v>
      </c>
      <c r="B9" s="16" t="s">
        <v>80</v>
      </c>
      <c r="C9" s="16" t="s">
        <v>80</v>
      </c>
      <c r="D9" s="16" t="s">
        <v>80</v>
      </c>
      <c r="E9" s="16" t="s">
        <v>80</v>
      </c>
      <c r="F9" s="16" t="s">
        <v>275</v>
      </c>
    </row>
    <row r="10" spans="1:6" x14ac:dyDescent="0.35">
      <c r="A10" s="16" t="s">
        <v>276</v>
      </c>
      <c r="B10" s="16" t="s">
        <v>80</v>
      </c>
      <c r="C10" s="16" t="s">
        <v>277</v>
      </c>
      <c r="D10" s="16" t="s">
        <v>80</v>
      </c>
      <c r="E10" s="16" t="s">
        <v>278</v>
      </c>
      <c r="F10" s="16" t="s">
        <v>279</v>
      </c>
    </row>
    <row r="11" spans="1:6" x14ac:dyDescent="0.35">
      <c r="A11" s="16" t="s">
        <v>280</v>
      </c>
      <c r="B11" s="16" t="s">
        <v>273</v>
      </c>
      <c r="C11" s="16" t="s">
        <v>273</v>
      </c>
      <c r="D11" s="16" t="s">
        <v>80</v>
      </c>
      <c r="E11" s="16" t="s">
        <v>278</v>
      </c>
      <c r="F11" s="16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B13" sqref="B13"/>
    </sheetView>
  </sheetViews>
  <sheetFormatPr defaultColWidth="9.1796875" defaultRowHeight="14.5" x14ac:dyDescent="0.35"/>
  <cols>
    <col min="1" max="4" width="9.1796875" style="2"/>
    <col min="5" max="6" width="13.26953125" style="2" bestFit="1" customWidth="1"/>
    <col min="7" max="7" width="11.54296875" style="2" bestFit="1" customWidth="1"/>
    <col min="8" max="9" width="9.1796875" style="2"/>
    <col min="10" max="10" width="10" style="2" bestFit="1" customWidth="1"/>
    <col min="11" max="11" width="11" style="2" bestFit="1" customWidth="1"/>
    <col min="12" max="17" width="9.1796875" style="2"/>
    <col min="18" max="18" width="10" style="2" bestFit="1" customWidth="1"/>
    <col min="19" max="16384" width="9.1796875" style="2"/>
  </cols>
  <sheetData>
    <row r="1" spans="1:18" x14ac:dyDescent="0.35">
      <c r="A1" s="2" t="s">
        <v>0</v>
      </c>
      <c r="C1" s="8">
        <v>1.6199999999999999E-2</v>
      </c>
    </row>
    <row r="2" spans="1:18" x14ac:dyDescent="0.35">
      <c r="A2" s="2" t="s">
        <v>1</v>
      </c>
      <c r="C2" s="8">
        <v>4.1000000000000002E-2</v>
      </c>
    </row>
    <row r="3" spans="1:18" x14ac:dyDescent="0.35">
      <c r="C3" s="8">
        <f>C2-C1</f>
        <v>2.4800000000000003E-2</v>
      </c>
    </row>
    <row r="5" spans="1:18" x14ac:dyDescent="0.35">
      <c r="I5" s="8">
        <f>(I7-85.2)/85.2</f>
        <v>2.4404644754969434E-2</v>
      </c>
    </row>
    <row r="7" spans="1:18" x14ac:dyDescent="0.35">
      <c r="I7" s="5">
        <f>(85.2*1.041)/1.0162</f>
        <v>87.279275733123399</v>
      </c>
      <c r="K7" s="7">
        <f>1/I7</f>
        <v>1.1457473628192466E-2</v>
      </c>
      <c r="M7" s="3"/>
    </row>
    <row r="9" spans="1:18" x14ac:dyDescent="0.35">
      <c r="F9" s="1"/>
    </row>
    <row r="10" spans="1:18" x14ac:dyDescent="0.35">
      <c r="E10" s="2">
        <v>1000000</v>
      </c>
      <c r="F10" s="1">
        <f>E10*1.0162</f>
        <v>1016200</v>
      </c>
      <c r="G10" s="2">
        <f>F10*I7</f>
        <v>88693200</v>
      </c>
      <c r="I10" s="3">
        <f>I7-85.2</f>
        <v>2.0792757331233958</v>
      </c>
    </row>
    <row r="11" spans="1:18" x14ac:dyDescent="0.35">
      <c r="E11" s="2">
        <f>E10*85.2</f>
        <v>85200000</v>
      </c>
      <c r="F11" s="1"/>
      <c r="I11" s="3"/>
      <c r="L11" s="2">
        <f>85.33*1.0529</f>
        <v>89.843956999999989</v>
      </c>
    </row>
    <row r="12" spans="1:18" x14ac:dyDescent="0.35">
      <c r="E12" s="2">
        <f>E11*1.041</f>
        <v>88693200</v>
      </c>
      <c r="F12" s="1">
        <f>E12*K7</f>
        <v>1016200</v>
      </c>
      <c r="L12" s="2">
        <v>1.004</v>
      </c>
    </row>
    <row r="13" spans="1:18" x14ac:dyDescent="0.35">
      <c r="F13" s="1"/>
      <c r="L13" s="3">
        <f>L11/L12</f>
        <v>89.486012948207161</v>
      </c>
    </row>
    <row r="14" spans="1:18" x14ac:dyDescent="0.35">
      <c r="F14" s="1"/>
    </row>
    <row r="15" spans="1:18" x14ac:dyDescent="0.35">
      <c r="N15" s="5">
        <v>1.1233E-2</v>
      </c>
      <c r="R15" s="3">
        <f>0.72*12</f>
        <v>8.64</v>
      </c>
    </row>
    <row r="16" spans="1:18" x14ac:dyDescent="0.35">
      <c r="N16" s="1"/>
      <c r="R16" s="3">
        <f>0.06*12</f>
        <v>0.72</v>
      </c>
    </row>
    <row r="18" spans="9:17" x14ac:dyDescent="0.35">
      <c r="M18" s="9">
        <f>(1.0162/1.041)-1</f>
        <v>-2.3823246878001858E-2</v>
      </c>
    </row>
    <row r="20" spans="9:17" x14ac:dyDescent="0.35">
      <c r="N20" s="2">
        <v>5.5599999999999997E-2</v>
      </c>
      <c r="Q20" s="2">
        <v>89.49</v>
      </c>
    </row>
    <row r="21" spans="9:17" x14ac:dyDescent="0.35">
      <c r="N21" s="2">
        <v>5.3699999999999998E-2</v>
      </c>
      <c r="Q21" s="2">
        <v>85.33</v>
      </c>
    </row>
    <row r="22" spans="9:17" x14ac:dyDescent="0.35">
      <c r="N22" s="8">
        <f>N20-N21</f>
        <v>1.8999999999999989E-3</v>
      </c>
      <c r="Q22" s="4">
        <f>Q20-Q21</f>
        <v>4.1599999999999966</v>
      </c>
    </row>
    <row r="23" spans="9:17" x14ac:dyDescent="0.35">
      <c r="M23" s="5"/>
    </row>
    <row r="24" spans="9:17" x14ac:dyDescent="0.35">
      <c r="I24" s="2">
        <v>154391</v>
      </c>
      <c r="M24" s="5">
        <f>0.0162</f>
        <v>1.6199999999999999E-2</v>
      </c>
      <c r="Q24" s="2">
        <f>85.026*1.0556</f>
        <v>89.753445600000006</v>
      </c>
    </row>
    <row r="25" spans="9:17" x14ac:dyDescent="0.35">
      <c r="I25" s="2">
        <v>1815.8</v>
      </c>
      <c r="J25" s="6">
        <f>I24/I25</f>
        <v>85.026434629364473</v>
      </c>
      <c r="M25" s="5">
        <v>4.1000000000000002E-2</v>
      </c>
      <c r="Q25" s="4">
        <f>Q24/1.0537</f>
        <v>85.179316313941342</v>
      </c>
    </row>
    <row r="26" spans="9:17" x14ac:dyDescent="0.35">
      <c r="L26" s="5"/>
      <c r="M26" s="5">
        <f>(M25-M24)/(1+M24)</f>
        <v>2.4404644754969496E-2</v>
      </c>
    </row>
    <row r="27" spans="9:17" x14ac:dyDescent="0.35">
      <c r="M27" s="5"/>
    </row>
    <row r="28" spans="9:17" x14ac:dyDescent="0.35">
      <c r="M28" s="5">
        <f>((1+M24)/(1+M25))-1</f>
        <v>-2.3823246878001858E-2</v>
      </c>
    </row>
    <row r="29" spans="9:17" x14ac:dyDescent="0.35">
      <c r="M29" s="8">
        <f>(M24-M25)/(1+M25)</f>
        <v>-2.3823246878001924E-2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BK22"/>
  <sheetViews>
    <sheetView topLeftCell="AS31" workbookViewId="0">
      <selection activeCell="X14" sqref="X14:Y14"/>
    </sheetView>
  </sheetViews>
  <sheetFormatPr defaultRowHeight="14.5" x14ac:dyDescent="0.35"/>
  <sheetData>
    <row r="14" spans="2:63" x14ac:dyDescent="0.35">
      <c r="B14" t="s">
        <v>3</v>
      </c>
      <c r="C14" s="11">
        <v>42614</v>
      </c>
      <c r="D14" s="11">
        <v>42644</v>
      </c>
      <c r="E14" s="11">
        <v>42675</v>
      </c>
      <c r="F14" s="11">
        <v>42705</v>
      </c>
      <c r="G14" s="11">
        <v>42736</v>
      </c>
      <c r="H14" s="11">
        <v>42767</v>
      </c>
      <c r="I14" s="11">
        <v>42795</v>
      </c>
      <c r="J14" s="11">
        <v>42826</v>
      </c>
      <c r="K14" s="11">
        <v>42856</v>
      </c>
      <c r="L14" s="11">
        <v>42887</v>
      </c>
      <c r="M14" s="11">
        <v>42917</v>
      </c>
      <c r="N14" s="11">
        <v>42948</v>
      </c>
      <c r="O14" s="11">
        <v>42979</v>
      </c>
      <c r="P14" s="11">
        <v>43009</v>
      </c>
      <c r="Q14" s="11">
        <v>43040</v>
      </c>
      <c r="R14" s="11">
        <v>43070</v>
      </c>
      <c r="S14" s="11">
        <v>43101</v>
      </c>
      <c r="T14" s="11">
        <v>43132</v>
      </c>
      <c r="U14" s="11">
        <v>43160</v>
      </c>
      <c r="V14" s="11">
        <v>43191</v>
      </c>
      <c r="W14" s="11">
        <v>43221</v>
      </c>
      <c r="X14" s="11">
        <v>43252</v>
      </c>
      <c r="Y14" s="11">
        <v>43282</v>
      </c>
      <c r="Z14" s="11">
        <v>43313</v>
      </c>
      <c r="AA14" s="11">
        <v>43344</v>
      </c>
      <c r="AB14" s="11">
        <v>43374</v>
      </c>
      <c r="AC14" s="11">
        <v>43405</v>
      </c>
      <c r="AD14" s="11">
        <v>43435</v>
      </c>
      <c r="AE14" s="11">
        <v>43466</v>
      </c>
      <c r="AF14" s="11">
        <v>43497</v>
      </c>
      <c r="AG14" s="11">
        <v>43525</v>
      </c>
      <c r="AH14" s="11">
        <v>43556</v>
      </c>
      <c r="AI14" s="11">
        <v>43586</v>
      </c>
      <c r="AJ14" s="11">
        <v>43617</v>
      </c>
      <c r="AK14" s="11">
        <v>43647</v>
      </c>
      <c r="AL14" s="11">
        <v>43678</v>
      </c>
      <c r="AM14" s="11">
        <v>43709</v>
      </c>
      <c r="AN14" s="11">
        <v>43739</v>
      </c>
      <c r="AO14" s="11">
        <v>43770</v>
      </c>
      <c r="AP14" s="11">
        <v>43800</v>
      </c>
      <c r="AQ14" s="11">
        <v>43831</v>
      </c>
      <c r="AR14" s="11">
        <v>43862</v>
      </c>
      <c r="AS14" s="11">
        <v>43891</v>
      </c>
      <c r="AT14" s="11">
        <v>43922</v>
      </c>
      <c r="AU14" s="11">
        <v>43952</v>
      </c>
      <c r="AV14" s="11">
        <v>43983</v>
      </c>
      <c r="AW14" s="11">
        <v>44013</v>
      </c>
      <c r="AX14" s="11">
        <v>44044</v>
      </c>
      <c r="AY14" s="11">
        <v>44075</v>
      </c>
      <c r="AZ14" s="11">
        <v>44105</v>
      </c>
      <c r="BA14" s="11">
        <v>44136</v>
      </c>
      <c r="BB14" s="11">
        <v>44166</v>
      </c>
      <c r="BC14" s="11">
        <v>44197</v>
      </c>
      <c r="BD14" s="11">
        <v>44228</v>
      </c>
      <c r="BE14" s="11">
        <v>44256</v>
      </c>
      <c r="BF14" s="11">
        <v>44287</v>
      </c>
      <c r="BG14" s="11">
        <v>44317</v>
      </c>
      <c r="BH14" s="11">
        <v>44348</v>
      </c>
      <c r="BI14" s="11">
        <v>44378</v>
      </c>
      <c r="BJ14" s="11">
        <v>44409</v>
      </c>
      <c r="BK14" s="11">
        <v>44440</v>
      </c>
    </row>
    <row r="15" spans="2:63" x14ac:dyDescent="0.35">
      <c r="B15" t="s">
        <v>2</v>
      </c>
      <c r="C15">
        <v>78.319999999999993</v>
      </c>
      <c r="D15">
        <v>78.400000000000006</v>
      </c>
      <c r="E15">
        <v>78.62</v>
      </c>
      <c r="F15">
        <v>79.150000000000006</v>
      </c>
      <c r="G15">
        <v>79.17</v>
      </c>
      <c r="H15">
        <v>79.45</v>
      </c>
      <c r="I15">
        <v>79.7</v>
      </c>
      <c r="J15">
        <v>80.150000000000006</v>
      </c>
      <c r="K15">
        <v>80.63</v>
      </c>
      <c r="L15">
        <v>80.89</v>
      </c>
      <c r="M15">
        <v>80.87</v>
      </c>
      <c r="N15">
        <v>81.2</v>
      </c>
      <c r="O15">
        <v>80.83</v>
      </c>
      <c r="P15">
        <v>81.349999999999994</v>
      </c>
      <c r="Q15">
        <v>81.95</v>
      </c>
      <c r="R15">
        <v>83.2</v>
      </c>
      <c r="S15">
        <v>83.15</v>
      </c>
      <c r="T15">
        <v>82.9</v>
      </c>
      <c r="U15">
        <v>83</v>
      </c>
      <c r="V15">
        <v>83.03</v>
      </c>
      <c r="W15">
        <v>84.2</v>
      </c>
      <c r="X15">
        <v>84.7</v>
      </c>
      <c r="Y15">
        <v>83.4</v>
      </c>
      <c r="Z15">
        <v>83.8</v>
      </c>
      <c r="AA15">
        <v>83.86</v>
      </c>
      <c r="AB15">
        <v>83.79</v>
      </c>
      <c r="AC15">
        <v>83.78</v>
      </c>
      <c r="AD15">
        <v>83.8</v>
      </c>
      <c r="AE15">
        <v>83.91</v>
      </c>
      <c r="AF15">
        <v>84.05</v>
      </c>
      <c r="AG15">
        <v>84.2</v>
      </c>
      <c r="AH15">
        <v>84.37</v>
      </c>
      <c r="AI15">
        <v>84.45</v>
      </c>
      <c r="AJ15">
        <v>84.69</v>
      </c>
      <c r="AK15">
        <v>84.47</v>
      </c>
      <c r="AL15">
        <v>84.42</v>
      </c>
      <c r="AM15">
        <v>84.46</v>
      </c>
      <c r="AN15">
        <v>84.6</v>
      </c>
      <c r="AO15">
        <v>84.79</v>
      </c>
      <c r="AP15">
        <v>84.81</v>
      </c>
      <c r="AQ15">
        <v>84.78</v>
      </c>
      <c r="AR15">
        <v>84.92</v>
      </c>
      <c r="AS15">
        <v>84.75</v>
      </c>
      <c r="AT15">
        <v>84.8</v>
      </c>
      <c r="AU15">
        <v>84.95</v>
      </c>
      <c r="AV15">
        <v>84.88</v>
      </c>
      <c r="AW15">
        <v>84.8</v>
      </c>
      <c r="AX15">
        <v>84.77</v>
      </c>
      <c r="AY15">
        <v>84.68</v>
      </c>
      <c r="AZ15">
        <v>84.79</v>
      </c>
      <c r="BA15">
        <v>84.84</v>
      </c>
      <c r="BB15">
        <v>84.64</v>
      </c>
      <c r="BC15">
        <v>84.74</v>
      </c>
      <c r="BD15">
        <v>84.75</v>
      </c>
      <c r="BE15">
        <v>84.75</v>
      </c>
      <c r="BF15">
        <v>84.7</v>
      </c>
      <c r="BG15">
        <v>84.86</v>
      </c>
      <c r="BH15">
        <v>84.83</v>
      </c>
      <c r="BI15">
        <v>84.84</v>
      </c>
      <c r="BJ15">
        <v>84.85</v>
      </c>
      <c r="BK15">
        <v>85.2</v>
      </c>
    </row>
    <row r="18" spans="5:36" x14ac:dyDescent="0.35">
      <c r="E18" s="10"/>
      <c r="F18" s="10"/>
      <c r="G18" s="10"/>
      <c r="H18" s="10"/>
    </row>
    <row r="21" spans="5:36" x14ac:dyDescent="0.35">
      <c r="AH21">
        <f>VAR(C15:BK15)</f>
        <v>4.11469857923497</v>
      </c>
      <c r="AJ21">
        <v>4.11469857923497</v>
      </c>
    </row>
    <row r="22" spans="5:36" x14ac:dyDescent="0.35">
      <c r="AH22">
        <f>STDEV(C15:BK15)</f>
        <v>2.0284719813778476</v>
      </c>
      <c r="AJ22">
        <v>2.0284719813778476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13" sqref="B13"/>
    </sheetView>
  </sheetViews>
  <sheetFormatPr defaultColWidth="9.1796875" defaultRowHeight="15.5" x14ac:dyDescent="0.35"/>
  <cols>
    <col min="1" max="1" width="37.453125" style="12" bestFit="1" customWidth="1"/>
    <col min="2" max="2" width="15.453125" style="12" bestFit="1" customWidth="1"/>
    <col min="3" max="3" width="15.453125" style="12" customWidth="1"/>
    <col min="4" max="4" width="15.453125" style="12" bestFit="1" customWidth="1"/>
    <col min="5" max="5" width="15.453125" style="12" customWidth="1"/>
    <col min="6" max="6" width="15.453125" style="12" bestFit="1" customWidth="1"/>
    <col min="7" max="7" width="15.453125" style="12" customWidth="1"/>
    <col min="8" max="9" width="14.1796875" style="12" bestFit="1" customWidth="1"/>
    <col min="10" max="16384" width="9.1796875" style="12"/>
  </cols>
  <sheetData>
    <row r="1" spans="1:9" x14ac:dyDescent="0.35">
      <c r="A1" s="12" t="s">
        <v>4</v>
      </c>
      <c r="B1" s="12" t="s">
        <v>5</v>
      </c>
      <c r="D1" s="12" t="s">
        <v>6</v>
      </c>
      <c r="F1" s="12" t="s">
        <v>7</v>
      </c>
      <c r="H1" s="12" t="s">
        <v>8</v>
      </c>
      <c r="I1" s="12" t="s">
        <v>9</v>
      </c>
    </row>
    <row r="2" spans="1:9" x14ac:dyDescent="0.35">
      <c r="A2" s="12" t="s">
        <v>10</v>
      </c>
      <c r="B2" s="15" t="s">
        <v>11</v>
      </c>
      <c r="C2" s="15">
        <v>0.98817930355437322</v>
      </c>
      <c r="D2" s="15" t="s">
        <v>12</v>
      </c>
      <c r="E2" s="15">
        <v>0.489605455269773</v>
      </c>
      <c r="F2" s="15" t="s">
        <v>13</v>
      </c>
      <c r="G2" s="15">
        <v>1.5086777758184553</v>
      </c>
      <c r="H2" s="15" t="s">
        <v>14</v>
      </c>
      <c r="I2" s="15" t="s">
        <v>15</v>
      </c>
    </row>
    <row r="3" spans="1:9" x14ac:dyDescent="0.35">
      <c r="A3" s="12" t="s">
        <v>16</v>
      </c>
      <c r="B3" s="15" t="s">
        <v>17</v>
      </c>
      <c r="C3" s="15"/>
      <c r="D3" s="15" t="s">
        <v>18</v>
      </c>
      <c r="E3" s="15"/>
      <c r="F3" s="15" t="s">
        <v>19</v>
      </c>
      <c r="G3" s="15"/>
      <c r="H3" s="15" t="s">
        <v>20</v>
      </c>
      <c r="I3" s="15" t="s">
        <v>21</v>
      </c>
    </row>
    <row r="4" spans="1:9" x14ac:dyDescent="0.35">
      <c r="A4" s="12" t="s">
        <v>22</v>
      </c>
      <c r="B4" s="15" t="s">
        <v>23</v>
      </c>
      <c r="C4" s="15"/>
      <c r="D4" s="15" t="s">
        <v>24</v>
      </c>
      <c r="E4" s="15"/>
      <c r="F4" s="15" t="s">
        <v>25</v>
      </c>
      <c r="G4" s="15"/>
      <c r="H4" s="15" t="s">
        <v>26</v>
      </c>
      <c r="I4" s="15" t="s">
        <v>27</v>
      </c>
    </row>
    <row r="5" spans="1:9" x14ac:dyDescent="0.35">
      <c r="B5" s="15"/>
      <c r="C5" s="15"/>
      <c r="D5" s="15"/>
      <c r="E5" s="15"/>
      <c r="F5" s="15"/>
      <c r="G5" s="15"/>
      <c r="H5" s="15"/>
      <c r="I5" s="15"/>
    </row>
    <row r="6" spans="1:9" x14ac:dyDescent="0.35">
      <c r="A6" s="12" t="s">
        <v>28</v>
      </c>
      <c r="B6" s="15" t="s">
        <v>29</v>
      </c>
      <c r="C6" s="15"/>
      <c r="D6" s="15" t="s">
        <v>30</v>
      </c>
      <c r="E6" s="15"/>
      <c r="F6" s="15" t="s">
        <v>31</v>
      </c>
      <c r="G6" s="15"/>
      <c r="H6" s="15" t="s">
        <v>32</v>
      </c>
      <c r="I6" s="15" t="s">
        <v>33</v>
      </c>
    </row>
    <row r="7" spans="1:9" x14ac:dyDescent="0.35">
      <c r="A7" s="12" t="s">
        <v>34</v>
      </c>
      <c r="B7" s="15" t="s">
        <v>35</v>
      </c>
      <c r="C7" s="15"/>
      <c r="D7" s="15" t="s">
        <v>36</v>
      </c>
      <c r="E7" s="15"/>
      <c r="F7" s="15" t="s">
        <v>37</v>
      </c>
      <c r="G7" s="15"/>
      <c r="H7" s="15" t="s">
        <v>38</v>
      </c>
      <c r="I7" s="15" t="s">
        <v>39</v>
      </c>
    </row>
    <row r="8" spans="1:9" x14ac:dyDescent="0.35">
      <c r="A8" s="12" t="s">
        <v>40</v>
      </c>
      <c r="B8" s="15" t="s">
        <v>41</v>
      </c>
      <c r="C8" s="15"/>
      <c r="D8" s="15" t="s">
        <v>42</v>
      </c>
      <c r="E8" s="15"/>
      <c r="F8" s="15" t="s">
        <v>43</v>
      </c>
      <c r="G8" s="15"/>
      <c r="H8" s="15" t="s">
        <v>44</v>
      </c>
      <c r="I8" s="15" t="s">
        <v>45</v>
      </c>
    </row>
    <row r="9" spans="1:9" x14ac:dyDescent="0.35">
      <c r="A9" s="12" t="s">
        <v>46</v>
      </c>
      <c r="B9" s="15"/>
      <c r="C9" s="15"/>
      <c r="D9" s="15"/>
      <c r="E9" s="15"/>
      <c r="F9" s="15"/>
      <c r="G9" s="15"/>
      <c r="H9" s="15"/>
      <c r="I9" s="15"/>
    </row>
    <row r="10" spans="1:9" x14ac:dyDescent="0.35">
      <c r="A10" s="12" t="s">
        <v>47</v>
      </c>
      <c r="B10" s="15" t="s">
        <v>48</v>
      </c>
      <c r="C10" s="15"/>
      <c r="D10" s="15" t="s">
        <v>49</v>
      </c>
      <c r="E10" s="15"/>
      <c r="F10" s="15" t="s">
        <v>50</v>
      </c>
      <c r="G10" s="15"/>
      <c r="H10" s="15" t="s">
        <v>51</v>
      </c>
      <c r="I10" s="15" t="s">
        <v>52</v>
      </c>
    </row>
    <row r="11" spans="1:9" x14ac:dyDescent="0.35">
      <c r="B11" s="15"/>
      <c r="C11" s="15"/>
      <c r="D11" s="15"/>
      <c r="E11" s="15"/>
      <c r="F11" s="15"/>
      <c r="G11" s="15"/>
      <c r="H11" s="15"/>
      <c r="I11" s="15"/>
    </row>
    <row r="12" spans="1:9" x14ac:dyDescent="0.35">
      <c r="A12" s="12" t="s">
        <v>53</v>
      </c>
      <c r="B12" s="15" t="s">
        <v>54</v>
      </c>
      <c r="C12" s="15"/>
      <c r="D12" s="15" t="s">
        <v>55</v>
      </c>
      <c r="E12" s="15"/>
      <c r="F12" s="15" t="s">
        <v>56</v>
      </c>
      <c r="G12" s="15"/>
      <c r="H12" s="15" t="s">
        <v>57</v>
      </c>
      <c r="I12" s="15" t="s">
        <v>58</v>
      </c>
    </row>
    <row r="13" spans="1:9" x14ac:dyDescent="0.35">
      <c r="A13" s="12" t="s">
        <v>59</v>
      </c>
      <c r="B13" s="15" t="s">
        <v>60</v>
      </c>
      <c r="C13" s="15"/>
      <c r="D13" s="15" t="s">
        <v>61</v>
      </c>
      <c r="E13" s="15"/>
      <c r="F13" s="15" t="s">
        <v>62</v>
      </c>
      <c r="G13" s="15"/>
      <c r="H13" s="15" t="s">
        <v>63</v>
      </c>
      <c r="I13" s="15" t="s">
        <v>64</v>
      </c>
    </row>
    <row r="14" spans="1:9" x14ac:dyDescent="0.35">
      <c r="A14" s="12" t="s">
        <v>65</v>
      </c>
      <c r="B14" s="15" t="s">
        <v>66</v>
      </c>
      <c r="C14" s="15"/>
      <c r="D14" s="15" t="s">
        <v>67</v>
      </c>
      <c r="E14" s="15"/>
      <c r="F14" s="15" t="s">
        <v>68</v>
      </c>
      <c r="G14" s="15"/>
      <c r="H14" s="15" t="s">
        <v>69</v>
      </c>
      <c r="I14" s="15" t="s">
        <v>70</v>
      </c>
    </row>
    <row r="15" spans="1:9" x14ac:dyDescent="0.35">
      <c r="B15" s="15"/>
      <c r="C15" s="15"/>
      <c r="D15" s="15"/>
      <c r="E15" s="15"/>
      <c r="F15" s="15"/>
      <c r="G15" s="15"/>
      <c r="H15" s="15"/>
      <c r="I15" s="15"/>
    </row>
    <row r="16" spans="1:9" x14ac:dyDescent="0.35">
      <c r="A16" s="12" t="s">
        <v>71</v>
      </c>
      <c r="B16" s="15" t="s">
        <v>72</v>
      </c>
      <c r="C16" s="15"/>
      <c r="D16" s="15" t="s">
        <v>73</v>
      </c>
      <c r="E16" s="15"/>
      <c r="F16" s="15" t="s">
        <v>74</v>
      </c>
      <c r="G16" s="15"/>
      <c r="H16" s="15" t="s">
        <v>75</v>
      </c>
      <c r="I16" s="15" t="s">
        <v>76</v>
      </c>
    </row>
    <row r="17" spans="1:9" x14ac:dyDescent="0.35">
      <c r="A17" s="12" t="s">
        <v>77</v>
      </c>
      <c r="B17" s="15" t="s">
        <v>78</v>
      </c>
      <c r="C17" s="15"/>
      <c r="D17" s="15" t="s">
        <v>79</v>
      </c>
      <c r="E17" s="15"/>
      <c r="F17" s="15" t="s">
        <v>80</v>
      </c>
      <c r="G17" s="15"/>
      <c r="H17" s="15" t="s">
        <v>80</v>
      </c>
      <c r="I17" s="15" t="s">
        <v>80</v>
      </c>
    </row>
    <row r="18" spans="1:9" x14ac:dyDescent="0.35">
      <c r="A18" s="12" t="s">
        <v>81</v>
      </c>
      <c r="B18" s="15" t="s">
        <v>82</v>
      </c>
      <c r="C18" s="15"/>
      <c r="D18" s="15" t="s">
        <v>83</v>
      </c>
      <c r="E18" s="15"/>
      <c r="F18" s="15" t="s">
        <v>84</v>
      </c>
      <c r="G18" s="15"/>
      <c r="H18" s="15" t="s">
        <v>85</v>
      </c>
      <c r="I18" s="15" t="s">
        <v>86</v>
      </c>
    </row>
    <row r="19" spans="1:9" x14ac:dyDescent="0.35">
      <c r="A19" s="12" t="s">
        <v>87</v>
      </c>
      <c r="B19" s="15" t="s">
        <v>88</v>
      </c>
      <c r="C19" s="15"/>
      <c r="D19" s="15" t="s">
        <v>89</v>
      </c>
      <c r="E19" s="15"/>
      <c r="F19" s="15">
        <v>1.1100000000000001</v>
      </c>
      <c r="G19" s="15"/>
      <c r="H19" s="15" t="s">
        <v>90</v>
      </c>
      <c r="I19" s="15" t="s">
        <v>91</v>
      </c>
    </row>
    <row r="20" spans="1:9" x14ac:dyDescent="0.35">
      <c r="B20" s="13"/>
      <c r="C20" s="13"/>
      <c r="D20" s="13"/>
      <c r="E20" s="13"/>
      <c r="F20" s="13"/>
      <c r="G20" s="13"/>
      <c r="H20" s="13"/>
      <c r="I2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1"/>
  <sheetViews>
    <sheetView workbookViewId="0">
      <selection activeCell="H23" sqref="H23"/>
    </sheetView>
  </sheetViews>
  <sheetFormatPr defaultRowHeight="14.5" x14ac:dyDescent="0.35"/>
  <cols>
    <col min="3" max="3" width="30" customWidth="1"/>
    <col min="4" max="4" width="13.54296875" style="2" bestFit="1" customWidth="1"/>
    <col min="5" max="5" width="15.1796875" customWidth="1"/>
  </cols>
  <sheetData>
    <row r="7" spans="2:5" ht="15" thickBot="1" x14ac:dyDescent="0.4">
      <c r="C7" s="14"/>
    </row>
    <row r="8" spans="2:5" x14ac:dyDescent="0.35">
      <c r="B8" s="192" t="s">
        <v>299</v>
      </c>
      <c r="C8" s="194" t="s">
        <v>304</v>
      </c>
      <c r="D8" s="190" t="s">
        <v>305</v>
      </c>
      <c r="E8" s="191"/>
    </row>
    <row r="9" spans="2:5" x14ac:dyDescent="0.35">
      <c r="B9" s="193"/>
      <c r="C9" s="195"/>
      <c r="D9" s="102" t="s">
        <v>282</v>
      </c>
      <c r="E9" s="80" t="s">
        <v>303</v>
      </c>
    </row>
    <row r="10" spans="2:5" x14ac:dyDescent="0.35">
      <c r="B10" s="103">
        <v>1</v>
      </c>
      <c r="C10" s="28" t="s">
        <v>98</v>
      </c>
      <c r="D10" s="29">
        <v>1000000</v>
      </c>
      <c r="E10" s="104">
        <f>D10/85.2</f>
        <v>11737.089201877934</v>
      </c>
    </row>
    <row r="11" spans="2:5" x14ac:dyDescent="0.35">
      <c r="B11" s="103">
        <v>2</v>
      </c>
      <c r="C11" s="28" t="s">
        <v>94</v>
      </c>
      <c r="D11" s="29">
        <v>65000000</v>
      </c>
      <c r="E11" s="104">
        <f t="shared" ref="E11:E21" si="0">D11/85.2</f>
        <v>762910.79812206572</v>
      </c>
    </row>
    <row r="12" spans="2:5" x14ac:dyDescent="0.35">
      <c r="B12" s="103">
        <v>3</v>
      </c>
      <c r="C12" s="28" t="s">
        <v>92</v>
      </c>
      <c r="D12" s="29">
        <v>23000000</v>
      </c>
      <c r="E12" s="104">
        <f t="shared" si="0"/>
        <v>269953.05164319248</v>
      </c>
    </row>
    <row r="13" spans="2:5" x14ac:dyDescent="0.35">
      <c r="B13" s="103">
        <v>4</v>
      </c>
      <c r="C13" s="28" t="s">
        <v>93</v>
      </c>
      <c r="D13" s="29">
        <v>43000000</v>
      </c>
      <c r="E13" s="104">
        <f t="shared" si="0"/>
        <v>504694.83568075113</v>
      </c>
    </row>
    <row r="14" spans="2:5" x14ac:dyDescent="0.35">
      <c r="B14" s="103">
        <v>5</v>
      </c>
      <c r="C14" s="28" t="s">
        <v>95</v>
      </c>
      <c r="D14" s="29">
        <v>7100000</v>
      </c>
      <c r="E14" s="104">
        <f t="shared" si="0"/>
        <v>83333.333333333328</v>
      </c>
    </row>
    <row r="15" spans="2:5" x14ac:dyDescent="0.35">
      <c r="B15" s="103">
        <v>6</v>
      </c>
      <c r="C15" s="28" t="s">
        <v>96</v>
      </c>
      <c r="D15" s="29">
        <v>6700000</v>
      </c>
      <c r="E15" s="104">
        <f t="shared" si="0"/>
        <v>78638.497652582155</v>
      </c>
    </row>
    <row r="16" spans="2:5" x14ac:dyDescent="0.35">
      <c r="B16" s="103">
        <v>7</v>
      </c>
      <c r="C16" s="28" t="s">
        <v>99</v>
      </c>
      <c r="D16" s="29">
        <v>1300000</v>
      </c>
      <c r="E16" s="104">
        <f t="shared" si="0"/>
        <v>15258.215962441314</v>
      </c>
    </row>
    <row r="17" spans="2:5" x14ac:dyDescent="0.35">
      <c r="B17" s="103">
        <v>8</v>
      </c>
      <c r="C17" s="28" t="s">
        <v>97</v>
      </c>
      <c r="D17" s="29">
        <v>37000000</v>
      </c>
      <c r="E17" s="104">
        <f t="shared" si="0"/>
        <v>434272.30046948354</v>
      </c>
    </row>
    <row r="18" spans="2:5" x14ac:dyDescent="0.35">
      <c r="B18" s="103">
        <v>9</v>
      </c>
      <c r="C18" s="28" t="s">
        <v>100</v>
      </c>
      <c r="D18" s="29">
        <v>8000000</v>
      </c>
      <c r="E18" s="104">
        <f t="shared" si="0"/>
        <v>93896.713615023473</v>
      </c>
    </row>
    <row r="19" spans="2:5" x14ac:dyDescent="0.35">
      <c r="B19" s="103">
        <v>10</v>
      </c>
      <c r="C19" s="28" t="s">
        <v>102</v>
      </c>
      <c r="D19" s="29">
        <v>75000000</v>
      </c>
      <c r="E19" s="104">
        <f t="shared" si="0"/>
        <v>880281.69014084502</v>
      </c>
    </row>
    <row r="20" spans="2:5" x14ac:dyDescent="0.35">
      <c r="B20" s="103">
        <v>11</v>
      </c>
      <c r="C20" s="28" t="s">
        <v>101</v>
      </c>
      <c r="D20" s="29">
        <v>2500000</v>
      </c>
      <c r="E20" s="104">
        <f t="shared" si="0"/>
        <v>29342.723004694835</v>
      </c>
    </row>
    <row r="21" spans="2:5" ht="15" thickBot="1" x14ac:dyDescent="0.4">
      <c r="B21" s="105"/>
      <c r="C21" s="106" t="s">
        <v>306</v>
      </c>
      <c r="D21" s="107">
        <f>SUM(D10:D20)</f>
        <v>269600000</v>
      </c>
      <c r="E21" s="108">
        <f t="shared" si="0"/>
        <v>3164319.2488262909</v>
      </c>
    </row>
  </sheetData>
  <mergeCells count="3">
    <mergeCell ref="D8:E8"/>
    <mergeCell ref="B8:B9"/>
    <mergeCell ref="C8:C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view="pageBreakPreview" zoomScaleNormal="100" zoomScaleSheetLayoutView="100" workbookViewId="0">
      <selection activeCell="B29" sqref="B29"/>
    </sheetView>
  </sheetViews>
  <sheetFormatPr defaultRowHeight="14.5" x14ac:dyDescent="0.35"/>
  <cols>
    <col min="1" max="1" width="29.81640625" customWidth="1"/>
    <col min="2" max="2" width="13.26953125" bestFit="1" customWidth="1"/>
    <col min="3" max="3" width="15.1796875" customWidth="1"/>
    <col min="4" max="4" width="14.81640625" customWidth="1"/>
    <col min="5" max="5" width="14.54296875" customWidth="1"/>
    <col min="6" max="6" width="14.453125" customWidth="1"/>
  </cols>
  <sheetData>
    <row r="1" spans="1:9" ht="15" thickBot="1" x14ac:dyDescent="0.4"/>
    <row r="2" spans="1:9" s="14" customFormat="1" x14ac:dyDescent="0.35">
      <c r="A2" s="196" t="s">
        <v>4</v>
      </c>
      <c r="B2" s="42">
        <v>2022</v>
      </c>
      <c r="C2" s="42">
        <v>2023</v>
      </c>
      <c r="D2" s="42">
        <v>2024</v>
      </c>
      <c r="E2" s="42">
        <v>2025</v>
      </c>
      <c r="F2" s="92">
        <v>2026</v>
      </c>
      <c r="H2" s="19">
        <f>'Proforma IS'!B4/'Initial capital'!D21</f>
        <v>0.79747774480712164</v>
      </c>
      <c r="I2" t="s">
        <v>308</v>
      </c>
    </row>
    <row r="3" spans="1:9" s="14" customFormat="1" ht="15.65" customHeight="1" x14ac:dyDescent="0.35">
      <c r="A3" s="197"/>
      <c r="B3" s="37" t="s">
        <v>282</v>
      </c>
      <c r="C3" s="37" t="s">
        <v>282</v>
      </c>
      <c r="D3" s="37" t="s">
        <v>282</v>
      </c>
      <c r="E3" s="37" t="s">
        <v>282</v>
      </c>
      <c r="F3" s="68" t="s">
        <v>282</v>
      </c>
      <c r="H3" s="1"/>
    </row>
    <row r="4" spans="1:9" x14ac:dyDescent="0.35">
      <c r="A4" s="93" t="s">
        <v>10</v>
      </c>
      <c r="B4" s="35">
        <v>215000000</v>
      </c>
      <c r="C4" s="35">
        <f>B4*1.6</f>
        <v>344000000</v>
      </c>
      <c r="D4" s="35">
        <f>C4*1.8</f>
        <v>619200000</v>
      </c>
      <c r="E4" s="35">
        <f>D4*1.25</f>
        <v>774000000</v>
      </c>
      <c r="F4" s="94">
        <f>E4*1.25</f>
        <v>967500000</v>
      </c>
      <c r="H4" s="1">
        <f>8573497561/9089215031</f>
        <v>0.94326050508860493</v>
      </c>
      <c r="I4" t="s">
        <v>309</v>
      </c>
    </row>
    <row r="5" spans="1:9" x14ac:dyDescent="0.35">
      <c r="A5" s="93" t="s">
        <v>16</v>
      </c>
      <c r="B5" s="35">
        <f>-B4*0.65</f>
        <v>-139750000</v>
      </c>
      <c r="C5" s="35">
        <f>-C4*0.6</f>
        <v>-206400000</v>
      </c>
      <c r="D5" s="35">
        <f>-D4*0.55</f>
        <v>-340560000</v>
      </c>
      <c r="E5" s="35">
        <f>-E4*0.55</f>
        <v>-425700000.00000006</v>
      </c>
      <c r="F5" s="94">
        <f>-F4*0.55</f>
        <v>-532125000.00000006</v>
      </c>
      <c r="H5" s="1"/>
    </row>
    <row r="6" spans="1:9" s="89" customFormat="1" x14ac:dyDescent="0.35">
      <c r="A6" s="95" t="s">
        <v>22</v>
      </c>
      <c r="B6" s="88">
        <f>B4+B5</f>
        <v>75250000</v>
      </c>
      <c r="C6" s="88">
        <f t="shared" ref="C6:F6" si="0">C4+C5</f>
        <v>137600000</v>
      </c>
      <c r="D6" s="88">
        <f t="shared" si="0"/>
        <v>278640000</v>
      </c>
      <c r="E6" s="88">
        <f t="shared" si="0"/>
        <v>348299999.99999994</v>
      </c>
      <c r="F6" s="96">
        <f t="shared" si="0"/>
        <v>435374999.99999994</v>
      </c>
      <c r="H6" s="90"/>
    </row>
    <row r="7" spans="1:9" x14ac:dyDescent="0.35">
      <c r="A7" s="198"/>
      <c r="B7" s="199"/>
      <c r="C7" s="199"/>
      <c r="D7" s="199"/>
      <c r="E7" s="199"/>
      <c r="F7" s="200"/>
      <c r="H7" s="1"/>
    </row>
    <row r="8" spans="1:9" s="14" customFormat="1" x14ac:dyDescent="0.35">
      <c r="A8" s="97" t="s">
        <v>28</v>
      </c>
      <c r="B8" s="87">
        <f>SUM(B9:B13)</f>
        <v>-46010000</v>
      </c>
      <c r="C8" s="87">
        <f t="shared" ref="C8:F8" si="1">SUM(C9:C13)</f>
        <v>-70030000</v>
      </c>
      <c r="D8" s="87">
        <f t="shared" si="1"/>
        <v>-122273000</v>
      </c>
      <c r="E8" s="87">
        <f t="shared" si="1"/>
        <v>-151955000</v>
      </c>
      <c r="F8" s="98">
        <f t="shared" si="1"/>
        <v>-188860000</v>
      </c>
      <c r="H8" s="1"/>
      <c r="I8"/>
    </row>
    <row r="9" spans="1:9" x14ac:dyDescent="0.35">
      <c r="A9" s="93" t="s">
        <v>34</v>
      </c>
      <c r="B9" s="35">
        <f>-B4*0.05</f>
        <v>-10750000</v>
      </c>
      <c r="C9" s="35">
        <f t="shared" ref="C9:F9" si="2">-C4*0.05</f>
        <v>-17200000</v>
      </c>
      <c r="D9" s="35">
        <f t="shared" si="2"/>
        <v>-30960000</v>
      </c>
      <c r="E9" s="35">
        <f t="shared" si="2"/>
        <v>-38700000</v>
      </c>
      <c r="F9" s="94">
        <f t="shared" si="2"/>
        <v>-48375000</v>
      </c>
      <c r="H9" s="1">
        <f>2041083/2749987</f>
        <v>0.74221550865513186</v>
      </c>
      <c r="I9" t="s">
        <v>310</v>
      </c>
    </row>
    <row r="10" spans="1:9" x14ac:dyDescent="0.35">
      <c r="A10" s="93" t="s">
        <v>40</v>
      </c>
      <c r="B10" s="35">
        <f>-B4*0.1</f>
        <v>-21500000</v>
      </c>
      <c r="C10" s="35">
        <f t="shared" ref="C10:F10" si="3">-C4*0.1</f>
        <v>-34400000</v>
      </c>
      <c r="D10" s="35">
        <f t="shared" si="3"/>
        <v>-61920000</v>
      </c>
      <c r="E10" s="35">
        <f t="shared" si="3"/>
        <v>-77400000</v>
      </c>
      <c r="F10" s="94">
        <f t="shared" si="3"/>
        <v>-96750000</v>
      </c>
      <c r="H10" s="1"/>
    </row>
    <row r="11" spans="1:9" x14ac:dyDescent="0.35">
      <c r="A11" s="93" t="s">
        <v>46</v>
      </c>
      <c r="B11" s="35">
        <v>-360000</v>
      </c>
      <c r="C11" s="35">
        <v>130000</v>
      </c>
      <c r="D11" s="35">
        <v>175000</v>
      </c>
      <c r="E11" s="35">
        <v>-95000</v>
      </c>
      <c r="F11" s="94">
        <v>-235000</v>
      </c>
      <c r="H11" s="1">
        <f>'IS (2)'!B2/BS!B13</f>
        <v>0.56610529860059433</v>
      </c>
      <c r="I11" t="s">
        <v>311</v>
      </c>
    </row>
    <row r="12" spans="1:9" x14ac:dyDescent="0.35">
      <c r="A12" s="93" t="s">
        <v>335</v>
      </c>
      <c r="B12" s="35">
        <f>-B4*0.04</f>
        <v>-8600000</v>
      </c>
      <c r="C12" s="35">
        <f t="shared" ref="C12:F12" si="4">-C4*0.04</f>
        <v>-13760000</v>
      </c>
      <c r="D12" s="35">
        <f t="shared" si="4"/>
        <v>-24768000</v>
      </c>
      <c r="E12" s="35">
        <f t="shared" si="4"/>
        <v>-30960000</v>
      </c>
      <c r="F12" s="94">
        <f t="shared" si="4"/>
        <v>-38700000</v>
      </c>
    </row>
    <row r="13" spans="1:9" x14ac:dyDescent="0.35">
      <c r="A13" s="93" t="s">
        <v>340</v>
      </c>
      <c r="B13" s="35">
        <v>-4800000</v>
      </c>
      <c r="C13" s="35">
        <v>-4800000</v>
      </c>
      <c r="D13" s="35">
        <v>-4800000</v>
      </c>
      <c r="E13" s="35">
        <v>-4800000</v>
      </c>
      <c r="F13" s="94">
        <v>-4800000</v>
      </c>
    </row>
    <row r="14" spans="1:9" s="89" customFormat="1" x14ac:dyDescent="0.35">
      <c r="A14" s="95" t="s">
        <v>47</v>
      </c>
      <c r="B14" s="88">
        <f>B6+B8</f>
        <v>29240000</v>
      </c>
      <c r="C14" s="88">
        <f t="shared" ref="C14:F14" si="5">C6+C8</f>
        <v>67570000</v>
      </c>
      <c r="D14" s="88">
        <f t="shared" si="5"/>
        <v>156367000</v>
      </c>
      <c r="E14" s="88">
        <f t="shared" si="5"/>
        <v>196344999.99999994</v>
      </c>
      <c r="F14" s="96">
        <f t="shared" si="5"/>
        <v>246514999.99999994</v>
      </c>
      <c r="H14" s="91"/>
    </row>
    <row r="15" spans="1:9" x14ac:dyDescent="0.35">
      <c r="A15" s="198"/>
      <c r="B15" s="199"/>
      <c r="C15" s="199"/>
      <c r="D15" s="199"/>
      <c r="E15" s="199"/>
      <c r="F15" s="200"/>
    </row>
    <row r="16" spans="1:9" x14ac:dyDescent="0.35">
      <c r="A16" s="93" t="s">
        <v>53</v>
      </c>
      <c r="B16" s="35">
        <f>560000</f>
        <v>560000</v>
      </c>
      <c r="C16" s="35">
        <v>630000</v>
      </c>
      <c r="D16" s="35">
        <v>380000</v>
      </c>
      <c r="E16" s="35">
        <v>520000</v>
      </c>
      <c r="F16" s="94">
        <v>730000</v>
      </c>
      <c r="H16" s="1"/>
    </row>
    <row r="17" spans="1:11" x14ac:dyDescent="0.35">
      <c r="A17" s="93" t="s">
        <v>59</v>
      </c>
      <c r="B17" s="35">
        <v>0</v>
      </c>
      <c r="C17" s="35">
        <v>0</v>
      </c>
      <c r="D17" s="35">
        <v>0</v>
      </c>
      <c r="E17" s="35">
        <v>0</v>
      </c>
      <c r="F17" s="94">
        <v>0</v>
      </c>
      <c r="H17" s="1"/>
    </row>
    <row r="18" spans="1:11" x14ac:dyDescent="0.35">
      <c r="A18" s="198"/>
      <c r="B18" s="199"/>
      <c r="C18" s="199"/>
      <c r="D18" s="199"/>
      <c r="E18" s="199"/>
      <c r="F18" s="200"/>
    </row>
    <row r="19" spans="1:11" s="89" customFormat="1" x14ac:dyDescent="0.35">
      <c r="A19" s="95" t="s">
        <v>65</v>
      </c>
      <c r="B19" s="88">
        <f>B14+B16</f>
        <v>29800000</v>
      </c>
      <c r="C19" s="88">
        <f t="shared" ref="C19:F19" si="6">C14+C16</f>
        <v>68200000</v>
      </c>
      <c r="D19" s="88">
        <f t="shared" si="6"/>
        <v>156747000</v>
      </c>
      <c r="E19" s="88">
        <f t="shared" si="6"/>
        <v>196864999.99999994</v>
      </c>
      <c r="F19" s="96">
        <f t="shared" si="6"/>
        <v>247244999.99999994</v>
      </c>
    </row>
    <row r="20" spans="1:11" x14ac:dyDescent="0.35">
      <c r="A20" s="198"/>
      <c r="B20" s="199"/>
      <c r="C20" s="199"/>
      <c r="D20" s="199"/>
      <c r="E20" s="199"/>
      <c r="F20" s="200"/>
    </row>
    <row r="21" spans="1:11" x14ac:dyDescent="0.35">
      <c r="A21" s="93" t="s">
        <v>103</v>
      </c>
      <c r="B21" s="35">
        <f>-B19*0.05</f>
        <v>-1490000</v>
      </c>
      <c r="C21" s="35">
        <f t="shared" ref="C21:F21" si="7">-C19*0.05</f>
        <v>-3410000</v>
      </c>
      <c r="D21" s="35">
        <f t="shared" si="7"/>
        <v>-7837350</v>
      </c>
      <c r="E21" s="35">
        <f t="shared" si="7"/>
        <v>-9843249.9999999981</v>
      </c>
      <c r="F21" s="94">
        <f t="shared" si="7"/>
        <v>-12362249.999999998</v>
      </c>
    </row>
    <row r="22" spans="1:11" s="89" customFormat="1" x14ac:dyDescent="0.35">
      <c r="A22" s="95" t="s">
        <v>71</v>
      </c>
      <c r="B22" s="88">
        <f>B19+B21</f>
        <v>28310000</v>
      </c>
      <c r="C22" s="88">
        <f t="shared" ref="C22:F22" si="8">C19+C21</f>
        <v>64790000</v>
      </c>
      <c r="D22" s="88">
        <f t="shared" si="8"/>
        <v>148909650</v>
      </c>
      <c r="E22" s="88">
        <f t="shared" si="8"/>
        <v>187021749.99999994</v>
      </c>
      <c r="F22" s="96">
        <f t="shared" si="8"/>
        <v>234882749.99999994</v>
      </c>
    </row>
    <row r="23" spans="1:11" x14ac:dyDescent="0.35">
      <c r="A23" s="198"/>
      <c r="B23" s="199"/>
      <c r="C23" s="199"/>
      <c r="D23" s="199"/>
      <c r="E23" s="199"/>
      <c r="F23" s="200"/>
    </row>
    <row r="24" spans="1:11" x14ac:dyDescent="0.35">
      <c r="A24" s="93" t="s">
        <v>104</v>
      </c>
      <c r="B24" s="35">
        <f>-B22*0.325</f>
        <v>-9200750</v>
      </c>
      <c r="C24" s="35">
        <f t="shared" ref="C24:F24" si="9">-C22*0.325</f>
        <v>-21056750</v>
      </c>
      <c r="D24" s="35">
        <f t="shared" si="9"/>
        <v>-48395636.25</v>
      </c>
      <c r="E24" s="35">
        <f t="shared" si="9"/>
        <v>-60782068.749999985</v>
      </c>
      <c r="F24" s="94">
        <f t="shared" si="9"/>
        <v>-76336893.749999985</v>
      </c>
    </row>
    <row r="25" spans="1:11" s="14" customFormat="1" ht="15" thickBot="1" x14ac:dyDescent="0.4">
      <c r="A25" s="99" t="s">
        <v>81</v>
      </c>
      <c r="B25" s="100">
        <f>B22+B24</f>
        <v>19109250</v>
      </c>
      <c r="C25" s="100">
        <f t="shared" ref="C25:F25" si="10">C22+C24</f>
        <v>43733250</v>
      </c>
      <c r="D25" s="100">
        <f t="shared" si="10"/>
        <v>100514013.75</v>
      </c>
      <c r="E25" s="100">
        <f t="shared" si="10"/>
        <v>126239681.24999996</v>
      </c>
      <c r="F25" s="101">
        <f t="shared" si="10"/>
        <v>158545856.24999994</v>
      </c>
    </row>
    <row r="26" spans="1:11" ht="15.5" x14ac:dyDescent="0.35">
      <c r="A26" s="12"/>
      <c r="K26" s="1"/>
    </row>
  </sheetData>
  <mergeCells count="6">
    <mergeCell ref="A2:A3"/>
    <mergeCell ref="A23:F23"/>
    <mergeCell ref="A20:F20"/>
    <mergeCell ref="A18:F18"/>
    <mergeCell ref="A15:F15"/>
    <mergeCell ref="A7:F7"/>
  </mergeCells>
  <pageMargins left="0.7" right="0.7" top="0.75" bottom="0.75" header="0.3" footer="0.3"/>
  <pageSetup scale="8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5"/>
  <sheetViews>
    <sheetView workbookViewId="0">
      <selection activeCell="C17" sqref="C17"/>
    </sheetView>
  </sheetViews>
  <sheetFormatPr defaultRowHeight="14.5" x14ac:dyDescent="0.35"/>
  <cols>
    <col min="3" max="3" width="20.7265625" bestFit="1" customWidth="1"/>
  </cols>
  <sheetData>
    <row r="5" spans="3:8" ht="15" thickBot="1" x14ac:dyDescent="0.4"/>
    <row r="6" spans="3:8" x14ac:dyDescent="0.35">
      <c r="C6" s="192" t="s">
        <v>4</v>
      </c>
      <c r="D6" s="194" t="s">
        <v>321</v>
      </c>
      <c r="E6" s="194"/>
      <c r="F6" s="194"/>
      <c r="G6" s="194"/>
      <c r="H6" s="201"/>
    </row>
    <row r="7" spans="3:8" x14ac:dyDescent="0.35">
      <c r="C7" s="193"/>
      <c r="D7" s="21">
        <v>2022</v>
      </c>
      <c r="E7" s="21">
        <v>2023</v>
      </c>
      <c r="F7" s="21">
        <v>2024</v>
      </c>
      <c r="G7" s="21">
        <v>2025</v>
      </c>
      <c r="H7" s="80">
        <v>2026</v>
      </c>
    </row>
    <row r="8" spans="3:8" x14ac:dyDescent="0.35">
      <c r="C8" s="81" t="s">
        <v>331</v>
      </c>
      <c r="D8" s="78">
        <f>'Proforma IS'!B6/'Proforma IS'!B4</f>
        <v>0.35</v>
      </c>
      <c r="E8" s="78">
        <f>'Proforma IS'!C6/'Proforma IS'!C4</f>
        <v>0.4</v>
      </c>
      <c r="F8" s="78">
        <f>'Proforma IS'!D6/'Proforma IS'!D4</f>
        <v>0.45</v>
      </c>
      <c r="G8" s="78">
        <f>'Proforma IS'!E6/'Proforma IS'!E4</f>
        <v>0.4499999999999999</v>
      </c>
      <c r="H8" s="82">
        <f>'Proforma IS'!F6/'Proforma IS'!F4</f>
        <v>0.44999999999999996</v>
      </c>
    </row>
    <row r="9" spans="3:8" x14ac:dyDescent="0.35">
      <c r="C9" s="81" t="s">
        <v>332</v>
      </c>
      <c r="D9" s="78">
        <f>'Proforma IS'!B25/'Proforma IS'!B4</f>
        <v>8.8880232558139538E-2</v>
      </c>
      <c r="E9" s="78">
        <f>'Proforma IS'!C25/'Proforma IS'!C4</f>
        <v>0.12713154069767441</v>
      </c>
      <c r="F9" s="78">
        <f>'Proforma IS'!D25/'Proforma IS'!D4</f>
        <v>0.16232883357558139</v>
      </c>
      <c r="G9" s="78">
        <f>'Proforma IS'!E25/'Proforma IS'!E4</f>
        <v>0.16310036337209297</v>
      </c>
      <c r="H9" s="82">
        <f>'Proforma IS'!F25/'Proforma IS'!F4</f>
        <v>0.16387168604651156</v>
      </c>
    </row>
    <row r="10" spans="3:8" x14ac:dyDescent="0.35">
      <c r="C10" s="81" t="s">
        <v>333</v>
      </c>
      <c r="D10" s="79">
        <f>'Proforma IS'!B25/('Initial capital'!$D$21/852)</f>
        <v>60.38976632047477</v>
      </c>
      <c r="E10" s="79">
        <f>'Proforma IS'!C25/('Initial capital'!$D$21/852)</f>
        <v>138.20745178041543</v>
      </c>
      <c r="F10" s="79">
        <f>'Proforma IS'!D25/('Initial capital'!$D$21/852)</f>
        <v>317.64814434347181</v>
      </c>
      <c r="G10" s="79">
        <f>'Proforma IS'!E25/('Initial capital'!$D$21/852)</f>
        <v>398.94736062685445</v>
      </c>
      <c r="H10" s="83">
        <f>'Proforma IS'!F25/('Initial capital'!$D$21/852)</f>
        <v>501.0425427485161</v>
      </c>
    </row>
    <row r="11" spans="3:8" ht="15" thickBot="1" x14ac:dyDescent="0.4">
      <c r="C11" s="84" t="s">
        <v>334</v>
      </c>
      <c r="D11" s="85">
        <f>D10/85.2</f>
        <v>0.70880007418397617</v>
      </c>
      <c r="E11" s="85">
        <f t="shared" ref="E11:H11" si="0">E10/85.2</f>
        <v>1.6221531899109791</v>
      </c>
      <c r="F11" s="85">
        <f t="shared" si="0"/>
        <v>3.7282646049703265</v>
      </c>
      <c r="G11" s="85">
        <f t="shared" si="0"/>
        <v>4.6824807585311552</v>
      </c>
      <c r="H11" s="86">
        <f t="shared" si="0"/>
        <v>5.880781018175071</v>
      </c>
    </row>
    <row r="15" spans="3:8" x14ac:dyDescent="0.35">
      <c r="D15" s="20"/>
    </row>
  </sheetData>
  <mergeCells count="2">
    <mergeCell ref="C6:C7"/>
    <mergeCell ref="D6:H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761"/>
  <sheetViews>
    <sheetView view="pageBreakPreview" topLeftCell="B1" zoomScaleNormal="100" zoomScaleSheetLayoutView="100" workbookViewId="0">
      <selection activeCell="C34" sqref="C34:C35"/>
    </sheetView>
  </sheetViews>
  <sheetFormatPr defaultColWidth="9.1796875" defaultRowHeight="13" x14ac:dyDescent="0.35"/>
  <cols>
    <col min="1" max="1" width="2.7265625" style="110" hidden="1" customWidth="1"/>
    <col min="2" max="2" width="2.453125" style="110" customWidth="1"/>
    <col min="3" max="3" width="2.54296875" style="110" customWidth="1"/>
    <col min="4" max="4" width="28.26953125" style="110" customWidth="1"/>
    <col min="5" max="6" width="11.453125" style="110" customWidth="1"/>
    <col min="7" max="7" width="13.1796875" style="110" customWidth="1"/>
    <col min="8" max="8" width="12.54296875" style="111" customWidth="1"/>
    <col min="9" max="9" width="12" style="110" customWidth="1"/>
    <col min="10" max="10" width="15.7265625" style="111" bestFit="1" customWidth="1"/>
    <col min="11" max="11" width="12.54296875" style="110" customWidth="1"/>
    <col min="12" max="12" width="10.453125" style="110" customWidth="1"/>
    <col min="13" max="13" width="16.54296875" style="111" customWidth="1"/>
    <col min="14" max="14" width="18.7265625" style="111" customWidth="1"/>
    <col min="15" max="15" width="6.54296875" style="111" customWidth="1"/>
    <col min="16" max="16" width="14" style="110" bestFit="1" customWidth="1"/>
    <col min="17" max="17" width="20.453125" style="110" customWidth="1"/>
    <col min="18" max="18" width="13.1796875" style="110" customWidth="1"/>
    <col min="19" max="16384" width="9.1796875" style="110"/>
  </cols>
  <sheetData>
    <row r="1" spans="1:15" ht="13.5" thickBot="1" x14ac:dyDescent="0.4">
      <c r="A1" s="109"/>
      <c r="B1" s="109"/>
      <c r="C1" s="109"/>
      <c r="D1" s="109"/>
      <c r="E1" s="109"/>
      <c r="F1" s="109"/>
      <c r="G1" s="109"/>
      <c r="H1" s="109"/>
      <c r="N1" s="112"/>
      <c r="O1" s="112"/>
    </row>
    <row r="2" spans="1:15" x14ac:dyDescent="0.35">
      <c r="A2" s="113"/>
      <c r="B2" s="212" t="s">
        <v>4</v>
      </c>
      <c r="C2" s="213"/>
      <c r="D2" s="213"/>
      <c r="E2" s="114">
        <v>2022</v>
      </c>
      <c r="F2" s="114">
        <v>2023</v>
      </c>
      <c r="G2" s="114">
        <v>2024</v>
      </c>
      <c r="H2" s="114">
        <v>2025</v>
      </c>
      <c r="I2" s="115">
        <v>2026</v>
      </c>
      <c r="N2" s="112"/>
      <c r="O2" s="112"/>
    </row>
    <row r="3" spans="1:15" x14ac:dyDescent="0.35">
      <c r="A3" s="116"/>
      <c r="B3" s="214"/>
      <c r="C3" s="215"/>
      <c r="D3" s="215"/>
      <c r="E3" s="117" t="s">
        <v>282</v>
      </c>
      <c r="F3" s="117" t="s">
        <v>282</v>
      </c>
      <c r="G3" s="117" t="s">
        <v>282</v>
      </c>
      <c r="H3" s="117" t="s">
        <v>282</v>
      </c>
      <c r="I3" s="118" t="s">
        <v>282</v>
      </c>
      <c r="N3" s="112"/>
      <c r="O3" s="112"/>
    </row>
    <row r="4" spans="1:15" s="124" customFormat="1" x14ac:dyDescent="0.35">
      <c r="A4" s="119"/>
      <c r="B4" s="120" t="s">
        <v>283</v>
      </c>
      <c r="C4" s="211" t="s">
        <v>284</v>
      </c>
      <c r="D4" s="211"/>
      <c r="E4" s="211"/>
      <c r="F4" s="211"/>
      <c r="G4" s="211"/>
      <c r="H4" s="121"/>
      <c r="I4" s="122"/>
      <c r="J4" s="123"/>
      <c r="M4" s="123"/>
      <c r="N4" s="123"/>
      <c r="O4" s="123"/>
    </row>
    <row r="5" spans="1:15" s="127" customFormat="1" ht="8.15" customHeight="1" x14ac:dyDescent="0.35">
      <c r="A5" s="125"/>
      <c r="B5" s="202"/>
      <c r="C5" s="203"/>
      <c r="D5" s="203"/>
      <c r="E5" s="203"/>
      <c r="F5" s="203"/>
      <c r="G5" s="203"/>
      <c r="H5" s="203"/>
      <c r="I5" s="204"/>
      <c r="J5" s="126"/>
      <c r="M5" s="126"/>
      <c r="N5" s="128"/>
      <c r="O5" s="128"/>
    </row>
    <row r="6" spans="1:15" s="127" customFormat="1" x14ac:dyDescent="0.35">
      <c r="A6" s="125"/>
      <c r="B6" s="129"/>
      <c r="C6" s="130"/>
      <c r="D6" s="131" t="s">
        <v>291</v>
      </c>
      <c r="E6" s="179">
        <f>'Proforma IS'!B4*0.8</f>
        <v>172000000</v>
      </c>
      <c r="F6" s="179">
        <f>'Proforma IS'!C4*0.8+'Proforma IS'!B4*0.2</f>
        <v>318200000</v>
      </c>
      <c r="G6" s="179">
        <f>'Proforma IS'!D4*0.8+'Proforma IS'!C4*0.2</f>
        <v>564160000</v>
      </c>
      <c r="H6" s="179">
        <f>'Proforma IS'!E4*0.8+'Proforma IS'!D4*0.2</f>
        <v>743040000</v>
      </c>
      <c r="I6" s="180">
        <f>'Proforma IS'!F4*0.8+'Proforma IS'!E4*0.2</f>
        <v>928800000</v>
      </c>
      <c r="J6" s="126"/>
      <c r="M6" s="126"/>
      <c r="N6" s="128"/>
      <c r="O6" s="128"/>
    </row>
    <row r="7" spans="1:15" s="127" customFormat="1" x14ac:dyDescent="0.35">
      <c r="A7" s="125"/>
      <c r="B7" s="129"/>
      <c r="C7" s="130"/>
      <c r="D7" s="131" t="s">
        <v>346</v>
      </c>
      <c r="E7" s="179">
        <f>'Proforma IS'!B9*0.8</f>
        <v>-8600000</v>
      </c>
      <c r="F7" s="179">
        <f>'Proforma IS'!C9*0.8+'Proforma IS'!B9*0.2</f>
        <v>-15910000</v>
      </c>
      <c r="G7" s="179">
        <f>'Proforma IS'!D9*0.8+'Proforma IS'!C9*0.2</f>
        <v>-28208000</v>
      </c>
      <c r="H7" s="179">
        <f>'Proforma IS'!E9*0.8+'Proforma IS'!D9*0.2</f>
        <v>-37152000</v>
      </c>
      <c r="I7" s="180">
        <f>'Proforma IS'!F9*0.8+'Proforma IS'!E9*0.2</f>
        <v>-46440000</v>
      </c>
      <c r="J7" s="126"/>
      <c r="M7" s="126"/>
      <c r="N7" s="128"/>
      <c r="O7" s="128"/>
    </row>
    <row r="8" spans="1:15" s="127" customFormat="1" x14ac:dyDescent="0.35">
      <c r="A8" s="125"/>
      <c r="B8" s="129"/>
      <c r="C8" s="130"/>
      <c r="D8" s="131" t="s">
        <v>347</v>
      </c>
      <c r="E8" s="179">
        <f>'Proforma IS'!B10*0.8</f>
        <v>-17200000</v>
      </c>
      <c r="F8" s="179">
        <f>'Proforma IS'!C10*0.8+'Proforma IS'!B10*0.2</f>
        <v>-31820000</v>
      </c>
      <c r="G8" s="179">
        <f>'Proforma IS'!D10*0.8+'Proforma IS'!C10*0.2</f>
        <v>-56416000</v>
      </c>
      <c r="H8" s="179">
        <f>'Proforma IS'!E10*0.8+'Proforma IS'!D10*0.2</f>
        <v>-74304000</v>
      </c>
      <c r="I8" s="180">
        <f>'Proforma IS'!F10*0.8+'Proforma IS'!E10*0.2</f>
        <v>-92880000</v>
      </c>
      <c r="J8" s="126"/>
      <c r="M8" s="126"/>
      <c r="N8" s="128"/>
      <c r="O8" s="128"/>
    </row>
    <row r="9" spans="1:15" s="127" customFormat="1" x14ac:dyDescent="0.35">
      <c r="A9" s="125"/>
      <c r="B9" s="129"/>
      <c r="C9" s="130"/>
      <c r="D9" s="131" t="s">
        <v>292</v>
      </c>
      <c r="E9" s="179">
        <f>'Proforma IS'!B5*0.8</f>
        <v>-111800000</v>
      </c>
      <c r="F9" s="179">
        <f>'Proforma IS'!C5*0.8+'Proforma IS'!B5*0.2</f>
        <v>-193070000</v>
      </c>
      <c r="G9" s="179">
        <f>'Proforma IS'!D5*0.8+'Proforma IS'!C5*0.2</f>
        <v>-313728000</v>
      </c>
      <c r="H9" s="179">
        <f>'Proforma IS'!E5*0.8+'Proforma IS'!D5*0.2</f>
        <v>-408672000.00000006</v>
      </c>
      <c r="I9" s="180">
        <f>'Proforma IS'!F5*0.8+'Proforma IS'!E5*0.2</f>
        <v>-510840000.00000006</v>
      </c>
      <c r="J9" s="126"/>
      <c r="M9" s="126"/>
      <c r="N9" s="128"/>
      <c r="O9" s="128"/>
    </row>
    <row r="10" spans="1:15" s="127" customFormat="1" ht="8.15" customHeight="1" x14ac:dyDescent="0.35">
      <c r="A10" s="125"/>
      <c r="B10" s="202"/>
      <c r="C10" s="203"/>
      <c r="D10" s="203"/>
      <c r="E10" s="203"/>
      <c r="F10" s="203"/>
      <c r="G10" s="203"/>
      <c r="H10" s="203"/>
      <c r="I10" s="204"/>
      <c r="J10" s="126"/>
      <c r="M10" s="126"/>
      <c r="N10" s="128"/>
      <c r="O10" s="128"/>
    </row>
    <row r="11" spans="1:15" s="127" customFormat="1" x14ac:dyDescent="0.35">
      <c r="A11" s="125"/>
      <c r="B11" s="129"/>
      <c r="C11" s="132" t="s">
        <v>293</v>
      </c>
      <c r="D11" s="133"/>
      <c r="E11" s="183">
        <f>SUM(E6:E9)</f>
        <v>34400000</v>
      </c>
      <c r="F11" s="183">
        <f t="shared" ref="F11:H11" si="0">SUM(F6:F9)</f>
        <v>77400000</v>
      </c>
      <c r="G11" s="183">
        <f t="shared" si="0"/>
        <v>165808000</v>
      </c>
      <c r="H11" s="183">
        <f t="shared" si="0"/>
        <v>222911999.99999994</v>
      </c>
      <c r="I11" s="184">
        <f>SUM(I6:I9)</f>
        <v>278639999.99999994</v>
      </c>
      <c r="J11" s="126"/>
      <c r="M11" s="126"/>
      <c r="N11" s="128"/>
      <c r="O11" s="128"/>
    </row>
    <row r="12" spans="1:15" s="127" customFormat="1" x14ac:dyDescent="0.35">
      <c r="A12" s="125"/>
      <c r="B12" s="216"/>
      <c r="C12" s="217"/>
      <c r="D12" s="217"/>
      <c r="E12" s="217"/>
      <c r="F12" s="217"/>
      <c r="G12" s="217"/>
      <c r="H12" s="217"/>
      <c r="I12" s="218"/>
      <c r="J12" s="126"/>
      <c r="M12" s="126"/>
      <c r="N12" s="128"/>
      <c r="O12" s="128"/>
    </row>
    <row r="13" spans="1:15" s="127" customFormat="1" x14ac:dyDescent="0.35">
      <c r="A13" s="125"/>
      <c r="B13" s="129"/>
      <c r="C13" s="134"/>
      <c r="D13" s="135" t="s">
        <v>294</v>
      </c>
      <c r="E13" s="179">
        <f>'Proforma IS'!B16</f>
        <v>560000</v>
      </c>
      <c r="F13" s="179">
        <f>'Proforma IS'!C16</f>
        <v>630000</v>
      </c>
      <c r="G13" s="179">
        <f>'Proforma IS'!D16</f>
        <v>380000</v>
      </c>
      <c r="H13" s="179">
        <f>'Proforma IS'!E16</f>
        <v>520000</v>
      </c>
      <c r="I13" s="180">
        <f>'Proforma IS'!F16</f>
        <v>730000</v>
      </c>
      <c r="J13" s="126"/>
      <c r="M13" s="126"/>
      <c r="N13" s="128"/>
      <c r="O13" s="128"/>
    </row>
    <row r="14" spans="1:15" s="127" customFormat="1" x14ac:dyDescent="0.35">
      <c r="A14" s="125"/>
      <c r="B14" s="129"/>
      <c r="C14" s="134"/>
      <c r="D14" s="135" t="s">
        <v>295</v>
      </c>
      <c r="E14" s="179">
        <f>'Proforma IS'!B24</f>
        <v>-9200750</v>
      </c>
      <c r="F14" s="179">
        <f>'Proforma IS'!C24</f>
        <v>-21056750</v>
      </c>
      <c r="G14" s="179">
        <f>'Proforma IS'!D24</f>
        <v>-48395636.25</v>
      </c>
      <c r="H14" s="179">
        <f>'Proforma IS'!E24</f>
        <v>-60782068.749999985</v>
      </c>
      <c r="I14" s="180">
        <f>'Proforma IS'!F24</f>
        <v>-76336893.749999985</v>
      </c>
      <c r="J14" s="126"/>
      <c r="M14" s="126"/>
      <c r="N14" s="128"/>
      <c r="O14" s="128"/>
    </row>
    <row r="15" spans="1:15" s="127" customFormat="1" x14ac:dyDescent="0.35">
      <c r="A15" s="125"/>
      <c r="B15" s="129"/>
      <c r="C15" s="134"/>
      <c r="D15" s="135" t="s">
        <v>345</v>
      </c>
      <c r="E15" s="179">
        <f>'Proforma IS'!B21</f>
        <v>-1490000</v>
      </c>
      <c r="F15" s="179">
        <f>'Proforma IS'!C21</f>
        <v>-3410000</v>
      </c>
      <c r="G15" s="179">
        <f>'Proforma IS'!D21</f>
        <v>-7837350</v>
      </c>
      <c r="H15" s="179">
        <f>'Proforma IS'!E21</f>
        <v>-9843249.9999999981</v>
      </c>
      <c r="I15" s="180">
        <f>'Proforma IS'!F21</f>
        <v>-12362249.999999998</v>
      </c>
      <c r="J15" s="126"/>
      <c r="M15" s="126"/>
      <c r="N15" s="128"/>
      <c r="O15" s="128"/>
    </row>
    <row r="16" spans="1:15" s="127" customFormat="1" x14ac:dyDescent="0.35">
      <c r="A16" s="125"/>
      <c r="B16" s="129"/>
      <c r="C16" s="134"/>
      <c r="D16" s="135" t="s">
        <v>335</v>
      </c>
      <c r="E16" s="179">
        <f>'Proforma IS'!B12</f>
        <v>-8600000</v>
      </c>
      <c r="F16" s="179">
        <f>'Proforma IS'!C12</f>
        <v>-13760000</v>
      </c>
      <c r="G16" s="179">
        <f>'Proforma IS'!D12</f>
        <v>-24768000</v>
      </c>
      <c r="H16" s="179">
        <f>'Proforma IS'!E12</f>
        <v>-30960000</v>
      </c>
      <c r="I16" s="180">
        <f>'Proforma IS'!F12</f>
        <v>-38700000</v>
      </c>
      <c r="J16" s="126"/>
      <c r="M16" s="126"/>
      <c r="N16" s="128"/>
      <c r="O16" s="128"/>
    </row>
    <row r="17" spans="1:18" s="127" customFormat="1" x14ac:dyDescent="0.35">
      <c r="A17" s="125"/>
      <c r="B17" s="129"/>
      <c r="C17" s="134"/>
      <c r="D17" s="135" t="s">
        <v>340</v>
      </c>
      <c r="E17" s="179">
        <f>'Proforma IS'!B13</f>
        <v>-4800000</v>
      </c>
      <c r="F17" s="179">
        <f>'Proforma IS'!C13</f>
        <v>-4800000</v>
      </c>
      <c r="G17" s="179">
        <f>'Proforma IS'!D13</f>
        <v>-4800000</v>
      </c>
      <c r="H17" s="179">
        <f>'Proforma IS'!E13</f>
        <v>-4800000</v>
      </c>
      <c r="I17" s="180">
        <f>'Proforma IS'!F13</f>
        <v>-4800000</v>
      </c>
      <c r="J17" s="126"/>
      <c r="M17" s="126"/>
      <c r="N17" s="128"/>
      <c r="O17" s="128"/>
    </row>
    <row r="18" spans="1:18" s="141" customFormat="1" ht="13.5" x14ac:dyDescent="0.35">
      <c r="A18" s="136"/>
      <c r="B18" s="137"/>
      <c r="C18" s="138" t="s">
        <v>285</v>
      </c>
      <c r="D18" s="139"/>
      <c r="E18" s="181">
        <f>SUM(E11:E17)</f>
        <v>10869250</v>
      </c>
      <c r="F18" s="181">
        <f t="shared" ref="F18:I18" si="1">SUM(F11:F17)</f>
        <v>35003250</v>
      </c>
      <c r="G18" s="181">
        <f t="shared" si="1"/>
        <v>80387013.75</v>
      </c>
      <c r="H18" s="181">
        <f t="shared" si="1"/>
        <v>117046681.24999994</v>
      </c>
      <c r="I18" s="182">
        <f t="shared" si="1"/>
        <v>147170856.24999994</v>
      </c>
      <c r="J18" s="140"/>
      <c r="M18" s="140"/>
      <c r="N18" s="140"/>
      <c r="O18" s="140"/>
    </row>
    <row r="19" spans="1:18" s="127" customFormat="1" ht="8.15" customHeight="1" x14ac:dyDescent="0.35">
      <c r="A19" s="125"/>
      <c r="B19" s="202"/>
      <c r="C19" s="203"/>
      <c r="D19" s="203"/>
      <c r="E19" s="203"/>
      <c r="F19" s="203"/>
      <c r="G19" s="203"/>
      <c r="H19" s="203"/>
      <c r="I19" s="204"/>
      <c r="J19" s="126"/>
      <c r="M19" s="128"/>
      <c r="N19" s="128"/>
      <c r="O19" s="128"/>
    </row>
    <row r="20" spans="1:18" s="124" customFormat="1" x14ac:dyDescent="0.35">
      <c r="A20" s="119"/>
      <c r="B20" s="120" t="s">
        <v>286</v>
      </c>
      <c r="C20" s="211" t="s">
        <v>287</v>
      </c>
      <c r="D20" s="211"/>
      <c r="E20" s="211"/>
      <c r="F20" s="211"/>
      <c r="G20" s="121"/>
      <c r="H20" s="121"/>
      <c r="I20" s="122"/>
      <c r="J20" s="123"/>
      <c r="M20" s="123"/>
      <c r="N20" s="123"/>
      <c r="O20" s="123"/>
    </row>
    <row r="21" spans="1:18" s="127" customFormat="1" ht="8.15" customHeight="1" x14ac:dyDescent="0.35">
      <c r="A21" s="125"/>
      <c r="B21" s="142"/>
      <c r="C21" s="203"/>
      <c r="D21" s="203"/>
      <c r="E21" s="203"/>
      <c r="F21" s="203"/>
      <c r="G21" s="203"/>
      <c r="H21" s="203"/>
      <c r="I21" s="204"/>
      <c r="J21" s="126"/>
      <c r="M21" s="128"/>
      <c r="N21" s="128"/>
      <c r="O21" s="128"/>
    </row>
    <row r="22" spans="1:18" s="127" customFormat="1" x14ac:dyDescent="0.35">
      <c r="A22" s="125"/>
      <c r="B22" s="129"/>
      <c r="C22" s="134"/>
      <c r="D22" s="131" t="s">
        <v>343</v>
      </c>
      <c r="E22" s="179">
        <f>-17000000</f>
        <v>-17000000</v>
      </c>
      <c r="F22" s="179">
        <v>-22000000</v>
      </c>
      <c r="G22" s="179">
        <v>0</v>
      </c>
      <c r="H22" s="185">
        <v>0</v>
      </c>
      <c r="I22" s="180">
        <v>0</v>
      </c>
      <c r="J22" s="126"/>
      <c r="M22" s="126"/>
      <c r="N22" s="128"/>
      <c r="O22" s="128"/>
    </row>
    <row r="23" spans="1:18" s="141" customFormat="1" ht="13.5" x14ac:dyDescent="0.35">
      <c r="A23" s="136"/>
      <c r="B23" s="137"/>
      <c r="C23" s="138" t="s">
        <v>342</v>
      </c>
      <c r="D23" s="143"/>
      <c r="E23" s="181">
        <f>ROUND(SUM(E22:E22),0)</f>
        <v>-17000000</v>
      </c>
      <c r="F23" s="181">
        <f t="shared" ref="F23:I23" si="2">ROUND(SUM(F22:F22),0)</f>
        <v>-22000000</v>
      </c>
      <c r="G23" s="181">
        <f t="shared" si="2"/>
        <v>0</v>
      </c>
      <c r="H23" s="181">
        <f t="shared" si="2"/>
        <v>0</v>
      </c>
      <c r="I23" s="182">
        <f t="shared" si="2"/>
        <v>0</v>
      </c>
      <c r="J23" s="140"/>
      <c r="M23" s="140"/>
      <c r="N23" s="140"/>
      <c r="O23" s="140"/>
    </row>
    <row r="24" spans="1:18" s="127" customFormat="1" ht="8.15" customHeight="1" x14ac:dyDescent="0.35">
      <c r="A24" s="125"/>
      <c r="B24" s="202"/>
      <c r="C24" s="203"/>
      <c r="D24" s="203"/>
      <c r="E24" s="203"/>
      <c r="F24" s="203"/>
      <c r="G24" s="203"/>
      <c r="H24" s="203"/>
      <c r="I24" s="204"/>
      <c r="J24" s="128"/>
      <c r="M24" s="128"/>
      <c r="N24" s="128"/>
      <c r="O24" s="128"/>
    </row>
    <row r="25" spans="1:18" s="124" customFormat="1" x14ac:dyDescent="0.35">
      <c r="A25" s="119"/>
      <c r="B25" s="120" t="s">
        <v>288</v>
      </c>
      <c r="C25" s="211" t="s">
        <v>289</v>
      </c>
      <c r="D25" s="211"/>
      <c r="E25" s="211"/>
      <c r="F25" s="211"/>
      <c r="G25" s="121"/>
      <c r="H25" s="121"/>
      <c r="I25" s="122"/>
      <c r="J25" s="123"/>
      <c r="M25" s="123"/>
      <c r="N25" s="123"/>
      <c r="O25" s="123"/>
    </row>
    <row r="26" spans="1:18" s="127" customFormat="1" ht="8.15" customHeight="1" x14ac:dyDescent="0.35">
      <c r="A26" s="205"/>
      <c r="B26" s="206"/>
      <c r="C26" s="206"/>
      <c r="D26" s="206"/>
      <c r="E26" s="206"/>
      <c r="F26" s="206"/>
      <c r="G26" s="206"/>
      <c r="H26" s="206"/>
      <c r="I26" s="207"/>
      <c r="J26" s="128"/>
      <c r="M26" s="128"/>
      <c r="N26" s="128"/>
      <c r="O26" s="128"/>
    </row>
    <row r="27" spans="1:18" s="127" customFormat="1" x14ac:dyDescent="0.3">
      <c r="A27" s="125"/>
      <c r="B27" s="129"/>
      <c r="C27" s="134"/>
      <c r="D27" s="144" t="s">
        <v>339</v>
      </c>
      <c r="E27" s="179">
        <v>-3000000</v>
      </c>
      <c r="F27" s="179">
        <v>-3000000</v>
      </c>
      <c r="G27" s="179">
        <v>-3000000</v>
      </c>
      <c r="H27" s="179">
        <v>-3000000</v>
      </c>
      <c r="I27" s="180">
        <v>-3000000</v>
      </c>
      <c r="J27" s="128"/>
      <c r="M27" s="128"/>
      <c r="N27" s="128"/>
      <c r="O27" s="128"/>
    </row>
    <row r="28" spans="1:18" s="127" customFormat="1" x14ac:dyDescent="0.35">
      <c r="A28" s="125"/>
      <c r="B28" s="129"/>
      <c r="C28" s="134"/>
      <c r="D28" s="131" t="s">
        <v>296</v>
      </c>
      <c r="E28" s="179">
        <f>'Proforma IS'!B11</f>
        <v>-360000</v>
      </c>
      <c r="F28" s="179">
        <f>'Proforma IS'!C11</f>
        <v>130000</v>
      </c>
      <c r="G28" s="179">
        <f>'Proforma IS'!D11</f>
        <v>175000</v>
      </c>
      <c r="H28" s="179">
        <f>'Proforma IS'!E11</f>
        <v>-95000</v>
      </c>
      <c r="I28" s="180">
        <f>'Proforma IS'!F11</f>
        <v>-235000</v>
      </c>
      <c r="J28" s="128"/>
      <c r="M28" s="128"/>
      <c r="N28" s="128"/>
      <c r="O28" s="128"/>
    </row>
    <row r="29" spans="1:18" s="141" customFormat="1" ht="13.5" x14ac:dyDescent="0.35">
      <c r="A29" s="136"/>
      <c r="B29" s="137"/>
      <c r="C29" s="145" t="s">
        <v>290</v>
      </c>
      <c r="D29" s="146"/>
      <c r="E29" s="181">
        <f>ROUND(SUM(E27:E28),0)</f>
        <v>-3360000</v>
      </c>
      <c r="F29" s="181">
        <f t="shared" ref="F29:I29" si="3">ROUND(SUM(F27:F28),0)</f>
        <v>-2870000</v>
      </c>
      <c r="G29" s="181">
        <f t="shared" si="3"/>
        <v>-2825000</v>
      </c>
      <c r="H29" s="181">
        <f t="shared" si="3"/>
        <v>-3095000</v>
      </c>
      <c r="I29" s="182">
        <f t="shared" si="3"/>
        <v>-3235000</v>
      </c>
      <c r="J29" s="140"/>
      <c r="M29" s="140"/>
      <c r="N29" s="140"/>
      <c r="O29" s="140"/>
      <c r="R29" s="147"/>
    </row>
    <row r="30" spans="1:18" s="127" customFormat="1" ht="8.15" customHeight="1" x14ac:dyDescent="0.35">
      <c r="A30" s="208"/>
      <c r="B30" s="209"/>
      <c r="C30" s="209"/>
      <c r="D30" s="209"/>
      <c r="E30" s="209"/>
      <c r="F30" s="209"/>
      <c r="G30" s="209"/>
      <c r="H30" s="209"/>
      <c r="I30" s="210"/>
      <c r="J30" s="128"/>
      <c r="M30" s="128"/>
      <c r="N30" s="128"/>
      <c r="O30" s="128"/>
      <c r="Q30" s="128"/>
      <c r="R30" s="148"/>
    </row>
    <row r="31" spans="1:18" s="141" customFormat="1" ht="13.5" x14ac:dyDescent="0.35">
      <c r="A31" s="136"/>
      <c r="B31" s="137"/>
      <c r="C31" s="149" t="s">
        <v>336</v>
      </c>
      <c r="D31" s="146"/>
      <c r="E31" s="181">
        <f>E18+E23+E29</f>
        <v>-9490750</v>
      </c>
      <c r="F31" s="181">
        <f t="shared" ref="F31:I31" si="4">F18+F23+F29</f>
        <v>10133250</v>
      </c>
      <c r="G31" s="181">
        <f t="shared" si="4"/>
        <v>77562013.75</v>
      </c>
      <c r="H31" s="181">
        <f t="shared" si="4"/>
        <v>113951681.24999994</v>
      </c>
      <c r="I31" s="182">
        <f t="shared" si="4"/>
        <v>143935856.24999994</v>
      </c>
      <c r="J31" s="140"/>
      <c r="M31" s="140"/>
      <c r="N31" s="140"/>
      <c r="O31" s="140"/>
      <c r="Q31" s="140"/>
      <c r="R31" s="147"/>
    </row>
    <row r="32" spans="1:18" s="127" customFormat="1" ht="13.5" x14ac:dyDescent="0.35">
      <c r="A32" s="125"/>
      <c r="B32" s="129"/>
      <c r="C32" s="150" t="s">
        <v>337</v>
      </c>
      <c r="D32" s="151"/>
      <c r="E32" s="179">
        <f>-E16</f>
        <v>8600000</v>
      </c>
      <c r="F32" s="179">
        <f t="shared" ref="F32:I32" si="5">-F16</f>
        <v>13760000</v>
      </c>
      <c r="G32" s="179">
        <f t="shared" si="5"/>
        <v>24768000</v>
      </c>
      <c r="H32" s="179">
        <f t="shared" si="5"/>
        <v>30960000</v>
      </c>
      <c r="I32" s="180">
        <f t="shared" si="5"/>
        <v>38700000</v>
      </c>
      <c r="J32" s="128"/>
      <c r="M32" s="128"/>
      <c r="N32" s="128"/>
      <c r="O32" s="128"/>
      <c r="Q32" s="128"/>
      <c r="R32" s="148"/>
    </row>
    <row r="33" spans="1:18" s="127" customFormat="1" ht="13.5" x14ac:dyDescent="0.35">
      <c r="A33" s="125"/>
      <c r="B33" s="129"/>
      <c r="C33" s="150" t="s">
        <v>344</v>
      </c>
      <c r="D33" s="151"/>
      <c r="E33" s="179">
        <f>-E17</f>
        <v>4800000</v>
      </c>
      <c r="F33" s="179">
        <f t="shared" ref="F33:I33" si="6">-F17</f>
        <v>4800000</v>
      </c>
      <c r="G33" s="179">
        <f t="shared" si="6"/>
        <v>4800000</v>
      </c>
      <c r="H33" s="179">
        <f t="shared" si="6"/>
        <v>4800000</v>
      </c>
      <c r="I33" s="180">
        <f t="shared" si="6"/>
        <v>4800000</v>
      </c>
      <c r="J33" s="128"/>
      <c r="M33" s="128"/>
      <c r="N33" s="128"/>
      <c r="O33" s="128"/>
      <c r="Q33" s="128"/>
      <c r="R33" s="148"/>
    </row>
    <row r="34" spans="1:18" s="157" customFormat="1" x14ac:dyDescent="0.35">
      <c r="A34" s="152"/>
      <c r="B34" s="153"/>
      <c r="C34" s="154" t="s">
        <v>338</v>
      </c>
      <c r="D34" s="155"/>
      <c r="E34" s="186">
        <f>SUM(E31:E33)</f>
        <v>3909250</v>
      </c>
      <c r="F34" s="186">
        <f t="shared" ref="F34:I34" si="7">SUM(F31:F33)</f>
        <v>28693250</v>
      </c>
      <c r="G34" s="186">
        <f t="shared" si="7"/>
        <v>107130013.75</v>
      </c>
      <c r="H34" s="186">
        <f t="shared" si="7"/>
        <v>149711681.24999994</v>
      </c>
      <c r="I34" s="187">
        <f t="shared" si="7"/>
        <v>187435856.24999994</v>
      </c>
      <c r="J34" s="156">
        <f>(($I$34*1.05)/('NPV profile'!C12-0.05))</f>
        <v>1513904992.788461</v>
      </c>
      <c r="M34" s="158"/>
      <c r="N34" s="158"/>
      <c r="O34" s="158"/>
      <c r="Q34" s="158"/>
    </row>
    <row r="35" spans="1:18" s="164" customFormat="1" ht="13.5" thickBot="1" x14ac:dyDescent="0.4">
      <c r="A35" s="159"/>
      <c r="B35" s="160"/>
      <c r="C35" s="161" t="s">
        <v>298</v>
      </c>
      <c r="D35" s="162"/>
      <c r="E35" s="188">
        <f>E34</f>
        <v>3909250</v>
      </c>
      <c r="F35" s="188">
        <f>E35+F34</f>
        <v>32602500</v>
      </c>
      <c r="G35" s="188">
        <f t="shared" ref="G35:I35" si="8">F35+G34</f>
        <v>139732513.75</v>
      </c>
      <c r="H35" s="188">
        <f t="shared" si="8"/>
        <v>289444194.99999994</v>
      </c>
      <c r="I35" s="189">
        <f t="shared" si="8"/>
        <v>476880051.24999988</v>
      </c>
      <c r="J35" s="163"/>
      <c r="M35" s="163"/>
      <c r="N35" s="163"/>
      <c r="O35" s="163"/>
      <c r="Q35" s="163"/>
    </row>
    <row r="36" spans="1:18" x14ac:dyDescent="0.35">
      <c r="A36" s="165"/>
      <c r="C36" s="165"/>
      <c r="D36" s="166"/>
      <c r="E36" s="112"/>
      <c r="F36" s="112"/>
      <c r="G36" s="112"/>
      <c r="H36" s="112"/>
      <c r="I36" s="112"/>
      <c r="J36" s="112"/>
      <c r="K36" s="111"/>
      <c r="L36" s="111"/>
      <c r="M36" s="112"/>
    </row>
    <row r="37" spans="1:18" x14ac:dyDescent="0.35">
      <c r="D37" s="166"/>
      <c r="E37" s="167"/>
      <c r="F37" s="112"/>
      <c r="G37" s="112"/>
      <c r="H37" s="112"/>
      <c r="I37" s="112"/>
      <c r="K37" s="111"/>
      <c r="L37" s="111"/>
      <c r="M37" s="112"/>
    </row>
    <row r="38" spans="1:18" x14ac:dyDescent="0.35">
      <c r="D38" s="166"/>
      <c r="E38" s="112"/>
      <c r="F38" s="112"/>
      <c r="G38" s="112"/>
      <c r="H38" s="112"/>
      <c r="I38" s="112"/>
      <c r="K38" s="111"/>
      <c r="L38" s="111"/>
      <c r="M38" s="112"/>
    </row>
    <row r="39" spans="1:18" x14ac:dyDescent="0.35">
      <c r="C39" s="165"/>
      <c r="D39" s="166"/>
      <c r="E39" s="112"/>
      <c r="F39" s="112"/>
      <c r="G39" s="112"/>
      <c r="H39" s="112"/>
      <c r="I39" s="112"/>
      <c r="K39" s="111"/>
      <c r="L39" s="111"/>
      <c r="M39" s="112"/>
    </row>
    <row r="40" spans="1:18" x14ac:dyDescent="0.35">
      <c r="C40" s="166"/>
      <c r="I40" s="112"/>
      <c r="K40" s="111"/>
      <c r="L40" s="111"/>
      <c r="M40" s="112"/>
      <c r="N40" s="110"/>
      <c r="O40" s="110"/>
    </row>
    <row r="41" spans="1:18" x14ac:dyDescent="0.35">
      <c r="C41" s="166"/>
      <c r="I41" s="112"/>
      <c r="K41" s="111"/>
      <c r="L41" s="111"/>
      <c r="M41" s="112"/>
      <c r="N41" s="110"/>
      <c r="O41" s="110"/>
    </row>
    <row r="42" spans="1:18" x14ac:dyDescent="0.35">
      <c r="C42" s="166"/>
      <c r="I42" s="112"/>
      <c r="K42" s="111"/>
      <c r="L42" s="111"/>
      <c r="M42" s="112"/>
      <c r="N42" s="110"/>
      <c r="O42" s="110"/>
    </row>
    <row r="43" spans="1:18" x14ac:dyDescent="0.35">
      <c r="C43" s="166"/>
      <c r="I43" s="167"/>
      <c r="K43" s="111"/>
      <c r="L43" s="111"/>
      <c r="N43" s="110"/>
      <c r="O43" s="110"/>
    </row>
    <row r="44" spans="1:18" x14ac:dyDescent="0.35">
      <c r="C44" s="166"/>
      <c r="I44" s="112"/>
      <c r="K44" s="111"/>
      <c r="L44" s="111"/>
      <c r="N44" s="110"/>
      <c r="O44" s="110"/>
    </row>
    <row r="45" spans="1:18" x14ac:dyDescent="0.35">
      <c r="A45" s="165"/>
      <c r="B45" s="165"/>
      <c r="C45" s="168"/>
      <c r="I45" s="112"/>
      <c r="K45" s="111"/>
      <c r="L45" s="111"/>
      <c r="N45" s="110"/>
      <c r="O45" s="110"/>
    </row>
    <row r="46" spans="1:18" x14ac:dyDescent="0.35">
      <c r="I46" s="112"/>
      <c r="K46" s="111"/>
      <c r="L46" s="111"/>
      <c r="N46" s="110"/>
      <c r="O46" s="110"/>
    </row>
    <row r="47" spans="1:18" x14ac:dyDescent="0.35">
      <c r="I47" s="112"/>
      <c r="K47" s="111"/>
      <c r="L47" s="111"/>
      <c r="N47" s="110"/>
      <c r="O47" s="110"/>
    </row>
    <row r="48" spans="1:18" x14ac:dyDescent="0.35">
      <c r="C48" s="166"/>
      <c r="I48" s="112"/>
      <c r="K48" s="111"/>
      <c r="L48" s="111"/>
      <c r="N48" s="110"/>
      <c r="O48" s="110"/>
    </row>
    <row r="49" spans="1:15" x14ac:dyDescent="0.35">
      <c r="C49" s="166"/>
      <c r="I49" s="169"/>
      <c r="N49" s="110"/>
      <c r="O49" s="110"/>
    </row>
    <row r="50" spans="1:15" x14ac:dyDescent="0.35">
      <c r="C50" s="170"/>
      <c r="N50" s="110"/>
      <c r="O50" s="110"/>
    </row>
    <row r="51" spans="1:15" x14ac:dyDescent="0.35">
      <c r="C51" s="166"/>
      <c r="N51" s="110"/>
      <c r="O51" s="110"/>
    </row>
    <row r="52" spans="1:15" x14ac:dyDescent="0.35">
      <c r="A52" s="165"/>
      <c r="B52" s="165"/>
      <c r="C52" s="168"/>
      <c r="N52" s="110"/>
      <c r="O52" s="110"/>
    </row>
    <row r="53" spans="1:15" x14ac:dyDescent="0.35">
      <c r="C53" s="168"/>
      <c r="N53" s="110"/>
      <c r="O53" s="110"/>
    </row>
    <row r="54" spans="1:15" x14ac:dyDescent="0.35">
      <c r="C54" s="166"/>
      <c r="N54" s="110"/>
      <c r="O54" s="110"/>
    </row>
    <row r="55" spans="1:15" x14ac:dyDescent="0.35">
      <c r="C55" s="166"/>
      <c r="N55" s="110"/>
      <c r="O55" s="110"/>
    </row>
    <row r="56" spans="1:15" x14ac:dyDescent="0.35">
      <c r="C56" s="166"/>
      <c r="N56" s="110"/>
      <c r="O56" s="110"/>
    </row>
    <row r="57" spans="1:15" x14ac:dyDescent="0.35">
      <c r="C57" s="171"/>
      <c r="N57" s="110"/>
      <c r="O57" s="110"/>
    </row>
    <row r="58" spans="1:15" x14ac:dyDescent="0.35">
      <c r="C58" s="171"/>
      <c r="J58" s="110"/>
      <c r="M58" s="110"/>
      <c r="N58" s="110"/>
      <c r="O58" s="110"/>
    </row>
    <row r="59" spans="1:15" x14ac:dyDescent="0.35">
      <c r="A59" s="165"/>
      <c r="B59" s="165"/>
      <c r="C59" s="168"/>
      <c r="D59" s="172"/>
      <c r="E59" s="173"/>
      <c r="F59" s="174"/>
      <c r="G59" s="173"/>
      <c r="H59" s="174"/>
      <c r="J59" s="110"/>
      <c r="M59" s="110"/>
      <c r="N59" s="110"/>
      <c r="O59" s="110"/>
    </row>
    <row r="60" spans="1:15" x14ac:dyDescent="0.35">
      <c r="A60" s="165"/>
      <c r="B60" s="165"/>
      <c r="C60" s="168"/>
      <c r="D60" s="175"/>
      <c r="E60" s="112"/>
      <c r="F60" s="176"/>
      <c r="G60" s="112"/>
      <c r="H60" s="176"/>
      <c r="J60" s="110"/>
      <c r="M60" s="110"/>
      <c r="N60" s="110"/>
      <c r="O60" s="110"/>
    </row>
    <row r="61" spans="1:15" x14ac:dyDescent="0.35">
      <c r="A61" s="165"/>
      <c r="B61" s="165"/>
      <c r="C61" s="168"/>
      <c r="D61" s="168"/>
      <c r="E61" s="177"/>
      <c r="F61" s="177"/>
      <c r="G61" s="177"/>
      <c r="H61" s="112"/>
      <c r="J61" s="110"/>
      <c r="M61" s="110"/>
      <c r="N61" s="110"/>
      <c r="O61" s="110"/>
    </row>
    <row r="62" spans="1:15" x14ac:dyDescent="0.35">
      <c r="C62" s="168"/>
      <c r="D62" s="168"/>
      <c r="J62" s="110"/>
      <c r="M62" s="110"/>
      <c r="N62" s="110"/>
      <c r="O62" s="110"/>
    </row>
    <row r="63" spans="1:15" x14ac:dyDescent="0.35">
      <c r="A63" s="165"/>
      <c r="B63" s="165"/>
      <c r="C63" s="178"/>
      <c r="D63" s="178"/>
      <c r="J63" s="110"/>
      <c r="M63" s="110"/>
      <c r="N63" s="110"/>
      <c r="O63" s="110"/>
    </row>
    <row r="64" spans="1:15" x14ac:dyDescent="0.35">
      <c r="A64" s="111"/>
      <c r="B64" s="111"/>
      <c r="C64" s="111"/>
      <c r="D64" s="111"/>
      <c r="J64" s="110"/>
      <c r="M64" s="110"/>
      <c r="N64" s="110"/>
      <c r="O64" s="110"/>
    </row>
    <row r="65" spans="1:15" x14ac:dyDescent="0.35">
      <c r="A65" s="111"/>
      <c r="B65" s="111"/>
      <c r="C65" s="111"/>
      <c r="D65" s="111"/>
      <c r="J65" s="110"/>
      <c r="M65" s="110"/>
      <c r="N65" s="110"/>
      <c r="O65" s="110"/>
    </row>
    <row r="66" spans="1:15" x14ac:dyDescent="0.35">
      <c r="A66" s="111"/>
      <c r="B66" s="111"/>
      <c r="C66" s="111"/>
      <c r="D66" s="111"/>
      <c r="J66" s="110"/>
      <c r="M66" s="110"/>
      <c r="N66" s="110"/>
      <c r="O66" s="110"/>
    </row>
    <row r="67" spans="1:15" x14ac:dyDescent="0.35">
      <c r="A67" s="111"/>
      <c r="B67" s="111"/>
      <c r="C67" s="111"/>
      <c r="D67" s="111"/>
      <c r="J67" s="110"/>
      <c r="M67" s="110"/>
      <c r="N67" s="110"/>
      <c r="O67" s="110"/>
    </row>
    <row r="68" spans="1:15" x14ac:dyDescent="0.35">
      <c r="A68" s="111"/>
      <c r="B68" s="111"/>
      <c r="C68" s="111"/>
      <c r="D68" s="111"/>
      <c r="J68" s="110"/>
      <c r="M68" s="110"/>
      <c r="N68" s="110"/>
      <c r="O68" s="110"/>
    </row>
    <row r="69" spans="1:15" x14ac:dyDescent="0.35">
      <c r="A69" s="111"/>
      <c r="B69" s="111"/>
      <c r="C69" s="111"/>
      <c r="D69" s="111"/>
      <c r="J69" s="110"/>
      <c r="M69" s="110"/>
      <c r="N69" s="110"/>
      <c r="O69" s="110"/>
    </row>
    <row r="70" spans="1:15" x14ac:dyDescent="0.35">
      <c r="A70" s="111"/>
      <c r="B70" s="111"/>
      <c r="C70" s="111"/>
      <c r="D70" s="111"/>
      <c r="E70" s="111"/>
      <c r="F70" s="111"/>
      <c r="G70" s="111"/>
      <c r="J70" s="110"/>
      <c r="M70" s="110"/>
      <c r="N70" s="110"/>
      <c r="O70" s="110"/>
    </row>
    <row r="71" spans="1:15" x14ac:dyDescent="0.35">
      <c r="A71" s="111"/>
      <c r="B71" s="111"/>
      <c r="C71" s="111"/>
      <c r="D71" s="111"/>
      <c r="E71" s="111"/>
      <c r="F71" s="111"/>
      <c r="G71" s="111"/>
      <c r="J71" s="110"/>
      <c r="M71" s="110"/>
      <c r="N71" s="110"/>
      <c r="O71" s="110"/>
    </row>
    <row r="72" spans="1:15" x14ac:dyDescent="0.35">
      <c r="A72" s="111"/>
      <c r="B72" s="111"/>
      <c r="C72" s="111"/>
      <c r="D72" s="111"/>
      <c r="E72" s="111"/>
      <c r="F72" s="111"/>
      <c r="G72" s="111"/>
      <c r="J72" s="110"/>
      <c r="M72" s="110"/>
      <c r="N72" s="110"/>
      <c r="O72" s="110"/>
    </row>
    <row r="73" spans="1:15" x14ac:dyDescent="0.35">
      <c r="A73" s="111"/>
      <c r="B73" s="111"/>
      <c r="C73" s="111"/>
      <c r="D73" s="111"/>
      <c r="E73" s="111"/>
      <c r="F73" s="111"/>
      <c r="G73" s="111"/>
      <c r="J73" s="110"/>
      <c r="M73" s="110"/>
      <c r="N73" s="110"/>
      <c r="O73" s="110"/>
    </row>
    <row r="74" spans="1:15" x14ac:dyDescent="0.35">
      <c r="A74" s="111"/>
      <c r="B74" s="111"/>
      <c r="C74" s="111"/>
      <c r="D74" s="111"/>
      <c r="E74" s="111"/>
      <c r="F74" s="111"/>
      <c r="G74" s="111"/>
      <c r="H74" s="110"/>
      <c r="J74" s="110"/>
      <c r="M74" s="110"/>
      <c r="N74" s="110"/>
      <c r="O74" s="110"/>
    </row>
    <row r="75" spans="1:15" x14ac:dyDescent="0.35">
      <c r="A75" s="111"/>
      <c r="B75" s="111"/>
      <c r="C75" s="111"/>
      <c r="D75" s="111"/>
      <c r="E75" s="111"/>
      <c r="F75" s="111"/>
      <c r="G75" s="111"/>
      <c r="H75" s="110"/>
      <c r="J75" s="110"/>
      <c r="M75" s="110"/>
      <c r="N75" s="110"/>
      <c r="O75" s="110"/>
    </row>
    <row r="76" spans="1:15" x14ac:dyDescent="0.35">
      <c r="A76" s="111"/>
      <c r="B76" s="111"/>
      <c r="C76" s="111"/>
      <c r="D76" s="111"/>
      <c r="E76" s="111"/>
      <c r="F76" s="111"/>
      <c r="G76" s="111"/>
      <c r="H76" s="110"/>
      <c r="J76" s="110"/>
      <c r="M76" s="110"/>
      <c r="N76" s="110"/>
      <c r="O76" s="110"/>
    </row>
    <row r="77" spans="1:15" x14ac:dyDescent="0.35">
      <c r="A77" s="111"/>
      <c r="B77" s="111"/>
      <c r="C77" s="111"/>
      <c r="D77" s="111"/>
      <c r="E77" s="111"/>
      <c r="F77" s="111"/>
      <c r="G77" s="111"/>
      <c r="H77" s="110"/>
      <c r="J77" s="110"/>
      <c r="M77" s="110"/>
      <c r="N77" s="110"/>
      <c r="O77" s="110"/>
    </row>
    <row r="78" spans="1:15" x14ac:dyDescent="0.35">
      <c r="A78" s="111"/>
      <c r="B78" s="111"/>
      <c r="C78" s="111"/>
      <c r="D78" s="111"/>
      <c r="E78" s="111"/>
      <c r="F78" s="111"/>
      <c r="G78" s="111"/>
      <c r="H78" s="110"/>
      <c r="J78" s="110"/>
      <c r="M78" s="110"/>
      <c r="N78" s="110"/>
      <c r="O78" s="110"/>
    </row>
    <row r="79" spans="1:15" x14ac:dyDescent="0.35">
      <c r="A79" s="111"/>
      <c r="B79" s="111"/>
      <c r="C79" s="111"/>
      <c r="D79" s="111"/>
      <c r="E79" s="111"/>
      <c r="F79" s="111"/>
      <c r="G79" s="111"/>
      <c r="H79" s="110"/>
      <c r="J79" s="110"/>
      <c r="M79" s="110"/>
      <c r="N79" s="110"/>
      <c r="O79" s="110"/>
    </row>
    <row r="80" spans="1:15" x14ac:dyDescent="0.35">
      <c r="A80" s="111"/>
      <c r="B80" s="111"/>
      <c r="C80" s="111"/>
      <c r="D80" s="111"/>
      <c r="E80" s="111"/>
      <c r="F80" s="111"/>
      <c r="G80" s="111"/>
      <c r="H80" s="110"/>
      <c r="J80" s="110"/>
      <c r="M80" s="110"/>
      <c r="N80" s="110"/>
      <c r="O80" s="110"/>
    </row>
    <row r="81" spans="1:15" x14ac:dyDescent="0.35">
      <c r="A81" s="111"/>
      <c r="B81" s="111"/>
      <c r="C81" s="111"/>
      <c r="D81" s="111"/>
      <c r="E81" s="111"/>
      <c r="F81" s="111"/>
      <c r="G81" s="111"/>
      <c r="H81" s="110"/>
      <c r="J81" s="110"/>
      <c r="M81" s="110"/>
      <c r="N81" s="110"/>
      <c r="O81" s="110"/>
    </row>
    <row r="82" spans="1:15" x14ac:dyDescent="0.35">
      <c r="A82" s="111"/>
      <c r="B82" s="111"/>
      <c r="C82" s="111"/>
      <c r="D82" s="111"/>
      <c r="E82" s="111"/>
      <c r="F82" s="111"/>
      <c r="G82" s="111"/>
      <c r="H82" s="110"/>
      <c r="J82" s="110"/>
      <c r="M82" s="110"/>
      <c r="N82" s="110"/>
      <c r="O82" s="110"/>
    </row>
    <row r="83" spans="1:15" x14ac:dyDescent="0.35">
      <c r="A83" s="111"/>
      <c r="B83" s="111"/>
      <c r="C83" s="111"/>
      <c r="D83" s="111"/>
      <c r="E83" s="111"/>
      <c r="F83" s="111"/>
      <c r="G83" s="111"/>
      <c r="H83" s="110"/>
      <c r="J83" s="110"/>
      <c r="M83" s="110"/>
      <c r="N83" s="110"/>
      <c r="O83" s="110"/>
    </row>
    <row r="84" spans="1:15" x14ac:dyDescent="0.35">
      <c r="A84" s="111"/>
      <c r="B84" s="111"/>
      <c r="C84" s="111"/>
      <c r="D84" s="111"/>
      <c r="E84" s="111"/>
      <c r="F84" s="111"/>
      <c r="G84" s="111"/>
      <c r="H84" s="110"/>
      <c r="J84" s="110"/>
      <c r="M84" s="110"/>
      <c r="N84" s="110"/>
      <c r="O84" s="110"/>
    </row>
    <row r="85" spans="1:15" x14ac:dyDescent="0.35">
      <c r="A85" s="111"/>
      <c r="B85" s="111"/>
      <c r="C85" s="111"/>
      <c r="D85" s="111"/>
      <c r="E85" s="111"/>
      <c r="F85" s="111"/>
      <c r="G85" s="111"/>
      <c r="H85" s="110"/>
      <c r="J85" s="110"/>
      <c r="M85" s="110"/>
      <c r="N85" s="110"/>
      <c r="O85" s="110"/>
    </row>
    <row r="86" spans="1:15" x14ac:dyDescent="0.35">
      <c r="A86" s="111"/>
      <c r="B86" s="111"/>
      <c r="C86" s="111"/>
      <c r="D86" s="111"/>
      <c r="E86" s="111"/>
      <c r="F86" s="111"/>
      <c r="G86" s="111"/>
      <c r="H86" s="110"/>
      <c r="J86" s="110"/>
      <c r="M86" s="110"/>
      <c r="N86" s="110"/>
      <c r="O86" s="110"/>
    </row>
    <row r="87" spans="1:15" x14ac:dyDescent="0.35">
      <c r="A87" s="111"/>
      <c r="B87" s="111"/>
      <c r="C87" s="111"/>
      <c r="D87" s="111"/>
      <c r="E87" s="111"/>
      <c r="F87" s="111"/>
      <c r="G87" s="111"/>
      <c r="H87" s="110"/>
      <c r="J87" s="110"/>
      <c r="M87" s="110"/>
      <c r="N87" s="110"/>
      <c r="O87" s="110"/>
    </row>
    <row r="88" spans="1:15" x14ac:dyDescent="0.35">
      <c r="A88" s="111"/>
      <c r="B88" s="111"/>
      <c r="C88" s="111"/>
      <c r="D88" s="111"/>
      <c r="E88" s="111"/>
      <c r="F88" s="111"/>
      <c r="G88" s="111"/>
      <c r="H88" s="110"/>
      <c r="J88" s="110"/>
      <c r="M88" s="110"/>
      <c r="N88" s="110"/>
      <c r="O88" s="110"/>
    </row>
    <row r="89" spans="1:15" x14ac:dyDescent="0.35">
      <c r="A89" s="111"/>
      <c r="B89" s="111"/>
      <c r="C89" s="111"/>
      <c r="D89" s="111"/>
      <c r="E89" s="111"/>
      <c r="F89" s="111"/>
      <c r="G89" s="111"/>
      <c r="H89" s="110"/>
      <c r="J89" s="110"/>
      <c r="M89" s="110"/>
      <c r="N89" s="110"/>
      <c r="O89" s="110"/>
    </row>
    <row r="90" spans="1:15" x14ac:dyDescent="0.35">
      <c r="A90" s="111"/>
      <c r="B90" s="111"/>
      <c r="C90" s="111"/>
      <c r="D90" s="111"/>
      <c r="E90" s="111"/>
      <c r="F90" s="111"/>
      <c r="G90" s="111"/>
      <c r="H90" s="110"/>
      <c r="J90" s="110"/>
      <c r="M90" s="110"/>
      <c r="N90" s="110"/>
      <c r="O90" s="110"/>
    </row>
    <row r="91" spans="1:15" x14ac:dyDescent="0.35">
      <c r="A91" s="111"/>
      <c r="B91" s="111"/>
      <c r="C91" s="111"/>
      <c r="D91" s="111"/>
      <c r="E91" s="111"/>
      <c r="F91" s="111"/>
      <c r="G91" s="111"/>
      <c r="H91" s="110"/>
      <c r="J91" s="110"/>
      <c r="M91" s="110"/>
      <c r="N91" s="110"/>
      <c r="O91" s="110"/>
    </row>
    <row r="92" spans="1:15" x14ac:dyDescent="0.35">
      <c r="A92" s="111"/>
      <c r="B92" s="111"/>
      <c r="C92" s="111"/>
      <c r="D92" s="111"/>
      <c r="E92" s="111"/>
      <c r="F92" s="111"/>
      <c r="G92" s="111"/>
      <c r="H92" s="110"/>
      <c r="J92" s="110"/>
      <c r="M92" s="110"/>
      <c r="N92" s="110"/>
      <c r="O92" s="110"/>
    </row>
    <row r="93" spans="1:15" x14ac:dyDescent="0.35">
      <c r="A93" s="111"/>
      <c r="B93" s="111"/>
      <c r="C93" s="111"/>
      <c r="D93" s="111"/>
      <c r="E93" s="111"/>
      <c r="F93" s="111"/>
      <c r="G93" s="111"/>
      <c r="H93" s="110"/>
      <c r="J93" s="110"/>
      <c r="M93" s="110"/>
      <c r="N93" s="110"/>
      <c r="O93" s="110"/>
    </row>
    <row r="94" spans="1:15" x14ac:dyDescent="0.35">
      <c r="A94" s="111"/>
      <c r="B94" s="111"/>
      <c r="C94" s="111"/>
      <c r="D94" s="111"/>
      <c r="E94" s="111"/>
      <c r="F94" s="111"/>
      <c r="G94" s="111"/>
      <c r="H94" s="110"/>
      <c r="J94" s="110"/>
      <c r="M94" s="110"/>
      <c r="N94" s="110"/>
      <c r="O94" s="110"/>
    </row>
    <row r="95" spans="1:15" x14ac:dyDescent="0.35">
      <c r="A95" s="111"/>
      <c r="B95" s="111"/>
      <c r="C95" s="111"/>
      <c r="D95" s="111"/>
      <c r="E95" s="111"/>
      <c r="F95" s="111"/>
      <c r="G95" s="111"/>
      <c r="H95" s="110"/>
      <c r="J95" s="110"/>
      <c r="M95" s="110"/>
      <c r="N95" s="110"/>
      <c r="O95" s="110"/>
    </row>
    <row r="96" spans="1:15" x14ac:dyDescent="0.35">
      <c r="A96" s="111"/>
      <c r="B96" s="111"/>
      <c r="C96" s="111"/>
      <c r="D96" s="111"/>
      <c r="E96" s="111"/>
      <c r="F96" s="111"/>
      <c r="G96" s="111"/>
      <c r="H96" s="110"/>
      <c r="J96" s="110"/>
      <c r="M96" s="110"/>
      <c r="N96" s="110"/>
      <c r="O96" s="110"/>
    </row>
    <row r="97" spans="1:15" x14ac:dyDescent="0.35">
      <c r="A97" s="111"/>
      <c r="B97" s="111"/>
      <c r="C97" s="111"/>
      <c r="D97" s="111"/>
      <c r="E97" s="111"/>
      <c r="F97" s="111"/>
      <c r="G97" s="111"/>
      <c r="H97" s="110"/>
      <c r="J97" s="110"/>
      <c r="M97" s="110"/>
      <c r="N97" s="110"/>
      <c r="O97" s="110"/>
    </row>
    <row r="98" spans="1:15" x14ac:dyDescent="0.35">
      <c r="A98" s="111"/>
      <c r="B98" s="111"/>
      <c r="C98" s="111"/>
      <c r="D98" s="111"/>
      <c r="E98" s="111"/>
      <c r="F98" s="111"/>
      <c r="G98" s="111"/>
      <c r="H98" s="110"/>
      <c r="J98" s="110"/>
      <c r="M98" s="110"/>
      <c r="N98" s="110"/>
      <c r="O98" s="110"/>
    </row>
    <row r="99" spans="1:15" x14ac:dyDescent="0.35">
      <c r="A99" s="111"/>
      <c r="B99" s="111"/>
      <c r="C99" s="111"/>
      <c r="D99" s="111"/>
      <c r="E99" s="111"/>
      <c r="F99" s="111"/>
      <c r="G99" s="111"/>
      <c r="H99" s="110"/>
      <c r="J99" s="110"/>
      <c r="M99" s="110"/>
      <c r="N99" s="110"/>
      <c r="O99" s="110"/>
    </row>
    <row r="100" spans="1:15" x14ac:dyDescent="0.35">
      <c r="A100" s="111"/>
      <c r="B100" s="111"/>
      <c r="C100" s="111"/>
      <c r="D100" s="111"/>
      <c r="E100" s="111"/>
      <c r="F100" s="111"/>
      <c r="G100" s="111"/>
      <c r="H100" s="110"/>
      <c r="J100" s="110"/>
      <c r="M100" s="110"/>
      <c r="N100" s="110"/>
      <c r="O100" s="110"/>
    </row>
    <row r="101" spans="1:15" x14ac:dyDescent="0.35">
      <c r="A101" s="111"/>
      <c r="B101" s="111"/>
      <c r="C101" s="111"/>
      <c r="D101" s="111"/>
      <c r="E101" s="111"/>
      <c r="F101" s="111"/>
      <c r="G101" s="111"/>
      <c r="H101" s="110"/>
      <c r="J101" s="110"/>
      <c r="M101" s="110"/>
      <c r="N101" s="110"/>
      <c r="O101" s="110"/>
    </row>
    <row r="102" spans="1:15" x14ac:dyDescent="0.35">
      <c r="A102" s="111"/>
      <c r="B102" s="111"/>
      <c r="C102" s="111"/>
      <c r="D102" s="111"/>
      <c r="E102" s="111"/>
      <c r="F102" s="111"/>
      <c r="G102" s="111"/>
      <c r="H102" s="110"/>
      <c r="J102" s="110"/>
      <c r="M102" s="110"/>
      <c r="N102" s="110"/>
      <c r="O102" s="110"/>
    </row>
    <row r="103" spans="1:15" x14ac:dyDescent="0.35">
      <c r="A103" s="111"/>
      <c r="B103" s="111"/>
      <c r="C103" s="111"/>
      <c r="D103" s="111"/>
      <c r="E103" s="111"/>
      <c r="F103" s="111"/>
      <c r="G103" s="111"/>
      <c r="H103" s="110"/>
      <c r="J103" s="110"/>
      <c r="M103" s="110"/>
      <c r="N103" s="110"/>
      <c r="O103" s="110"/>
    </row>
    <row r="104" spans="1:15" x14ac:dyDescent="0.35">
      <c r="A104" s="111"/>
      <c r="B104" s="111"/>
      <c r="C104" s="111"/>
      <c r="D104" s="111"/>
      <c r="E104" s="111"/>
      <c r="F104" s="111"/>
      <c r="G104" s="111"/>
      <c r="H104" s="110"/>
      <c r="J104" s="110"/>
      <c r="M104" s="110"/>
      <c r="N104" s="110"/>
      <c r="O104" s="110"/>
    </row>
    <row r="105" spans="1:15" x14ac:dyDescent="0.35">
      <c r="A105" s="111"/>
      <c r="B105" s="111"/>
      <c r="C105" s="111"/>
      <c r="D105" s="111"/>
      <c r="E105" s="111"/>
      <c r="F105" s="111"/>
      <c r="G105" s="111"/>
      <c r="H105" s="110"/>
      <c r="J105" s="110"/>
      <c r="M105" s="110"/>
      <c r="N105" s="110"/>
      <c r="O105" s="110"/>
    </row>
    <row r="106" spans="1:15" x14ac:dyDescent="0.35">
      <c r="A106" s="111"/>
      <c r="B106" s="111"/>
      <c r="C106" s="111"/>
      <c r="D106" s="111"/>
      <c r="E106" s="111"/>
      <c r="F106" s="111"/>
      <c r="G106" s="111"/>
      <c r="H106" s="110"/>
      <c r="J106" s="110"/>
      <c r="M106" s="110"/>
      <c r="N106" s="110"/>
      <c r="O106" s="110"/>
    </row>
    <row r="107" spans="1:15" x14ac:dyDescent="0.35">
      <c r="A107" s="111"/>
      <c r="B107" s="111"/>
      <c r="C107" s="111"/>
      <c r="D107" s="111"/>
      <c r="E107" s="111"/>
      <c r="F107" s="111"/>
      <c r="G107" s="111"/>
      <c r="H107" s="110"/>
      <c r="J107" s="110"/>
      <c r="M107" s="110"/>
      <c r="N107" s="110"/>
      <c r="O107" s="110"/>
    </row>
    <row r="108" spans="1:15" x14ac:dyDescent="0.35">
      <c r="A108" s="111"/>
      <c r="B108" s="111"/>
      <c r="C108" s="111"/>
      <c r="D108" s="111"/>
      <c r="E108" s="111"/>
      <c r="F108" s="111"/>
      <c r="G108" s="111"/>
      <c r="H108" s="110"/>
      <c r="J108" s="110"/>
      <c r="M108" s="110"/>
      <c r="N108" s="110"/>
      <c r="O108" s="110"/>
    </row>
    <row r="109" spans="1:15" x14ac:dyDescent="0.35">
      <c r="A109" s="111"/>
      <c r="B109" s="111"/>
      <c r="C109" s="111"/>
      <c r="D109" s="111"/>
      <c r="E109" s="111"/>
      <c r="F109" s="111"/>
      <c r="G109" s="111"/>
      <c r="H109" s="110"/>
      <c r="J109" s="110"/>
      <c r="M109" s="110"/>
      <c r="N109" s="110"/>
      <c r="O109" s="110"/>
    </row>
    <row r="110" spans="1:15" x14ac:dyDescent="0.35">
      <c r="A110" s="111"/>
      <c r="B110" s="111"/>
      <c r="C110" s="111"/>
      <c r="D110" s="111"/>
      <c r="E110" s="111"/>
      <c r="F110" s="111"/>
      <c r="G110" s="111"/>
      <c r="H110" s="110"/>
      <c r="J110" s="110"/>
      <c r="M110" s="110"/>
      <c r="N110" s="110"/>
      <c r="O110" s="110"/>
    </row>
    <row r="111" spans="1:15" x14ac:dyDescent="0.35">
      <c r="A111" s="111"/>
      <c r="B111" s="111"/>
      <c r="C111" s="111"/>
      <c r="D111" s="111"/>
      <c r="E111" s="111"/>
      <c r="F111" s="111"/>
      <c r="G111" s="111"/>
      <c r="H111" s="110"/>
      <c r="J111" s="110"/>
      <c r="M111" s="110"/>
      <c r="N111" s="110"/>
      <c r="O111" s="110"/>
    </row>
    <row r="112" spans="1:15" x14ac:dyDescent="0.35">
      <c r="A112" s="111"/>
      <c r="B112" s="111"/>
      <c r="C112" s="111"/>
      <c r="D112" s="111"/>
      <c r="E112" s="111"/>
      <c r="F112" s="111"/>
      <c r="G112" s="111"/>
      <c r="H112" s="110"/>
      <c r="J112" s="110"/>
      <c r="M112" s="110"/>
      <c r="N112" s="110"/>
      <c r="O112" s="110"/>
    </row>
    <row r="113" spans="1:15" x14ac:dyDescent="0.35">
      <c r="A113" s="111"/>
      <c r="B113" s="111"/>
      <c r="C113" s="111"/>
      <c r="D113" s="111"/>
      <c r="E113" s="111"/>
      <c r="F113" s="111"/>
      <c r="G113" s="111"/>
      <c r="H113" s="110"/>
      <c r="J113" s="110"/>
      <c r="M113" s="110"/>
      <c r="N113" s="110"/>
      <c r="O113" s="110"/>
    </row>
    <row r="114" spans="1:15" x14ac:dyDescent="0.35">
      <c r="A114" s="111"/>
      <c r="B114" s="111"/>
      <c r="C114" s="111"/>
      <c r="D114" s="111"/>
      <c r="E114" s="111"/>
      <c r="F114" s="111"/>
      <c r="G114" s="111"/>
      <c r="H114" s="110"/>
      <c r="J114" s="110"/>
      <c r="M114" s="110"/>
      <c r="N114" s="110"/>
      <c r="O114" s="110"/>
    </row>
    <row r="115" spans="1:15" x14ac:dyDescent="0.35">
      <c r="A115" s="111"/>
      <c r="B115" s="111"/>
      <c r="C115" s="111"/>
      <c r="D115" s="111"/>
      <c r="E115" s="111"/>
      <c r="F115" s="111"/>
      <c r="G115" s="111"/>
      <c r="H115" s="110"/>
      <c r="J115" s="110"/>
      <c r="M115" s="110"/>
      <c r="N115" s="110"/>
      <c r="O115" s="110"/>
    </row>
    <row r="116" spans="1:15" x14ac:dyDescent="0.35">
      <c r="A116" s="111"/>
      <c r="B116" s="111"/>
      <c r="C116" s="111"/>
      <c r="D116" s="111"/>
      <c r="E116" s="111"/>
      <c r="F116" s="111"/>
      <c r="G116" s="111"/>
      <c r="H116" s="110"/>
      <c r="J116" s="110"/>
      <c r="M116" s="110"/>
      <c r="N116" s="110"/>
      <c r="O116" s="110"/>
    </row>
    <row r="117" spans="1:15" x14ac:dyDescent="0.35">
      <c r="A117" s="111"/>
      <c r="B117" s="111"/>
      <c r="C117" s="111"/>
      <c r="D117" s="111"/>
      <c r="E117" s="111"/>
      <c r="F117" s="111"/>
      <c r="G117" s="111"/>
      <c r="H117" s="110"/>
      <c r="J117" s="110"/>
      <c r="M117" s="110"/>
      <c r="N117" s="110"/>
      <c r="O117" s="110"/>
    </row>
    <row r="118" spans="1:15" x14ac:dyDescent="0.35">
      <c r="A118" s="111"/>
      <c r="B118" s="111"/>
      <c r="C118" s="111"/>
      <c r="D118" s="111"/>
      <c r="E118" s="111"/>
      <c r="F118" s="111"/>
      <c r="G118" s="111"/>
      <c r="H118" s="110"/>
      <c r="J118" s="110"/>
      <c r="M118" s="110"/>
      <c r="N118" s="110"/>
      <c r="O118" s="110"/>
    </row>
    <row r="119" spans="1:15" x14ac:dyDescent="0.35">
      <c r="A119" s="111"/>
      <c r="B119" s="111"/>
      <c r="C119" s="111"/>
      <c r="D119" s="111"/>
      <c r="E119" s="111"/>
      <c r="F119" s="111"/>
      <c r="G119" s="111"/>
      <c r="H119" s="110"/>
      <c r="J119" s="110"/>
      <c r="M119" s="110"/>
      <c r="N119" s="110"/>
      <c r="O119" s="110"/>
    </row>
    <row r="120" spans="1:15" x14ac:dyDescent="0.35">
      <c r="A120" s="111"/>
      <c r="B120" s="111"/>
      <c r="C120" s="111"/>
      <c r="D120" s="111"/>
      <c r="E120" s="111"/>
      <c r="F120" s="111"/>
      <c r="G120" s="111"/>
      <c r="H120" s="110"/>
      <c r="J120" s="110"/>
      <c r="M120" s="110"/>
      <c r="N120" s="110"/>
      <c r="O120" s="110"/>
    </row>
    <row r="121" spans="1:15" x14ac:dyDescent="0.35">
      <c r="A121" s="111"/>
      <c r="B121" s="111"/>
      <c r="C121" s="111"/>
      <c r="D121" s="111"/>
      <c r="E121" s="111"/>
      <c r="F121" s="111"/>
      <c r="G121" s="111"/>
      <c r="H121" s="110"/>
      <c r="J121" s="110"/>
      <c r="M121" s="110"/>
      <c r="N121" s="110"/>
      <c r="O121" s="110"/>
    </row>
    <row r="122" spans="1:15" x14ac:dyDescent="0.35">
      <c r="A122" s="111"/>
      <c r="B122" s="111"/>
      <c r="C122" s="111"/>
      <c r="D122" s="111"/>
      <c r="E122" s="111"/>
      <c r="F122" s="111"/>
      <c r="G122" s="111"/>
      <c r="H122" s="110"/>
      <c r="J122" s="110"/>
      <c r="M122" s="110"/>
      <c r="N122" s="110"/>
      <c r="O122" s="110"/>
    </row>
    <row r="123" spans="1:15" x14ac:dyDescent="0.35">
      <c r="A123" s="111"/>
      <c r="B123" s="111"/>
      <c r="C123" s="111"/>
      <c r="D123" s="111"/>
      <c r="E123" s="111"/>
      <c r="F123" s="111"/>
      <c r="G123" s="111"/>
      <c r="H123" s="110"/>
      <c r="J123" s="110"/>
      <c r="M123" s="110"/>
      <c r="N123" s="110"/>
      <c r="O123" s="110"/>
    </row>
    <row r="124" spans="1:15" x14ac:dyDescent="0.35">
      <c r="A124" s="111"/>
      <c r="B124" s="111"/>
      <c r="C124" s="111"/>
      <c r="D124" s="111"/>
      <c r="E124" s="111"/>
      <c r="F124" s="111"/>
      <c r="G124" s="111"/>
      <c r="H124" s="110"/>
      <c r="J124" s="110"/>
      <c r="M124" s="110"/>
      <c r="N124" s="110"/>
      <c r="O124" s="110"/>
    </row>
    <row r="125" spans="1:15" x14ac:dyDescent="0.35">
      <c r="A125" s="111"/>
      <c r="B125" s="111"/>
      <c r="C125" s="111"/>
      <c r="D125" s="111"/>
      <c r="E125" s="111"/>
      <c r="F125" s="111"/>
      <c r="G125" s="111"/>
      <c r="H125" s="110"/>
      <c r="J125" s="110"/>
      <c r="M125" s="110"/>
      <c r="N125" s="110"/>
      <c r="O125" s="110"/>
    </row>
    <row r="126" spans="1:15" x14ac:dyDescent="0.35">
      <c r="A126" s="111"/>
      <c r="B126" s="111"/>
      <c r="C126" s="111"/>
      <c r="D126" s="111"/>
      <c r="E126" s="111"/>
      <c r="F126" s="111"/>
      <c r="G126" s="111"/>
      <c r="H126" s="110"/>
      <c r="J126" s="110"/>
      <c r="M126" s="110"/>
      <c r="N126" s="110"/>
      <c r="O126" s="110"/>
    </row>
    <row r="127" spans="1:15" x14ac:dyDescent="0.35">
      <c r="A127" s="111"/>
      <c r="B127" s="111"/>
      <c r="C127" s="111"/>
      <c r="D127" s="111"/>
      <c r="E127" s="111"/>
      <c r="F127" s="111"/>
      <c r="G127" s="111"/>
      <c r="H127" s="110"/>
      <c r="J127" s="110"/>
      <c r="M127" s="110"/>
      <c r="N127" s="110"/>
      <c r="O127" s="110"/>
    </row>
    <row r="128" spans="1:15" x14ac:dyDescent="0.35">
      <c r="A128" s="111"/>
      <c r="B128" s="111"/>
      <c r="C128" s="111"/>
      <c r="D128" s="111"/>
      <c r="E128" s="111"/>
      <c r="F128" s="111"/>
      <c r="G128" s="111"/>
      <c r="H128" s="110"/>
      <c r="J128" s="110"/>
      <c r="M128" s="110"/>
      <c r="N128" s="110"/>
      <c r="O128" s="110"/>
    </row>
    <row r="129" spans="1:15" x14ac:dyDescent="0.35">
      <c r="A129" s="111"/>
      <c r="B129" s="111"/>
      <c r="C129" s="111"/>
      <c r="D129" s="111"/>
      <c r="E129" s="111"/>
      <c r="F129" s="111"/>
      <c r="G129" s="111"/>
      <c r="H129" s="110"/>
      <c r="J129" s="110"/>
      <c r="M129" s="110"/>
      <c r="N129" s="110"/>
      <c r="O129" s="110"/>
    </row>
    <row r="130" spans="1:15" x14ac:dyDescent="0.35">
      <c r="A130" s="111"/>
      <c r="B130" s="111"/>
      <c r="C130" s="111"/>
      <c r="D130" s="111"/>
      <c r="E130" s="111"/>
      <c r="F130" s="111"/>
      <c r="G130" s="111"/>
      <c r="H130" s="110"/>
      <c r="J130" s="110"/>
      <c r="M130" s="110"/>
      <c r="N130" s="110"/>
      <c r="O130" s="110"/>
    </row>
    <row r="131" spans="1:15" x14ac:dyDescent="0.35">
      <c r="A131" s="111"/>
      <c r="B131" s="111"/>
      <c r="C131" s="111"/>
      <c r="D131" s="111"/>
      <c r="E131" s="111"/>
      <c r="F131" s="111"/>
      <c r="G131" s="111"/>
      <c r="H131" s="110"/>
      <c r="J131" s="110"/>
      <c r="M131" s="110"/>
      <c r="N131" s="110"/>
      <c r="O131" s="110"/>
    </row>
    <row r="132" spans="1:15" x14ac:dyDescent="0.35">
      <c r="A132" s="111"/>
      <c r="B132" s="111"/>
      <c r="C132" s="111"/>
      <c r="D132" s="111"/>
      <c r="E132" s="111"/>
      <c r="F132" s="111"/>
      <c r="G132" s="111"/>
      <c r="H132" s="110"/>
      <c r="J132" s="110"/>
      <c r="M132" s="110"/>
      <c r="N132" s="110"/>
      <c r="O132" s="110"/>
    </row>
    <row r="133" spans="1:15" x14ac:dyDescent="0.35">
      <c r="A133" s="111"/>
      <c r="B133" s="111"/>
      <c r="C133" s="111"/>
      <c r="D133" s="111"/>
      <c r="E133" s="111"/>
      <c r="F133" s="111"/>
      <c r="G133" s="111"/>
      <c r="H133" s="110"/>
      <c r="J133" s="110"/>
      <c r="M133" s="110"/>
      <c r="N133" s="110"/>
      <c r="O133" s="110"/>
    </row>
    <row r="134" spans="1:15" x14ac:dyDescent="0.35">
      <c r="A134" s="111"/>
      <c r="B134" s="111"/>
      <c r="C134" s="111"/>
      <c r="D134" s="111"/>
      <c r="E134" s="111"/>
      <c r="F134" s="111"/>
      <c r="G134" s="111"/>
      <c r="H134" s="110"/>
      <c r="J134" s="110"/>
      <c r="M134" s="110"/>
      <c r="N134" s="110"/>
      <c r="O134" s="110"/>
    </row>
    <row r="135" spans="1:15" x14ac:dyDescent="0.35">
      <c r="A135" s="111"/>
      <c r="B135" s="111"/>
      <c r="C135" s="111"/>
      <c r="D135" s="111"/>
      <c r="E135" s="111"/>
      <c r="F135" s="111"/>
      <c r="G135" s="111"/>
      <c r="H135" s="110"/>
      <c r="J135" s="110"/>
      <c r="M135" s="110"/>
      <c r="N135" s="110"/>
      <c r="O135" s="110"/>
    </row>
    <row r="136" spans="1:15" x14ac:dyDescent="0.35">
      <c r="A136" s="111"/>
      <c r="B136" s="111"/>
      <c r="C136" s="111"/>
      <c r="D136" s="111"/>
      <c r="E136" s="111"/>
      <c r="F136" s="111"/>
      <c r="G136" s="111"/>
      <c r="H136" s="110"/>
      <c r="J136" s="110"/>
      <c r="M136" s="110"/>
      <c r="N136" s="110"/>
      <c r="O136" s="110"/>
    </row>
    <row r="137" spans="1:15" x14ac:dyDescent="0.35">
      <c r="A137" s="111"/>
      <c r="B137" s="111"/>
      <c r="C137" s="111"/>
      <c r="D137" s="111"/>
      <c r="E137" s="111"/>
      <c r="F137" s="111"/>
      <c r="G137" s="111"/>
      <c r="H137" s="110"/>
      <c r="J137" s="110"/>
      <c r="M137" s="110"/>
      <c r="N137" s="110"/>
      <c r="O137" s="110"/>
    </row>
    <row r="138" spans="1:15" x14ac:dyDescent="0.35">
      <c r="A138" s="111"/>
      <c r="B138" s="111"/>
      <c r="C138" s="111"/>
      <c r="D138" s="111"/>
      <c r="E138" s="111"/>
      <c r="F138" s="111"/>
      <c r="G138" s="111"/>
      <c r="H138" s="110"/>
      <c r="J138" s="110"/>
      <c r="M138" s="110"/>
      <c r="N138" s="110"/>
      <c r="O138" s="110"/>
    </row>
    <row r="139" spans="1:15" x14ac:dyDescent="0.35">
      <c r="A139" s="111"/>
      <c r="B139" s="111"/>
      <c r="C139" s="111"/>
      <c r="D139" s="111"/>
      <c r="E139" s="111"/>
      <c r="F139" s="111"/>
      <c r="G139" s="111"/>
      <c r="H139" s="110"/>
      <c r="J139" s="110"/>
      <c r="M139" s="110"/>
      <c r="N139" s="110"/>
      <c r="O139" s="110"/>
    </row>
    <row r="140" spans="1:15" x14ac:dyDescent="0.35">
      <c r="A140" s="111"/>
      <c r="B140" s="111"/>
      <c r="C140" s="111"/>
      <c r="D140" s="111"/>
      <c r="E140" s="111"/>
      <c r="F140" s="111"/>
      <c r="G140" s="111"/>
      <c r="H140" s="110"/>
      <c r="J140" s="110"/>
      <c r="M140" s="110"/>
      <c r="N140" s="110"/>
      <c r="O140" s="110"/>
    </row>
    <row r="141" spans="1:15" x14ac:dyDescent="0.35">
      <c r="A141" s="111"/>
      <c r="B141" s="111"/>
      <c r="C141" s="111"/>
      <c r="D141" s="111"/>
      <c r="E141" s="111"/>
      <c r="F141" s="111"/>
      <c r="G141" s="111"/>
      <c r="H141" s="110"/>
      <c r="J141" s="110"/>
      <c r="M141" s="110"/>
      <c r="N141" s="110"/>
      <c r="O141" s="110"/>
    </row>
    <row r="142" spans="1:15" x14ac:dyDescent="0.35">
      <c r="A142" s="111"/>
      <c r="B142" s="111"/>
      <c r="C142" s="111"/>
      <c r="D142" s="111"/>
      <c r="E142" s="111"/>
      <c r="F142" s="111"/>
      <c r="G142" s="111"/>
      <c r="H142" s="110"/>
      <c r="J142" s="110"/>
      <c r="M142" s="110"/>
      <c r="N142" s="110"/>
      <c r="O142" s="110"/>
    </row>
    <row r="143" spans="1:15" x14ac:dyDescent="0.35">
      <c r="A143" s="111"/>
      <c r="B143" s="111"/>
      <c r="C143" s="111"/>
      <c r="D143" s="111"/>
      <c r="E143" s="111"/>
      <c r="F143" s="111"/>
      <c r="G143" s="111"/>
      <c r="H143" s="110"/>
      <c r="J143" s="110"/>
      <c r="M143" s="110"/>
      <c r="N143" s="110"/>
      <c r="O143" s="110"/>
    </row>
    <row r="144" spans="1:15" x14ac:dyDescent="0.35">
      <c r="A144" s="111"/>
      <c r="B144" s="111"/>
      <c r="C144" s="111"/>
      <c r="D144" s="111"/>
      <c r="E144" s="111"/>
      <c r="F144" s="111"/>
      <c r="G144" s="111"/>
      <c r="H144" s="110"/>
      <c r="J144" s="110"/>
      <c r="M144" s="110"/>
      <c r="N144" s="110"/>
      <c r="O144" s="110"/>
    </row>
    <row r="145" spans="1:15" x14ac:dyDescent="0.35">
      <c r="A145" s="111"/>
      <c r="B145" s="111"/>
      <c r="C145" s="111"/>
      <c r="D145" s="111"/>
      <c r="E145" s="111"/>
      <c r="F145" s="111"/>
      <c r="G145" s="111"/>
      <c r="H145" s="110"/>
      <c r="J145" s="110"/>
      <c r="M145" s="110"/>
      <c r="N145" s="110"/>
      <c r="O145" s="110"/>
    </row>
    <row r="146" spans="1:15" x14ac:dyDescent="0.35">
      <c r="A146" s="111"/>
      <c r="B146" s="111"/>
      <c r="C146" s="111"/>
      <c r="D146" s="111"/>
      <c r="E146" s="111"/>
      <c r="F146" s="111"/>
      <c r="G146" s="111"/>
      <c r="H146" s="110"/>
      <c r="J146" s="110"/>
      <c r="M146" s="110"/>
      <c r="N146" s="110"/>
      <c r="O146" s="110"/>
    </row>
    <row r="147" spans="1:15" x14ac:dyDescent="0.35">
      <c r="A147" s="111"/>
      <c r="B147" s="111"/>
      <c r="C147" s="111"/>
      <c r="D147" s="111"/>
      <c r="E147" s="111"/>
      <c r="F147" s="111"/>
      <c r="G147" s="111"/>
      <c r="H147" s="110"/>
      <c r="J147" s="110"/>
      <c r="M147" s="110"/>
      <c r="N147" s="110"/>
      <c r="O147" s="110"/>
    </row>
    <row r="148" spans="1:15" x14ac:dyDescent="0.35">
      <c r="A148" s="111"/>
      <c r="B148" s="111"/>
      <c r="C148" s="111"/>
      <c r="D148" s="111"/>
      <c r="E148" s="111"/>
      <c r="F148" s="111"/>
      <c r="G148" s="111"/>
      <c r="H148" s="110"/>
      <c r="J148" s="110"/>
      <c r="M148" s="110"/>
      <c r="N148" s="110"/>
      <c r="O148" s="110"/>
    </row>
    <row r="149" spans="1:15" x14ac:dyDescent="0.35">
      <c r="A149" s="111"/>
      <c r="B149" s="111"/>
      <c r="C149" s="111"/>
      <c r="D149" s="111"/>
      <c r="E149" s="111"/>
      <c r="F149" s="111"/>
      <c r="G149" s="111"/>
      <c r="H149" s="110"/>
      <c r="J149" s="110"/>
      <c r="M149" s="110"/>
      <c r="N149" s="110"/>
      <c r="O149" s="110"/>
    </row>
    <row r="150" spans="1:15" x14ac:dyDescent="0.35">
      <c r="A150" s="111"/>
      <c r="B150" s="111"/>
      <c r="C150" s="111"/>
      <c r="D150" s="111"/>
      <c r="E150" s="111"/>
      <c r="F150" s="111"/>
      <c r="G150" s="111"/>
      <c r="H150" s="110"/>
      <c r="J150" s="110"/>
      <c r="M150" s="110"/>
      <c r="N150" s="110"/>
      <c r="O150" s="110"/>
    </row>
    <row r="151" spans="1:15" x14ac:dyDescent="0.35">
      <c r="A151" s="111"/>
      <c r="B151" s="111"/>
      <c r="C151" s="111"/>
      <c r="D151" s="111"/>
      <c r="E151" s="111"/>
      <c r="F151" s="111"/>
      <c r="G151" s="111"/>
      <c r="H151" s="110"/>
      <c r="J151" s="110"/>
      <c r="M151" s="110"/>
      <c r="N151" s="110"/>
      <c r="O151" s="110"/>
    </row>
    <row r="152" spans="1:15" x14ac:dyDescent="0.35">
      <c r="A152" s="111"/>
      <c r="B152" s="111"/>
      <c r="C152" s="111"/>
      <c r="D152" s="111"/>
      <c r="E152" s="111"/>
      <c r="F152" s="111"/>
      <c r="G152" s="111"/>
      <c r="H152" s="110"/>
      <c r="J152" s="110"/>
      <c r="M152" s="110"/>
      <c r="N152" s="110"/>
      <c r="O152" s="110"/>
    </row>
    <row r="153" spans="1:15" x14ac:dyDescent="0.35">
      <c r="A153" s="111"/>
      <c r="B153" s="111"/>
      <c r="C153" s="111"/>
      <c r="D153" s="111"/>
      <c r="E153" s="111"/>
      <c r="F153" s="111"/>
      <c r="G153" s="111"/>
      <c r="H153" s="110"/>
      <c r="J153" s="110"/>
      <c r="M153" s="110"/>
      <c r="N153" s="110"/>
      <c r="O153" s="110"/>
    </row>
    <row r="154" spans="1:15" x14ac:dyDescent="0.35">
      <c r="A154" s="111"/>
      <c r="B154" s="111"/>
      <c r="C154" s="111"/>
      <c r="D154" s="111"/>
      <c r="E154" s="111"/>
      <c r="F154" s="111"/>
      <c r="G154" s="111"/>
      <c r="H154" s="110"/>
      <c r="J154" s="110"/>
      <c r="M154" s="110"/>
      <c r="N154" s="110"/>
      <c r="O154" s="110"/>
    </row>
    <row r="155" spans="1:15" x14ac:dyDescent="0.35">
      <c r="A155" s="111"/>
      <c r="B155" s="111"/>
      <c r="C155" s="111"/>
      <c r="D155" s="111"/>
      <c r="E155" s="111"/>
      <c r="F155" s="111"/>
      <c r="G155" s="111"/>
      <c r="H155" s="110"/>
      <c r="J155" s="110"/>
      <c r="M155" s="110"/>
      <c r="N155" s="110"/>
      <c r="O155" s="110"/>
    </row>
    <row r="156" spans="1:15" x14ac:dyDescent="0.35">
      <c r="A156" s="111"/>
      <c r="B156" s="111"/>
      <c r="C156" s="111"/>
      <c r="D156" s="111"/>
      <c r="E156" s="111"/>
      <c r="F156" s="111"/>
      <c r="G156" s="111"/>
      <c r="H156" s="110"/>
      <c r="J156" s="110"/>
      <c r="M156" s="110"/>
      <c r="N156" s="110"/>
      <c r="O156" s="110"/>
    </row>
    <row r="157" spans="1:15" x14ac:dyDescent="0.35">
      <c r="A157" s="111"/>
      <c r="B157" s="111"/>
      <c r="C157" s="111"/>
      <c r="D157" s="111"/>
      <c r="E157" s="111"/>
      <c r="F157" s="111"/>
      <c r="G157" s="111"/>
      <c r="H157" s="110"/>
      <c r="J157" s="110"/>
      <c r="M157" s="110"/>
      <c r="N157" s="110"/>
      <c r="O157" s="110"/>
    </row>
    <row r="158" spans="1:15" x14ac:dyDescent="0.35">
      <c r="A158" s="111"/>
      <c r="B158" s="111"/>
      <c r="C158" s="111"/>
      <c r="D158" s="111"/>
      <c r="E158" s="111"/>
      <c r="F158" s="111"/>
      <c r="G158" s="111"/>
      <c r="H158" s="110"/>
      <c r="J158" s="110"/>
      <c r="M158" s="110"/>
      <c r="N158" s="110"/>
      <c r="O158" s="110"/>
    </row>
    <row r="159" spans="1:15" x14ac:dyDescent="0.35">
      <c r="A159" s="111"/>
      <c r="B159" s="111"/>
      <c r="C159" s="111"/>
      <c r="D159" s="111"/>
      <c r="E159" s="111"/>
      <c r="F159" s="111"/>
      <c r="G159" s="111"/>
      <c r="H159" s="110"/>
      <c r="J159" s="110"/>
      <c r="M159" s="110"/>
      <c r="N159" s="110"/>
      <c r="O159" s="110"/>
    </row>
    <row r="160" spans="1:15" x14ac:dyDescent="0.35">
      <c r="A160" s="111"/>
      <c r="B160" s="111"/>
      <c r="C160" s="111"/>
      <c r="D160" s="111"/>
      <c r="E160" s="111"/>
      <c r="F160" s="111"/>
      <c r="G160" s="111"/>
      <c r="H160" s="110"/>
      <c r="J160" s="110"/>
      <c r="M160" s="110"/>
      <c r="N160" s="110"/>
      <c r="O160" s="110"/>
    </row>
    <row r="161" spans="1:15" x14ac:dyDescent="0.35">
      <c r="A161" s="111"/>
      <c r="B161" s="111"/>
      <c r="C161" s="111"/>
      <c r="D161" s="111"/>
      <c r="E161" s="111"/>
      <c r="F161" s="111"/>
      <c r="G161" s="111"/>
      <c r="H161" s="110"/>
      <c r="J161" s="110"/>
      <c r="M161" s="110"/>
      <c r="N161" s="110"/>
      <c r="O161" s="110"/>
    </row>
    <row r="162" spans="1:15" x14ac:dyDescent="0.35">
      <c r="A162" s="111"/>
      <c r="B162" s="111"/>
      <c r="C162" s="111"/>
      <c r="D162" s="111"/>
      <c r="E162" s="111"/>
      <c r="F162" s="111"/>
      <c r="G162" s="111"/>
      <c r="H162" s="110"/>
      <c r="J162" s="110"/>
      <c r="M162" s="110"/>
      <c r="N162" s="110"/>
      <c r="O162" s="110"/>
    </row>
    <row r="163" spans="1:15" x14ac:dyDescent="0.35">
      <c r="A163" s="111"/>
      <c r="B163" s="111"/>
      <c r="C163" s="111"/>
      <c r="D163" s="111"/>
      <c r="E163" s="111"/>
      <c r="F163" s="111"/>
      <c r="G163" s="111"/>
      <c r="H163" s="110"/>
      <c r="J163" s="110"/>
      <c r="M163" s="110"/>
      <c r="N163" s="110"/>
      <c r="O163" s="110"/>
    </row>
    <row r="164" spans="1:15" x14ac:dyDescent="0.35">
      <c r="A164" s="111"/>
      <c r="B164" s="111"/>
      <c r="C164" s="111"/>
      <c r="D164" s="111"/>
      <c r="E164" s="111"/>
      <c r="F164" s="111"/>
      <c r="G164" s="111"/>
      <c r="H164" s="110"/>
      <c r="J164" s="110"/>
      <c r="M164" s="110"/>
      <c r="N164" s="110"/>
      <c r="O164" s="110"/>
    </row>
    <row r="165" spans="1:15" x14ac:dyDescent="0.35">
      <c r="A165" s="111"/>
      <c r="B165" s="111"/>
      <c r="C165" s="111"/>
      <c r="D165" s="111"/>
      <c r="E165" s="111"/>
      <c r="F165" s="111"/>
      <c r="G165" s="111"/>
      <c r="H165" s="110"/>
      <c r="J165" s="110"/>
      <c r="M165" s="110"/>
      <c r="N165" s="110"/>
      <c r="O165" s="110"/>
    </row>
    <row r="166" spans="1:15" x14ac:dyDescent="0.35">
      <c r="A166" s="111"/>
      <c r="B166" s="111"/>
      <c r="C166" s="111"/>
      <c r="D166" s="111"/>
      <c r="E166" s="111"/>
      <c r="F166" s="111"/>
      <c r="G166" s="111"/>
      <c r="H166" s="110"/>
      <c r="J166" s="110"/>
      <c r="M166" s="110"/>
      <c r="N166" s="110"/>
      <c r="O166" s="110"/>
    </row>
    <row r="167" spans="1:15" x14ac:dyDescent="0.35">
      <c r="A167" s="111"/>
      <c r="B167" s="111"/>
      <c r="C167" s="111"/>
      <c r="D167" s="111"/>
      <c r="E167" s="111"/>
      <c r="F167" s="111"/>
      <c r="G167" s="111"/>
      <c r="H167" s="110"/>
      <c r="J167" s="110"/>
      <c r="M167" s="110"/>
      <c r="N167" s="110"/>
      <c r="O167" s="110"/>
    </row>
    <row r="168" spans="1:15" x14ac:dyDescent="0.35">
      <c r="A168" s="111"/>
      <c r="B168" s="111"/>
      <c r="C168" s="111"/>
      <c r="D168" s="111"/>
      <c r="E168" s="111"/>
      <c r="F168" s="111"/>
      <c r="G168" s="111"/>
      <c r="H168" s="110"/>
      <c r="J168" s="110"/>
      <c r="M168" s="110"/>
      <c r="N168" s="110"/>
      <c r="O168" s="110"/>
    </row>
    <row r="169" spans="1:15" x14ac:dyDescent="0.35">
      <c r="A169" s="111"/>
      <c r="B169" s="111"/>
      <c r="C169" s="111"/>
      <c r="D169" s="111"/>
      <c r="E169" s="111"/>
      <c r="F169" s="111"/>
      <c r="G169" s="111"/>
      <c r="H169" s="110"/>
      <c r="J169" s="110"/>
      <c r="M169" s="110"/>
      <c r="N169" s="110"/>
      <c r="O169" s="110"/>
    </row>
    <row r="170" spans="1:15" x14ac:dyDescent="0.35">
      <c r="A170" s="111"/>
      <c r="B170" s="111"/>
      <c r="C170" s="111"/>
      <c r="D170" s="111"/>
      <c r="E170" s="111"/>
      <c r="F170" s="111"/>
      <c r="G170" s="111"/>
      <c r="H170" s="110"/>
      <c r="J170" s="110"/>
      <c r="M170" s="110"/>
      <c r="N170" s="110"/>
      <c r="O170" s="110"/>
    </row>
    <row r="171" spans="1:15" x14ac:dyDescent="0.35">
      <c r="A171" s="111"/>
      <c r="B171" s="111"/>
      <c r="C171" s="111"/>
      <c r="D171" s="111"/>
      <c r="E171" s="111"/>
      <c r="F171" s="111"/>
      <c r="G171" s="111"/>
      <c r="H171" s="110"/>
      <c r="J171" s="110"/>
      <c r="M171" s="110"/>
      <c r="N171" s="110"/>
      <c r="O171" s="110"/>
    </row>
    <row r="172" spans="1:15" x14ac:dyDescent="0.35">
      <c r="A172" s="111"/>
      <c r="B172" s="111"/>
      <c r="C172" s="111"/>
      <c r="D172" s="111"/>
      <c r="E172" s="111"/>
      <c r="F172" s="111"/>
      <c r="G172" s="111"/>
      <c r="H172" s="110"/>
      <c r="J172" s="110"/>
      <c r="M172" s="110"/>
      <c r="N172" s="110"/>
      <c r="O172" s="110"/>
    </row>
    <row r="173" spans="1:15" x14ac:dyDescent="0.35">
      <c r="A173" s="111"/>
      <c r="B173" s="111"/>
      <c r="C173" s="111"/>
      <c r="D173" s="111"/>
      <c r="E173" s="111"/>
      <c r="F173" s="111"/>
      <c r="G173" s="111"/>
      <c r="H173" s="110"/>
      <c r="J173" s="110"/>
      <c r="M173" s="110"/>
      <c r="N173" s="110"/>
      <c r="O173" s="110"/>
    </row>
    <row r="174" spans="1:15" x14ac:dyDescent="0.35">
      <c r="A174" s="111"/>
      <c r="B174" s="111"/>
      <c r="C174" s="111"/>
      <c r="D174" s="111"/>
      <c r="E174" s="111"/>
      <c r="F174" s="111"/>
      <c r="G174" s="111"/>
      <c r="H174" s="110"/>
      <c r="J174" s="110"/>
      <c r="M174" s="110"/>
      <c r="N174" s="110"/>
      <c r="O174" s="110"/>
    </row>
    <row r="175" spans="1:15" x14ac:dyDescent="0.35">
      <c r="A175" s="111"/>
      <c r="B175" s="111"/>
      <c r="C175" s="111"/>
      <c r="D175" s="111"/>
      <c r="E175" s="111"/>
      <c r="F175" s="111"/>
      <c r="G175" s="111"/>
      <c r="H175" s="110"/>
      <c r="J175" s="110"/>
      <c r="M175" s="110"/>
      <c r="N175" s="110"/>
      <c r="O175" s="110"/>
    </row>
    <row r="176" spans="1:15" x14ac:dyDescent="0.35">
      <c r="A176" s="111"/>
      <c r="B176" s="111"/>
      <c r="C176" s="111"/>
      <c r="D176" s="111"/>
      <c r="E176" s="111"/>
      <c r="F176" s="111"/>
      <c r="G176" s="111"/>
      <c r="H176" s="110"/>
      <c r="J176" s="110"/>
      <c r="M176" s="110"/>
      <c r="N176" s="110"/>
      <c r="O176" s="110"/>
    </row>
    <row r="177" spans="1:15" x14ac:dyDescent="0.35">
      <c r="A177" s="111"/>
      <c r="B177" s="111"/>
      <c r="C177" s="111"/>
      <c r="D177" s="111"/>
      <c r="E177" s="111"/>
      <c r="F177" s="111"/>
      <c r="G177" s="111"/>
      <c r="H177" s="110"/>
      <c r="J177" s="110"/>
      <c r="M177" s="110"/>
      <c r="N177" s="110"/>
      <c r="O177" s="110"/>
    </row>
    <row r="178" spans="1:15" x14ac:dyDescent="0.35">
      <c r="A178" s="111"/>
      <c r="B178" s="111"/>
      <c r="C178" s="111"/>
      <c r="D178" s="111"/>
      <c r="E178" s="111"/>
      <c r="F178" s="111"/>
      <c r="G178" s="111"/>
      <c r="H178" s="110"/>
      <c r="J178" s="110"/>
      <c r="M178" s="110"/>
      <c r="N178" s="110"/>
      <c r="O178" s="110"/>
    </row>
    <row r="179" spans="1:15" x14ac:dyDescent="0.35">
      <c r="A179" s="111"/>
      <c r="B179" s="111"/>
      <c r="C179" s="111"/>
      <c r="D179" s="111"/>
      <c r="E179" s="111"/>
      <c r="F179" s="111"/>
      <c r="G179" s="111"/>
      <c r="H179" s="110"/>
      <c r="J179" s="110"/>
      <c r="M179" s="110"/>
      <c r="N179" s="110"/>
      <c r="O179" s="110"/>
    </row>
    <row r="180" spans="1:15" x14ac:dyDescent="0.35">
      <c r="A180" s="111"/>
      <c r="B180" s="111"/>
      <c r="C180" s="111"/>
      <c r="D180" s="111"/>
      <c r="E180" s="111"/>
      <c r="F180" s="111"/>
      <c r="G180" s="111"/>
      <c r="H180" s="110"/>
      <c r="J180" s="110"/>
      <c r="M180" s="110"/>
      <c r="N180" s="110"/>
      <c r="O180" s="110"/>
    </row>
    <row r="181" spans="1:15" x14ac:dyDescent="0.35">
      <c r="A181" s="111"/>
      <c r="B181" s="111"/>
      <c r="C181" s="111"/>
      <c r="D181" s="111"/>
      <c r="E181" s="111"/>
      <c r="F181" s="111"/>
      <c r="G181" s="111"/>
      <c r="H181" s="110"/>
      <c r="J181" s="110"/>
      <c r="M181" s="110"/>
      <c r="N181" s="110"/>
      <c r="O181" s="110"/>
    </row>
    <row r="182" spans="1:15" x14ac:dyDescent="0.35">
      <c r="A182" s="111"/>
      <c r="B182" s="111"/>
      <c r="C182" s="111"/>
      <c r="D182" s="111"/>
      <c r="E182" s="111"/>
      <c r="F182" s="111"/>
      <c r="G182" s="111"/>
      <c r="H182" s="110"/>
      <c r="J182" s="110"/>
      <c r="M182" s="110"/>
      <c r="N182" s="110"/>
      <c r="O182" s="110"/>
    </row>
    <row r="183" spans="1:15" x14ac:dyDescent="0.35">
      <c r="A183" s="111"/>
      <c r="B183" s="111"/>
      <c r="C183" s="111"/>
      <c r="D183" s="111"/>
      <c r="E183" s="111"/>
      <c r="F183" s="111"/>
      <c r="G183" s="111"/>
      <c r="H183" s="110"/>
      <c r="J183" s="110"/>
      <c r="M183" s="110"/>
      <c r="N183" s="110"/>
      <c r="O183" s="110"/>
    </row>
    <row r="184" spans="1:15" x14ac:dyDescent="0.35">
      <c r="A184" s="111"/>
      <c r="B184" s="111"/>
      <c r="C184" s="111"/>
      <c r="D184" s="111"/>
      <c r="E184" s="111"/>
      <c r="F184" s="111"/>
      <c r="G184" s="111"/>
      <c r="H184" s="110"/>
      <c r="J184" s="110"/>
      <c r="M184" s="110"/>
      <c r="N184" s="110"/>
      <c r="O184" s="110"/>
    </row>
    <row r="185" spans="1:15" x14ac:dyDescent="0.35">
      <c r="A185" s="111"/>
      <c r="B185" s="111"/>
      <c r="C185" s="111"/>
      <c r="D185" s="111"/>
      <c r="E185" s="111"/>
      <c r="F185" s="111"/>
      <c r="G185" s="111"/>
      <c r="H185" s="110"/>
      <c r="J185" s="110"/>
      <c r="M185" s="110"/>
      <c r="N185" s="110"/>
      <c r="O185" s="110"/>
    </row>
    <row r="186" spans="1:15" x14ac:dyDescent="0.35">
      <c r="A186" s="111"/>
      <c r="B186" s="111"/>
      <c r="C186" s="111"/>
      <c r="D186" s="111"/>
      <c r="E186" s="111"/>
      <c r="F186" s="111"/>
      <c r="G186" s="111"/>
      <c r="H186" s="110"/>
      <c r="J186" s="110"/>
      <c r="M186" s="110"/>
      <c r="N186" s="110"/>
      <c r="O186" s="110"/>
    </row>
    <row r="187" spans="1:15" x14ac:dyDescent="0.35">
      <c r="A187" s="111"/>
      <c r="B187" s="111"/>
      <c r="C187" s="111"/>
      <c r="D187" s="111"/>
      <c r="E187" s="111"/>
      <c r="F187" s="111"/>
      <c r="G187" s="111"/>
      <c r="H187" s="110"/>
      <c r="J187" s="110"/>
      <c r="M187" s="110"/>
      <c r="N187" s="110"/>
      <c r="O187" s="110"/>
    </row>
    <row r="188" spans="1:15" x14ac:dyDescent="0.35">
      <c r="A188" s="111"/>
      <c r="B188" s="111"/>
      <c r="C188" s="111"/>
      <c r="D188" s="111"/>
      <c r="E188" s="111"/>
      <c r="F188" s="111"/>
      <c r="G188" s="111"/>
      <c r="H188" s="110"/>
      <c r="J188" s="110"/>
      <c r="M188" s="110"/>
      <c r="N188" s="110"/>
      <c r="O188" s="110"/>
    </row>
    <row r="189" spans="1:15" x14ac:dyDescent="0.35">
      <c r="A189" s="111"/>
      <c r="B189" s="111"/>
      <c r="C189" s="111"/>
      <c r="D189" s="111"/>
      <c r="E189" s="111"/>
      <c r="F189" s="111"/>
      <c r="G189" s="111"/>
      <c r="H189" s="110"/>
      <c r="J189" s="110"/>
      <c r="M189" s="110"/>
      <c r="N189" s="110"/>
      <c r="O189" s="110"/>
    </row>
    <row r="190" spans="1:15" x14ac:dyDescent="0.35">
      <c r="A190" s="111"/>
      <c r="B190" s="111"/>
      <c r="C190" s="111"/>
      <c r="D190" s="111"/>
      <c r="E190" s="111"/>
      <c r="F190" s="111"/>
      <c r="G190" s="111"/>
      <c r="H190" s="110"/>
      <c r="J190" s="110"/>
      <c r="M190" s="110"/>
      <c r="N190" s="110"/>
      <c r="O190" s="110"/>
    </row>
    <row r="191" spans="1:15" x14ac:dyDescent="0.35">
      <c r="A191" s="111"/>
      <c r="B191" s="111"/>
      <c r="C191" s="111"/>
      <c r="D191" s="111"/>
      <c r="E191" s="111"/>
      <c r="F191" s="111"/>
      <c r="G191" s="111"/>
      <c r="H191" s="110"/>
      <c r="J191" s="110"/>
      <c r="M191" s="110"/>
      <c r="N191" s="110"/>
      <c r="O191" s="110"/>
    </row>
    <row r="192" spans="1:15" x14ac:dyDescent="0.35">
      <c r="A192" s="111"/>
      <c r="B192" s="111"/>
      <c r="C192" s="111"/>
      <c r="D192" s="111"/>
      <c r="E192" s="111"/>
      <c r="F192" s="111"/>
      <c r="G192" s="111"/>
      <c r="H192" s="110"/>
      <c r="J192" s="110"/>
      <c r="M192" s="110"/>
      <c r="N192" s="110"/>
      <c r="O192" s="110"/>
    </row>
    <row r="193" spans="1:15" x14ac:dyDescent="0.35">
      <c r="A193" s="111"/>
      <c r="B193" s="111"/>
      <c r="C193" s="111"/>
      <c r="D193" s="111"/>
      <c r="E193" s="111"/>
      <c r="F193" s="111"/>
      <c r="G193" s="111"/>
      <c r="H193" s="110"/>
      <c r="J193" s="110"/>
      <c r="M193" s="110"/>
      <c r="N193" s="110"/>
      <c r="O193" s="110"/>
    </row>
    <row r="194" spans="1:15" x14ac:dyDescent="0.35">
      <c r="A194" s="111"/>
      <c r="B194" s="111"/>
      <c r="C194" s="111"/>
      <c r="D194" s="111"/>
      <c r="E194" s="111"/>
      <c r="F194" s="111"/>
      <c r="G194" s="111"/>
      <c r="H194" s="110"/>
      <c r="J194" s="110"/>
      <c r="M194" s="110"/>
      <c r="N194" s="110"/>
      <c r="O194" s="110"/>
    </row>
    <row r="195" spans="1:15" x14ac:dyDescent="0.35">
      <c r="A195" s="111"/>
      <c r="B195" s="111"/>
      <c r="C195" s="111"/>
      <c r="D195" s="111"/>
      <c r="E195" s="111"/>
      <c r="F195" s="111"/>
      <c r="G195" s="111"/>
      <c r="H195" s="110"/>
      <c r="J195" s="110"/>
      <c r="M195" s="110"/>
      <c r="N195" s="110"/>
      <c r="O195" s="110"/>
    </row>
    <row r="196" spans="1:15" x14ac:dyDescent="0.35">
      <c r="A196" s="111"/>
      <c r="B196" s="111"/>
      <c r="C196" s="111"/>
      <c r="D196" s="111"/>
      <c r="E196" s="111"/>
      <c r="F196" s="111"/>
      <c r="G196" s="111"/>
      <c r="H196" s="110"/>
      <c r="J196" s="110"/>
      <c r="M196" s="110"/>
      <c r="N196" s="110"/>
      <c r="O196" s="110"/>
    </row>
    <row r="197" spans="1:15" x14ac:dyDescent="0.35">
      <c r="A197" s="111"/>
      <c r="B197" s="111"/>
      <c r="C197" s="111"/>
      <c r="D197" s="111"/>
      <c r="E197" s="111"/>
      <c r="F197" s="111"/>
      <c r="G197" s="111"/>
      <c r="H197" s="110"/>
      <c r="J197" s="110"/>
      <c r="M197" s="110"/>
      <c r="N197" s="110"/>
      <c r="O197" s="110"/>
    </row>
    <row r="198" spans="1:15" x14ac:dyDescent="0.35">
      <c r="A198" s="111"/>
      <c r="B198" s="111"/>
      <c r="C198" s="111"/>
      <c r="D198" s="111"/>
      <c r="E198" s="111"/>
      <c r="F198" s="111"/>
      <c r="G198" s="111"/>
      <c r="H198" s="110"/>
      <c r="J198" s="110"/>
      <c r="M198" s="110"/>
      <c r="N198" s="110"/>
      <c r="O198" s="110"/>
    </row>
    <row r="199" spans="1:15" x14ac:dyDescent="0.35">
      <c r="A199" s="111"/>
      <c r="B199" s="111"/>
      <c r="C199" s="111"/>
      <c r="D199" s="111"/>
      <c r="E199" s="111"/>
      <c r="F199" s="111"/>
      <c r="G199" s="111"/>
      <c r="H199" s="110"/>
      <c r="J199" s="110"/>
      <c r="M199" s="110"/>
      <c r="N199" s="110"/>
      <c r="O199" s="110"/>
    </row>
    <row r="200" spans="1:15" x14ac:dyDescent="0.35">
      <c r="A200" s="111"/>
      <c r="B200" s="111"/>
      <c r="C200" s="111"/>
      <c r="D200" s="111"/>
      <c r="E200" s="111"/>
      <c r="F200" s="111"/>
      <c r="G200" s="111"/>
      <c r="H200" s="110"/>
      <c r="J200" s="110"/>
      <c r="M200" s="110"/>
      <c r="N200" s="110"/>
      <c r="O200" s="110"/>
    </row>
    <row r="201" spans="1:15" x14ac:dyDescent="0.35">
      <c r="A201" s="111"/>
      <c r="B201" s="111"/>
      <c r="C201" s="111"/>
      <c r="D201" s="111"/>
      <c r="E201" s="111"/>
      <c r="F201" s="111"/>
      <c r="G201" s="111"/>
      <c r="H201" s="110"/>
      <c r="J201" s="110"/>
      <c r="M201" s="110"/>
      <c r="N201" s="110"/>
      <c r="O201" s="110"/>
    </row>
    <row r="202" spans="1:15" x14ac:dyDescent="0.35">
      <c r="A202" s="111"/>
      <c r="B202" s="111"/>
      <c r="C202" s="111"/>
      <c r="D202" s="111"/>
      <c r="E202" s="111"/>
      <c r="F202" s="111"/>
      <c r="G202" s="111"/>
      <c r="H202" s="110"/>
      <c r="J202" s="110"/>
      <c r="M202" s="110"/>
      <c r="N202" s="110"/>
      <c r="O202" s="110"/>
    </row>
    <row r="203" spans="1:15" x14ac:dyDescent="0.35">
      <c r="A203" s="111"/>
      <c r="B203" s="111"/>
      <c r="C203" s="111"/>
      <c r="D203" s="111"/>
      <c r="E203" s="111"/>
      <c r="F203" s="111"/>
      <c r="G203" s="111"/>
      <c r="H203" s="110"/>
      <c r="J203" s="110"/>
      <c r="M203" s="110"/>
      <c r="N203" s="110"/>
      <c r="O203" s="110"/>
    </row>
    <row r="204" spans="1:15" x14ac:dyDescent="0.35">
      <c r="A204" s="111"/>
      <c r="B204" s="111"/>
      <c r="C204" s="111"/>
      <c r="D204" s="111"/>
      <c r="E204" s="111"/>
      <c r="F204" s="111"/>
      <c r="G204" s="111"/>
      <c r="H204" s="110"/>
      <c r="J204" s="110"/>
      <c r="M204" s="110"/>
      <c r="N204" s="110"/>
      <c r="O204" s="110"/>
    </row>
    <row r="205" spans="1:15" x14ac:dyDescent="0.35">
      <c r="A205" s="111"/>
      <c r="B205" s="111"/>
      <c r="C205" s="111"/>
      <c r="D205" s="111"/>
      <c r="E205" s="111"/>
      <c r="F205" s="111"/>
      <c r="G205" s="111"/>
      <c r="H205" s="110"/>
      <c r="J205" s="110"/>
      <c r="M205" s="110"/>
      <c r="N205" s="110"/>
      <c r="O205" s="110"/>
    </row>
    <row r="206" spans="1:15" x14ac:dyDescent="0.35">
      <c r="A206" s="111"/>
      <c r="B206" s="111"/>
      <c r="C206" s="111"/>
      <c r="D206" s="111"/>
      <c r="E206" s="111"/>
      <c r="F206" s="111"/>
      <c r="G206" s="111"/>
      <c r="H206" s="110"/>
      <c r="J206" s="110"/>
      <c r="M206" s="110"/>
      <c r="N206" s="110"/>
      <c r="O206" s="110"/>
    </row>
    <row r="207" spans="1:15" x14ac:dyDescent="0.35">
      <c r="A207" s="111"/>
      <c r="B207" s="111"/>
      <c r="C207" s="111"/>
      <c r="D207" s="111"/>
      <c r="E207" s="111"/>
      <c r="F207" s="111"/>
      <c r="G207" s="111"/>
      <c r="H207" s="110"/>
      <c r="J207" s="110"/>
      <c r="M207" s="110"/>
      <c r="N207" s="110"/>
      <c r="O207" s="110"/>
    </row>
    <row r="208" spans="1:15" x14ac:dyDescent="0.35">
      <c r="A208" s="111"/>
      <c r="B208" s="111"/>
      <c r="C208" s="111"/>
      <c r="D208" s="111"/>
      <c r="E208" s="111"/>
      <c r="F208" s="111"/>
      <c r="G208" s="111"/>
      <c r="H208" s="110"/>
      <c r="J208" s="110"/>
      <c r="M208" s="110"/>
      <c r="N208" s="110"/>
      <c r="O208" s="110"/>
    </row>
    <row r="209" spans="1:15" x14ac:dyDescent="0.35">
      <c r="A209" s="111"/>
      <c r="B209" s="111"/>
      <c r="C209" s="111"/>
      <c r="D209" s="111"/>
      <c r="E209" s="111"/>
      <c r="F209" s="111"/>
      <c r="G209" s="111"/>
      <c r="H209" s="110"/>
      <c r="J209" s="110"/>
      <c r="M209" s="110"/>
      <c r="N209" s="110"/>
      <c r="O209" s="110"/>
    </row>
    <row r="210" spans="1:15" x14ac:dyDescent="0.35">
      <c r="A210" s="111"/>
      <c r="B210" s="111"/>
      <c r="C210" s="111"/>
      <c r="D210" s="111"/>
      <c r="E210" s="111"/>
      <c r="F210" s="111"/>
      <c r="G210" s="111"/>
      <c r="H210" s="110"/>
      <c r="J210" s="110"/>
      <c r="M210" s="110"/>
      <c r="N210" s="110"/>
      <c r="O210" s="110"/>
    </row>
    <row r="211" spans="1:15" x14ac:dyDescent="0.35">
      <c r="A211" s="111"/>
      <c r="B211" s="111"/>
      <c r="C211" s="111"/>
      <c r="D211" s="111"/>
      <c r="E211" s="111"/>
      <c r="F211" s="111"/>
      <c r="G211" s="111"/>
      <c r="H211" s="110"/>
      <c r="J211" s="110"/>
      <c r="M211" s="110"/>
      <c r="N211" s="110"/>
      <c r="O211" s="110"/>
    </row>
    <row r="212" spans="1:15" x14ac:dyDescent="0.35">
      <c r="A212" s="111"/>
      <c r="B212" s="111"/>
      <c r="C212" s="111"/>
      <c r="D212" s="111"/>
      <c r="E212" s="111"/>
      <c r="F212" s="111"/>
      <c r="G212" s="111"/>
      <c r="H212" s="110"/>
      <c r="J212" s="110"/>
      <c r="M212" s="110"/>
      <c r="N212" s="110"/>
      <c r="O212" s="110"/>
    </row>
    <row r="213" spans="1:15" x14ac:dyDescent="0.35">
      <c r="A213" s="111"/>
      <c r="B213" s="111"/>
      <c r="C213" s="111"/>
      <c r="D213" s="111"/>
      <c r="E213" s="111"/>
      <c r="F213" s="111"/>
      <c r="G213" s="111"/>
      <c r="H213" s="110"/>
      <c r="J213" s="110"/>
      <c r="M213" s="110"/>
      <c r="N213" s="110"/>
      <c r="O213" s="110"/>
    </row>
    <row r="214" spans="1:15" x14ac:dyDescent="0.35">
      <c r="A214" s="111"/>
      <c r="B214" s="111"/>
      <c r="C214" s="111"/>
      <c r="D214" s="111"/>
      <c r="E214" s="111"/>
      <c r="F214" s="111"/>
      <c r="G214" s="111"/>
      <c r="H214" s="110"/>
      <c r="J214" s="110"/>
      <c r="M214" s="110"/>
      <c r="N214" s="110"/>
      <c r="O214" s="110"/>
    </row>
    <row r="215" spans="1:15" x14ac:dyDescent="0.35">
      <c r="A215" s="111"/>
      <c r="B215" s="111"/>
      <c r="C215" s="111"/>
      <c r="D215" s="111"/>
      <c r="E215" s="111"/>
      <c r="F215" s="111"/>
      <c r="G215" s="111"/>
      <c r="H215" s="110"/>
      <c r="J215" s="110"/>
      <c r="M215" s="110"/>
      <c r="N215" s="110"/>
      <c r="O215" s="110"/>
    </row>
    <row r="216" spans="1:15" x14ac:dyDescent="0.35">
      <c r="A216" s="111"/>
      <c r="B216" s="111"/>
      <c r="C216" s="111"/>
      <c r="D216" s="111"/>
      <c r="E216" s="111"/>
      <c r="F216" s="111"/>
      <c r="G216" s="111"/>
      <c r="H216" s="110"/>
      <c r="J216" s="110"/>
      <c r="M216" s="110"/>
      <c r="N216" s="110"/>
      <c r="O216" s="110"/>
    </row>
    <row r="217" spans="1:15" x14ac:dyDescent="0.35">
      <c r="A217" s="111"/>
      <c r="B217" s="111"/>
      <c r="C217" s="111"/>
      <c r="D217" s="111"/>
      <c r="E217" s="111"/>
      <c r="F217" s="111"/>
      <c r="G217" s="111"/>
      <c r="H217" s="110"/>
      <c r="J217" s="110"/>
      <c r="M217" s="110"/>
      <c r="N217" s="110"/>
      <c r="O217" s="110"/>
    </row>
    <row r="218" spans="1:15" x14ac:dyDescent="0.35">
      <c r="A218" s="111"/>
      <c r="B218" s="111"/>
      <c r="C218" s="111"/>
      <c r="D218" s="111"/>
      <c r="E218" s="111"/>
      <c r="F218" s="111"/>
      <c r="G218" s="111"/>
      <c r="H218" s="110"/>
      <c r="J218" s="110"/>
      <c r="M218" s="110"/>
      <c r="N218" s="110"/>
      <c r="O218" s="110"/>
    </row>
    <row r="219" spans="1:15" x14ac:dyDescent="0.35">
      <c r="A219" s="111"/>
      <c r="B219" s="111"/>
      <c r="C219" s="111"/>
      <c r="D219" s="111"/>
      <c r="E219" s="111"/>
      <c r="F219" s="111"/>
      <c r="G219" s="111"/>
      <c r="H219" s="110"/>
      <c r="J219" s="110"/>
      <c r="M219" s="110"/>
      <c r="N219" s="110"/>
      <c r="O219" s="110"/>
    </row>
    <row r="220" spans="1:15" x14ac:dyDescent="0.35">
      <c r="A220" s="111"/>
      <c r="B220" s="111"/>
      <c r="C220" s="111"/>
      <c r="D220" s="111"/>
      <c r="E220" s="111"/>
      <c r="F220" s="111"/>
      <c r="G220" s="111"/>
      <c r="H220" s="110"/>
      <c r="J220" s="110"/>
      <c r="M220" s="110"/>
      <c r="N220" s="110"/>
      <c r="O220" s="110"/>
    </row>
    <row r="221" spans="1:15" x14ac:dyDescent="0.35">
      <c r="A221" s="111"/>
      <c r="B221" s="111"/>
      <c r="C221" s="111"/>
      <c r="D221" s="111"/>
      <c r="E221" s="111"/>
      <c r="F221" s="111"/>
      <c r="G221" s="111"/>
      <c r="H221" s="110"/>
      <c r="J221" s="110"/>
      <c r="M221" s="110"/>
      <c r="N221" s="110"/>
      <c r="O221" s="110"/>
    </row>
    <row r="222" spans="1:15" x14ac:dyDescent="0.35">
      <c r="A222" s="111"/>
      <c r="B222" s="111"/>
      <c r="C222" s="111"/>
      <c r="D222" s="111"/>
      <c r="E222" s="111"/>
      <c r="F222" s="111"/>
      <c r="G222" s="111"/>
      <c r="H222" s="110"/>
      <c r="J222" s="110"/>
      <c r="M222" s="110"/>
      <c r="N222" s="110"/>
      <c r="O222" s="110"/>
    </row>
    <row r="223" spans="1:15" x14ac:dyDescent="0.35">
      <c r="A223" s="111"/>
      <c r="B223" s="111"/>
      <c r="C223" s="111"/>
      <c r="D223" s="111"/>
      <c r="E223" s="111"/>
      <c r="F223" s="111"/>
      <c r="G223" s="111"/>
      <c r="H223" s="110"/>
      <c r="J223" s="110"/>
      <c r="M223" s="110"/>
      <c r="N223" s="110"/>
      <c r="O223" s="110"/>
    </row>
    <row r="224" spans="1:15" x14ac:dyDescent="0.35">
      <c r="A224" s="111"/>
      <c r="B224" s="111"/>
      <c r="C224" s="111"/>
      <c r="D224" s="111"/>
      <c r="E224" s="111"/>
      <c r="F224" s="111"/>
      <c r="G224" s="111"/>
      <c r="H224" s="110"/>
      <c r="J224" s="110"/>
      <c r="M224" s="110"/>
      <c r="N224" s="110"/>
      <c r="O224" s="110"/>
    </row>
    <row r="225" spans="1:15" x14ac:dyDescent="0.35">
      <c r="A225" s="111"/>
      <c r="B225" s="111"/>
      <c r="C225" s="111"/>
      <c r="D225" s="111"/>
      <c r="E225" s="111"/>
      <c r="F225" s="111"/>
      <c r="G225" s="111"/>
      <c r="H225" s="110"/>
      <c r="J225" s="110"/>
      <c r="M225" s="110"/>
      <c r="N225" s="110"/>
      <c r="O225" s="110"/>
    </row>
    <row r="226" spans="1:15" x14ac:dyDescent="0.35">
      <c r="A226" s="111"/>
      <c r="B226" s="111"/>
      <c r="C226" s="111"/>
      <c r="D226" s="111"/>
      <c r="E226" s="111"/>
      <c r="F226" s="111"/>
      <c r="G226" s="111"/>
      <c r="H226" s="110"/>
      <c r="J226" s="110"/>
      <c r="M226" s="110"/>
      <c r="N226" s="110"/>
      <c r="O226" s="110"/>
    </row>
    <row r="227" spans="1:15" x14ac:dyDescent="0.35">
      <c r="A227" s="111"/>
      <c r="B227" s="111"/>
      <c r="C227" s="111"/>
      <c r="D227" s="111"/>
      <c r="E227" s="111"/>
      <c r="F227" s="111"/>
      <c r="G227" s="111"/>
      <c r="H227" s="110"/>
      <c r="J227" s="110"/>
      <c r="M227" s="110"/>
      <c r="N227" s="110"/>
      <c r="O227" s="110"/>
    </row>
    <row r="228" spans="1:15" x14ac:dyDescent="0.35">
      <c r="A228" s="111"/>
      <c r="B228" s="111"/>
      <c r="C228" s="111"/>
      <c r="D228" s="111"/>
      <c r="E228" s="111"/>
      <c r="F228" s="111"/>
      <c r="G228" s="111"/>
      <c r="H228" s="110"/>
      <c r="J228" s="110"/>
      <c r="M228" s="110"/>
      <c r="N228" s="110"/>
      <c r="O228" s="110"/>
    </row>
    <row r="229" spans="1:15" x14ac:dyDescent="0.35">
      <c r="A229" s="111"/>
      <c r="B229" s="111"/>
      <c r="C229" s="111"/>
      <c r="D229" s="111"/>
      <c r="E229" s="111"/>
      <c r="F229" s="111"/>
      <c r="G229" s="111"/>
      <c r="H229" s="110"/>
      <c r="J229" s="110"/>
      <c r="M229" s="110"/>
      <c r="N229" s="110"/>
      <c r="O229" s="110"/>
    </row>
    <row r="230" spans="1:15" x14ac:dyDescent="0.35">
      <c r="A230" s="111"/>
      <c r="B230" s="111"/>
      <c r="C230" s="111"/>
      <c r="D230" s="111"/>
      <c r="E230" s="111"/>
      <c r="F230" s="111"/>
      <c r="G230" s="111"/>
      <c r="H230" s="110"/>
      <c r="J230" s="110"/>
      <c r="M230" s="110"/>
      <c r="N230" s="110"/>
      <c r="O230" s="110"/>
    </row>
    <row r="231" spans="1:15" x14ac:dyDescent="0.35">
      <c r="A231" s="111"/>
      <c r="B231" s="111"/>
      <c r="C231" s="111"/>
      <c r="D231" s="111"/>
      <c r="E231" s="111"/>
      <c r="F231" s="111"/>
      <c r="G231" s="111"/>
      <c r="H231" s="110"/>
      <c r="J231" s="110"/>
      <c r="M231" s="110"/>
      <c r="N231" s="110"/>
      <c r="O231" s="110"/>
    </row>
    <row r="232" spans="1:15" x14ac:dyDescent="0.35">
      <c r="A232" s="111"/>
      <c r="B232" s="111"/>
      <c r="C232" s="111"/>
      <c r="D232" s="111"/>
      <c r="E232" s="111"/>
      <c r="F232" s="111"/>
      <c r="G232" s="111"/>
      <c r="H232" s="110"/>
      <c r="J232" s="110"/>
      <c r="M232" s="110"/>
      <c r="N232" s="110"/>
      <c r="O232" s="110"/>
    </row>
    <row r="233" spans="1:15" x14ac:dyDescent="0.35">
      <c r="A233" s="111"/>
      <c r="B233" s="111"/>
      <c r="C233" s="111"/>
      <c r="D233" s="111"/>
      <c r="E233" s="111"/>
      <c r="F233" s="111"/>
      <c r="G233" s="111"/>
      <c r="H233" s="110"/>
      <c r="J233" s="110"/>
      <c r="M233" s="110"/>
      <c r="N233" s="110"/>
      <c r="O233" s="110"/>
    </row>
    <row r="234" spans="1:15" x14ac:dyDescent="0.35">
      <c r="A234" s="111"/>
      <c r="B234" s="111"/>
      <c r="C234" s="111"/>
      <c r="D234" s="111"/>
      <c r="E234" s="111"/>
      <c r="F234" s="111"/>
      <c r="G234" s="111"/>
      <c r="H234" s="110"/>
      <c r="J234" s="110"/>
      <c r="M234" s="110"/>
      <c r="N234" s="110"/>
      <c r="O234" s="110"/>
    </row>
    <row r="235" spans="1:15" x14ac:dyDescent="0.35">
      <c r="A235" s="111"/>
      <c r="B235" s="111"/>
      <c r="C235" s="111"/>
      <c r="D235" s="111"/>
      <c r="E235" s="111"/>
      <c r="F235" s="111"/>
      <c r="G235" s="111"/>
      <c r="H235" s="110"/>
      <c r="J235" s="110"/>
      <c r="M235" s="110"/>
      <c r="N235" s="110"/>
      <c r="O235" s="110"/>
    </row>
    <row r="236" spans="1:15" x14ac:dyDescent="0.35">
      <c r="A236" s="111"/>
      <c r="B236" s="111"/>
      <c r="C236" s="111"/>
      <c r="D236" s="111"/>
      <c r="E236" s="111"/>
      <c r="F236" s="111"/>
      <c r="G236" s="111"/>
      <c r="H236" s="110"/>
      <c r="J236" s="110"/>
      <c r="M236" s="110"/>
      <c r="N236" s="110"/>
      <c r="O236" s="110"/>
    </row>
    <row r="237" spans="1:15" x14ac:dyDescent="0.35">
      <c r="A237" s="111"/>
      <c r="B237" s="111"/>
      <c r="C237" s="111"/>
      <c r="D237" s="111"/>
      <c r="E237" s="111"/>
      <c r="F237" s="111"/>
      <c r="G237" s="111"/>
      <c r="H237" s="110"/>
      <c r="J237" s="110"/>
      <c r="M237" s="110"/>
      <c r="N237" s="110"/>
      <c r="O237" s="110"/>
    </row>
    <row r="238" spans="1:15" x14ac:dyDescent="0.35">
      <c r="A238" s="111"/>
      <c r="B238" s="111"/>
      <c r="C238" s="111"/>
      <c r="D238" s="111"/>
      <c r="E238" s="111"/>
      <c r="F238" s="111"/>
      <c r="G238" s="111"/>
      <c r="H238" s="110"/>
      <c r="J238" s="110"/>
      <c r="M238" s="110"/>
      <c r="N238" s="110"/>
      <c r="O238" s="110"/>
    </row>
    <row r="239" spans="1:15" x14ac:dyDescent="0.35">
      <c r="A239" s="111"/>
      <c r="B239" s="111"/>
      <c r="C239" s="111"/>
      <c r="D239" s="111"/>
      <c r="E239" s="111"/>
      <c r="F239" s="111"/>
      <c r="G239" s="111"/>
      <c r="H239" s="110"/>
      <c r="J239" s="110"/>
      <c r="M239" s="110"/>
      <c r="N239" s="110"/>
      <c r="O239" s="110"/>
    </row>
    <row r="240" spans="1:15" x14ac:dyDescent="0.35">
      <c r="A240" s="111"/>
      <c r="B240" s="111"/>
      <c r="C240" s="111"/>
      <c r="D240" s="111"/>
      <c r="E240" s="111"/>
      <c r="F240" s="111"/>
      <c r="G240" s="111"/>
      <c r="H240" s="110"/>
      <c r="J240" s="110"/>
      <c r="M240" s="110"/>
      <c r="N240" s="110"/>
      <c r="O240" s="110"/>
    </row>
    <row r="241" spans="1:15" x14ac:dyDescent="0.35">
      <c r="A241" s="111"/>
      <c r="B241" s="111"/>
      <c r="C241" s="111"/>
      <c r="D241" s="111"/>
      <c r="E241" s="111"/>
      <c r="F241" s="111"/>
      <c r="G241" s="111"/>
      <c r="H241" s="110"/>
      <c r="J241" s="110"/>
      <c r="M241" s="110"/>
      <c r="N241" s="110"/>
      <c r="O241" s="110"/>
    </row>
    <row r="242" spans="1:15" x14ac:dyDescent="0.35">
      <c r="A242" s="111"/>
      <c r="B242" s="111"/>
      <c r="C242" s="111"/>
      <c r="D242" s="111"/>
      <c r="E242" s="111"/>
      <c r="F242" s="111"/>
      <c r="G242" s="111"/>
      <c r="H242" s="110"/>
      <c r="J242" s="110"/>
      <c r="M242" s="110"/>
      <c r="N242" s="110"/>
      <c r="O242" s="110"/>
    </row>
    <row r="243" spans="1:15" x14ac:dyDescent="0.35">
      <c r="A243" s="111"/>
      <c r="B243" s="111"/>
      <c r="C243" s="111"/>
      <c r="D243" s="111"/>
      <c r="E243" s="111"/>
      <c r="F243" s="111"/>
      <c r="G243" s="111"/>
      <c r="H243" s="110"/>
      <c r="J243" s="110"/>
      <c r="M243" s="110"/>
      <c r="N243" s="110"/>
      <c r="O243" s="110"/>
    </row>
    <row r="244" spans="1:15" x14ac:dyDescent="0.35">
      <c r="A244" s="111"/>
      <c r="B244" s="111"/>
      <c r="C244" s="111"/>
      <c r="D244" s="111"/>
      <c r="E244" s="111"/>
      <c r="F244" s="111"/>
      <c r="G244" s="111"/>
      <c r="H244" s="110"/>
      <c r="J244" s="110"/>
      <c r="M244" s="110"/>
      <c r="N244" s="110"/>
      <c r="O244" s="110"/>
    </row>
    <row r="245" spans="1:15" x14ac:dyDescent="0.35">
      <c r="A245" s="111"/>
      <c r="B245" s="111"/>
      <c r="C245" s="111"/>
      <c r="D245" s="111"/>
      <c r="E245" s="111"/>
      <c r="F245" s="111"/>
      <c r="G245" s="111"/>
      <c r="H245" s="110"/>
      <c r="J245" s="110"/>
      <c r="M245" s="110"/>
      <c r="N245" s="110"/>
      <c r="O245" s="110"/>
    </row>
    <row r="246" spans="1:15" x14ac:dyDescent="0.35">
      <c r="A246" s="111"/>
      <c r="B246" s="111"/>
      <c r="C246" s="111"/>
      <c r="D246" s="111"/>
      <c r="E246" s="111"/>
      <c r="F246" s="111"/>
      <c r="G246" s="111"/>
      <c r="H246" s="110"/>
      <c r="J246" s="110"/>
      <c r="M246" s="110"/>
      <c r="N246" s="110"/>
      <c r="O246" s="110"/>
    </row>
    <row r="247" spans="1:15" x14ac:dyDescent="0.35">
      <c r="A247" s="111"/>
      <c r="B247" s="111"/>
      <c r="C247" s="111"/>
      <c r="D247" s="111"/>
      <c r="E247" s="111"/>
      <c r="F247" s="111"/>
      <c r="G247" s="111"/>
      <c r="H247" s="110"/>
      <c r="J247" s="110"/>
      <c r="M247" s="110"/>
      <c r="N247" s="110"/>
      <c r="O247" s="110"/>
    </row>
    <row r="248" spans="1:15" x14ac:dyDescent="0.35">
      <c r="A248" s="111"/>
      <c r="B248" s="111"/>
      <c r="C248" s="111"/>
      <c r="D248" s="111"/>
      <c r="E248" s="111"/>
      <c r="F248" s="111"/>
      <c r="G248" s="111"/>
      <c r="H248" s="110"/>
      <c r="J248" s="110"/>
      <c r="M248" s="110"/>
      <c r="N248" s="110"/>
      <c r="O248" s="110"/>
    </row>
    <row r="249" spans="1:15" x14ac:dyDescent="0.35">
      <c r="A249" s="111"/>
      <c r="B249" s="111"/>
      <c r="C249" s="111"/>
      <c r="D249" s="111"/>
      <c r="E249" s="111"/>
      <c r="F249" s="111"/>
      <c r="G249" s="111"/>
      <c r="H249" s="110"/>
      <c r="J249" s="110"/>
      <c r="M249" s="110"/>
      <c r="N249" s="110"/>
      <c r="O249" s="110"/>
    </row>
    <row r="250" spans="1:15" x14ac:dyDescent="0.35">
      <c r="A250" s="111"/>
      <c r="B250" s="111"/>
      <c r="C250" s="111"/>
      <c r="D250" s="111"/>
      <c r="E250" s="111"/>
      <c r="F250" s="111"/>
      <c r="G250" s="111"/>
      <c r="H250" s="110"/>
      <c r="J250" s="110"/>
      <c r="M250" s="110"/>
      <c r="N250" s="110"/>
      <c r="O250" s="110"/>
    </row>
    <row r="251" spans="1:15" x14ac:dyDescent="0.35">
      <c r="A251" s="111"/>
      <c r="B251" s="111"/>
      <c r="C251" s="111"/>
      <c r="D251" s="111"/>
      <c r="E251" s="111"/>
      <c r="F251" s="111"/>
      <c r="G251" s="111"/>
      <c r="H251" s="110"/>
      <c r="J251" s="110"/>
      <c r="M251" s="110"/>
      <c r="N251" s="110"/>
      <c r="O251" s="110"/>
    </row>
    <row r="252" spans="1:15" x14ac:dyDescent="0.35">
      <c r="A252" s="111"/>
      <c r="B252" s="111"/>
      <c r="C252" s="111"/>
      <c r="D252" s="111"/>
      <c r="E252" s="111"/>
      <c r="F252" s="111"/>
      <c r="G252" s="111"/>
      <c r="H252" s="110"/>
      <c r="J252" s="110"/>
      <c r="M252" s="110"/>
      <c r="N252" s="110"/>
      <c r="O252" s="110"/>
    </row>
    <row r="253" spans="1:15" x14ac:dyDescent="0.35">
      <c r="A253" s="111"/>
      <c r="B253" s="111"/>
      <c r="C253" s="111"/>
      <c r="D253" s="111"/>
      <c r="E253" s="111"/>
      <c r="F253" s="111"/>
      <c r="G253" s="111"/>
      <c r="H253" s="110"/>
      <c r="J253" s="110"/>
      <c r="M253" s="110"/>
      <c r="N253" s="110"/>
      <c r="O253" s="110"/>
    </row>
    <row r="254" spans="1:15" x14ac:dyDescent="0.35">
      <c r="A254" s="111"/>
      <c r="B254" s="111"/>
      <c r="C254" s="111"/>
      <c r="D254" s="111"/>
      <c r="E254" s="111"/>
      <c r="F254" s="111"/>
      <c r="G254" s="111"/>
      <c r="H254" s="110"/>
      <c r="J254" s="110"/>
      <c r="M254" s="110"/>
      <c r="N254" s="110"/>
      <c r="O254" s="110"/>
    </row>
    <row r="255" spans="1:15" x14ac:dyDescent="0.35">
      <c r="A255" s="111"/>
      <c r="B255" s="111"/>
      <c r="C255" s="111"/>
      <c r="D255" s="111"/>
      <c r="E255" s="111"/>
      <c r="F255" s="111"/>
      <c r="G255" s="111"/>
      <c r="H255" s="110"/>
      <c r="J255" s="110"/>
      <c r="M255" s="110"/>
      <c r="N255" s="110"/>
      <c r="O255" s="110"/>
    </row>
    <row r="256" spans="1:15" x14ac:dyDescent="0.35">
      <c r="A256" s="111"/>
      <c r="B256" s="111"/>
      <c r="C256" s="111"/>
      <c r="D256" s="111"/>
      <c r="E256" s="111"/>
      <c r="F256" s="111"/>
      <c r="G256" s="111"/>
      <c r="H256" s="110"/>
      <c r="J256" s="110"/>
      <c r="M256" s="110"/>
      <c r="N256" s="110"/>
      <c r="O256" s="110"/>
    </row>
    <row r="257" spans="1:15" x14ac:dyDescent="0.35">
      <c r="A257" s="111"/>
      <c r="B257" s="111"/>
      <c r="C257" s="111"/>
      <c r="D257" s="111"/>
      <c r="E257" s="111"/>
      <c r="F257" s="111"/>
      <c r="G257" s="111"/>
      <c r="H257" s="110"/>
      <c r="J257" s="110"/>
      <c r="M257" s="110"/>
      <c r="N257" s="110"/>
      <c r="O257" s="110"/>
    </row>
    <row r="258" spans="1:15" x14ac:dyDescent="0.35">
      <c r="A258" s="111"/>
      <c r="B258" s="111"/>
      <c r="C258" s="111"/>
      <c r="D258" s="111"/>
      <c r="E258" s="111"/>
      <c r="F258" s="111"/>
      <c r="G258" s="111"/>
      <c r="H258" s="110"/>
      <c r="J258" s="110"/>
      <c r="M258" s="110"/>
      <c r="N258" s="110"/>
      <c r="O258" s="110"/>
    </row>
    <row r="259" spans="1:15" x14ac:dyDescent="0.35">
      <c r="A259" s="111"/>
      <c r="B259" s="111"/>
      <c r="C259" s="111"/>
      <c r="D259" s="111"/>
      <c r="E259" s="111"/>
      <c r="F259" s="111"/>
      <c r="G259" s="111"/>
      <c r="H259" s="110"/>
      <c r="J259" s="110"/>
      <c r="M259" s="110"/>
      <c r="N259" s="110"/>
      <c r="O259" s="110"/>
    </row>
    <row r="260" spans="1:15" x14ac:dyDescent="0.35">
      <c r="A260" s="111"/>
      <c r="B260" s="111"/>
      <c r="C260" s="111"/>
      <c r="D260" s="111"/>
      <c r="E260" s="111"/>
      <c r="F260" s="111"/>
      <c r="G260" s="111"/>
      <c r="H260" s="110"/>
      <c r="J260" s="110"/>
      <c r="M260" s="110"/>
      <c r="N260" s="110"/>
      <c r="O260" s="110"/>
    </row>
    <row r="261" spans="1:15" x14ac:dyDescent="0.35">
      <c r="A261" s="111"/>
      <c r="B261" s="111"/>
      <c r="C261" s="111"/>
      <c r="D261" s="111"/>
      <c r="E261" s="111"/>
      <c r="F261" s="111"/>
      <c r="G261" s="111"/>
      <c r="H261" s="110"/>
      <c r="J261" s="110"/>
      <c r="M261" s="110"/>
      <c r="N261" s="110"/>
      <c r="O261" s="110"/>
    </row>
    <row r="262" spans="1:15" x14ac:dyDescent="0.35">
      <c r="A262" s="111"/>
      <c r="B262" s="111"/>
      <c r="C262" s="111"/>
      <c r="D262" s="111"/>
      <c r="E262" s="111"/>
      <c r="F262" s="111"/>
      <c r="G262" s="111"/>
      <c r="H262" s="110"/>
      <c r="J262" s="110"/>
      <c r="M262" s="110"/>
      <c r="N262" s="110"/>
      <c r="O262" s="110"/>
    </row>
    <row r="263" spans="1:15" x14ac:dyDescent="0.35">
      <c r="A263" s="111"/>
      <c r="B263" s="111"/>
      <c r="C263" s="111"/>
      <c r="D263" s="111"/>
      <c r="E263" s="111"/>
      <c r="F263" s="111"/>
      <c r="G263" s="111"/>
      <c r="H263" s="110"/>
      <c r="J263" s="110"/>
      <c r="M263" s="110"/>
      <c r="N263" s="110"/>
      <c r="O263" s="110"/>
    </row>
    <row r="264" spans="1:15" x14ac:dyDescent="0.35">
      <c r="A264" s="111"/>
      <c r="B264" s="111"/>
      <c r="C264" s="111"/>
      <c r="D264" s="111"/>
      <c r="E264" s="111"/>
      <c r="F264" s="111"/>
      <c r="G264" s="111"/>
      <c r="H264" s="110"/>
      <c r="J264" s="110"/>
      <c r="M264" s="110"/>
      <c r="N264" s="110"/>
      <c r="O264" s="110"/>
    </row>
    <row r="265" spans="1:15" x14ac:dyDescent="0.35">
      <c r="A265" s="111"/>
      <c r="B265" s="111"/>
      <c r="C265" s="111"/>
      <c r="D265" s="111"/>
      <c r="E265" s="111"/>
      <c r="F265" s="111"/>
      <c r="G265" s="111"/>
      <c r="H265" s="110"/>
      <c r="J265" s="110"/>
      <c r="M265" s="110"/>
      <c r="N265" s="110"/>
      <c r="O265" s="110"/>
    </row>
    <row r="266" spans="1:15" x14ac:dyDescent="0.35">
      <c r="A266" s="111"/>
      <c r="B266" s="111"/>
      <c r="C266" s="111"/>
      <c r="D266" s="111"/>
      <c r="E266" s="111"/>
      <c r="F266" s="111"/>
      <c r="G266" s="111"/>
      <c r="H266" s="110"/>
      <c r="J266" s="110"/>
      <c r="M266" s="110"/>
      <c r="N266" s="110"/>
      <c r="O266" s="110"/>
    </row>
    <row r="267" spans="1:15" x14ac:dyDescent="0.35">
      <c r="A267" s="111"/>
      <c r="B267" s="111"/>
      <c r="C267" s="111"/>
      <c r="D267" s="111"/>
      <c r="E267" s="111"/>
      <c r="F267" s="111"/>
      <c r="G267" s="111"/>
      <c r="H267" s="110"/>
      <c r="J267" s="110"/>
      <c r="M267" s="110"/>
      <c r="N267" s="110"/>
      <c r="O267" s="110"/>
    </row>
    <row r="268" spans="1:15" x14ac:dyDescent="0.35">
      <c r="A268" s="111"/>
      <c r="B268" s="111"/>
      <c r="C268" s="111"/>
      <c r="D268" s="111"/>
      <c r="E268" s="111"/>
      <c r="F268" s="111"/>
      <c r="G268" s="111"/>
      <c r="H268" s="110"/>
      <c r="J268" s="110"/>
      <c r="M268" s="110"/>
      <c r="N268" s="110"/>
      <c r="O268" s="110"/>
    </row>
    <row r="269" spans="1:15" x14ac:dyDescent="0.35">
      <c r="A269" s="111"/>
      <c r="B269" s="111"/>
      <c r="C269" s="111"/>
      <c r="D269" s="111"/>
      <c r="E269" s="111"/>
      <c r="F269" s="111"/>
      <c r="G269" s="111"/>
      <c r="H269" s="110"/>
      <c r="J269" s="110"/>
      <c r="M269" s="110"/>
      <c r="N269" s="110"/>
      <c r="O269" s="110"/>
    </row>
    <row r="270" spans="1:15" x14ac:dyDescent="0.35">
      <c r="A270" s="111"/>
      <c r="B270" s="111"/>
      <c r="C270" s="111"/>
      <c r="D270" s="111"/>
      <c r="E270" s="111"/>
      <c r="F270" s="111"/>
      <c r="G270" s="111"/>
      <c r="H270" s="110"/>
      <c r="J270" s="110"/>
      <c r="M270" s="110"/>
      <c r="N270" s="110"/>
      <c r="O270" s="110"/>
    </row>
    <row r="271" spans="1:15" x14ac:dyDescent="0.35">
      <c r="A271" s="111"/>
      <c r="B271" s="111"/>
      <c r="C271" s="111"/>
      <c r="D271" s="111"/>
      <c r="E271" s="111"/>
      <c r="F271" s="111"/>
      <c r="G271" s="111"/>
      <c r="H271" s="110"/>
      <c r="J271" s="110"/>
      <c r="M271" s="110"/>
      <c r="N271" s="110"/>
      <c r="O271" s="110"/>
    </row>
    <row r="272" spans="1:15" x14ac:dyDescent="0.35">
      <c r="A272" s="111"/>
      <c r="B272" s="111"/>
      <c r="C272" s="111"/>
      <c r="D272" s="111"/>
      <c r="E272" s="111"/>
      <c r="F272" s="111"/>
      <c r="G272" s="111"/>
      <c r="H272" s="110"/>
      <c r="J272" s="110"/>
      <c r="M272" s="110"/>
      <c r="N272" s="110"/>
      <c r="O272" s="110"/>
    </row>
    <row r="273" spans="1:15" x14ac:dyDescent="0.35">
      <c r="A273" s="111"/>
      <c r="B273" s="111"/>
      <c r="C273" s="111"/>
      <c r="D273" s="111"/>
      <c r="E273" s="111"/>
      <c r="F273" s="111"/>
      <c r="G273" s="111"/>
      <c r="H273" s="110"/>
      <c r="J273" s="110"/>
      <c r="M273" s="110"/>
      <c r="N273" s="110"/>
      <c r="O273" s="110"/>
    </row>
    <row r="274" spans="1:15" x14ac:dyDescent="0.35">
      <c r="A274" s="111"/>
      <c r="B274" s="111"/>
      <c r="C274" s="111"/>
      <c r="D274" s="111"/>
      <c r="E274" s="111"/>
      <c r="F274" s="111"/>
      <c r="G274" s="111"/>
      <c r="H274" s="110"/>
      <c r="J274" s="110"/>
      <c r="M274" s="110"/>
      <c r="N274" s="110"/>
      <c r="O274" s="110"/>
    </row>
    <row r="275" spans="1:15" x14ac:dyDescent="0.35">
      <c r="A275" s="111"/>
      <c r="B275" s="111"/>
      <c r="C275" s="111"/>
      <c r="D275" s="111"/>
      <c r="E275" s="111"/>
      <c r="F275" s="111"/>
      <c r="G275" s="111"/>
      <c r="H275" s="110"/>
      <c r="J275" s="110"/>
      <c r="M275" s="110"/>
      <c r="N275" s="110"/>
      <c r="O275" s="110"/>
    </row>
    <row r="276" spans="1:15" x14ac:dyDescent="0.35">
      <c r="A276" s="111"/>
      <c r="B276" s="111"/>
      <c r="C276" s="111"/>
      <c r="D276" s="111"/>
      <c r="E276" s="111"/>
      <c r="F276" s="111"/>
      <c r="G276" s="111"/>
      <c r="H276" s="110"/>
      <c r="J276" s="110"/>
      <c r="M276" s="110"/>
      <c r="N276" s="110"/>
      <c r="O276" s="110"/>
    </row>
    <row r="277" spans="1:15" x14ac:dyDescent="0.35">
      <c r="A277" s="111"/>
      <c r="B277" s="111"/>
      <c r="C277" s="111"/>
      <c r="D277" s="111"/>
      <c r="E277" s="111"/>
      <c r="F277" s="111"/>
      <c r="G277" s="111"/>
      <c r="H277" s="110"/>
      <c r="J277" s="110"/>
      <c r="M277" s="110"/>
      <c r="N277" s="110"/>
      <c r="O277" s="110"/>
    </row>
    <row r="278" spans="1:15" x14ac:dyDescent="0.35">
      <c r="A278" s="111"/>
      <c r="B278" s="111"/>
      <c r="C278" s="111"/>
      <c r="D278" s="111"/>
      <c r="E278" s="111"/>
      <c r="F278" s="111"/>
      <c r="G278" s="111"/>
      <c r="H278" s="110"/>
      <c r="J278" s="110"/>
      <c r="M278" s="110"/>
      <c r="N278" s="110"/>
      <c r="O278" s="110"/>
    </row>
    <row r="279" spans="1:15" x14ac:dyDescent="0.35">
      <c r="A279" s="111"/>
      <c r="B279" s="111"/>
      <c r="C279" s="111"/>
      <c r="D279" s="111"/>
      <c r="E279" s="111"/>
      <c r="F279" s="111"/>
      <c r="G279" s="111"/>
      <c r="H279" s="110"/>
      <c r="J279" s="110"/>
      <c r="M279" s="110"/>
      <c r="N279" s="110"/>
      <c r="O279" s="110"/>
    </row>
    <row r="280" spans="1:15" x14ac:dyDescent="0.35">
      <c r="A280" s="111"/>
      <c r="B280" s="111"/>
      <c r="C280" s="111"/>
      <c r="D280" s="111"/>
      <c r="E280" s="111"/>
      <c r="F280" s="111"/>
      <c r="G280" s="111"/>
      <c r="H280" s="110"/>
      <c r="J280" s="110"/>
      <c r="M280" s="110"/>
      <c r="N280" s="110"/>
      <c r="O280" s="110"/>
    </row>
    <row r="281" spans="1:15" x14ac:dyDescent="0.35">
      <c r="A281" s="111"/>
      <c r="B281" s="111"/>
      <c r="C281" s="111"/>
      <c r="D281" s="111"/>
      <c r="E281" s="111"/>
      <c r="F281" s="111"/>
      <c r="G281" s="111"/>
      <c r="H281" s="110"/>
      <c r="J281" s="110"/>
      <c r="M281" s="110"/>
      <c r="N281" s="110"/>
      <c r="O281" s="110"/>
    </row>
    <row r="282" spans="1:15" x14ac:dyDescent="0.35">
      <c r="A282" s="111"/>
      <c r="B282" s="111"/>
      <c r="C282" s="111"/>
      <c r="D282" s="111"/>
      <c r="E282" s="111"/>
      <c r="F282" s="111"/>
      <c r="G282" s="111"/>
      <c r="H282" s="110"/>
      <c r="J282" s="110"/>
      <c r="M282" s="110"/>
      <c r="N282" s="110"/>
      <c r="O282" s="110"/>
    </row>
    <row r="283" spans="1:15" x14ac:dyDescent="0.35">
      <c r="A283" s="111"/>
      <c r="B283" s="111"/>
      <c r="C283" s="111"/>
      <c r="D283" s="111"/>
      <c r="E283" s="111"/>
      <c r="F283" s="111"/>
      <c r="G283" s="111"/>
      <c r="H283" s="110"/>
      <c r="J283" s="110"/>
      <c r="M283" s="110"/>
      <c r="N283" s="110"/>
      <c r="O283" s="110"/>
    </row>
    <row r="284" spans="1:15" x14ac:dyDescent="0.35">
      <c r="A284" s="111"/>
      <c r="B284" s="111"/>
      <c r="C284" s="111"/>
      <c r="D284" s="111"/>
      <c r="E284" s="111"/>
      <c r="F284" s="111"/>
      <c r="G284" s="111"/>
      <c r="H284" s="110"/>
      <c r="J284" s="110"/>
      <c r="M284" s="110"/>
      <c r="N284" s="110"/>
      <c r="O284" s="110"/>
    </row>
    <row r="285" spans="1:15" x14ac:dyDescent="0.35">
      <c r="A285" s="111"/>
      <c r="B285" s="111"/>
      <c r="C285" s="111"/>
      <c r="D285" s="111"/>
      <c r="E285" s="111"/>
      <c r="F285" s="111"/>
      <c r="G285" s="111"/>
      <c r="H285" s="110"/>
      <c r="J285" s="110"/>
      <c r="M285" s="110"/>
      <c r="N285" s="110"/>
      <c r="O285" s="110"/>
    </row>
    <row r="286" spans="1:15" x14ac:dyDescent="0.35">
      <c r="A286" s="111"/>
      <c r="B286" s="111"/>
      <c r="C286" s="111"/>
      <c r="D286" s="111"/>
      <c r="E286" s="111"/>
      <c r="F286" s="111"/>
      <c r="G286" s="111"/>
      <c r="H286" s="110"/>
      <c r="J286" s="110"/>
      <c r="M286" s="110"/>
      <c r="N286" s="110"/>
      <c r="O286" s="110"/>
    </row>
    <row r="287" spans="1:15" x14ac:dyDescent="0.35">
      <c r="A287" s="111"/>
      <c r="B287" s="111"/>
      <c r="C287" s="111"/>
      <c r="D287" s="111"/>
      <c r="E287" s="111"/>
      <c r="F287" s="111"/>
      <c r="G287" s="111"/>
      <c r="H287" s="110"/>
      <c r="J287" s="110"/>
      <c r="M287" s="110"/>
      <c r="N287" s="110"/>
      <c r="O287" s="110"/>
    </row>
    <row r="288" spans="1:15" x14ac:dyDescent="0.35">
      <c r="A288" s="111"/>
      <c r="B288" s="111"/>
      <c r="C288" s="111"/>
      <c r="D288" s="111"/>
      <c r="E288" s="111"/>
      <c r="F288" s="111"/>
      <c r="G288" s="111"/>
      <c r="H288" s="110"/>
      <c r="J288" s="110"/>
      <c r="M288" s="110"/>
      <c r="N288" s="110"/>
      <c r="O288" s="110"/>
    </row>
    <row r="289" spans="1:15" x14ac:dyDescent="0.35">
      <c r="A289" s="111"/>
      <c r="B289" s="111"/>
      <c r="C289" s="111"/>
      <c r="D289" s="111"/>
      <c r="E289" s="111"/>
      <c r="F289" s="111"/>
      <c r="G289" s="111"/>
      <c r="H289" s="110"/>
      <c r="J289" s="110"/>
      <c r="M289" s="110"/>
      <c r="N289" s="110"/>
      <c r="O289" s="110"/>
    </row>
    <row r="290" spans="1:15" x14ac:dyDescent="0.35">
      <c r="A290" s="111"/>
      <c r="B290" s="111"/>
      <c r="C290" s="111"/>
      <c r="D290" s="111"/>
      <c r="E290" s="111"/>
      <c r="F290" s="111"/>
      <c r="G290" s="111"/>
      <c r="H290" s="110"/>
      <c r="J290" s="110"/>
      <c r="M290" s="110"/>
      <c r="N290" s="110"/>
      <c r="O290" s="110"/>
    </row>
    <row r="291" spans="1:15" x14ac:dyDescent="0.35">
      <c r="A291" s="111"/>
      <c r="B291" s="111"/>
      <c r="C291" s="111"/>
      <c r="D291" s="111"/>
      <c r="E291" s="111"/>
      <c r="F291" s="111"/>
      <c r="G291" s="111"/>
      <c r="H291" s="110"/>
      <c r="J291" s="110"/>
      <c r="M291" s="110"/>
      <c r="N291" s="110"/>
      <c r="O291" s="110"/>
    </row>
    <row r="292" spans="1:15" x14ac:dyDescent="0.35">
      <c r="A292" s="111"/>
      <c r="B292" s="111"/>
      <c r="C292" s="111"/>
      <c r="D292" s="111"/>
      <c r="E292" s="111"/>
      <c r="F292" s="111"/>
      <c r="G292" s="111"/>
      <c r="H292" s="110"/>
      <c r="J292" s="110"/>
      <c r="M292" s="110"/>
      <c r="N292" s="110"/>
      <c r="O292" s="110"/>
    </row>
    <row r="293" spans="1:15" x14ac:dyDescent="0.35">
      <c r="A293" s="111"/>
      <c r="B293" s="111"/>
      <c r="C293" s="111"/>
      <c r="D293" s="111"/>
      <c r="E293" s="111"/>
      <c r="F293" s="111"/>
      <c r="G293" s="111"/>
      <c r="H293" s="110"/>
      <c r="J293" s="110"/>
      <c r="M293" s="110"/>
      <c r="N293" s="110"/>
      <c r="O293" s="110"/>
    </row>
    <row r="294" spans="1:15" x14ac:dyDescent="0.35">
      <c r="A294" s="111"/>
      <c r="B294" s="111"/>
      <c r="C294" s="111"/>
      <c r="D294" s="111"/>
      <c r="E294" s="111"/>
      <c r="F294" s="111"/>
      <c r="G294" s="111"/>
      <c r="H294" s="110"/>
      <c r="J294" s="110"/>
      <c r="M294" s="110"/>
      <c r="N294" s="110"/>
      <c r="O294" s="110"/>
    </row>
    <row r="295" spans="1:15" x14ac:dyDescent="0.35">
      <c r="A295" s="111"/>
      <c r="B295" s="111"/>
      <c r="C295" s="111"/>
      <c r="D295" s="111"/>
      <c r="E295" s="111"/>
      <c r="F295" s="111"/>
      <c r="G295" s="111"/>
      <c r="H295" s="110"/>
      <c r="J295" s="110"/>
      <c r="M295" s="110"/>
      <c r="N295" s="110"/>
      <c r="O295" s="110"/>
    </row>
    <row r="296" spans="1:15" x14ac:dyDescent="0.35">
      <c r="A296" s="111"/>
      <c r="B296" s="111"/>
      <c r="C296" s="111"/>
      <c r="D296" s="111"/>
      <c r="E296" s="111"/>
      <c r="F296" s="111"/>
      <c r="G296" s="111"/>
      <c r="H296" s="110"/>
      <c r="J296" s="110"/>
      <c r="M296" s="110"/>
      <c r="N296" s="110"/>
      <c r="O296" s="110"/>
    </row>
    <row r="297" spans="1:15" x14ac:dyDescent="0.35">
      <c r="A297" s="111"/>
      <c r="B297" s="111"/>
      <c r="C297" s="111"/>
      <c r="D297" s="111"/>
      <c r="E297" s="111"/>
      <c r="F297" s="111"/>
      <c r="G297" s="111"/>
      <c r="H297" s="110"/>
      <c r="J297" s="110"/>
      <c r="M297" s="110"/>
      <c r="N297" s="110"/>
      <c r="O297" s="110"/>
    </row>
    <row r="298" spans="1:15" x14ac:dyDescent="0.35">
      <c r="A298" s="111"/>
      <c r="B298" s="111"/>
      <c r="C298" s="111"/>
      <c r="D298" s="111"/>
      <c r="E298" s="111"/>
      <c r="F298" s="111"/>
      <c r="G298" s="111"/>
      <c r="H298" s="110"/>
      <c r="J298" s="110"/>
      <c r="M298" s="110"/>
      <c r="N298" s="110"/>
      <c r="O298" s="110"/>
    </row>
    <row r="299" spans="1:15" x14ac:dyDescent="0.35">
      <c r="A299" s="111"/>
      <c r="B299" s="111"/>
      <c r="C299" s="111"/>
      <c r="D299" s="111"/>
      <c r="E299" s="111"/>
      <c r="F299" s="111"/>
      <c r="G299" s="111"/>
      <c r="H299" s="110"/>
      <c r="J299" s="110"/>
      <c r="M299" s="110"/>
      <c r="N299" s="110"/>
      <c r="O299" s="110"/>
    </row>
    <row r="300" spans="1:15" x14ac:dyDescent="0.35">
      <c r="A300" s="111"/>
      <c r="B300" s="111"/>
      <c r="C300" s="111"/>
      <c r="D300" s="111"/>
      <c r="E300" s="111"/>
      <c r="F300" s="111"/>
      <c r="G300" s="111"/>
      <c r="H300" s="110"/>
      <c r="J300" s="110"/>
      <c r="M300" s="110"/>
      <c r="N300" s="110"/>
      <c r="O300" s="110"/>
    </row>
    <row r="301" spans="1:15" x14ac:dyDescent="0.35">
      <c r="A301" s="111"/>
      <c r="B301" s="111"/>
      <c r="C301" s="111"/>
      <c r="D301" s="111"/>
      <c r="E301" s="111"/>
      <c r="F301" s="111"/>
      <c r="G301" s="111"/>
      <c r="H301" s="110"/>
      <c r="J301" s="110"/>
      <c r="M301" s="110"/>
      <c r="N301" s="110"/>
      <c r="O301" s="110"/>
    </row>
    <row r="302" spans="1:15" x14ac:dyDescent="0.35">
      <c r="A302" s="111"/>
      <c r="B302" s="111"/>
      <c r="C302" s="111"/>
      <c r="D302" s="111"/>
      <c r="E302" s="111"/>
      <c r="F302" s="111"/>
      <c r="G302" s="111"/>
      <c r="H302" s="110"/>
      <c r="J302" s="110"/>
      <c r="M302" s="110"/>
      <c r="N302" s="110"/>
      <c r="O302" s="110"/>
    </row>
    <row r="303" spans="1:15" x14ac:dyDescent="0.35">
      <c r="A303" s="111"/>
      <c r="B303" s="111"/>
      <c r="C303" s="111"/>
      <c r="D303" s="111"/>
      <c r="E303" s="111"/>
      <c r="F303" s="111"/>
      <c r="G303" s="111"/>
      <c r="H303" s="110"/>
      <c r="J303" s="110"/>
      <c r="M303" s="110"/>
      <c r="N303" s="110"/>
      <c r="O303" s="110"/>
    </row>
    <row r="304" spans="1:15" x14ac:dyDescent="0.35">
      <c r="A304" s="111"/>
      <c r="B304" s="111"/>
      <c r="C304" s="111"/>
      <c r="D304" s="111"/>
      <c r="E304" s="111"/>
      <c r="F304" s="111"/>
      <c r="G304" s="111"/>
      <c r="H304" s="110"/>
      <c r="J304" s="110"/>
      <c r="M304" s="110"/>
      <c r="N304" s="110"/>
      <c r="O304" s="110"/>
    </row>
    <row r="305" spans="1:15" x14ac:dyDescent="0.35">
      <c r="A305" s="111"/>
      <c r="B305" s="111"/>
      <c r="C305" s="111"/>
      <c r="D305" s="111"/>
      <c r="E305" s="111"/>
      <c r="F305" s="111"/>
      <c r="G305" s="111"/>
      <c r="H305" s="110"/>
      <c r="J305" s="110"/>
      <c r="M305" s="110"/>
      <c r="N305" s="110"/>
      <c r="O305" s="110"/>
    </row>
    <row r="306" spans="1:15" x14ac:dyDescent="0.35">
      <c r="A306" s="111"/>
      <c r="B306" s="111"/>
      <c r="C306" s="111"/>
      <c r="D306" s="111"/>
      <c r="E306" s="111"/>
      <c r="F306" s="111"/>
      <c r="G306" s="111"/>
      <c r="H306" s="110"/>
      <c r="J306" s="110"/>
      <c r="M306" s="110"/>
      <c r="N306" s="110"/>
      <c r="O306" s="110"/>
    </row>
    <row r="307" spans="1:15" x14ac:dyDescent="0.35">
      <c r="A307" s="111"/>
      <c r="B307" s="111"/>
      <c r="C307" s="111"/>
      <c r="D307" s="111"/>
      <c r="E307" s="111"/>
      <c r="F307" s="111"/>
      <c r="G307" s="111"/>
      <c r="H307" s="110"/>
      <c r="J307" s="110"/>
      <c r="M307" s="110"/>
      <c r="N307" s="110"/>
      <c r="O307" s="110"/>
    </row>
    <row r="308" spans="1:15" x14ac:dyDescent="0.35">
      <c r="A308" s="111"/>
      <c r="B308" s="111"/>
      <c r="C308" s="111"/>
      <c r="D308" s="111"/>
      <c r="E308" s="111"/>
      <c r="F308" s="111"/>
      <c r="G308" s="111"/>
      <c r="H308" s="110"/>
      <c r="J308" s="110"/>
      <c r="M308" s="110"/>
      <c r="N308" s="110"/>
      <c r="O308" s="110"/>
    </row>
    <row r="309" spans="1:15" x14ac:dyDescent="0.35">
      <c r="A309" s="111"/>
      <c r="B309" s="111"/>
      <c r="C309" s="111"/>
      <c r="D309" s="111"/>
      <c r="E309" s="111"/>
      <c r="F309" s="111"/>
      <c r="G309" s="111"/>
      <c r="H309" s="110"/>
      <c r="J309" s="110"/>
      <c r="M309" s="110"/>
      <c r="N309" s="110"/>
      <c r="O309" s="110"/>
    </row>
    <row r="310" spans="1:15" x14ac:dyDescent="0.35">
      <c r="A310" s="111"/>
      <c r="B310" s="111"/>
      <c r="C310" s="111"/>
      <c r="D310" s="111"/>
      <c r="E310" s="111"/>
      <c r="F310" s="111"/>
      <c r="G310" s="111"/>
      <c r="H310" s="110"/>
      <c r="J310" s="110"/>
      <c r="M310" s="110"/>
      <c r="N310" s="110"/>
      <c r="O310" s="110"/>
    </row>
    <row r="311" spans="1:15" x14ac:dyDescent="0.35">
      <c r="A311" s="111"/>
      <c r="B311" s="111"/>
      <c r="C311" s="111"/>
      <c r="D311" s="111"/>
      <c r="E311" s="111"/>
      <c r="F311" s="111"/>
      <c r="G311" s="111"/>
      <c r="H311" s="110"/>
      <c r="J311" s="110"/>
      <c r="M311" s="110"/>
      <c r="N311" s="110"/>
      <c r="O311" s="110"/>
    </row>
    <row r="312" spans="1:15" x14ac:dyDescent="0.35">
      <c r="A312" s="111"/>
      <c r="B312" s="111"/>
      <c r="C312" s="111"/>
      <c r="D312" s="111"/>
      <c r="E312" s="111"/>
      <c r="F312" s="111"/>
      <c r="G312" s="111"/>
      <c r="H312" s="110"/>
      <c r="J312" s="110"/>
      <c r="M312" s="110"/>
      <c r="N312" s="110"/>
      <c r="O312" s="110"/>
    </row>
    <row r="313" spans="1:15" x14ac:dyDescent="0.35">
      <c r="A313" s="111"/>
      <c r="B313" s="111"/>
      <c r="C313" s="111"/>
      <c r="D313" s="111"/>
      <c r="E313" s="111"/>
      <c r="F313" s="111"/>
      <c r="G313" s="111"/>
      <c r="H313" s="110"/>
      <c r="J313" s="110"/>
      <c r="M313" s="110"/>
      <c r="N313" s="110"/>
      <c r="O313" s="110"/>
    </row>
    <row r="314" spans="1:15" x14ac:dyDescent="0.35">
      <c r="A314" s="111"/>
      <c r="B314" s="111"/>
      <c r="C314" s="111"/>
      <c r="D314" s="111"/>
      <c r="E314" s="111"/>
      <c r="F314" s="111"/>
      <c r="G314" s="111"/>
      <c r="H314" s="110"/>
      <c r="J314" s="110"/>
      <c r="M314" s="110"/>
      <c r="N314" s="110"/>
      <c r="O314" s="110"/>
    </row>
    <row r="315" spans="1:15" x14ac:dyDescent="0.35">
      <c r="A315" s="111"/>
      <c r="B315" s="111"/>
      <c r="C315" s="111"/>
      <c r="D315" s="111"/>
      <c r="E315" s="111"/>
      <c r="F315" s="111"/>
      <c r="G315" s="111"/>
      <c r="H315" s="110"/>
      <c r="J315" s="110"/>
      <c r="M315" s="110"/>
      <c r="N315" s="110"/>
      <c r="O315" s="110"/>
    </row>
    <row r="316" spans="1:15" x14ac:dyDescent="0.35">
      <c r="A316" s="111"/>
      <c r="B316" s="111"/>
      <c r="C316" s="111"/>
      <c r="D316" s="111"/>
      <c r="E316" s="111"/>
      <c r="F316" s="111"/>
      <c r="G316" s="111"/>
      <c r="H316" s="110"/>
      <c r="J316" s="110"/>
      <c r="M316" s="110"/>
      <c r="N316" s="110"/>
      <c r="O316" s="110"/>
    </row>
    <row r="317" spans="1:15" x14ac:dyDescent="0.35">
      <c r="A317" s="111"/>
      <c r="B317" s="111"/>
      <c r="C317" s="111"/>
      <c r="D317" s="111"/>
      <c r="E317" s="111"/>
      <c r="F317" s="111"/>
      <c r="G317" s="111"/>
      <c r="H317" s="110"/>
      <c r="J317" s="110"/>
      <c r="M317" s="110"/>
      <c r="N317" s="110"/>
      <c r="O317" s="110"/>
    </row>
    <row r="318" spans="1:15" x14ac:dyDescent="0.35">
      <c r="A318" s="111"/>
      <c r="B318" s="111"/>
      <c r="C318" s="111"/>
      <c r="D318" s="111"/>
      <c r="E318" s="111"/>
      <c r="F318" s="111"/>
      <c r="G318" s="111"/>
      <c r="H318" s="110"/>
      <c r="J318" s="110"/>
      <c r="M318" s="110"/>
      <c r="N318" s="110"/>
      <c r="O318" s="110"/>
    </row>
    <row r="319" spans="1:15" x14ac:dyDescent="0.35">
      <c r="A319" s="111"/>
      <c r="B319" s="111"/>
      <c r="C319" s="111"/>
      <c r="D319" s="111"/>
      <c r="E319" s="111"/>
      <c r="F319" s="111"/>
      <c r="G319" s="111"/>
      <c r="H319" s="110"/>
      <c r="J319" s="110"/>
      <c r="M319" s="110"/>
      <c r="N319" s="110"/>
      <c r="O319" s="110"/>
    </row>
    <row r="320" spans="1:15" x14ac:dyDescent="0.35">
      <c r="A320" s="111"/>
      <c r="B320" s="111"/>
      <c r="C320" s="111"/>
      <c r="D320" s="111"/>
      <c r="E320" s="111"/>
      <c r="F320" s="111"/>
      <c r="G320" s="111"/>
      <c r="H320" s="110"/>
      <c r="J320" s="110"/>
      <c r="M320" s="110"/>
      <c r="N320" s="110"/>
      <c r="O320" s="110"/>
    </row>
    <row r="321" spans="1:15" x14ac:dyDescent="0.35">
      <c r="A321" s="111"/>
      <c r="B321" s="111"/>
      <c r="C321" s="111"/>
      <c r="D321" s="111"/>
      <c r="E321" s="111"/>
      <c r="F321" s="111"/>
      <c r="G321" s="111"/>
      <c r="H321" s="110"/>
      <c r="J321" s="110"/>
      <c r="M321" s="110"/>
      <c r="N321" s="110"/>
      <c r="O321" s="110"/>
    </row>
    <row r="322" spans="1:15" x14ac:dyDescent="0.35">
      <c r="A322" s="111"/>
      <c r="B322" s="111"/>
      <c r="C322" s="111"/>
      <c r="D322" s="111"/>
      <c r="E322" s="111"/>
      <c r="F322" s="111"/>
      <c r="G322" s="111"/>
      <c r="H322" s="110"/>
      <c r="J322" s="110"/>
      <c r="M322" s="110"/>
      <c r="N322" s="110"/>
      <c r="O322" s="110"/>
    </row>
    <row r="323" spans="1:15" x14ac:dyDescent="0.35">
      <c r="A323" s="111"/>
      <c r="B323" s="111"/>
      <c r="C323" s="111"/>
      <c r="D323" s="111"/>
      <c r="E323" s="111"/>
      <c r="F323" s="111"/>
      <c r="G323" s="111"/>
      <c r="H323" s="110"/>
      <c r="J323" s="110"/>
      <c r="M323" s="110"/>
      <c r="N323" s="110"/>
      <c r="O323" s="110"/>
    </row>
    <row r="324" spans="1:15" x14ac:dyDescent="0.35">
      <c r="A324" s="111"/>
      <c r="B324" s="111"/>
      <c r="C324" s="111"/>
      <c r="D324" s="111"/>
      <c r="E324" s="111"/>
      <c r="F324" s="111"/>
      <c r="G324" s="111"/>
      <c r="H324" s="110"/>
      <c r="J324" s="110"/>
      <c r="M324" s="110"/>
      <c r="N324" s="110"/>
      <c r="O324" s="110"/>
    </row>
    <row r="325" spans="1:15" x14ac:dyDescent="0.35">
      <c r="A325" s="111"/>
      <c r="B325" s="111"/>
      <c r="C325" s="111"/>
      <c r="D325" s="111"/>
      <c r="E325" s="111"/>
      <c r="F325" s="111"/>
      <c r="G325" s="111"/>
      <c r="H325" s="110"/>
      <c r="J325" s="110"/>
      <c r="M325" s="110"/>
      <c r="N325" s="110"/>
      <c r="O325" s="110"/>
    </row>
    <row r="326" spans="1:15" x14ac:dyDescent="0.35">
      <c r="A326" s="111"/>
      <c r="B326" s="111"/>
      <c r="C326" s="111"/>
      <c r="D326" s="111"/>
      <c r="E326" s="111"/>
      <c r="F326" s="111"/>
      <c r="G326" s="111"/>
      <c r="H326" s="110"/>
      <c r="J326" s="110"/>
      <c r="M326" s="110"/>
      <c r="N326" s="110"/>
      <c r="O326" s="110"/>
    </row>
    <row r="327" spans="1:15" x14ac:dyDescent="0.35">
      <c r="A327" s="111"/>
      <c r="B327" s="111"/>
      <c r="C327" s="111"/>
      <c r="D327" s="111"/>
      <c r="E327" s="111"/>
      <c r="F327" s="111"/>
      <c r="G327" s="111"/>
      <c r="H327" s="110"/>
      <c r="J327" s="110"/>
      <c r="M327" s="110"/>
      <c r="N327" s="110"/>
      <c r="O327" s="110"/>
    </row>
    <row r="328" spans="1:15" x14ac:dyDescent="0.35">
      <c r="A328" s="111"/>
      <c r="B328" s="111"/>
      <c r="C328" s="111"/>
      <c r="D328" s="111"/>
      <c r="E328" s="111"/>
      <c r="F328" s="111"/>
      <c r="G328" s="111"/>
      <c r="H328" s="110"/>
      <c r="J328" s="110"/>
      <c r="M328" s="110"/>
      <c r="N328" s="110"/>
      <c r="O328" s="110"/>
    </row>
    <row r="329" spans="1:15" x14ac:dyDescent="0.35">
      <c r="A329" s="111"/>
      <c r="B329" s="111"/>
      <c r="C329" s="111"/>
      <c r="D329" s="111"/>
      <c r="E329" s="111"/>
      <c r="F329" s="111"/>
      <c r="G329" s="111"/>
      <c r="H329" s="110"/>
      <c r="J329" s="110"/>
      <c r="M329" s="110"/>
      <c r="N329" s="110"/>
      <c r="O329" s="110"/>
    </row>
    <row r="330" spans="1:15" x14ac:dyDescent="0.35">
      <c r="A330" s="111"/>
      <c r="B330" s="111"/>
      <c r="C330" s="111"/>
      <c r="D330" s="111"/>
      <c r="E330" s="111"/>
      <c r="F330" s="111"/>
      <c r="G330" s="111"/>
      <c r="H330" s="110"/>
      <c r="J330" s="110"/>
      <c r="M330" s="110"/>
      <c r="N330" s="110"/>
      <c r="O330" s="110"/>
    </row>
    <row r="331" spans="1:15" x14ac:dyDescent="0.35">
      <c r="A331" s="111"/>
      <c r="B331" s="111"/>
      <c r="C331" s="111"/>
      <c r="D331" s="111"/>
      <c r="E331" s="111"/>
      <c r="F331" s="111"/>
      <c r="G331" s="111"/>
      <c r="H331" s="110"/>
      <c r="J331" s="110"/>
      <c r="M331" s="110"/>
      <c r="N331" s="110"/>
      <c r="O331" s="110"/>
    </row>
    <row r="332" spans="1:15" x14ac:dyDescent="0.35">
      <c r="A332" s="111"/>
      <c r="B332" s="111"/>
      <c r="C332" s="111"/>
      <c r="D332" s="111"/>
      <c r="E332" s="111"/>
      <c r="F332" s="111"/>
      <c r="G332" s="111"/>
      <c r="H332" s="110"/>
      <c r="J332" s="110"/>
      <c r="M332" s="110"/>
      <c r="N332" s="110"/>
      <c r="O332" s="110"/>
    </row>
    <row r="333" spans="1:15" x14ac:dyDescent="0.35">
      <c r="A333" s="111"/>
      <c r="B333" s="111"/>
      <c r="C333" s="111"/>
      <c r="D333" s="111"/>
      <c r="E333" s="111"/>
      <c r="F333" s="111"/>
      <c r="G333" s="111"/>
      <c r="H333" s="110"/>
      <c r="J333" s="110"/>
      <c r="M333" s="110"/>
      <c r="N333" s="110"/>
      <c r="O333" s="110"/>
    </row>
    <row r="334" spans="1:15" x14ac:dyDescent="0.35">
      <c r="A334" s="111"/>
      <c r="B334" s="111"/>
      <c r="C334" s="111"/>
      <c r="D334" s="111"/>
      <c r="E334" s="111"/>
      <c r="F334" s="111"/>
      <c r="G334" s="111"/>
      <c r="H334" s="110"/>
      <c r="J334" s="110"/>
      <c r="M334" s="110"/>
      <c r="N334" s="110"/>
      <c r="O334" s="110"/>
    </row>
    <row r="335" spans="1:15" x14ac:dyDescent="0.35">
      <c r="A335" s="111"/>
      <c r="B335" s="111"/>
      <c r="C335" s="111"/>
      <c r="D335" s="111"/>
      <c r="E335" s="111"/>
      <c r="F335" s="111"/>
      <c r="G335" s="111"/>
      <c r="H335" s="110"/>
      <c r="J335" s="110"/>
      <c r="M335" s="110"/>
      <c r="N335" s="110"/>
      <c r="O335" s="110"/>
    </row>
    <row r="336" spans="1:15" x14ac:dyDescent="0.35">
      <c r="A336" s="111"/>
      <c r="B336" s="111"/>
      <c r="C336" s="111"/>
      <c r="D336" s="111"/>
      <c r="E336" s="111"/>
      <c r="F336" s="111"/>
      <c r="G336" s="111"/>
      <c r="H336" s="110"/>
      <c r="J336" s="110"/>
      <c r="M336" s="110"/>
      <c r="N336" s="110"/>
      <c r="O336" s="110"/>
    </row>
    <row r="337" spans="1:15" x14ac:dyDescent="0.35">
      <c r="A337" s="111"/>
      <c r="B337" s="111"/>
      <c r="C337" s="111"/>
      <c r="D337" s="111"/>
      <c r="E337" s="111"/>
      <c r="F337" s="111"/>
      <c r="G337" s="111"/>
      <c r="H337" s="110"/>
      <c r="J337" s="110"/>
      <c r="M337" s="110"/>
      <c r="N337" s="110"/>
      <c r="O337" s="110"/>
    </row>
    <row r="338" spans="1:15" x14ac:dyDescent="0.35">
      <c r="A338" s="111"/>
      <c r="B338" s="111"/>
      <c r="C338" s="111"/>
      <c r="D338" s="111"/>
      <c r="E338" s="111"/>
      <c r="F338" s="111"/>
      <c r="G338" s="111"/>
      <c r="H338" s="110"/>
      <c r="J338" s="110"/>
      <c r="M338" s="110"/>
      <c r="N338" s="110"/>
      <c r="O338" s="110"/>
    </row>
    <row r="339" spans="1:15" x14ac:dyDescent="0.35">
      <c r="A339" s="111"/>
      <c r="B339" s="111"/>
      <c r="C339" s="111"/>
      <c r="D339" s="111"/>
      <c r="E339" s="111"/>
      <c r="F339" s="111"/>
      <c r="G339" s="111"/>
      <c r="H339" s="110"/>
      <c r="J339" s="110"/>
      <c r="M339" s="110"/>
      <c r="N339" s="110"/>
      <c r="O339" s="110"/>
    </row>
    <row r="340" spans="1:15" x14ac:dyDescent="0.35">
      <c r="A340" s="111"/>
      <c r="B340" s="111"/>
      <c r="C340" s="111"/>
      <c r="D340" s="111"/>
      <c r="E340" s="111"/>
      <c r="F340" s="111"/>
      <c r="G340" s="111"/>
      <c r="H340" s="110"/>
      <c r="J340" s="110"/>
      <c r="M340" s="110"/>
      <c r="N340" s="110"/>
      <c r="O340" s="110"/>
    </row>
    <row r="341" spans="1:15" x14ac:dyDescent="0.35">
      <c r="A341" s="111"/>
      <c r="B341" s="111"/>
      <c r="C341" s="111"/>
      <c r="D341" s="111"/>
      <c r="E341" s="111"/>
      <c r="F341" s="111"/>
      <c r="G341" s="111"/>
      <c r="H341" s="110"/>
      <c r="J341" s="110"/>
      <c r="M341" s="110"/>
      <c r="N341" s="110"/>
      <c r="O341" s="110"/>
    </row>
    <row r="342" spans="1:15" x14ac:dyDescent="0.35">
      <c r="A342" s="111"/>
      <c r="B342" s="111"/>
      <c r="C342" s="111"/>
      <c r="D342" s="111"/>
      <c r="E342" s="111"/>
      <c r="F342" s="111"/>
      <c r="G342" s="111"/>
      <c r="H342" s="110"/>
      <c r="J342" s="110"/>
      <c r="M342" s="110"/>
      <c r="N342" s="110"/>
      <c r="O342" s="110"/>
    </row>
    <row r="343" spans="1:15" x14ac:dyDescent="0.35">
      <c r="A343" s="111"/>
      <c r="B343" s="111"/>
      <c r="C343" s="111"/>
      <c r="D343" s="111"/>
      <c r="E343" s="111"/>
      <c r="F343" s="111"/>
      <c r="G343" s="111"/>
      <c r="H343" s="110"/>
      <c r="J343" s="110"/>
      <c r="M343" s="110"/>
      <c r="N343" s="110"/>
      <c r="O343" s="110"/>
    </row>
    <row r="344" spans="1:15" x14ac:dyDescent="0.35">
      <c r="A344" s="111"/>
      <c r="B344" s="111"/>
      <c r="C344" s="111"/>
      <c r="D344" s="111"/>
      <c r="E344" s="111"/>
      <c r="F344" s="111"/>
      <c r="G344" s="111"/>
      <c r="H344" s="110"/>
      <c r="J344" s="110"/>
      <c r="M344" s="110"/>
      <c r="N344" s="110"/>
      <c r="O344" s="110"/>
    </row>
    <row r="345" spans="1:15" x14ac:dyDescent="0.35">
      <c r="A345" s="111"/>
      <c r="B345" s="111"/>
      <c r="C345" s="111"/>
      <c r="D345" s="111"/>
      <c r="E345" s="111"/>
      <c r="F345" s="111"/>
      <c r="G345" s="111"/>
      <c r="H345" s="110"/>
      <c r="J345" s="110"/>
      <c r="M345" s="110"/>
      <c r="N345" s="110"/>
      <c r="O345" s="110"/>
    </row>
    <row r="346" spans="1:15" x14ac:dyDescent="0.35">
      <c r="A346" s="111"/>
      <c r="B346" s="111"/>
      <c r="C346" s="111"/>
      <c r="D346" s="111"/>
      <c r="E346" s="111"/>
      <c r="F346" s="111"/>
      <c r="G346" s="111"/>
      <c r="H346" s="110"/>
      <c r="J346" s="110"/>
      <c r="M346" s="110"/>
      <c r="N346" s="110"/>
      <c r="O346" s="110"/>
    </row>
    <row r="347" spans="1:15" x14ac:dyDescent="0.35">
      <c r="A347" s="111"/>
      <c r="B347" s="111"/>
      <c r="C347" s="111"/>
      <c r="D347" s="111"/>
      <c r="E347" s="111"/>
      <c r="F347" s="111"/>
      <c r="G347" s="111"/>
      <c r="H347" s="110"/>
      <c r="J347" s="110"/>
      <c r="M347" s="110"/>
      <c r="N347" s="110"/>
      <c r="O347" s="110"/>
    </row>
    <row r="348" spans="1:15" x14ac:dyDescent="0.35">
      <c r="A348" s="111"/>
      <c r="B348" s="111"/>
      <c r="C348" s="111"/>
      <c r="D348" s="111"/>
      <c r="E348" s="111"/>
      <c r="F348" s="111"/>
      <c r="G348" s="111"/>
      <c r="H348" s="110"/>
      <c r="J348" s="110"/>
      <c r="M348" s="110"/>
      <c r="N348" s="110"/>
      <c r="O348" s="110"/>
    </row>
    <row r="349" spans="1:15" x14ac:dyDescent="0.35">
      <c r="A349" s="111"/>
      <c r="B349" s="111"/>
      <c r="C349" s="111"/>
      <c r="D349" s="111"/>
      <c r="E349" s="111"/>
      <c r="F349" s="111"/>
      <c r="G349" s="111"/>
      <c r="H349" s="110"/>
      <c r="J349" s="110"/>
      <c r="M349" s="110"/>
      <c r="N349" s="110"/>
      <c r="O349" s="110"/>
    </row>
    <row r="350" spans="1:15" x14ac:dyDescent="0.35">
      <c r="A350" s="111"/>
      <c r="B350" s="111"/>
      <c r="C350" s="111"/>
      <c r="D350" s="111"/>
      <c r="E350" s="111"/>
      <c r="F350" s="111"/>
      <c r="G350" s="111"/>
      <c r="H350" s="110"/>
      <c r="J350" s="110"/>
      <c r="M350" s="110"/>
      <c r="N350" s="110"/>
      <c r="O350" s="110"/>
    </row>
    <row r="351" spans="1:15" x14ac:dyDescent="0.35">
      <c r="A351" s="111"/>
      <c r="B351" s="111"/>
      <c r="C351" s="111"/>
      <c r="D351" s="111"/>
      <c r="E351" s="111"/>
      <c r="F351" s="111"/>
      <c r="G351" s="111"/>
      <c r="H351" s="110"/>
      <c r="J351" s="110"/>
      <c r="M351" s="110"/>
      <c r="N351" s="110"/>
      <c r="O351" s="110"/>
    </row>
    <row r="352" spans="1:15" x14ac:dyDescent="0.35">
      <c r="A352" s="111"/>
      <c r="B352" s="111"/>
      <c r="C352" s="111"/>
      <c r="D352" s="111"/>
      <c r="E352" s="111"/>
      <c r="F352" s="111"/>
      <c r="G352" s="111"/>
      <c r="H352" s="110"/>
      <c r="J352" s="110"/>
      <c r="M352" s="110"/>
      <c r="N352" s="110"/>
      <c r="O352" s="110"/>
    </row>
    <row r="353" spans="1:15" x14ac:dyDescent="0.35">
      <c r="A353" s="111"/>
      <c r="B353" s="111"/>
      <c r="C353" s="111"/>
      <c r="D353" s="111"/>
      <c r="E353" s="111"/>
      <c r="F353" s="111"/>
      <c r="G353" s="111"/>
      <c r="H353" s="110"/>
      <c r="J353" s="110"/>
      <c r="M353" s="110"/>
      <c r="N353" s="110"/>
      <c r="O353" s="110"/>
    </row>
    <row r="354" spans="1:15" x14ac:dyDescent="0.35">
      <c r="A354" s="111"/>
      <c r="B354" s="111"/>
      <c r="C354" s="111"/>
      <c r="D354" s="111"/>
      <c r="E354" s="111"/>
      <c r="F354" s="111"/>
      <c r="G354" s="111"/>
      <c r="H354" s="110"/>
      <c r="J354" s="110"/>
      <c r="M354" s="110"/>
      <c r="N354" s="110"/>
      <c r="O354" s="110"/>
    </row>
    <row r="355" spans="1:15" x14ac:dyDescent="0.35">
      <c r="A355" s="111"/>
      <c r="B355" s="111"/>
      <c r="C355" s="111"/>
      <c r="D355" s="111"/>
      <c r="E355" s="111"/>
      <c r="F355" s="111"/>
      <c r="G355" s="111"/>
      <c r="H355" s="110"/>
      <c r="J355" s="110"/>
      <c r="M355" s="110"/>
      <c r="N355" s="110"/>
      <c r="O355" s="110"/>
    </row>
    <row r="356" spans="1:15" x14ac:dyDescent="0.35">
      <c r="A356" s="111"/>
      <c r="B356" s="111"/>
      <c r="C356" s="111"/>
      <c r="D356" s="111"/>
      <c r="E356" s="111"/>
      <c r="F356" s="111"/>
      <c r="G356" s="111"/>
      <c r="H356" s="110"/>
      <c r="J356" s="110"/>
      <c r="M356" s="110"/>
      <c r="N356" s="110"/>
      <c r="O356" s="110"/>
    </row>
    <row r="357" spans="1:15" x14ac:dyDescent="0.35">
      <c r="A357" s="111"/>
      <c r="B357" s="111"/>
      <c r="C357" s="111"/>
      <c r="D357" s="111"/>
      <c r="E357" s="111"/>
      <c r="F357" s="111"/>
      <c r="G357" s="111"/>
      <c r="H357" s="110"/>
      <c r="J357" s="110"/>
      <c r="M357" s="110"/>
      <c r="N357" s="110"/>
      <c r="O357" s="110"/>
    </row>
    <row r="358" spans="1:15" x14ac:dyDescent="0.35">
      <c r="A358" s="111"/>
      <c r="B358" s="111"/>
      <c r="C358" s="111"/>
      <c r="D358" s="111"/>
      <c r="E358" s="111"/>
      <c r="F358" s="111"/>
      <c r="G358" s="111"/>
      <c r="H358" s="110"/>
      <c r="J358" s="110"/>
      <c r="M358" s="110"/>
      <c r="N358" s="110"/>
      <c r="O358" s="110"/>
    </row>
    <row r="359" spans="1:15" x14ac:dyDescent="0.35">
      <c r="A359" s="111"/>
      <c r="B359" s="111"/>
      <c r="C359" s="111"/>
      <c r="D359" s="111"/>
      <c r="E359" s="111"/>
      <c r="F359" s="111"/>
      <c r="G359" s="111"/>
      <c r="H359" s="110"/>
      <c r="J359" s="110"/>
      <c r="M359" s="110"/>
      <c r="N359" s="110"/>
      <c r="O359" s="110"/>
    </row>
    <row r="360" spans="1:15" x14ac:dyDescent="0.35">
      <c r="A360" s="111"/>
      <c r="B360" s="111"/>
      <c r="C360" s="111"/>
      <c r="D360" s="111"/>
      <c r="E360" s="111"/>
      <c r="F360" s="111"/>
      <c r="G360" s="111"/>
      <c r="H360" s="110"/>
      <c r="J360" s="110"/>
      <c r="M360" s="110"/>
      <c r="N360" s="110"/>
      <c r="O360" s="110"/>
    </row>
    <row r="361" spans="1:15" x14ac:dyDescent="0.35">
      <c r="A361" s="111"/>
      <c r="B361" s="111"/>
      <c r="C361" s="111"/>
      <c r="D361" s="111"/>
      <c r="E361" s="111"/>
      <c r="F361" s="111"/>
      <c r="G361" s="111"/>
      <c r="H361" s="110"/>
      <c r="J361" s="110"/>
      <c r="M361" s="110"/>
      <c r="N361" s="110"/>
      <c r="O361" s="110"/>
    </row>
    <row r="362" spans="1:15" x14ac:dyDescent="0.35">
      <c r="A362" s="111"/>
      <c r="B362" s="111"/>
      <c r="C362" s="111"/>
      <c r="D362" s="111"/>
      <c r="E362" s="111"/>
      <c r="F362" s="111"/>
      <c r="G362" s="111"/>
      <c r="H362" s="110"/>
      <c r="J362" s="110"/>
      <c r="M362" s="110"/>
      <c r="N362" s="110"/>
      <c r="O362" s="110"/>
    </row>
    <row r="363" spans="1:15" x14ac:dyDescent="0.35">
      <c r="A363" s="111"/>
      <c r="B363" s="111"/>
      <c r="C363" s="111"/>
      <c r="D363" s="111"/>
      <c r="E363" s="111"/>
      <c r="F363" s="111"/>
      <c r="G363" s="111"/>
      <c r="H363" s="110"/>
      <c r="J363" s="110"/>
      <c r="M363" s="110"/>
      <c r="N363" s="110"/>
      <c r="O363" s="110"/>
    </row>
    <row r="364" spans="1:15" x14ac:dyDescent="0.35">
      <c r="A364" s="111"/>
      <c r="B364" s="111"/>
      <c r="C364" s="111"/>
      <c r="D364" s="111"/>
      <c r="E364" s="111"/>
      <c r="F364" s="111"/>
      <c r="G364" s="111"/>
      <c r="H364" s="110"/>
      <c r="J364" s="110"/>
      <c r="M364" s="110"/>
      <c r="N364" s="110"/>
      <c r="O364" s="110"/>
    </row>
    <row r="365" spans="1:15" x14ac:dyDescent="0.35">
      <c r="A365" s="111"/>
      <c r="B365" s="111"/>
      <c r="C365" s="111"/>
      <c r="D365" s="111"/>
      <c r="E365" s="111"/>
      <c r="F365" s="111"/>
      <c r="G365" s="111"/>
      <c r="H365" s="110"/>
      <c r="J365" s="110"/>
      <c r="M365" s="110"/>
      <c r="N365" s="110"/>
      <c r="O365" s="110"/>
    </row>
    <row r="366" spans="1:15" x14ac:dyDescent="0.35">
      <c r="A366" s="111"/>
      <c r="B366" s="111"/>
      <c r="C366" s="111"/>
      <c r="D366" s="111"/>
      <c r="E366" s="111"/>
      <c r="F366" s="111"/>
      <c r="G366" s="111"/>
      <c r="H366" s="110"/>
      <c r="J366" s="110"/>
      <c r="M366" s="110"/>
      <c r="N366" s="110"/>
      <c r="O366" s="110"/>
    </row>
    <row r="367" spans="1:15" x14ac:dyDescent="0.35">
      <c r="A367" s="111"/>
      <c r="B367" s="111"/>
      <c r="C367" s="111"/>
      <c r="D367" s="111"/>
      <c r="E367" s="111"/>
      <c r="F367" s="111"/>
      <c r="G367" s="111"/>
      <c r="H367" s="110"/>
      <c r="J367" s="110"/>
      <c r="M367" s="110"/>
      <c r="N367" s="110"/>
      <c r="O367" s="110"/>
    </row>
    <row r="368" spans="1:15" x14ac:dyDescent="0.35">
      <c r="A368" s="111"/>
      <c r="B368" s="111"/>
      <c r="C368" s="111"/>
      <c r="D368" s="111"/>
      <c r="E368" s="111"/>
      <c r="F368" s="111"/>
      <c r="G368" s="111"/>
      <c r="H368" s="110"/>
      <c r="J368" s="110"/>
      <c r="M368" s="110"/>
      <c r="N368" s="110"/>
      <c r="O368" s="110"/>
    </row>
    <row r="369" spans="1:15" x14ac:dyDescent="0.35">
      <c r="A369" s="111"/>
      <c r="B369" s="111"/>
      <c r="C369" s="111"/>
      <c r="D369" s="111"/>
      <c r="E369" s="111"/>
      <c r="F369" s="111"/>
      <c r="G369" s="111"/>
      <c r="H369" s="110"/>
      <c r="J369" s="110"/>
      <c r="M369" s="110"/>
      <c r="N369" s="110"/>
      <c r="O369" s="110"/>
    </row>
    <row r="370" spans="1:15" x14ac:dyDescent="0.35">
      <c r="A370" s="111"/>
      <c r="B370" s="111"/>
      <c r="C370" s="111"/>
      <c r="D370" s="111"/>
      <c r="E370" s="111"/>
      <c r="F370" s="111"/>
      <c r="G370" s="111"/>
      <c r="H370" s="110"/>
      <c r="J370" s="110"/>
      <c r="M370" s="110"/>
      <c r="N370" s="110"/>
      <c r="O370" s="110"/>
    </row>
    <row r="371" spans="1:15" x14ac:dyDescent="0.35">
      <c r="A371" s="111"/>
      <c r="B371" s="111"/>
      <c r="C371" s="111"/>
      <c r="D371" s="111"/>
      <c r="E371" s="111"/>
      <c r="F371" s="111"/>
      <c r="G371" s="111"/>
      <c r="H371" s="110"/>
      <c r="J371" s="110"/>
      <c r="M371" s="110"/>
      <c r="N371" s="110"/>
      <c r="O371" s="110"/>
    </row>
    <row r="372" spans="1:15" x14ac:dyDescent="0.35">
      <c r="A372" s="111"/>
      <c r="B372" s="111"/>
      <c r="C372" s="111"/>
      <c r="D372" s="111"/>
      <c r="E372" s="111"/>
      <c r="F372" s="111"/>
      <c r="G372" s="111"/>
      <c r="H372" s="110"/>
      <c r="J372" s="110"/>
      <c r="M372" s="110"/>
      <c r="N372" s="110"/>
      <c r="O372" s="110"/>
    </row>
    <row r="373" spans="1:15" x14ac:dyDescent="0.35">
      <c r="A373" s="111"/>
      <c r="B373" s="111"/>
      <c r="C373" s="111"/>
      <c r="D373" s="111"/>
      <c r="E373" s="111"/>
      <c r="F373" s="111"/>
      <c r="G373" s="111"/>
      <c r="H373" s="110"/>
      <c r="J373" s="110"/>
      <c r="M373" s="110"/>
      <c r="N373" s="110"/>
      <c r="O373" s="110"/>
    </row>
    <row r="374" spans="1:15" x14ac:dyDescent="0.35">
      <c r="A374" s="111"/>
      <c r="B374" s="111"/>
      <c r="C374" s="111"/>
      <c r="D374" s="111"/>
      <c r="E374" s="111"/>
      <c r="F374" s="111"/>
      <c r="G374" s="111"/>
      <c r="H374" s="110"/>
      <c r="J374" s="110"/>
      <c r="M374" s="110"/>
      <c r="N374" s="110"/>
      <c r="O374" s="110"/>
    </row>
    <row r="375" spans="1:15" x14ac:dyDescent="0.35">
      <c r="A375" s="111"/>
      <c r="B375" s="111"/>
      <c r="C375" s="111"/>
      <c r="D375" s="111"/>
      <c r="E375" s="111"/>
      <c r="F375" s="111"/>
      <c r="G375" s="111"/>
      <c r="H375" s="110"/>
      <c r="J375" s="110"/>
      <c r="M375" s="110"/>
      <c r="N375" s="110"/>
      <c r="O375" s="110"/>
    </row>
    <row r="376" spans="1:15" x14ac:dyDescent="0.35">
      <c r="A376" s="111"/>
      <c r="B376" s="111"/>
      <c r="C376" s="111"/>
      <c r="D376" s="111"/>
      <c r="E376" s="111"/>
      <c r="F376" s="111"/>
      <c r="G376" s="111"/>
      <c r="H376" s="110"/>
      <c r="J376" s="110"/>
      <c r="M376" s="110"/>
      <c r="N376" s="110"/>
      <c r="O376" s="110"/>
    </row>
    <row r="377" spans="1:15" x14ac:dyDescent="0.35">
      <c r="A377" s="111"/>
      <c r="B377" s="111"/>
      <c r="C377" s="111"/>
      <c r="D377" s="111"/>
      <c r="E377" s="111"/>
      <c r="F377" s="111"/>
      <c r="G377" s="111"/>
      <c r="H377" s="110"/>
      <c r="J377" s="110"/>
      <c r="M377" s="110"/>
      <c r="N377" s="110"/>
      <c r="O377" s="110"/>
    </row>
    <row r="378" spans="1:15" x14ac:dyDescent="0.35">
      <c r="A378" s="111"/>
      <c r="B378" s="111"/>
      <c r="C378" s="111"/>
      <c r="D378" s="111"/>
      <c r="E378" s="111"/>
      <c r="F378" s="111"/>
      <c r="G378" s="111"/>
      <c r="H378" s="110"/>
      <c r="J378" s="110"/>
      <c r="M378" s="110"/>
      <c r="N378" s="110"/>
      <c r="O378" s="110"/>
    </row>
    <row r="379" spans="1:15" x14ac:dyDescent="0.35">
      <c r="A379" s="111"/>
      <c r="B379" s="111"/>
      <c r="C379" s="111"/>
      <c r="D379" s="111"/>
      <c r="E379" s="111"/>
      <c r="F379" s="111"/>
      <c r="G379" s="111"/>
      <c r="H379" s="110"/>
      <c r="J379" s="110"/>
      <c r="M379" s="110"/>
      <c r="N379" s="110"/>
      <c r="O379" s="110"/>
    </row>
    <row r="380" spans="1:15" x14ac:dyDescent="0.35">
      <c r="A380" s="111"/>
      <c r="B380" s="111"/>
      <c r="C380" s="111"/>
      <c r="D380" s="111"/>
      <c r="E380" s="111"/>
      <c r="F380" s="111"/>
      <c r="G380" s="111"/>
      <c r="H380" s="110"/>
      <c r="J380" s="110"/>
      <c r="M380" s="110"/>
      <c r="N380" s="110"/>
      <c r="O380" s="110"/>
    </row>
    <row r="381" spans="1:15" x14ac:dyDescent="0.35">
      <c r="A381" s="111"/>
      <c r="B381" s="111"/>
      <c r="C381" s="111"/>
      <c r="D381" s="111"/>
      <c r="E381" s="111"/>
      <c r="F381" s="111"/>
      <c r="G381" s="111"/>
      <c r="H381" s="110"/>
      <c r="J381" s="110"/>
      <c r="M381" s="110"/>
      <c r="N381" s="110"/>
      <c r="O381" s="110"/>
    </row>
    <row r="382" spans="1:15" x14ac:dyDescent="0.35">
      <c r="A382" s="111"/>
      <c r="B382" s="111"/>
      <c r="C382" s="111"/>
      <c r="D382" s="111"/>
      <c r="E382" s="111"/>
      <c r="F382" s="111"/>
      <c r="G382" s="111"/>
      <c r="H382" s="110"/>
      <c r="J382" s="110"/>
      <c r="M382" s="110"/>
      <c r="N382" s="110"/>
      <c r="O382" s="110"/>
    </row>
    <row r="383" spans="1:15" x14ac:dyDescent="0.35">
      <c r="A383" s="111"/>
      <c r="B383" s="111"/>
      <c r="C383" s="111"/>
      <c r="D383" s="111"/>
      <c r="E383" s="111"/>
      <c r="F383" s="111"/>
      <c r="G383" s="111"/>
      <c r="H383" s="110"/>
      <c r="J383" s="110"/>
      <c r="M383" s="110"/>
      <c r="N383" s="110"/>
      <c r="O383" s="110"/>
    </row>
    <row r="384" spans="1:15" x14ac:dyDescent="0.35">
      <c r="A384" s="111"/>
      <c r="B384" s="111"/>
      <c r="C384" s="111"/>
      <c r="D384" s="111"/>
      <c r="E384" s="111"/>
      <c r="F384" s="111"/>
      <c r="G384" s="111"/>
      <c r="H384" s="110"/>
      <c r="J384" s="110"/>
      <c r="M384" s="110"/>
      <c r="N384" s="110"/>
      <c r="O384" s="110"/>
    </row>
    <row r="385" spans="1:15" x14ac:dyDescent="0.35">
      <c r="A385" s="111"/>
      <c r="B385" s="111"/>
      <c r="C385" s="111"/>
      <c r="D385" s="111"/>
      <c r="E385" s="111"/>
      <c r="F385" s="111"/>
      <c r="G385" s="111"/>
      <c r="H385" s="110"/>
      <c r="J385" s="110"/>
      <c r="M385" s="110"/>
      <c r="N385" s="110"/>
      <c r="O385" s="110"/>
    </row>
    <row r="386" spans="1:15" x14ac:dyDescent="0.35">
      <c r="A386" s="111"/>
      <c r="B386" s="111"/>
      <c r="C386" s="111"/>
      <c r="D386" s="111"/>
      <c r="E386" s="111"/>
      <c r="F386" s="111"/>
      <c r="G386" s="111"/>
      <c r="H386" s="110"/>
      <c r="J386" s="110"/>
      <c r="M386" s="110"/>
      <c r="N386" s="110"/>
      <c r="O386" s="110"/>
    </row>
    <row r="387" spans="1:15" x14ac:dyDescent="0.35">
      <c r="A387" s="111"/>
      <c r="B387" s="111"/>
      <c r="C387" s="111"/>
      <c r="D387" s="111"/>
      <c r="E387" s="111"/>
      <c r="F387" s="111"/>
      <c r="G387" s="111"/>
      <c r="H387" s="110"/>
      <c r="J387" s="110"/>
      <c r="M387" s="110"/>
      <c r="N387" s="110"/>
      <c r="O387" s="110"/>
    </row>
    <row r="388" spans="1:15" x14ac:dyDescent="0.35">
      <c r="A388" s="111"/>
      <c r="B388" s="111"/>
      <c r="C388" s="111"/>
      <c r="D388" s="111"/>
      <c r="E388" s="111"/>
      <c r="F388" s="111"/>
      <c r="G388" s="111"/>
      <c r="H388" s="110"/>
      <c r="J388" s="110"/>
      <c r="M388" s="110"/>
      <c r="N388" s="110"/>
      <c r="O388" s="110"/>
    </row>
    <row r="389" spans="1:15" x14ac:dyDescent="0.35">
      <c r="A389" s="111"/>
      <c r="B389" s="111"/>
      <c r="C389" s="111"/>
      <c r="D389" s="111"/>
      <c r="E389" s="111"/>
      <c r="F389" s="111"/>
      <c r="G389" s="111"/>
      <c r="H389" s="110"/>
      <c r="J389" s="110"/>
      <c r="M389" s="110"/>
      <c r="N389" s="110"/>
      <c r="O389" s="110"/>
    </row>
    <row r="390" spans="1:15" x14ac:dyDescent="0.35">
      <c r="A390" s="111"/>
      <c r="B390" s="111"/>
      <c r="C390" s="111"/>
      <c r="D390" s="111"/>
      <c r="E390" s="111"/>
      <c r="F390" s="111"/>
      <c r="G390" s="111"/>
      <c r="H390" s="110"/>
      <c r="J390" s="110"/>
      <c r="M390" s="110"/>
      <c r="N390" s="110"/>
      <c r="O390" s="110"/>
    </row>
    <row r="391" spans="1:15" x14ac:dyDescent="0.35">
      <c r="A391" s="111"/>
      <c r="B391" s="111"/>
      <c r="C391" s="111"/>
      <c r="D391" s="111"/>
      <c r="E391" s="111"/>
      <c r="F391" s="111"/>
      <c r="G391" s="111"/>
      <c r="H391" s="110"/>
      <c r="J391" s="110"/>
      <c r="M391" s="110"/>
      <c r="N391" s="110"/>
      <c r="O391" s="110"/>
    </row>
    <row r="392" spans="1:15" x14ac:dyDescent="0.35">
      <c r="A392" s="111"/>
      <c r="B392" s="111"/>
      <c r="C392" s="111"/>
      <c r="D392" s="111"/>
      <c r="E392" s="111"/>
      <c r="F392" s="111"/>
      <c r="G392" s="111"/>
      <c r="H392" s="110"/>
      <c r="J392" s="110"/>
      <c r="M392" s="110"/>
      <c r="N392" s="110"/>
      <c r="O392" s="110"/>
    </row>
    <row r="393" spans="1:15" x14ac:dyDescent="0.35">
      <c r="A393" s="111"/>
      <c r="B393" s="111"/>
      <c r="C393" s="111"/>
      <c r="D393" s="111"/>
      <c r="E393" s="111"/>
      <c r="F393" s="111"/>
      <c r="G393" s="111"/>
      <c r="H393" s="110"/>
      <c r="J393" s="110"/>
      <c r="M393" s="110"/>
      <c r="N393" s="110"/>
      <c r="O393" s="110"/>
    </row>
    <row r="394" spans="1:15" x14ac:dyDescent="0.35">
      <c r="A394" s="111"/>
      <c r="B394" s="111"/>
      <c r="C394" s="111"/>
      <c r="D394" s="111"/>
      <c r="E394" s="111"/>
      <c r="F394" s="111"/>
      <c r="G394" s="111"/>
      <c r="H394" s="110"/>
      <c r="J394" s="110"/>
      <c r="M394" s="110"/>
      <c r="N394" s="110"/>
      <c r="O394" s="110"/>
    </row>
    <row r="395" spans="1:15" x14ac:dyDescent="0.35">
      <c r="A395" s="111"/>
      <c r="B395" s="111"/>
      <c r="C395" s="111"/>
      <c r="D395" s="111"/>
      <c r="E395" s="111"/>
      <c r="F395" s="111"/>
      <c r="G395" s="111"/>
      <c r="H395" s="110"/>
      <c r="J395" s="110"/>
      <c r="M395" s="110"/>
      <c r="N395" s="110"/>
      <c r="O395" s="110"/>
    </row>
    <row r="396" spans="1:15" x14ac:dyDescent="0.35">
      <c r="A396" s="111"/>
      <c r="B396" s="111"/>
      <c r="C396" s="111"/>
      <c r="D396" s="111"/>
      <c r="E396" s="111"/>
      <c r="F396" s="111"/>
      <c r="G396" s="111"/>
      <c r="H396" s="110"/>
      <c r="J396" s="110"/>
      <c r="M396" s="110"/>
      <c r="N396" s="110"/>
      <c r="O396" s="110"/>
    </row>
    <row r="397" spans="1:15" x14ac:dyDescent="0.35">
      <c r="A397" s="111"/>
      <c r="B397" s="111"/>
      <c r="C397" s="111"/>
      <c r="D397" s="111"/>
      <c r="E397" s="111"/>
      <c r="F397" s="111"/>
      <c r="G397" s="111"/>
      <c r="H397" s="110"/>
      <c r="J397" s="110"/>
      <c r="M397" s="110"/>
      <c r="N397" s="110"/>
      <c r="O397" s="110"/>
    </row>
    <row r="398" spans="1:15" x14ac:dyDescent="0.35">
      <c r="A398" s="111"/>
      <c r="B398" s="111"/>
      <c r="C398" s="111"/>
      <c r="D398" s="111"/>
      <c r="E398" s="111"/>
      <c r="F398" s="111"/>
      <c r="G398" s="111"/>
      <c r="H398" s="110"/>
      <c r="J398" s="110"/>
      <c r="M398" s="110"/>
      <c r="N398" s="110"/>
      <c r="O398" s="110"/>
    </row>
    <row r="399" spans="1:15" x14ac:dyDescent="0.35">
      <c r="A399" s="111"/>
      <c r="B399" s="111"/>
      <c r="C399" s="111"/>
      <c r="D399" s="111"/>
      <c r="E399" s="111"/>
      <c r="F399" s="111"/>
      <c r="G399" s="111"/>
      <c r="H399" s="110"/>
      <c r="J399" s="110"/>
      <c r="M399" s="110"/>
      <c r="N399" s="110"/>
      <c r="O399" s="110"/>
    </row>
    <row r="400" spans="1:15" x14ac:dyDescent="0.35">
      <c r="A400" s="111"/>
      <c r="B400" s="111"/>
      <c r="C400" s="111"/>
      <c r="D400" s="111"/>
      <c r="E400" s="111"/>
      <c r="F400" s="111"/>
      <c r="G400" s="111"/>
      <c r="H400" s="110"/>
      <c r="J400" s="110"/>
      <c r="M400" s="110"/>
      <c r="N400" s="110"/>
      <c r="O400" s="110"/>
    </row>
    <row r="401" spans="1:15" x14ac:dyDescent="0.35">
      <c r="A401" s="111"/>
      <c r="B401" s="111"/>
      <c r="C401" s="111"/>
      <c r="D401" s="111"/>
      <c r="E401" s="111"/>
      <c r="F401" s="111"/>
      <c r="G401" s="111"/>
      <c r="H401" s="110"/>
      <c r="J401" s="110"/>
      <c r="M401" s="110"/>
      <c r="N401" s="110"/>
      <c r="O401" s="110"/>
    </row>
    <row r="402" spans="1:15" x14ac:dyDescent="0.35">
      <c r="A402" s="111"/>
      <c r="B402" s="111"/>
      <c r="C402" s="111"/>
      <c r="D402" s="111"/>
      <c r="E402" s="111"/>
      <c r="F402" s="111"/>
      <c r="G402" s="111"/>
      <c r="H402" s="110"/>
      <c r="J402" s="110"/>
      <c r="M402" s="110"/>
      <c r="N402" s="110"/>
      <c r="O402" s="110"/>
    </row>
    <row r="403" spans="1:15" x14ac:dyDescent="0.35">
      <c r="A403" s="111"/>
      <c r="B403" s="111"/>
      <c r="C403" s="111"/>
      <c r="D403" s="111"/>
      <c r="E403" s="111"/>
      <c r="F403" s="111"/>
      <c r="G403" s="111"/>
      <c r="H403" s="110"/>
      <c r="J403" s="110"/>
      <c r="M403" s="110"/>
      <c r="N403" s="110"/>
      <c r="O403" s="110"/>
    </row>
    <row r="404" spans="1:15" x14ac:dyDescent="0.35">
      <c r="A404" s="111"/>
      <c r="B404" s="111"/>
      <c r="C404" s="111"/>
      <c r="D404" s="111"/>
      <c r="E404" s="111"/>
      <c r="F404" s="111"/>
      <c r="G404" s="111"/>
      <c r="H404" s="110"/>
      <c r="J404" s="110"/>
      <c r="M404" s="110"/>
      <c r="N404" s="110"/>
      <c r="O404" s="110"/>
    </row>
    <row r="405" spans="1:15" x14ac:dyDescent="0.35">
      <c r="A405" s="111"/>
      <c r="B405" s="111"/>
      <c r="C405" s="111"/>
      <c r="D405" s="111"/>
      <c r="E405" s="111"/>
      <c r="F405" s="111"/>
      <c r="G405" s="111"/>
      <c r="H405" s="110"/>
      <c r="J405" s="110"/>
      <c r="M405" s="110"/>
      <c r="N405" s="110"/>
      <c r="O405" s="110"/>
    </row>
    <row r="406" spans="1:15" x14ac:dyDescent="0.35">
      <c r="A406" s="111"/>
      <c r="B406" s="111"/>
      <c r="C406" s="111"/>
      <c r="D406" s="111"/>
      <c r="E406" s="111"/>
      <c r="F406" s="111"/>
      <c r="G406" s="111"/>
      <c r="H406" s="110"/>
      <c r="J406" s="110"/>
      <c r="M406" s="110"/>
      <c r="N406" s="110"/>
      <c r="O406" s="110"/>
    </row>
    <row r="407" spans="1:15" x14ac:dyDescent="0.35">
      <c r="A407" s="111"/>
      <c r="B407" s="111"/>
      <c r="C407" s="111"/>
      <c r="D407" s="111"/>
      <c r="E407" s="111"/>
      <c r="F407" s="111"/>
      <c r="G407" s="111"/>
      <c r="H407" s="110"/>
      <c r="J407" s="110"/>
      <c r="M407" s="110"/>
      <c r="N407" s="110"/>
      <c r="O407" s="110"/>
    </row>
    <row r="408" spans="1:15" x14ac:dyDescent="0.35">
      <c r="A408" s="111"/>
      <c r="B408" s="111"/>
      <c r="C408" s="111"/>
      <c r="D408" s="111"/>
      <c r="E408" s="111"/>
      <c r="F408" s="111"/>
      <c r="G408" s="111"/>
      <c r="H408" s="110"/>
      <c r="J408" s="110"/>
      <c r="M408" s="110"/>
      <c r="N408" s="110"/>
      <c r="O408" s="110"/>
    </row>
    <row r="409" spans="1:15" x14ac:dyDescent="0.35">
      <c r="A409" s="111"/>
      <c r="B409" s="111"/>
      <c r="C409" s="111"/>
      <c r="D409" s="111"/>
      <c r="E409" s="111"/>
      <c r="F409" s="111"/>
      <c r="G409" s="111"/>
      <c r="H409" s="110"/>
      <c r="J409" s="110"/>
      <c r="M409" s="110"/>
      <c r="N409" s="110"/>
      <c r="O409" s="110"/>
    </row>
    <row r="410" spans="1:15" x14ac:dyDescent="0.35">
      <c r="A410" s="111"/>
      <c r="B410" s="111"/>
      <c r="C410" s="111"/>
      <c r="D410" s="111"/>
      <c r="E410" s="111"/>
      <c r="F410" s="111"/>
      <c r="G410" s="111"/>
      <c r="H410" s="110"/>
      <c r="J410" s="110"/>
      <c r="M410" s="110"/>
      <c r="N410" s="110"/>
      <c r="O410" s="110"/>
    </row>
    <row r="411" spans="1:15" x14ac:dyDescent="0.35">
      <c r="A411" s="111"/>
      <c r="B411" s="111"/>
      <c r="C411" s="111"/>
      <c r="D411" s="111"/>
      <c r="E411" s="111"/>
      <c r="F411" s="111"/>
      <c r="G411" s="111"/>
      <c r="H411" s="110"/>
      <c r="J411" s="110"/>
      <c r="M411" s="110"/>
      <c r="N411" s="110"/>
      <c r="O411" s="110"/>
    </row>
    <row r="412" spans="1:15" x14ac:dyDescent="0.35">
      <c r="A412" s="111"/>
      <c r="B412" s="111"/>
      <c r="C412" s="111"/>
      <c r="D412" s="111"/>
      <c r="E412" s="111"/>
      <c r="F412" s="111"/>
      <c r="G412" s="111"/>
      <c r="H412" s="110"/>
      <c r="J412" s="110"/>
      <c r="M412" s="110"/>
      <c r="N412" s="110"/>
      <c r="O412" s="110"/>
    </row>
    <row r="413" spans="1:15" x14ac:dyDescent="0.35">
      <c r="A413" s="111"/>
      <c r="B413" s="111"/>
      <c r="C413" s="111"/>
      <c r="D413" s="111"/>
      <c r="E413" s="111"/>
      <c r="F413" s="111"/>
      <c r="G413" s="111"/>
      <c r="H413" s="110"/>
      <c r="J413" s="110"/>
      <c r="M413" s="110"/>
      <c r="N413" s="110"/>
      <c r="O413" s="110"/>
    </row>
    <row r="414" spans="1:15" x14ac:dyDescent="0.35">
      <c r="A414" s="111"/>
      <c r="B414" s="111"/>
      <c r="C414" s="111"/>
      <c r="D414" s="111"/>
      <c r="E414" s="111"/>
      <c r="F414" s="111"/>
      <c r="G414" s="111"/>
      <c r="H414" s="110"/>
      <c r="J414" s="110"/>
      <c r="M414" s="110"/>
      <c r="N414" s="110"/>
      <c r="O414" s="110"/>
    </row>
    <row r="415" spans="1:15" x14ac:dyDescent="0.35">
      <c r="A415" s="111"/>
      <c r="B415" s="111"/>
      <c r="C415" s="111"/>
      <c r="D415" s="111"/>
      <c r="E415" s="111"/>
      <c r="F415" s="111"/>
      <c r="G415" s="111"/>
      <c r="H415" s="110"/>
      <c r="J415" s="110"/>
      <c r="M415" s="110"/>
      <c r="N415" s="110"/>
      <c r="O415" s="110"/>
    </row>
    <row r="416" spans="1:15" x14ac:dyDescent="0.35">
      <c r="A416" s="111"/>
      <c r="B416" s="111"/>
      <c r="C416" s="111"/>
      <c r="D416" s="111"/>
      <c r="E416" s="111"/>
      <c r="F416" s="111"/>
      <c r="G416" s="111"/>
      <c r="H416" s="110"/>
      <c r="J416" s="110"/>
      <c r="M416" s="110"/>
      <c r="N416" s="110"/>
      <c r="O416" s="110"/>
    </row>
    <row r="417" spans="1:15" x14ac:dyDescent="0.35">
      <c r="A417" s="111"/>
      <c r="B417" s="111"/>
      <c r="C417" s="111"/>
      <c r="D417" s="111"/>
      <c r="E417" s="111"/>
      <c r="F417" s="111"/>
      <c r="G417" s="111"/>
      <c r="H417" s="110"/>
      <c r="J417" s="110"/>
      <c r="M417" s="110"/>
      <c r="N417" s="110"/>
      <c r="O417" s="110"/>
    </row>
    <row r="418" spans="1:15" x14ac:dyDescent="0.35">
      <c r="A418" s="111"/>
      <c r="B418" s="111"/>
      <c r="C418" s="111"/>
      <c r="D418" s="111"/>
      <c r="E418" s="111"/>
      <c r="F418" s="111"/>
      <c r="G418" s="111"/>
      <c r="H418" s="110"/>
      <c r="J418" s="110"/>
      <c r="M418" s="110"/>
      <c r="N418" s="110"/>
      <c r="O418" s="110"/>
    </row>
    <row r="419" spans="1:15" x14ac:dyDescent="0.35">
      <c r="A419" s="111"/>
      <c r="B419" s="111"/>
      <c r="C419" s="111"/>
      <c r="D419" s="111"/>
      <c r="E419" s="111"/>
      <c r="F419" s="111"/>
      <c r="G419" s="111"/>
      <c r="H419" s="110"/>
      <c r="J419" s="110"/>
      <c r="M419" s="110"/>
      <c r="N419" s="110"/>
      <c r="O419" s="110"/>
    </row>
    <row r="420" spans="1:15" x14ac:dyDescent="0.35">
      <c r="A420" s="111"/>
      <c r="B420" s="111"/>
      <c r="C420" s="111"/>
      <c r="D420" s="111"/>
      <c r="E420" s="111"/>
      <c r="F420" s="111"/>
      <c r="G420" s="111"/>
      <c r="H420" s="110"/>
      <c r="J420" s="110"/>
      <c r="M420" s="110"/>
      <c r="N420" s="110"/>
      <c r="O420" s="110"/>
    </row>
    <row r="421" spans="1:15" x14ac:dyDescent="0.35">
      <c r="A421" s="111"/>
      <c r="B421" s="111"/>
      <c r="C421" s="111"/>
      <c r="D421" s="111"/>
      <c r="E421" s="111"/>
      <c r="F421" s="111"/>
      <c r="G421" s="111"/>
      <c r="H421" s="110"/>
      <c r="J421" s="110"/>
      <c r="M421" s="110"/>
      <c r="N421" s="110"/>
      <c r="O421" s="110"/>
    </row>
    <row r="422" spans="1:15" x14ac:dyDescent="0.35">
      <c r="A422" s="111"/>
      <c r="B422" s="111"/>
      <c r="C422" s="111"/>
      <c r="D422" s="111"/>
      <c r="E422" s="111"/>
      <c r="F422" s="111"/>
      <c r="G422" s="111"/>
      <c r="H422" s="110"/>
      <c r="J422" s="110"/>
      <c r="M422" s="110"/>
      <c r="N422" s="110"/>
      <c r="O422" s="110"/>
    </row>
    <row r="423" spans="1:15" x14ac:dyDescent="0.35">
      <c r="A423" s="111"/>
      <c r="B423" s="111"/>
      <c r="C423" s="111"/>
      <c r="D423" s="111"/>
      <c r="E423" s="111"/>
      <c r="F423" s="111"/>
      <c r="G423" s="111"/>
      <c r="H423" s="110"/>
      <c r="J423" s="110"/>
      <c r="M423" s="110"/>
      <c r="N423" s="110"/>
      <c r="O423" s="110"/>
    </row>
    <row r="424" spans="1:15" x14ac:dyDescent="0.35">
      <c r="A424" s="111"/>
      <c r="B424" s="111"/>
      <c r="C424" s="111"/>
      <c r="D424" s="111"/>
      <c r="E424" s="111"/>
      <c r="F424" s="111"/>
      <c r="G424" s="111"/>
      <c r="H424" s="110"/>
      <c r="J424" s="110"/>
      <c r="M424" s="110"/>
      <c r="N424" s="110"/>
      <c r="O424" s="110"/>
    </row>
    <row r="425" spans="1:15" x14ac:dyDescent="0.35">
      <c r="A425" s="111"/>
      <c r="B425" s="111"/>
      <c r="C425" s="111"/>
      <c r="D425" s="111"/>
      <c r="E425" s="111"/>
      <c r="F425" s="111"/>
      <c r="G425" s="111"/>
      <c r="H425" s="110"/>
      <c r="J425" s="110"/>
      <c r="M425" s="110"/>
      <c r="N425" s="110"/>
      <c r="O425" s="110"/>
    </row>
    <row r="426" spans="1:15" x14ac:dyDescent="0.35">
      <c r="A426" s="111"/>
      <c r="B426" s="111"/>
      <c r="C426" s="111"/>
      <c r="D426" s="111"/>
      <c r="E426" s="111"/>
      <c r="F426" s="111"/>
      <c r="G426" s="111"/>
      <c r="H426" s="110"/>
      <c r="J426" s="110"/>
      <c r="M426" s="110"/>
      <c r="N426" s="110"/>
      <c r="O426" s="110"/>
    </row>
    <row r="427" spans="1:15" x14ac:dyDescent="0.35">
      <c r="A427" s="111"/>
      <c r="B427" s="111"/>
      <c r="C427" s="111"/>
      <c r="D427" s="111"/>
      <c r="E427" s="111"/>
      <c r="F427" s="111"/>
      <c r="G427" s="111"/>
      <c r="H427" s="110"/>
      <c r="J427" s="110"/>
      <c r="M427" s="110"/>
      <c r="N427" s="110"/>
      <c r="O427" s="110"/>
    </row>
    <row r="428" spans="1:15" x14ac:dyDescent="0.35">
      <c r="A428" s="111"/>
      <c r="B428" s="111"/>
      <c r="C428" s="111"/>
      <c r="D428" s="111"/>
      <c r="E428" s="111"/>
      <c r="F428" s="111"/>
      <c r="G428" s="111"/>
      <c r="H428" s="110"/>
      <c r="J428" s="110"/>
      <c r="M428" s="110"/>
      <c r="N428" s="110"/>
      <c r="O428" s="110"/>
    </row>
    <row r="429" spans="1:15" x14ac:dyDescent="0.35">
      <c r="A429" s="111"/>
      <c r="B429" s="111"/>
      <c r="C429" s="111"/>
      <c r="D429" s="111"/>
      <c r="E429" s="111"/>
      <c r="F429" s="111"/>
      <c r="G429" s="111"/>
      <c r="H429" s="110"/>
      <c r="J429" s="110"/>
      <c r="M429" s="110"/>
      <c r="N429" s="110"/>
      <c r="O429" s="110"/>
    </row>
    <row r="430" spans="1:15" x14ac:dyDescent="0.35">
      <c r="A430" s="111"/>
      <c r="B430" s="111"/>
      <c r="C430" s="111"/>
      <c r="D430" s="111"/>
      <c r="E430" s="111"/>
      <c r="F430" s="111"/>
      <c r="G430" s="111"/>
      <c r="H430" s="110"/>
      <c r="J430" s="110"/>
      <c r="M430" s="110"/>
      <c r="N430" s="110"/>
      <c r="O430" s="110"/>
    </row>
    <row r="431" spans="1:15" x14ac:dyDescent="0.35">
      <c r="A431" s="111"/>
      <c r="B431" s="111"/>
      <c r="C431" s="111"/>
      <c r="D431" s="111"/>
      <c r="E431" s="111"/>
      <c r="F431" s="111"/>
      <c r="G431" s="111"/>
      <c r="H431" s="110"/>
      <c r="J431" s="110"/>
      <c r="M431" s="110"/>
      <c r="N431" s="110"/>
      <c r="O431" s="110"/>
    </row>
    <row r="432" spans="1:15" x14ac:dyDescent="0.35">
      <c r="A432" s="111"/>
      <c r="B432" s="111"/>
      <c r="C432" s="111"/>
      <c r="D432" s="111"/>
      <c r="E432" s="111"/>
      <c r="F432" s="111"/>
      <c r="G432" s="111"/>
      <c r="H432" s="110"/>
      <c r="J432" s="110"/>
      <c r="M432" s="110"/>
      <c r="N432" s="110"/>
      <c r="O432" s="110"/>
    </row>
    <row r="433" spans="1:15" x14ac:dyDescent="0.35">
      <c r="A433" s="111"/>
      <c r="B433" s="111"/>
      <c r="C433" s="111"/>
      <c r="D433" s="111"/>
      <c r="E433" s="111"/>
      <c r="F433" s="111"/>
      <c r="G433" s="111"/>
      <c r="H433" s="110"/>
      <c r="J433" s="110"/>
      <c r="M433" s="110"/>
      <c r="N433" s="110"/>
      <c r="O433" s="110"/>
    </row>
    <row r="434" spans="1:15" x14ac:dyDescent="0.35">
      <c r="A434" s="111"/>
      <c r="B434" s="111"/>
      <c r="C434" s="111"/>
      <c r="D434" s="111"/>
      <c r="E434" s="111"/>
      <c r="F434" s="111"/>
      <c r="G434" s="111"/>
      <c r="H434" s="110"/>
      <c r="J434" s="110"/>
      <c r="M434" s="110"/>
      <c r="N434" s="110"/>
      <c r="O434" s="110"/>
    </row>
    <row r="435" spans="1:15" x14ac:dyDescent="0.35">
      <c r="A435" s="111"/>
      <c r="B435" s="111"/>
      <c r="C435" s="111"/>
      <c r="D435" s="111"/>
      <c r="E435" s="111"/>
      <c r="F435" s="111"/>
      <c r="G435" s="111"/>
      <c r="H435" s="110"/>
      <c r="J435" s="110"/>
      <c r="M435" s="110"/>
      <c r="N435" s="110"/>
      <c r="O435" s="110"/>
    </row>
    <row r="436" spans="1:15" x14ac:dyDescent="0.35">
      <c r="A436" s="111"/>
      <c r="B436" s="111"/>
      <c r="C436" s="111"/>
      <c r="D436" s="111"/>
      <c r="E436" s="111"/>
      <c r="F436" s="111"/>
      <c r="G436" s="111"/>
      <c r="H436" s="110"/>
      <c r="J436" s="110"/>
      <c r="M436" s="110"/>
      <c r="N436" s="110"/>
      <c r="O436" s="110"/>
    </row>
    <row r="437" spans="1:15" x14ac:dyDescent="0.35">
      <c r="A437" s="111"/>
      <c r="B437" s="111"/>
      <c r="C437" s="111"/>
      <c r="D437" s="111"/>
      <c r="E437" s="111"/>
      <c r="F437" s="111"/>
      <c r="G437" s="111"/>
      <c r="H437" s="110"/>
      <c r="J437" s="110"/>
      <c r="M437" s="110"/>
      <c r="N437" s="110"/>
      <c r="O437" s="110"/>
    </row>
    <row r="438" spans="1:15" x14ac:dyDescent="0.35">
      <c r="A438" s="111"/>
      <c r="B438" s="111"/>
      <c r="C438" s="111"/>
      <c r="D438" s="111"/>
      <c r="E438" s="111"/>
      <c r="F438" s="111"/>
      <c r="G438" s="111"/>
      <c r="H438" s="110"/>
      <c r="J438" s="110"/>
      <c r="M438" s="110"/>
      <c r="N438" s="110"/>
      <c r="O438" s="110"/>
    </row>
    <row r="439" spans="1:15" x14ac:dyDescent="0.35">
      <c r="A439" s="111"/>
      <c r="B439" s="111"/>
      <c r="C439" s="111"/>
      <c r="D439" s="111"/>
      <c r="E439" s="111"/>
      <c r="F439" s="111"/>
      <c r="G439" s="111"/>
      <c r="H439" s="110"/>
      <c r="J439" s="110"/>
      <c r="M439" s="110"/>
      <c r="N439" s="110"/>
      <c r="O439" s="110"/>
    </row>
    <row r="440" spans="1:15" x14ac:dyDescent="0.35">
      <c r="A440" s="111"/>
      <c r="B440" s="111"/>
      <c r="C440" s="111"/>
      <c r="D440" s="111"/>
      <c r="E440" s="111"/>
      <c r="F440" s="111"/>
      <c r="G440" s="111"/>
      <c r="H440" s="110"/>
      <c r="J440" s="110"/>
      <c r="M440" s="110"/>
      <c r="N440" s="110"/>
      <c r="O440" s="110"/>
    </row>
    <row r="441" spans="1:15" x14ac:dyDescent="0.35">
      <c r="A441" s="111"/>
      <c r="B441" s="111"/>
      <c r="C441" s="111"/>
      <c r="D441" s="111"/>
      <c r="E441" s="111"/>
      <c r="F441" s="111"/>
      <c r="G441" s="111"/>
      <c r="H441" s="110"/>
      <c r="J441" s="110"/>
      <c r="M441" s="110"/>
      <c r="N441" s="110"/>
      <c r="O441" s="110"/>
    </row>
    <row r="442" spans="1:15" x14ac:dyDescent="0.35">
      <c r="A442" s="111"/>
      <c r="B442" s="111"/>
      <c r="C442" s="111"/>
      <c r="D442" s="111"/>
      <c r="E442" s="111"/>
      <c r="F442" s="111"/>
      <c r="G442" s="111"/>
      <c r="H442" s="110"/>
      <c r="J442" s="110"/>
      <c r="M442" s="110"/>
      <c r="N442" s="110"/>
      <c r="O442" s="110"/>
    </row>
    <row r="443" spans="1:15" x14ac:dyDescent="0.35">
      <c r="A443" s="111"/>
      <c r="B443" s="111"/>
      <c r="C443" s="111"/>
      <c r="D443" s="111"/>
      <c r="E443" s="111"/>
      <c r="F443" s="111"/>
      <c r="G443" s="111"/>
      <c r="H443" s="110"/>
      <c r="J443" s="110"/>
      <c r="M443" s="110"/>
      <c r="N443" s="110"/>
      <c r="O443" s="110"/>
    </row>
    <row r="444" spans="1:15" x14ac:dyDescent="0.35">
      <c r="A444" s="111"/>
      <c r="B444" s="111"/>
      <c r="C444" s="111"/>
      <c r="D444" s="111"/>
      <c r="E444" s="111"/>
      <c r="F444" s="111"/>
      <c r="G444" s="111"/>
      <c r="H444" s="110"/>
      <c r="J444" s="110"/>
      <c r="M444" s="110"/>
      <c r="N444" s="110"/>
      <c r="O444" s="110"/>
    </row>
    <row r="445" spans="1:15" x14ac:dyDescent="0.35">
      <c r="A445" s="111"/>
      <c r="B445" s="111"/>
      <c r="C445" s="111"/>
      <c r="D445" s="111"/>
      <c r="E445" s="111"/>
      <c r="F445" s="111"/>
      <c r="G445" s="111"/>
      <c r="H445" s="110"/>
      <c r="J445" s="110"/>
      <c r="M445" s="110"/>
      <c r="N445" s="110"/>
      <c r="O445" s="110"/>
    </row>
    <row r="446" spans="1:15" x14ac:dyDescent="0.35">
      <c r="A446" s="111"/>
      <c r="B446" s="111"/>
      <c r="C446" s="111"/>
      <c r="D446" s="111"/>
      <c r="E446" s="111"/>
      <c r="F446" s="111"/>
      <c r="G446" s="111"/>
      <c r="H446" s="110"/>
      <c r="J446" s="110"/>
      <c r="M446" s="110"/>
      <c r="N446" s="110"/>
      <c r="O446" s="110"/>
    </row>
    <row r="447" spans="1:15" x14ac:dyDescent="0.35">
      <c r="A447" s="111"/>
      <c r="B447" s="111"/>
      <c r="C447" s="111"/>
      <c r="D447" s="111"/>
      <c r="E447" s="111"/>
      <c r="F447" s="111"/>
      <c r="G447" s="111"/>
      <c r="H447" s="110"/>
      <c r="J447" s="110"/>
      <c r="M447" s="110"/>
      <c r="N447" s="110"/>
      <c r="O447" s="110"/>
    </row>
    <row r="448" spans="1:15" x14ac:dyDescent="0.35">
      <c r="A448" s="111"/>
      <c r="B448" s="111"/>
      <c r="C448" s="111"/>
      <c r="D448" s="111"/>
      <c r="E448" s="111"/>
      <c r="F448" s="111"/>
      <c r="G448" s="111"/>
      <c r="H448" s="110"/>
      <c r="J448" s="110"/>
      <c r="M448" s="110"/>
      <c r="N448" s="110"/>
      <c r="O448" s="110"/>
    </row>
    <row r="449" spans="1:15" x14ac:dyDescent="0.35">
      <c r="A449" s="111"/>
      <c r="B449" s="111"/>
      <c r="C449" s="111"/>
      <c r="D449" s="111"/>
      <c r="E449" s="111"/>
      <c r="F449" s="111"/>
      <c r="G449" s="111"/>
      <c r="H449" s="110"/>
      <c r="J449" s="110"/>
      <c r="M449" s="110"/>
      <c r="N449" s="110"/>
      <c r="O449" s="110"/>
    </row>
    <row r="450" spans="1:15" x14ac:dyDescent="0.35">
      <c r="A450" s="111"/>
      <c r="B450" s="111"/>
      <c r="C450" s="111"/>
      <c r="D450" s="111"/>
      <c r="E450" s="111"/>
      <c r="F450" s="111"/>
      <c r="G450" s="111"/>
      <c r="H450" s="110"/>
      <c r="J450" s="110"/>
      <c r="M450" s="110"/>
      <c r="N450" s="110"/>
      <c r="O450" s="110"/>
    </row>
    <row r="451" spans="1:15" x14ac:dyDescent="0.35">
      <c r="A451" s="111"/>
      <c r="B451" s="111"/>
      <c r="C451" s="111"/>
      <c r="D451" s="111"/>
      <c r="E451" s="111"/>
      <c r="F451" s="111"/>
      <c r="G451" s="111"/>
      <c r="H451" s="110"/>
      <c r="J451" s="110"/>
      <c r="M451" s="110"/>
      <c r="N451" s="110"/>
      <c r="O451" s="110"/>
    </row>
    <row r="452" spans="1:15" x14ac:dyDescent="0.35">
      <c r="A452" s="111"/>
      <c r="B452" s="111"/>
      <c r="C452" s="111"/>
      <c r="D452" s="111"/>
      <c r="E452" s="111"/>
      <c r="F452" s="111"/>
      <c r="G452" s="111"/>
      <c r="H452" s="110"/>
      <c r="J452" s="110"/>
      <c r="M452" s="110"/>
      <c r="N452" s="110"/>
      <c r="O452" s="110"/>
    </row>
    <row r="453" spans="1:15" x14ac:dyDescent="0.35">
      <c r="A453" s="111"/>
      <c r="B453" s="111"/>
      <c r="C453" s="111"/>
      <c r="D453" s="111"/>
      <c r="E453" s="111"/>
      <c r="F453" s="111"/>
      <c r="G453" s="111"/>
      <c r="H453" s="110"/>
      <c r="J453" s="110"/>
      <c r="M453" s="110"/>
      <c r="N453" s="110"/>
      <c r="O453" s="110"/>
    </row>
    <row r="454" spans="1:15" x14ac:dyDescent="0.35">
      <c r="A454" s="111"/>
      <c r="B454" s="111"/>
      <c r="C454" s="111"/>
      <c r="D454" s="111"/>
      <c r="E454" s="111"/>
      <c r="F454" s="111"/>
      <c r="G454" s="111"/>
      <c r="H454" s="110"/>
      <c r="J454" s="110"/>
      <c r="M454" s="110"/>
      <c r="N454" s="110"/>
      <c r="O454" s="110"/>
    </row>
    <row r="455" spans="1:15" x14ac:dyDescent="0.35">
      <c r="A455" s="111"/>
      <c r="B455" s="111"/>
      <c r="C455" s="111"/>
      <c r="D455" s="111"/>
      <c r="E455" s="111"/>
      <c r="F455" s="111"/>
      <c r="G455" s="111"/>
      <c r="H455" s="110"/>
      <c r="J455" s="110"/>
      <c r="M455" s="110"/>
      <c r="N455" s="110"/>
      <c r="O455" s="110"/>
    </row>
    <row r="456" spans="1:15" x14ac:dyDescent="0.35">
      <c r="A456" s="111"/>
      <c r="B456" s="111"/>
      <c r="C456" s="111"/>
      <c r="D456" s="111"/>
      <c r="E456" s="111"/>
      <c r="F456" s="111"/>
      <c r="G456" s="111"/>
      <c r="H456" s="110"/>
      <c r="J456" s="110"/>
      <c r="M456" s="110"/>
      <c r="N456" s="110"/>
      <c r="O456" s="110"/>
    </row>
    <row r="457" spans="1:15" x14ac:dyDescent="0.35">
      <c r="A457" s="111"/>
      <c r="B457" s="111"/>
      <c r="C457" s="111"/>
      <c r="D457" s="111"/>
      <c r="E457" s="111"/>
      <c r="F457" s="111"/>
      <c r="G457" s="111"/>
      <c r="H457" s="110"/>
      <c r="J457" s="110"/>
      <c r="M457" s="110"/>
      <c r="N457" s="110"/>
      <c r="O457" s="110"/>
    </row>
    <row r="458" spans="1:15" x14ac:dyDescent="0.35">
      <c r="A458" s="111"/>
      <c r="B458" s="111"/>
      <c r="C458" s="111"/>
      <c r="D458" s="111"/>
      <c r="E458" s="111"/>
      <c r="F458" s="111"/>
      <c r="G458" s="111"/>
      <c r="H458" s="110"/>
      <c r="J458" s="110"/>
      <c r="M458" s="110"/>
      <c r="N458" s="110"/>
      <c r="O458" s="110"/>
    </row>
    <row r="459" spans="1:15" x14ac:dyDescent="0.35">
      <c r="A459" s="111"/>
      <c r="B459" s="111"/>
      <c r="C459" s="111"/>
      <c r="D459" s="111"/>
      <c r="E459" s="111"/>
      <c r="F459" s="111"/>
      <c r="G459" s="111"/>
      <c r="H459" s="110"/>
      <c r="J459" s="110"/>
      <c r="M459" s="110"/>
      <c r="N459" s="110"/>
      <c r="O459" s="110"/>
    </row>
    <row r="460" spans="1:15" x14ac:dyDescent="0.35">
      <c r="A460" s="111"/>
      <c r="B460" s="111"/>
      <c r="C460" s="111"/>
      <c r="D460" s="111"/>
      <c r="E460" s="111"/>
      <c r="F460" s="111"/>
      <c r="G460" s="111"/>
      <c r="H460" s="110"/>
      <c r="J460" s="110"/>
      <c r="M460" s="110"/>
      <c r="N460" s="110"/>
      <c r="O460" s="110"/>
    </row>
    <row r="461" spans="1:15" x14ac:dyDescent="0.35">
      <c r="A461" s="111"/>
      <c r="B461" s="111"/>
      <c r="C461" s="111"/>
      <c r="D461" s="111"/>
      <c r="E461" s="111"/>
      <c r="F461" s="111"/>
      <c r="G461" s="111"/>
      <c r="H461" s="110"/>
      <c r="J461" s="110"/>
      <c r="M461" s="110"/>
      <c r="N461" s="110"/>
      <c r="O461" s="110"/>
    </row>
    <row r="462" spans="1:15" x14ac:dyDescent="0.35">
      <c r="A462" s="111"/>
      <c r="B462" s="111"/>
      <c r="C462" s="111"/>
      <c r="D462" s="111"/>
      <c r="E462" s="111"/>
      <c r="F462" s="111"/>
      <c r="G462" s="111"/>
      <c r="H462" s="110"/>
      <c r="J462" s="110"/>
      <c r="M462" s="110"/>
      <c r="N462" s="110"/>
      <c r="O462" s="110"/>
    </row>
    <row r="463" spans="1:15" x14ac:dyDescent="0.35">
      <c r="A463" s="111"/>
      <c r="B463" s="111"/>
      <c r="C463" s="111"/>
      <c r="D463" s="111"/>
      <c r="E463" s="111"/>
      <c r="F463" s="111"/>
      <c r="G463" s="111"/>
      <c r="H463" s="110"/>
      <c r="J463" s="110"/>
      <c r="M463" s="110"/>
      <c r="N463" s="110"/>
      <c r="O463" s="110"/>
    </row>
    <row r="464" spans="1:15" x14ac:dyDescent="0.35">
      <c r="A464" s="111"/>
      <c r="B464" s="111"/>
      <c r="C464" s="111"/>
      <c r="D464" s="111"/>
      <c r="E464" s="111"/>
      <c r="F464" s="111"/>
      <c r="G464" s="111"/>
      <c r="H464" s="110"/>
      <c r="J464" s="110"/>
      <c r="M464" s="110"/>
      <c r="N464" s="110"/>
      <c r="O464" s="110"/>
    </row>
    <row r="465" spans="1:15" x14ac:dyDescent="0.35">
      <c r="A465" s="111"/>
      <c r="B465" s="111"/>
      <c r="C465" s="111"/>
      <c r="D465" s="111"/>
      <c r="E465" s="111"/>
      <c r="F465" s="111"/>
      <c r="G465" s="111"/>
      <c r="H465" s="110"/>
      <c r="J465" s="110"/>
      <c r="M465" s="110"/>
      <c r="N465" s="110"/>
      <c r="O465" s="110"/>
    </row>
    <row r="466" spans="1:15" x14ac:dyDescent="0.35">
      <c r="A466" s="111"/>
      <c r="B466" s="111"/>
      <c r="C466" s="111"/>
      <c r="D466" s="111"/>
      <c r="E466" s="111"/>
      <c r="F466" s="111"/>
      <c r="G466" s="111"/>
      <c r="H466" s="110"/>
      <c r="J466" s="110"/>
      <c r="M466" s="110"/>
      <c r="N466" s="110"/>
      <c r="O466" s="110"/>
    </row>
    <row r="467" spans="1:15" x14ac:dyDescent="0.35">
      <c r="A467" s="111"/>
      <c r="B467" s="111"/>
      <c r="C467" s="111"/>
      <c r="D467" s="111"/>
      <c r="E467" s="111"/>
      <c r="F467" s="111"/>
      <c r="G467" s="111"/>
      <c r="H467" s="110"/>
      <c r="J467" s="110"/>
      <c r="M467" s="110"/>
      <c r="N467" s="110"/>
      <c r="O467" s="110"/>
    </row>
    <row r="468" spans="1:15" x14ac:dyDescent="0.35">
      <c r="A468" s="111"/>
      <c r="B468" s="111"/>
      <c r="C468" s="111"/>
      <c r="D468" s="111"/>
      <c r="E468" s="111"/>
      <c r="F468" s="111"/>
      <c r="G468" s="111"/>
      <c r="H468" s="110"/>
      <c r="J468" s="110"/>
      <c r="M468" s="110"/>
      <c r="N468" s="110"/>
      <c r="O468" s="110"/>
    </row>
    <row r="469" spans="1:15" x14ac:dyDescent="0.35">
      <c r="A469" s="111"/>
      <c r="B469" s="111"/>
      <c r="C469" s="111"/>
      <c r="D469" s="111"/>
      <c r="E469" s="111"/>
      <c r="F469" s="111"/>
      <c r="G469" s="111"/>
      <c r="H469" s="110"/>
      <c r="J469" s="110"/>
      <c r="M469" s="110"/>
      <c r="N469" s="110"/>
      <c r="O469" s="110"/>
    </row>
    <row r="470" spans="1:15" x14ac:dyDescent="0.35">
      <c r="A470" s="111"/>
      <c r="B470" s="111"/>
      <c r="C470" s="111"/>
      <c r="D470" s="111"/>
      <c r="E470" s="111"/>
      <c r="F470" s="111"/>
      <c r="G470" s="111"/>
      <c r="H470" s="110"/>
      <c r="J470" s="110"/>
      <c r="M470" s="110"/>
      <c r="N470" s="110"/>
      <c r="O470" s="110"/>
    </row>
    <row r="471" spans="1:15" x14ac:dyDescent="0.35">
      <c r="A471" s="111"/>
      <c r="B471" s="111"/>
      <c r="C471" s="111"/>
      <c r="D471" s="111"/>
      <c r="E471" s="111"/>
      <c r="F471" s="111"/>
      <c r="G471" s="111"/>
      <c r="H471" s="110"/>
      <c r="J471" s="110"/>
      <c r="M471" s="110"/>
      <c r="N471" s="110"/>
      <c r="O471" s="110"/>
    </row>
    <row r="472" spans="1:15" x14ac:dyDescent="0.35">
      <c r="A472" s="111"/>
      <c r="B472" s="111"/>
      <c r="C472" s="111"/>
      <c r="D472" s="111"/>
      <c r="E472" s="111"/>
      <c r="F472" s="111"/>
      <c r="G472" s="111"/>
      <c r="H472" s="110"/>
      <c r="J472" s="110"/>
      <c r="M472" s="110"/>
      <c r="N472" s="110"/>
      <c r="O472" s="110"/>
    </row>
    <row r="473" spans="1:15" x14ac:dyDescent="0.35">
      <c r="A473" s="111"/>
      <c r="B473" s="111"/>
      <c r="C473" s="111"/>
      <c r="D473" s="111"/>
      <c r="E473" s="111"/>
      <c r="F473" s="111"/>
      <c r="G473" s="111"/>
      <c r="H473" s="110"/>
      <c r="J473" s="110"/>
      <c r="M473" s="110"/>
      <c r="N473" s="110"/>
      <c r="O473" s="110"/>
    </row>
    <row r="474" spans="1:15" x14ac:dyDescent="0.35">
      <c r="A474" s="111"/>
      <c r="B474" s="111"/>
      <c r="C474" s="111"/>
      <c r="D474" s="111"/>
      <c r="E474" s="111"/>
      <c r="F474" s="111"/>
      <c r="G474" s="111"/>
      <c r="H474" s="110"/>
      <c r="J474" s="110"/>
      <c r="M474" s="110"/>
      <c r="N474" s="110"/>
      <c r="O474" s="110"/>
    </row>
    <row r="475" spans="1:15" x14ac:dyDescent="0.35">
      <c r="A475" s="111"/>
      <c r="B475" s="111"/>
      <c r="C475" s="111"/>
      <c r="D475" s="111"/>
      <c r="E475" s="111"/>
      <c r="F475" s="111"/>
      <c r="G475" s="111"/>
      <c r="H475" s="110"/>
      <c r="J475" s="110"/>
      <c r="M475" s="110"/>
      <c r="N475" s="110"/>
      <c r="O475" s="110"/>
    </row>
    <row r="476" spans="1:15" x14ac:dyDescent="0.35">
      <c r="A476" s="111"/>
      <c r="B476" s="111"/>
      <c r="C476" s="111"/>
      <c r="D476" s="111"/>
      <c r="E476" s="111"/>
      <c r="F476" s="111"/>
      <c r="G476" s="111"/>
      <c r="H476" s="110"/>
      <c r="J476" s="110"/>
      <c r="M476" s="110"/>
      <c r="N476" s="110"/>
      <c r="O476" s="110"/>
    </row>
    <row r="477" spans="1:15" x14ac:dyDescent="0.35">
      <c r="A477" s="111"/>
      <c r="B477" s="111"/>
      <c r="C477" s="111"/>
      <c r="D477" s="111"/>
      <c r="E477" s="111"/>
      <c r="F477" s="111"/>
      <c r="G477" s="111"/>
      <c r="H477" s="110"/>
      <c r="J477" s="110"/>
      <c r="M477" s="110"/>
      <c r="N477" s="110"/>
      <c r="O477" s="110"/>
    </row>
    <row r="478" spans="1:15" x14ac:dyDescent="0.35">
      <c r="A478" s="111"/>
      <c r="B478" s="111"/>
      <c r="C478" s="111"/>
      <c r="D478" s="111"/>
      <c r="E478" s="111"/>
      <c r="F478" s="111"/>
      <c r="G478" s="111"/>
      <c r="H478" s="110"/>
      <c r="J478" s="110"/>
      <c r="M478" s="110"/>
      <c r="N478" s="110"/>
      <c r="O478" s="110"/>
    </row>
    <row r="479" spans="1:15" x14ac:dyDescent="0.35">
      <c r="A479" s="111"/>
      <c r="B479" s="111"/>
      <c r="C479" s="111"/>
      <c r="D479" s="111"/>
      <c r="E479" s="111"/>
      <c r="F479" s="111"/>
      <c r="G479" s="111"/>
      <c r="H479" s="110"/>
      <c r="J479" s="110"/>
      <c r="M479" s="110"/>
      <c r="N479" s="110"/>
      <c r="O479" s="110"/>
    </row>
    <row r="480" spans="1:15" x14ac:dyDescent="0.35">
      <c r="A480" s="111"/>
      <c r="B480" s="111"/>
      <c r="C480" s="111"/>
      <c r="D480" s="111"/>
      <c r="E480" s="111"/>
      <c r="F480" s="111"/>
      <c r="G480" s="111"/>
      <c r="H480" s="110"/>
      <c r="J480" s="110"/>
      <c r="M480" s="110"/>
      <c r="N480" s="110"/>
      <c r="O480" s="110"/>
    </row>
    <row r="481" spans="1:15" x14ac:dyDescent="0.35">
      <c r="A481" s="111"/>
      <c r="B481" s="111"/>
      <c r="C481" s="111"/>
      <c r="D481" s="111"/>
      <c r="E481" s="111"/>
      <c r="F481" s="111"/>
      <c r="G481" s="111"/>
      <c r="H481" s="110"/>
      <c r="J481" s="110"/>
      <c r="M481" s="110"/>
      <c r="N481" s="110"/>
      <c r="O481" s="110"/>
    </row>
    <row r="482" spans="1:15" x14ac:dyDescent="0.35">
      <c r="A482" s="111"/>
      <c r="B482" s="111"/>
      <c r="C482" s="111"/>
      <c r="D482" s="111"/>
      <c r="E482" s="111"/>
      <c r="F482" s="111"/>
      <c r="G482" s="111"/>
      <c r="H482" s="110"/>
      <c r="J482" s="110"/>
      <c r="M482" s="110"/>
      <c r="N482" s="110"/>
      <c r="O482" s="110"/>
    </row>
    <row r="483" spans="1:15" x14ac:dyDescent="0.35">
      <c r="A483" s="111"/>
      <c r="B483" s="111"/>
      <c r="C483" s="111"/>
      <c r="D483" s="111"/>
      <c r="E483" s="111"/>
      <c r="F483" s="111"/>
      <c r="G483" s="111"/>
      <c r="H483" s="110"/>
      <c r="J483" s="110"/>
      <c r="M483" s="110"/>
      <c r="N483" s="110"/>
      <c r="O483" s="110"/>
    </row>
    <row r="484" spans="1:15" x14ac:dyDescent="0.35">
      <c r="A484" s="111"/>
      <c r="B484" s="111"/>
      <c r="C484" s="111"/>
      <c r="D484" s="111"/>
      <c r="E484" s="111"/>
      <c r="F484" s="111"/>
      <c r="G484" s="111"/>
      <c r="H484" s="110"/>
      <c r="J484" s="110"/>
      <c r="M484" s="110"/>
      <c r="N484" s="110"/>
      <c r="O484" s="110"/>
    </row>
    <row r="485" spans="1:15" x14ac:dyDescent="0.35">
      <c r="A485" s="111"/>
      <c r="B485" s="111"/>
      <c r="C485" s="111"/>
      <c r="D485" s="111"/>
      <c r="E485" s="111"/>
      <c r="F485" s="111"/>
      <c r="G485" s="111"/>
      <c r="H485" s="110"/>
      <c r="J485" s="110"/>
      <c r="M485" s="110"/>
      <c r="N485" s="110"/>
      <c r="O485" s="110"/>
    </row>
    <row r="486" spans="1:15" x14ac:dyDescent="0.35">
      <c r="A486" s="111"/>
      <c r="B486" s="111"/>
      <c r="C486" s="111"/>
      <c r="D486" s="111"/>
      <c r="E486" s="111"/>
      <c r="F486" s="111"/>
      <c r="G486" s="111"/>
      <c r="H486" s="110"/>
      <c r="J486" s="110"/>
      <c r="M486" s="110"/>
      <c r="N486" s="110"/>
      <c r="O486" s="110"/>
    </row>
    <row r="487" spans="1:15" x14ac:dyDescent="0.35">
      <c r="A487" s="111"/>
      <c r="B487" s="111"/>
      <c r="C487" s="111"/>
      <c r="D487" s="111"/>
      <c r="E487" s="111"/>
      <c r="F487" s="111"/>
      <c r="G487" s="111"/>
      <c r="H487" s="110"/>
      <c r="J487" s="110"/>
      <c r="M487" s="110"/>
      <c r="N487" s="110"/>
      <c r="O487" s="110"/>
    </row>
    <row r="488" spans="1:15" x14ac:dyDescent="0.35">
      <c r="A488" s="111"/>
      <c r="B488" s="111"/>
      <c r="C488" s="111"/>
      <c r="D488" s="111"/>
      <c r="E488" s="111"/>
      <c r="F488" s="111"/>
      <c r="G488" s="111"/>
      <c r="H488" s="110"/>
      <c r="J488" s="110"/>
      <c r="M488" s="110"/>
      <c r="N488" s="110"/>
      <c r="O488" s="110"/>
    </row>
    <row r="489" spans="1:15" x14ac:dyDescent="0.35">
      <c r="A489" s="111"/>
      <c r="B489" s="111"/>
      <c r="C489" s="111"/>
      <c r="D489" s="111"/>
      <c r="E489" s="111"/>
      <c r="F489" s="111"/>
      <c r="G489" s="111"/>
      <c r="H489" s="110"/>
      <c r="J489" s="110"/>
      <c r="M489" s="110"/>
      <c r="N489" s="110"/>
      <c r="O489" s="110"/>
    </row>
    <row r="490" spans="1:15" x14ac:dyDescent="0.35">
      <c r="A490" s="111"/>
      <c r="B490" s="111"/>
      <c r="C490" s="111"/>
      <c r="D490" s="111"/>
      <c r="E490" s="111"/>
      <c r="F490" s="111"/>
      <c r="G490" s="111"/>
      <c r="H490" s="110"/>
      <c r="J490" s="110"/>
      <c r="M490" s="110"/>
      <c r="N490" s="110"/>
      <c r="O490" s="110"/>
    </row>
    <row r="491" spans="1:15" x14ac:dyDescent="0.35">
      <c r="A491" s="111"/>
      <c r="B491" s="111"/>
      <c r="C491" s="111"/>
      <c r="D491" s="111"/>
      <c r="E491" s="111"/>
      <c r="F491" s="111"/>
      <c r="G491" s="111"/>
      <c r="H491" s="110"/>
      <c r="J491" s="110"/>
      <c r="M491" s="110"/>
      <c r="N491" s="110"/>
      <c r="O491" s="110"/>
    </row>
    <row r="492" spans="1:15" x14ac:dyDescent="0.35">
      <c r="A492" s="111"/>
      <c r="B492" s="111"/>
      <c r="C492" s="111"/>
      <c r="D492" s="111"/>
      <c r="E492" s="111"/>
      <c r="F492" s="111"/>
      <c r="G492" s="111"/>
      <c r="H492" s="110"/>
      <c r="J492" s="110"/>
      <c r="M492" s="110"/>
      <c r="N492" s="110"/>
      <c r="O492" s="110"/>
    </row>
    <row r="493" spans="1:15" x14ac:dyDescent="0.35">
      <c r="A493" s="111"/>
      <c r="B493" s="111"/>
      <c r="C493" s="111"/>
      <c r="D493" s="111"/>
      <c r="E493" s="111"/>
      <c r="F493" s="111"/>
      <c r="G493" s="111"/>
      <c r="H493" s="110"/>
      <c r="J493" s="110"/>
      <c r="M493" s="110"/>
      <c r="N493" s="110"/>
      <c r="O493" s="110"/>
    </row>
    <row r="494" spans="1:15" x14ac:dyDescent="0.35">
      <c r="A494" s="111"/>
      <c r="B494" s="111"/>
      <c r="C494" s="111"/>
      <c r="D494" s="111"/>
      <c r="E494" s="111"/>
      <c r="F494" s="111"/>
      <c r="G494" s="111"/>
      <c r="H494" s="110"/>
      <c r="J494" s="110"/>
      <c r="M494" s="110"/>
      <c r="N494" s="110"/>
      <c r="O494" s="110"/>
    </row>
    <row r="495" spans="1:15" x14ac:dyDescent="0.35">
      <c r="A495" s="111"/>
      <c r="B495" s="111"/>
      <c r="C495" s="111"/>
      <c r="D495" s="111"/>
      <c r="E495" s="111"/>
      <c r="F495" s="111"/>
      <c r="G495" s="111"/>
      <c r="H495" s="110"/>
      <c r="J495" s="110"/>
      <c r="M495" s="110"/>
      <c r="N495" s="110"/>
      <c r="O495" s="110"/>
    </row>
    <row r="496" spans="1:15" x14ac:dyDescent="0.35">
      <c r="A496" s="111"/>
      <c r="B496" s="111"/>
      <c r="C496" s="111"/>
      <c r="D496" s="111"/>
      <c r="E496" s="111"/>
      <c r="F496" s="111"/>
      <c r="G496" s="111"/>
      <c r="H496" s="110"/>
      <c r="J496" s="110"/>
      <c r="M496" s="110"/>
      <c r="N496" s="110"/>
      <c r="O496" s="110"/>
    </row>
    <row r="497" spans="1:15" x14ac:dyDescent="0.35">
      <c r="A497" s="111"/>
      <c r="B497" s="111"/>
      <c r="C497" s="111"/>
      <c r="D497" s="111"/>
      <c r="E497" s="111"/>
      <c r="F497" s="111"/>
      <c r="G497" s="111"/>
      <c r="H497" s="110"/>
      <c r="J497" s="110"/>
      <c r="M497" s="110"/>
      <c r="N497" s="110"/>
      <c r="O497" s="110"/>
    </row>
    <row r="498" spans="1:15" x14ac:dyDescent="0.35">
      <c r="A498" s="111"/>
      <c r="B498" s="111"/>
      <c r="C498" s="111"/>
      <c r="D498" s="111"/>
      <c r="E498" s="111"/>
      <c r="F498" s="111"/>
      <c r="G498" s="111"/>
      <c r="H498" s="110"/>
      <c r="J498" s="110"/>
      <c r="M498" s="110"/>
      <c r="N498" s="110"/>
      <c r="O498" s="110"/>
    </row>
    <row r="499" spans="1:15" x14ac:dyDescent="0.35">
      <c r="A499" s="111"/>
      <c r="B499" s="111"/>
      <c r="C499" s="111"/>
      <c r="D499" s="111"/>
      <c r="E499" s="111"/>
      <c r="F499" s="111"/>
      <c r="G499" s="111"/>
      <c r="H499" s="110"/>
      <c r="J499" s="110"/>
      <c r="M499" s="110"/>
      <c r="N499" s="110"/>
      <c r="O499" s="110"/>
    </row>
    <row r="500" spans="1:15" x14ac:dyDescent="0.35">
      <c r="A500" s="111"/>
      <c r="B500" s="111"/>
      <c r="C500" s="111"/>
      <c r="D500" s="111"/>
      <c r="E500" s="111"/>
      <c r="F500" s="111"/>
      <c r="G500" s="111"/>
      <c r="H500" s="110"/>
      <c r="J500" s="110"/>
      <c r="M500" s="110"/>
      <c r="N500" s="110"/>
      <c r="O500" s="110"/>
    </row>
    <row r="501" spans="1:15" x14ac:dyDescent="0.35">
      <c r="A501" s="111"/>
      <c r="B501" s="111"/>
      <c r="C501" s="111"/>
      <c r="D501" s="111"/>
      <c r="E501" s="111"/>
      <c r="F501" s="111"/>
      <c r="G501" s="111"/>
      <c r="H501" s="110"/>
      <c r="J501" s="110"/>
      <c r="M501" s="110"/>
      <c r="N501" s="110"/>
      <c r="O501" s="110"/>
    </row>
    <row r="502" spans="1:15" x14ac:dyDescent="0.35">
      <c r="A502" s="111"/>
      <c r="B502" s="111"/>
      <c r="C502" s="111"/>
      <c r="D502" s="111"/>
      <c r="E502" s="111"/>
      <c r="F502" s="111"/>
      <c r="G502" s="111"/>
      <c r="H502" s="110"/>
      <c r="J502" s="110"/>
      <c r="M502" s="110"/>
      <c r="N502" s="110"/>
      <c r="O502" s="110"/>
    </row>
    <row r="503" spans="1:15" x14ac:dyDescent="0.35">
      <c r="A503" s="111"/>
      <c r="B503" s="111"/>
      <c r="C503" s="111"/>
      <c r="D503" s="111"/>
      <c r="E503" s="111"/>
      <c r="F503" s="111"/>
      <c r="G503" s="111"/>
      <c r="H503" s="110"/>
      <c r="J503" s="110"/>
      <c r="M503" s="110"/>
      <c r="N503" s="110"/>
      <c r="O503" s="110"/>
    </row>
    <row r="504" spans="1:15" x14ac:dyDescent="0.35">
      <c r="A504" s="111"/>
      <c r="B504" s="111"/>
      <c r="C504" s="111"/>
      <c r="D504" s="111"/>
      <c r="E504" s="111"/>
      <c r="F504" s="111"/>
      <c r="G504" s="111"/>
      <c r="H504" s="110"/>
      <c r="J504" s="110"/>
      <c r="M504" s="110"/>
      <c r="N504" s="110"/>
      <c r="O504" s="110"/>
    </row>
    <row r="505" spans="1:15" x14ac:dyDescent="0.35">
      <c r="A505" s="111"/>
      <c r="B505" s="111"/>
      <c r="C505" s="111"/>
      <c r="D505" s="111"/>
      <c r="E505" s="111"/>
      <c r="F505" s="111"/>
      <c r="G505" s="111"/>
      <c r="H505" s="110"/>
      <c r="J505" s="110"/>
      <c r="M505" s="110"/>
      <c r="N505" s="110"/>
      <c r="O505" s="110"/>
    </row>
    <row r="506" spans="1:15" x14ac:dyDescent="0.35">
      <c r="A506" s="111"/>
      <c r="B506" s="111"/>
      <c r="C506" s="111"/>
      <c r="D506" s="111"/>
      <c r="E506" s="111"/>
      <c r="F506" s="111"/>
      <c r="G506" s="111"/>
      <c r="H506" s="110"/>
      <c r="J506" s="110"/>
      <c r="M506" s="110"/>
      <c r="N506" s="110"/>
      <c r="O506" s="110"/>
    </row>
    <row r="507" spans="1:15" x14ac:dyDescent="0.35">
      <c r="A507" s="111"/>
      <c r="B507" s="111"/>
      <c r="C507" s="111"/>
      <c r="D507" s="111"/>
      <c r="E507" s="111"/>
      <c r="F507" s="111"/>
      <c r="G507" s="111"/>
      <c r="H507" s="110"/>
      <c r="J507" s="110"/>
      <c r="M507" s="110"/>
      <c r="N507" s="110"/>
      <c r="O507" s="110"/>
    </row>
    <row r="508" spans="1:15" x14ac:dyDescent="0.35">
      <c r="A508" s="111"/>
      <c r="B508" s="111"/>
      <c r="C508" s="111"/>
      <c r="D508" s="111"/>
      <c r="E508" s="111"/>
      <c r="F508" s="111"/>
      <c r="G508" s="111"/>
      <c r="H508" s="110"/>
      <c r="J508" s="110"/>
      <c r="M508" s="110"/>
      <c r="N508" s="110"/>
      <c r="O508" s="110"/>
    </row>
    <row r="509" spans="1:15" x14ac:dyDescent="0.35">
      <c r="A509" s="111"/>
      <c r="B509" s="111"/>
      <c r="C509" s="111"/>
      <c r="D509" s="111"/>
      <c r="E509" s="111"/>
      <c r="F509" s="111"/>
      <c r="G509" s="111"/>
      <c r="H509" s="110"/>
      <c r="J509" s="110"/>
      <c r="M509" s="110"/>
      <c r="N509" s="110"/>
      <c r="O509" s="110"/>
    </row>
    <row r="510" spans="1:15" x14ac:dyDescent="0.35">
      <c r="A510" s="111"/>
      <c r="B510" s="111"/>
      <c r="C510" s="111"/>
      <c r="D510" s="111"/>
      <c r="E510" s="111"/>
      <c r="F510" s="111"/>
      <c r="G510" s="111"/>
      <c r="H510" s="110"/>
      <c r="J510" s="110"/>
      <c r="M510" s="110"/>
      <c r="N510" s="110"/>
      <c r="O510" s="110"/>
    </row>
    <row r="511" spans="1:15" x14ac:dyDescent="0.35">
      <c r="A511" s="111"/>
      <c r="B511" s="111"/>
      <c r="C511" s="111"/>
      <c r="D511" s="111"/>
      <c r="E511" s="111"/>
      <c r="F511" s="111"/>
      <c r="G511" s="111"/>
      <c r="H511" s="110"/>
      <c r="J511" s="110"/>
      <c r="M511" s="110"/>
      <c r="N511" s="110"/>
      <c r="O511" s="110"/>
    </row>
    <row r="512" spans="1:15" x14ac:dyDescent="0.35">
      <c r="A512" s="111"/>
      <c r="B512" s="111"/>
      <c r="C512" s="111"/>
      <c r="D512" s="111"/>
      <c r="E512" s="111"/>
      <c r="F512" s="111"/>
      <c r="G512" s="111"/>
      <c r="H512" s="110"/>
      <c r="J512" s="110"/>
      <c r="M512" s="110"/>
      <c r="N512" s="110"/>
      <c r="O512" s="110"/>
    </row>
    <row r="513" spans="1:15" x14ac:dyDescent="0.35">
      <c r="A513" s="111"/>
      <c r="B513" s="111"/>
      <c r="C513" s="111"/>
      <c r="D513" s="111"/>
      <c r="E513" s="111"/>
      <c r="F513" s="111"/>
      <c r="G513" s="111"/>
      <c r="H513" s="110"/>
      <c r="J513" s="110"/>
      <c r="M513" s="110"/>
      <c r="N513" s="110"/>
      <c r="O513" s="110"/>
    </row>
    <row r="514" spans="1:15" x14ac:dyDescent="0.35">
      <c r="A514" s="111"/>
      <c r="B514" s="111"/>
      <c r="C514" s="111"/>
      <c r="D514" s="111"/>
      <c r="E514" s="111"/>
      <c r="F514" s="111"/>
      <c r="G514" s="111"/>
      <c r="H514" s="110"/>
      <c r="J514" s="110"/>
      <c r="M514" s="110"/>
      <c r="N514" s="110"/>
      <c r="O514" s="110"/>
    </row>
    <row r="515" spans="1:15" x14ac:dyDescent="0.35">
      <c r="A515" s="111"/>
      <c r="B515" s="111"/>
      <c r="C515" s="111"/>
      <c r="D515" s="111"/>
      <c r="E515" s="111"/>
      <c r="F515" s="111"/>
      <c r="G515" s="111"/>
      <c r="H515" s="110"/>
      <c r="J515" s="110"/>
      <c r="M515" s="110"/>
      <c r="N515" s="110"/>
      <c r="O515" s="110"/>
    </row>
    <row r="516" spans="1:15" x14ac:dyDescent="0.35">
      <c r="A516" s="111"/>
      <c r="B516" s="111"/>
      <c r="C516" s="111"/>
      <c r="D516" s="111"/>
      <c r="E516" s="111"/>
      <c r="F516" s="111"/>
      <c r="G516" s="111"/>
      <c r="H516" s="110"/>
      <c r="J516" s="110"/>
      <c r="M516" s="110"/>
      <c r="N516" s="110"/>
      <c r="O516" s="110"/>
    </row>
    <row r="517" spans="1:15" x14ac:dyDescent="0.35">
      <c r="A517" s="111"/>
      <c r="B517" s="111"/>
      <c r="C517" s="111"/>
      <c r="D517" s="111"/>
      <c r="E517" s="111"/>
      <c r="F517" s="111"/>
      <c r="G517" s="111"/>
      <c r="H517" s="110"/>
      <c r="J517" s="110"/>
      <c r="M517" s="110"/>
      <c r="N517" s="110"/>
      <c r="O517" s="110"/>
    </row>
    <row r="518" spans="1:15" x14ac:dyDescent="0.35">
      <c r="A518" s="111"/>
      <c r="B518" s="111"/>
      <c r="C518" s="111"/>
      <c r="D518" s="111"/>
      <c r="E518" s="111"/>
      <c r="F518" s="111"/>
      <c r="G518" s="111"/>
      <c r="H518" s="110"/>
      <c r="J518" s="110"/>
      <c r="M518" s="110"/>
      <c r="N518" s="110"/>
      <c r="O518" s="110"/>
    </row>
    <row r="519" spans="1:15" x14ac:dyDescent="0.35">
      <c r="A519" s="111"/>
      <c r="B519" s="111"/>
      <c r="C519" s="111"/>
      <c r="D519" s="111"/>
      <c r="E519" s="111"/>
      <c r="F519" s="111"/>
      <c r="G519" s="111"/>
      <c r="H519" s="110"/>
      <c r="J519" s="110"/>
      <c r="M519" s="110"/>
      <c r="N519" s="110"/>
      <c r="O519" s="110"/>
    </row>
    <row r="520" spans="1:15" x14ac:dyDescent="0.35">
      <c r="A520" s="111"/>
      <c r="B520" s="111"/>
      <c r="C520" s="111"/>
      <c r="D520" s="111"/>
      <c r="E520" s="111"/>
      <c r="F520" s="111"/>
      <c r="G520" s="111"/>
      <c r="H520" s="110"/>
      <c r="J520" s="110"/>
      <c r="M520" s="110"/>
      <c r="N520" s="110"/>
      <c r="O520" s="110"/>
    </row>
    <row r="521" spans="1:15" x14ac:dyDescent="0.35">
      <c r="A521" s="111"/>
      <c r="B521" s="111"/>
      <c r="C521" s="111"/>
      <c r="D521" s="111"/>
      <c r="E521" s="111"/>
      <c r="F521" s="111"/>
      <c r="G521" s="111"/>
      <c r="H521" s="110"/>
      <c r="J521" s="110"/>
      <c r="M521" s="110"/>
      <c r="N521" s="110"/>
      <c r="O521" s="110"/>
    </row>
    <row r="522" spans="1:15" x14ac:dyDescent="0.35">
      <c r="A522" s="111"/>
      <c r="B522" s="111"/>
      <c r="C522" s="111"/>
      <c r="D522" s="111"/>
      <c r="E522" s="111"/>
      <c r="F522" s="111"/>
      <c r="G522" s="111"/>
      <c r="H522" s="110"/>
      <c r="J522" s="110"/>
      <c r="M522" s="110"/>
      <c r="N522" s="110"/>
      <c r="O522" s="110"/>
    </row>
    <row r="523" spans="1:15" x14ac:dyDescent="0.35">
      <c r="A523" s="111"/>
      <c r="B523" s="111"/>
      <c r="C523" s="111"/>
      <c r="D523" s="111"/>
      <c r="E523" s="111"/>
      <c r="F523" s="111"/>
      <c r="G523" s="111"/>
      <c r="H523" s="110"/>
      <c r="J523" s="110"/>
      <c r="M523" s="110"/>
      <c r="N523" s="110"/>
      <c r="O523" s="110"/>
    </row>
    <row r="524" spans="1:15" x14ac:dyDescent="0.35">
      <c r="A524" s="111"/>
      <c r="B524" s="111"/>
      <c r="C524" s="111"/>
      <c r="D524" s="111"/>
      <c r="E524" s="111"/>
      <c r="F524" s="111"/>
      <c r="G524" s="111"/>
      <c r="H524" s="110"/>
      <c r="J524" s="110"/>
      <c r="M524" s="110"/>
      <c r="N524" s="110"/>
      <c r="O524" s="110"/>
    </row>
    <row r="525" spans="1:15" x14ac:dyDescent="0.35">
      <c r="A525" s="111"/>
      <c r="B525" s="111"/>
      <c r="C525" s="111"/>
      <c r="D525" s="111"/>
      <c r="E525" s="111"/>
      <c r="F525" s="111"/>
      <c r="G525" s="111"/>
      <c r="H525" s="110"/>
      <c r="J525" s="110"/>
      <c r="M525" s="110"/>
      <c r="N525" s="110"/>
      <c r="O525" s="110"/>
    </row>
    <row r="526" spans="1:15" x14ac:dyDescent="0.35">
      <c r="A526" s="111"/>
      <c r="B526" s="111"/>
      <c r="C526" s="111"/>
      <c r="D526" s="111"/>
      <c r="E526" s="111"/>
      <c r="F526" s="111"/>
      <c r="G526" s="111"/>
      <c r="H526" s="110"/>
      <c r="J526" s="110"/>
      <c r="M526" s="110"/>
      <c r="N526" s="110"/>
      <c r="O526" s="110"/>
    </row>
    <row r="527" spans="1:15" x14ac:dyDescent="0.35">
      <c r="A527" s="111"/>
      <c r="B527" s="111"/>
      <c r="C527" s="111"/>
      <c r="D527" s="111"/>
      <c r="E527" s="111"/>
      <c r="F527" s="111"/>
      <c r="G527" s="111"/>
      <c r="H527" s="110"/>
      <c r="J527" s="110"/>
      <c r="M527" s="110"/>
      <c r="N527" s="110"/>
      <c r="O527" s="110"/>
    </row>
    <row r="528" spans="1:15" x14ac:dyDescent="0.35">
      <c r="A528" s="111"/>
      <c r="B528" s="111"/>
      <c r="C528" s="111"/>
      <c r="D528" s="111"/>
      <c r="E528" s="111"/>
      <c r="F528" s="111"/>
      <c r="G528" s="111"/>
      <c r="H528" s="110"/>
      <c r="J528" s="110"/>
      <c r="M528" s="110"/>
      <c r="N528" s="110"/>
      <c r="O528" s="110"/>
    </row>
    <row r="529" spans="1:15" x14ac:dyDescent="0.35">
      <c r="A529" s="111"/>
      <c r="B529" s="111"/>
      <c r="C529" s="111"/>
      <c r="D529" s="111"/>
      <c r="E529" s="111"/>
      <c r="F529" s="111"/>
      <c r="G529" s="111"/>
      <c r="H529" s="110"/>
      <c r="J529" s="110"/>
      <c r="M529" s="110"/>
      <c r="N529" s="110"/>
      <c r="O529" s="110"/>
    </row>
    <row r="530" spans="1:15" x14ac:dyDescent="0.35">
      <c r="A530" s="111"/>
      <c r="B530" s="111"/>
      <c r="C530" s="111"/>
      <c r="D530" s="111"/>
      <c r="E530" s="111"/>
      <c r="F530" s="111"/>
      <c r="G530" s="111"/>
      <c r="H530" s="110"/>
      <c r="J530" s="110"/>
      <c r="M530" s="110"/>
      <c r="N530" s="110"/>
      <c r="O530" s="110"/>
    </row>
    <row r="531" spans="1:15" x14ac:dyDescent="0.35">
      <c r="A531" s="111"/>
      <c r="B531" s="111"/>
      <c r="C531" s="111"/>
      <c r="D531" s="111"/>
      <c r="E531" s="111"/>
      <c r="F531" s="111"/>
      <c r="G531" s="111"/>
      <c r="H531" s="110"/>
      <c r="J531" s="110"/>
      <c r="M531" s="110"/>
      <c r="N531" s="110"/>
      <c r="O531" s="110"/>
    </row>
    <row r="532" spans="1:15" x14ac:dyDescent="0.35">
      <c r="A532" s="111"/>
      <c r="B532" s="111"/>
      <c r="C532" s="111"/>
      <c r="D532" s="111"/>
      <c r="E532" s="111"/>
      <c r="F532" s="111"/>
      <c r="G532" s="111"/>
      <c r="H532" s="110"/>
      <c r="J532" s="110"/>
      <c r="M532" s="110"/>
      <c r="N532" s="110"/>
      <c r="O532" s="110"/>
    </row>
    <row r="533" spans="1:15" x14ac:dyDescent="0.35">
      <c r="A533" s="111"/>
      <c r="B533" s="111"/>
      <c r="C533" s="111"/>
      <c r="D533" s="111"/>
      <c r="E533" s="111"/>
      <c r="F533" s="111"/>
      <c r="G533" s="111"/>
      <c r="H533" s="110"/>
      <c r="J533" s="110"/>
      <c r="M533" s="110"/>
      <c r="N533" s="110"/>
      <c r="O533" s="110"/>
    </row>
    <row r="534" spans="1:15" x14ac:dyDescent="0.35">
      <c r="A534" s="111"/>
      <c r="B534" s="111"/>
      <c r="C534" s="111"/>
      <c r="D534" s="111"/>
      <c r="E534" s="111"/>
      <c r="F534" s="111"/>
      <c r="G534" s="111"/>
      <c r="H534" s="110"/>
      <c r="J534" s="110"/>
      <c r="M534" s="110"/>
      <c r="N534" s="110"/>
      <c r="O534" s="110"/>
    </row>
    <row r="535" spans="1:15" x14ac:dyDescent="0.35">
      <c r="A535" s="111"/>
      <c r="B535" s="111"/>
      <c r="C535" s="111"/>
      <c r="D535" s="111"/>
      <c r="E535" s="111"/>
      <c r="F535" s="111"/>
      <c r="G535" s="111"/>
      <c r="H535" s="110"/>
      <c r="J535" s="110"/>
      <c r="M535" s="110"/>
      <c r="N535" s="110"/>
      <c r="O535" s="110"/>
    </row>
    <row r="536" spans="1:15" x14ac:dyDescent="0.35">
      <c r="A536" s="111"/>
      <c r="B536" s="111"/>
      <c r="C536" s="111"/>
      <c r="D536" s="111"/>
      <c r="E536" s="111"/>
      <c r="F536" s="111"/>
      <c r="G536" s="111"/>
      <c r="H536" s="110"/>
      <c r="J536" s="110"/>
      <c r="M536" s="110"/>
      <c r="N536" s="110"/>
      <c r="O536" s="110"/>
    </row>
    <row r="537" spans="1:15" x14ac:dyDescent="0.35">
      <c r="A537" s="111"/>
      <c r="B537" s="111"/>
      <c r="C537" s="111"/>
      <c r="D537" s="111"/>
      <c r="E537" s="111"/>
      <c r="F537" s="111"/>
      <c r="G537" s="111"/>
      <c r="H537" s="110"/>
      <c r="J537" s="110"/>
      <c r="M537" s="110"/>
      <c r="N537" s="110"/>
      <c r="O537" s="110"/>
    </row>
    <row r="538" spans="1:15" x14ac:dyDescent="0.35">
      <c r="A538" s="111"/>
      <c r="B538" s="111"/>
      <c r="C538" s="111"/>
      <c r="D538" s="111"/>
      <c r="E538" s="111"/>
      <c r="F538" s="111"/>
      <c r="G538" s="111"/>
      <c r="H538" s="110"/>
      <c r="J538" s="110"/>
      <c r="M538" s="110"/>
      <c r="N538" s="110"/>
      <c r="O538" s="110"/>
    </row>
    <row r="539" spans="1:15" x14ac:dyDescent="0.35">
      <c r="A539" s="111"/>
      <c r="B539" s="111"/>
      <c r="C539" s="111"/>
      <c r="D539" s="111"/>
      <c r="E539" s="111"/>
      <c r="F539" s="111"/>
      <c r="G539" s="111"/>
      <c r="H539" s="110"/>
      <c r="J539" s="110"/>
      <c r="M539" s="110"/>
      <c r="N539" s="110"/>
      <c r="O539" s="110"/>
    </row>
    <row r="540" spans="1:15" x14ac:dyDescent="0.35">
      <c r="A540" s="111"/>
      <c r="B540" s="111"/>
      <c r="C540" s="111"/>
      <c r="D540" s="111"/>
      <c r="E540" s="111"/>
      <c r="F540" s="111"/>
      <c r="G540" s="111"/>
      <c r="H540" s="110"/>
      <c r="J540" s="110"/>
      <c r="M540" s="110"/>
      <c r="N540" s="110"/>
      <c r="O540" s="110"/>
    </row>
    <row r="541" spans="1:15" x14ac:dyDescent="0.35">
      <c r="A541" s="111"/>
      <c r="B541" s="111"/>
      <c r="C541" s="111"/>
      <c r="D541" s="111"/>
      <c r="E541" s="111"/>
      <c r="F541" s="111"/>
      <c r="G541" s="111"/>
      <c r="H541" s="110"/>
      <c r="J541" s="110"/>
      <c r="M541" s="110"/>
      <c r="N541" s="110"/>
      <c r="O541" s="110"/>
    </row>
    <row r="542" spans="1:15" x14ac:dyDescent="0.35">
      <c r="A542" s="111"/>
      <c r="B542" s="111"/>
      <c r="C542" s="111"/>
      <c r="D542" s="111"/>
      <c r="E542" s="111"/>
      <c r="F542" s="111"/>
      <c r="G542" s="111"/>
      <c r="H542" s="110"/>
      <c r="J542" s="110"/>
      <c r="M542" s="110"/>
      <c r="N542" s="110"/>
      <c r="O542" s="110"/>
    </row>
    <row r="543" spans="1:15" x14ac:dyDescent="0.35">
      <c r="A543" s="111"/>
      <c r="B543" s="111"/>
      <c r="C543" s="111"/>
      <c r="D543" s="111"/>
      <c r="E543" s="111"/>
      <c r="F543" s="111"/>
      <c r="G543" s="111"/>
      <c r="H543" s="110"/>
      <c r="J543" s="110"/>
      <c r="M543" s="110"/>
      <c r="N543" s="110"/>
      <c r="O543" s="110"/>
    </row>
    <row r="544" spans="1:15" x14ac:dyDescent="0.35">
      <c r="A544" s="111"/>
      <c r="B544" s="111"/>
      <c r="C544" s="111"/>
      <c r="D544" s="111"/>
      <c r="E544" s="111"/>
      <c r="F544" s="111"/>
      <c r="G544" s="111"/>
      <c r="H544" s="110"/>
      <c r="J544" s="110"/>
      <c r="M544" s="110"/>
      <c r="N544" s="110"/>
      <c r="O544" s="110"/>
    </row>
    <row r="545" spans="1:15" x14ac:dyDescent="0.35">
      <c r="A545" s="111"/>
      <c r="B545" s="111"/>
      <c r="C545" s="111"/>
      <c r="D545" s="111"/>
      <c r="E545" s="111"/>
      <c r="F545" s="111"/>
      <c r="G545" s="111"/>
      <c r="H545" s="110"/>
      <c r="J545" s="110"/>
      <c r="M545" s="110"/>
      <c r="N545" s="110"/>
      <c r="O545" s="110"/>
    </row>
    <row r="546" spans="1:15" x14ac:dyDescent="0.35">
      <c r="A546" s="111"/>
      <c r="B546" s="111"/>
      <c r="C546" s="111"/>
      <c r="D546" s="111"/>
      <c r="E546" s="111"/>
      <c r="F546" s="111"/>
      <c r="G546" s="111"/>
      <c r="H546" s="110"/>
      <c r="J546" s="110"/>
      <c r="M546" s="110"/>
      <c r="N546" s="110"/>
      <c r="O546" s="110"/>
    </row>
    <row r="547" spans="1:15" x14ac:dyDescent="0.35">
      <c r="A547" s="111"/>
      <c r="B547" s="111"/>
      <c r="C547" s="111"/>
      <c r="D547" s="111"/>
      <c r="E547" s="111"/>
      <c r="F547" s="111"/>
      <c r="G547" s="111"/>
      <c r="H547" s="110"/>
      <c r="J547" s="110"/>
      <c r="M547" s="110"/>
      <c r="N547" s="110"/>
      <c r="O547" s="110"/>
    </row>
    <row r="548" spans="1:15" x14ac:dyDescent="0.35">
      <c r="A548" s="111"/>
      <c r="B548" s="111"/>
      <c r="C548" s="111"/>
      <c r="D548" s="111"/>
      <c r="E548" s="111"/>
      <c r="F548" s="111"/>
      <c r="G548" s="111"/>
      <c r="H548" s="110"/>
      <c r="J548" s="110"/>
      <c r="M548" s="110"/>
      <c r="N548" s="110"/>
      <c r="O548" s="110"/>
    </row>
    <row r="549" spans="1:15" x14ac:dyDescent="0.35">
      <c r="A549" s="111"/>
      <c r="B549" s="111"/>
      <c r="C549" s="111"/>
      <c r="D549" s="111"/>
      <c r="E549" s="111"/>
      <c r="F549" s="111"/>
      <c r="G549" s="111"/>
      <c r="H549" s="110"/>
      <c r="J549" s="110"/>
      <c r="M549" s="110"/>
      <c r="N549" s="110"/>
      <c r="O549" s="110"/>
    </row>
    <row r="550" spans="1:15" x14ac:dyDescent="0.35">
      <c r="A550" s="111"/>
      <c r="B550" s="111"/>
      <c r="C550" s="111"/>
      <c r="D550" s="111"/>
      <c r="E550" s="111"/>
      <c r="F550" s="111"/>
      <c r="G550" s="111"/>
      <c r="H550" s="110"/>
      <c r="J550" s="110"/>
      <c r="M550" s="110"/>
      <c r="N550" s="110"/>
      <c r="O550" s="110"/>
    </row>
    <row r="551" spans="1:15" x14ac:dyDescent="0.35">
      <c r="A551" s="111"/>
      <c r="B551" s="111"/>
      <c r="C551" s="111"/>
      <c r="D551" s="111"/>
      <c r="E551" s="111"/>
      <c r="F551" s="111"/>
      <c r="G551" s="111"/>
      <c r="H551" s="110"/>
      <c r="J551" s="110"/>
      <c r="M551" s="110"/>
      <c r="N551" s="110"/>
      <c r="O551" s="110"/>
    </row>
    <row r="552" spans="1:15" x14ac:dyDescent="0.35">
      <c r="A552" s="111"/>
      <c r="B552" s="111"/>
      <c r="C552" s="111"/>
      <c r="D552" s="111"/>
      <c r="E552" s="111"/>
      <c r="F552" s="111"/>
      <c r="G552" s="111"/>
      <c r="H552" s="110"/>
      <c r="J552" s="110"/>
      <c r="M552" s="110"/>
      <c r="N552" s="110"/>
      <c r="O552" s="110"/>
    </row>
    <row r="553" spans="1:15" x14ac:dyDescent="0.35">
      <c r="A553" s="111"/>
      <c r="B553" s="111"/>
      <c r="C553" s="111"/>
      <c r="D553" s="111"/>
      <c r="E553" s="111"/>
      <c r="F553" s="111"/>
      <c r="G553" s="111"/>
      <c r="H553" s="110"/>
      <c r="J553" s="110"/>
      <c r="M553" s="110"/>
      <c r="N553" s="110"/>
      <c r="O553" s="110"/>
    </row>
    <row r="554" spans="1:15" x14ac:dyDescent="0.35">
      <c r="A554" s="111"/>
      <c r="B554" s="111"/>
      <c r="C554" s="111"/>
      <c r="D554" s="111"/>
      <c r="E554" s="111"/>
      <c r="F554" s="111"/>
      <c r="G554" s="111"/>
      <c r="H554" s="110"/>
      <c r="J554" s="110"/>
      <c r="M554" s="110"/>
      <c r="N554" s="110"/>
      <c r="O554" s="110"/>
    </row>
    <row r="555" spans="1:15" x14ac:dyDescent="0.35">
      <c r="A555" s="111"/>
      <c r="B555" s="111"/>
      <c r="C555" s="111"/>
      <c r="D555" s="111"/>
      <c r="E555" s="111"/>
      <c r="F555" s="111"/>
      <c r="G555" s="111"/>
      <c r="H555" s="110"/>
      <c r="J555" s="110"/>
      <c r="M555" s="110"/>
      <c r="N555" s="110"/>
      <c r="O555" s="110"/>
    </row>
    <row r="556" spans="1:15" x14ac:dyDescent="0.35">
      <c r="A556" s="111"/>
      <c r="B556" s="111"/>
      <c r="C556" s="111"/>
      <c r="D556" s="111"/>
      <c r="E556" s="111"/>
      <c r="F556" s="111"/>
      <c r="G556" s="111"/>
      <c r="H556" s="110"/>
      <c r="J556" s="110"/>
      <c r="M556" s="110"/>
      <c r="N556" s="110"/>
      <c r="O556" s="110"/>
    </row>
    <row r="557" spans="1:15" x14ac:dyDescent="0.35">
      <c r="A557" s="111"/>
      <c r="B557" s="111"/>
      <c r="C557" s="111"/>
      <c r="D557" s="111"/>
      <c r="E557" s="111"/>
      <c r="F557" s="111"/>
      <c r="G557" s="111"/>
      <c r="H557" s="110"/>
      <c r="J557" s="110"/>
      <c r="M557" s="110"/>
      <c r="N557" s="110"/>
      <c r="O557" s="110"/>
    </row>
    <row r="558" spans="1:15" x14ac:dyDescent="0.35">
      <c r="A558" s="111"/>
      <c r="B558" s="111"/>
      <c r="C558" s="111"/>
      <c r="D558" s="111"/>
      <c r="E558" s="111"/>
      <c r="F558" s="111"/>
      <c r="G558" s="111"/>
      <c r="H558" s="110"/>
      <c r="J558" s="110"/>
      <c r="M558" s="110"/>
      <c r="N558" s="110"/>
      <c r="O558" s="110"/>
    </row>
    <row r="559" spans="1:15" x14ac:dyDescent="0.35">
      <c r="A559" s="111"/>
      <c r="B559" s="111"/>
      <c r="C559" s="111"/>
      <c r="D559" s="111"/>
      <c r="E559" s="111"/>
      <c r="F559" s="111"/>
      <c r="G559" s="111"/>
      <c r="H559" s="110"/>
      <c r="J559" s="110"/>
      <c r="M559" s="110"/>
      <c r="N559" s="110"/>
      <c r="O559" s="110"/>
    </row>
    <row r="560" spans="1:15" x14ac:dyDescent="0.35">
      <c r="A560" s="111"/>
      <c r="B560" s="111"/>
      <c r="C560" s="111"/>
      <c r="D560" s="111"/>
      <c r="E560" s="111"/>
      <c r="F560" s="111"/>
      <c r="G560" s="111"/>
      <c r="H560" s="110"/>
      <c r="J560" s="110"/>
      <c r="M560" s="110"/>
      <c r="N560" s="110"/>
      <c r="O560" s="110"/>
    </row>
    <row r="561" spans="1:15" x14ac:dyDescent="0.35">
      <c r="A561" s="111"/>
      <c r="B561" s="111"/>
      <c r="C561" s="111"/>
      <c r="D561" s="111"/>
      <c r="E561" s="111"/>
      <c r="F561" s="111"/>
      <c r="G561" s="111"/>
      <c r="H561" s="110"/>
      <c r="J561" s="110"/>
      <c r="M561" s="110"/>
      <c r="N561" s="110"/>
      <c r="O561" s="110"/>
    </row>
    <row r="562" spans="1:15" x14ac:dyDescent="0.35">
      <c r="A562" s="111"/>
      <c r="B562" s="111"/>
      <c r="C562" s="111"/>
      <c r="D562" s="111"/>
      <c r="E562" s="111"/>
      <c r="F562" s="111"/>
      <c r="G562" s="111"/>
      <c r="H562" s="110"/>
      <c r="J562" s="110"/>
      <c r="M562" s="110"/>
      <c r="N562" s="110"/>
      <c r="O562" s="110"/>
    </row>
    <row r="563" spans="1:15" x14ac:dyDescent="0.35">
      <c r="A563" s="111"/>
      <c r="B563" s="111"/>
      <c r="C563" s="111"/>
      <c r="D563" s="111"/>
      <c r="E563" s="111"/>
      <c r="F563" s="111"/>
      <c r="G563" s="111"/>
      <c r="H563" s="110"/>
      <c r="J563" s="110"/>
      <c r="M563" s="110"/>
      <c r="N563" s="110"/>
      <c r="O563" s="110"/>
    </row>
    <row r="564" spans="1:15" x14ac:dyDescent="0.35">
      <c r="A564" s="111"/>
      <c r="B564" s="111"/>
      <c r="C564" s="111"/>
      <c r="D564" s="111"/>
      <c r="E564" s="111"/>
      <c r="F564" s="111"/>
      <c r="G564" s="111"/>
      <c r="H564" s="110"/>
      <c r="J564" s="110"/>
      <c r="M564" s="110"/>
      <c r="N564" s="110"/>
      <c r="O564" s="110"/>
    </row>
    <row r="565" spans="1:15" x14ac:dyDescent="0.35">
      <c r="A565" s="111"/>
      <c r="B565" s="111"/>
      <c r="C565" s="111"/>
      <c r="D565" s="111"/>
      <c r="E565" s="111"/>
      <c r="F565" s="111"/>
      <c r="G565" s="111"/>
      <c r="H565" s="110"/>
      <c r="J565" s="110"/>
      <c r="M565" s="110"/>
      <c r="N565" s="110"/>
      <c r="O565" s="110"/>
    </row>
    <row r="566" spans="1:15" x14ac:dyDescent="0.35">
      <c r="A566" s="111"/>
      <c r="B566" s="111"/>
      <c r="C566" s="111"/>
      <c r="D566" s="111"/>
      <c r="E566" s="111"/>
      <c r="F566" s="111"/>
      <c r="G566" s="111"/>
      <c r="H566" s="110"/>
      <c r="J566" s="110"/>
      <c r="M566" s="110"/>
      <c r="N566" s="110"/>
      <c r="O566" s="110"/>
    </row>
    <row r="567" spans="1:15" x14ac:dyDescent="0.35">
      <c r="A567" s="111"/>
      <c r="B567" s="111"/>
      <c r="C567" s="111"/>
      <c r="D567" s="111"/>
      <c r="E567" s="111"/>
      <c r="F567" s="111"/>
      <c r="G567" s="111"/>
      <c r="H567" s="110"/>
      <c r="J567" s="110"/>
      <c r="M567" s="110"/>
      <c r="N567" s="110"/>
      <c r="O567" s="110"/>
    </row>
    <row r="568" spans="1:15" x14ac:dyDescent="0.35">
      <c r="A568" s="111"/>
      <c r="B568" s="111"/>
      <c r="C568" s="111"/>
      <c r="D568" s="111"/>
      <c r="E568" s="111"/>
      <c r="F568" s="111"/>
      <c r="G568" s="111"/>
      <c r="H568" s="110"/>
      <c r="J568" s="110"/>
      <c r="M568" s="110"/>
      <c r="N568" s="110"/>
      <c r="O568" s="110"/>
    </row>
    <row r="569" spans="1:15" x14ac:dyDescent="0.35">
      <c r="A569" s="111"/>
      <c r="B569" s="111"/>
      <c r="C569" s="111"/>
      <c r="D569" s="111"/>
      <c r="E569" s="111"/>
      <c r="F569" s="111"/>
      <c r="G569" s="111"/>
      <c r="H569" s="110"/>
      <c r="J569" s="110"/>
      <c r="M569" s="110"/>
      <c r="N569" s="110"/>
      <c r="O569" s="110"/>
    </row>
    <row r="570" spans="1:15" x14ac:dyDescent="0.35">
      <c r="A570" s="111"/>
      <c r="B570" s="111"/>
      <c r="C570" s="111"/>
      <c r="D570" s="111"/>
      <c r="E570" s="111"/>
      <c r="F570" s="111"/>
      <c r="G570" s="111"/>
      <c r="H570" s="110"/>
      <c r="J570" s="110"/>
      <c r="M570" s="110"/>
      <c r="N570" s="110"/>
      <c r="O570" s="110"/>
    </row>
    <row r="571" spans="1:15" x14ac:dyDescent="0.35">
      <c r="A571" s="111"/>
      <c r="B571" s="111"/>
      <c r="C571" s="111"/>
      <c r="D571" s="111"/>
      <c r="E571" s="111"/>
      <c r="F571" s="111"/>
      <c r="G571" s="111"/>
      <c r="H571" s="110"/>
      <c r="J571" s="110"/>
      <c r="M571" s="110"/>
      <c r="N571" s="110"/>
      <c r="O571" s="110"/>
    </row>
    <row r="572" spans="1:15" x14ac:dyDescent="0.35">
      <c r="A572" s="111"/>
      <c r="B572" s="111"/>
      <c r="C572" s="111"/>
      <c r="D572" s="111"/>
      <c r="E572" s="111"/>
      <c r="F572" s="111"/>
      <c r="G572" s="111"/>
      <c r="H572" s="110"/>
      <c r="J572" s="110"/>
      <c r="M572" s="110"/>
      <c r="N572" s="110"/>
      <c r="O572" s="110"/>
    </row>
    <row r="573" spans="1:15" x14ac:dyDescent="0.35">
      <c r="A573" s="111"/>
      <c r="B573" s="111"/>
      <c r="C573" s="111"/>
      <c r="D573" s="111"/>
      <c r="E573" s="111"/>
      <c r="F573" s="111"/>
      <c r="G573" s="111"/>
      <c r="H573" s="110"/>
      <c r="J573" s="110"/>
      <c r="M573" s="110"/>
      <c r="N573" s="110"/>
      <c r="O573" s="110"/>
    </row>
    <row r="574" spans="1:15" x14ac:dyDescent="0.35">
      <c r="A574" s="111"/>
      <c r="B574" s="111"/>
      <c r="C574" s="111"/>
      <c r="D574" s="111"/>
      <c r="E574" s="111"/>
      <c r="F574" s="111"/>
      <c r="G574" s="111"/>
      <c r="H574" s="110"/>
      <c r="J574" s="110"/>
      <c r="M574" s="110"/>
      <c r="N574" s="110"/>
      <c r="O574" s="110"/>
    </row>
    <row r="575" spans="1:15" x14ac:dyDescent="0.35">
      <c r="A575" s="111"/>
      <c r="B575" s="111"/>
      <c r="C575" s="111"/>
      <c r="D575" s="111"/>
      <c r="E575" s="111"/>
      <c r="F575" s="111"/>
      <c r="G575" s="111"/>
      <c r="H575" s="110"/>
      <c r="J575" s="110"/>
      <c r="M575" s="110"/>
      <c r="N575" s="110"/>
      <c r="O575" s="110"/>
    </row>
    <row r="576" spans="1:15" x14ac:dyDescent="0.35">
      <c r="A576" s="111"/>
      <c r="B576" s="111"/>
      <c r="C576" s="111"/>
      <c r="D576" s="111"/>
      <c r="E576" s="111"/>
      <c r="F576" s="111"/>
      <c r="G576" s="111"/>
      <c r="H576" s="110"/>
      <c r="J576" s="110"/>
      <c r="M576" s="110"/>
      <c r="N576" s="110"/>
      <c r="O576" s="110"/>
    </row>
    <row r="577" spans="1:15" x14ac:dyDescent="0.35">
      <c r="A577" s="111"/>
      <c r="B577" s="111"/>
      <c r="C577" s="111"/>
      <c r="D577" s="111"/>
      <c r="E577" s="111"/>
      <c r="F577" s="111"/>
      <c r="G577" s="111"/>
      <c r="H577" s="110"/>
      <c r="J577" s="110"/>
      <c r="M577" s="110"/>
      <c r="N577" s="110"/>
      <c r="O577" s="110"/>
    </row>
    <row r="578" spans="1:15" x14ac:dyDescent="0.35">
      <c r="A578" s="111"/>
      <c r="B578" s="111"/>
      <c r="C578" s="111"/>
      <c r="D578" s="111"/>
      <c r="E578" s="111"/>
      <c r="F578" s="111"/>
      <c r="G578" s="111"/>
      <c r="H578" s="110"/>
      <c r="J578" s="110"/>
      <c r="M578" s="110"/>
      <c r="N578" s="110"/>
      <c r="O578" s="110"/>
    </row>
    <row r="579" spans="1:15" x14ac:dyDescent="0.35">
      <c r="A579" s="111"/>
      <c r="B579" s="111"/>
      <c r="C579" s="111"/>
      <c r="D579" s="111"/>
      <c r="E579" s="111"/>
      <c r="F579" s="111"/>
      <c r="G579" s="111"/>
      <c r="H579" s="110"/>
      <c r="J579" s="110"/>
      <c r="M579" s="110"/>
      <c r="N579" s="110"/>
      <c r="O579" s="110"/>
    </row>
    <row r="580" spans="1:15" x14ac:dyDescent="0.35">
      <c r="A580" s="111"/>
      <c r="B580" s="111"/>
      <c r="C580" s="111"/>
      <c r="D580" s="111"/>
      <c r="E580" s="111"/>
      <c r="F580" s="111"/>
      <c r="G580" s="111"/>
      <c r="H580" s="110"/>
      <c r="J580" s="110"/>
      <c r="M580" s="110"/>
      <c r="N580" s="110"/>
      <c r="O580" s="110"/>
    </row>
    <row r="581" spans="1:15" x14ac:dyDescent="0.35">
      <c r="A581" s="111"/>
      <c r="B581" s="111"/>
      <c r="C581" s="111"/>
      <c r="D581" s="111"/>
      <c r="E581" s="111"/>
      <c r="F581" s="111"/>
      <c r="G581" s="111"/>
      <c r="H581" s="110"/>
      <c r="J581" s="110"/>
      <c r="M581" s="110"/>
      <c r="N581" s="110"/>
      <c r="O581" s="110"/>
    </row>
    <row r="582" spans="1:15" x14ac:dyDescent="0.35">
      <c r="A582" s="111"/>
      <c r="B582" s="111"/>
      <c r="C582" s="111"/>
      <c r="D582" s="111"/>
      <c r="E582" s="111"/>
      <c r="F582" s="111"/>
      <c r="G582" s="111"/>
      <c r="H582" s="110"/>
      <c r="J582" s="110"/>
      <c r="M582" s="110"/>
      <c r="N582" s="110"/>
      <c r="O582" s="110"/>
    </row>
    <row r="583" spans="1:15" x14ac:dyDescent="0.35">
      <c r="A583" s="111"/>
      <c r="B583" s="111"/>
      <c r="C583" s="111"/>
      <c r="D583" s="111"/>
      <c r="E583" s="111"/>
      <c r="F583" s="111"/>
      <c r="G583" s="111"/>
      <c r="H583" s="110"/>
      <c r="J583" s="110"/>
      <c r="M583" s="110"/>
      <c r="N583" s="110"/>
      <c r="O583" s="110"/>
    </row>
    <row r="584" spans="1:15" x14ac:dyDescent="0.35">
      <c r="A584" s="111"/>
      <c r="B584" s="111"/>
      <c r="C584" s="111"/>
      <c r="D584" s="111"/>
      <c r="E584" s="111"/>
      <c r="F584" s="111"/>
      <c r="G584" s="111"/>
      <c r="H584" s="110"/>
      <c r="J584" s="110"/>
      <c r="M584" s="110"/>
      <c r="N584" s="110"/>
      <c r="O584" s="110"/>
    </row>
    <row r="585" spans="1:15" x14ac:dyDescent="0.35">
      <c r="A585" s="111"/>
      <c r="B585" s="111"/>
      <c r="C585" s="111"/>
      <c r="D585" s="111"/>
      <c r="E585" s="111"/>
      <c r="F585" s="111"/>
      <c r="G585" s="111"/>
      <c r="H585" s="110"/>
      <c r="J585" s="110"/>
      <c r="M585" s="110"/>
      <c r="N585" s="110"/>
      <c r="O585" s="110"/>
    </row>
    <row r="586" spans="1:15" x14ac:dyDescent="0.35">
      <c r="A586" s="111"/>
      <c r="B586" s="111"/>
      <c r="C586" s="111"/>
      <c r="D586" s="111"/>
      <c r="E586" s="111"/>
      <c r="F586" s="111"/>
      <c r="G586" s="111"/>
      <c r="H586" s="110"/>
      <c r="J586" s="110"/>
      <c r="M586" s="110"/>
      <c r="N586" s="110"/>
      <c r="O586" s="110"/>
    </row>
    <row r="587" spans="1:15" x14ac:dyDescent="0.35">
      <c r="A587" s="111"/>
      <c r="B587" s="111"/>
      <c r="C587" s="111"/>
      <c r="D587" s="111"/>
      <c r="E587" s="111"/>
      <c r="F587" s="111"/>
      <c r="G587" s="111"/>
      <c r="H587" s="110"/>
      <c r="J587" s="110"/>
      <c r="M587" s="110"/>
      <c r="N587" s="110"/>
      <c r="O587" s="110"/>
    </row>
    <row r="588" spans="1:15" x14ac:dyDescent="0.35">
      <c r="A588" s="111"/>
      <c r="B588" s="111"/>
      <c r="C588" s="111"/>
      <c r="D588" s="111"/>
      <c r="E588" s="111"/>
      <c r="F588" s="111"/>
      <c r="G588" s="111"/>
      <c r="H588" s="110"/>
      <c r="J588" s="110"/>
      <c r="M588" s="110"/>
      <c r="N588" s="110"/>
      <c r="O588" s="110"/>
    </row>
    <row r="589" spans="1:15" x14ac:dyDescent="0.35">
      <c r="A589" s="111"/>
      <c r="B589" s="111"/>
      <c r="C589" s="111"/>
      <c r="D589" s="111"/>
      <c r="E589" s="111"/>
      <c r="F589" s="111"/>
      <c r="G589" s="111"/>
      <c r="H589" s="110"/>
      <c r="J589" s="110"/>
      <c r="M589" s="110"/>
      <c r="N589" s="110"/>
      <c r="O589" s="110"/>
    </row>
    <row r="590" spans="1:15" x14ac:dyDescent="0.35">
      <c r="A590" s="111"/>
      <c r="B590" s="111"/>
      <c r="C590" s="111"/>
      <c r="D590" s="111"/>
      <c r="E590" s="111"/>
      <c r="F590" s="111"/>
      <c r="G590" s="111"/>
      <c r="H590" s="110"/>
      <c r="J590" s="110"/>
      <c r="M590" s="110"/>
      <c r="N590" s="110"/>
      <c r="O590" s="110"/>
    </row>
    <row r="591" spans="1:15" x14ac:dyDescent="0.35">
      <c r="A591" s="111"/>
      <c r="B591" s="111"/>
      <c r="C591" s="111"/>
      <c r="D591" s="111"/>
      <c r="E591" s="111"/>
      <c r="F591" s="111"/>
      <c r="G591" s="111"/>
      <c r="H591" s="110"/>
      <c r="J591" s="110"/>
      <c r="M591" s="110"/>
      <c r="N591" s="110"/>
      <c r="O591" s="110"/>
    </row>
    <row r="592" spans="1:15" x14ac:dyDescent="0.35">
      <c r="A592" s="111"/>
      <c r="B592" s="111"/>
      <c r="C592" s="111"/>
      <c r="D592" s="111"/>
      <c r="E592" s="111"/>
      <c r="F592" s="111"/>
      <c r="G592" s="111"/>
      <c r="H592" s="110"/>
      <c r="J592" s="110"/>
      <c r="M592" s="110"/>
      <c r="N592" s="110"/>
      <c r="O592" s="110"/>
    </row>
    <row r="593" spans="1:15" x14ac:dyDescent="0.35">
      <c r="A593" s="111"/>
      <c r="B593" s="111"/>
      <c r="C593" s="111"/>
      <c r="D593" s="111"/>
      <c r="E593" s="111"/>
      <c r="F593" s="111"/>
      <c r="G593" s="111"/>
      <c r="H593" s="110"/>
      <c r="J593" s="110"/>
      <c r="M593" s="110"/>
      <c r="N593" s="110"/>
      <c r="O593" s="110"/>
    </row>
    <row r="594" spans="1:15" x14ac:dyDescent="0.35">
      <c r="A594" s="111"/>
      <c r="B594" s="111"/>
      <c r="C594" s="111"/>
      <c r="D594" s="111"/>
      <c r="E594" s="111"/>
      <c r="F594" s="111"/>
      <c r="G594" s="111"/>
      <c r="H594" s="110"/>
      <c r="J594" s="110"/>
      <c r="M594" s="110"/>
      <c r="N594" s="110"/>
      <c r="O594" s="110"/>
    </row>
    <row r="595" spans="1:15" x14ac:dyDescent="0.35">
      <c r="A595" s="111"/>
      <c r="B595" s="111"/>
      <c r="C595" s="111"/>
      <c r="D595" s="111"/>
      <c r="E595" s="111"/>
      <c r="F595" s="111"/>
      <c r="G595" s="111"/>
      <c r="H595" s="110"/>
      <c r="J595" s="110"/>
      <c r="M595" s="110"/>
      <c r="N595" s="110"/>
      <c r="O595" s="110"/>
    </row>
    <row r="596" spans="1:15" x14ac:dyDescent="0.35">
      <c r="A596" s="111"/>
      <c r="B596" s="111"/>
      <c r="C596" s="111"/>
      <c r="D596" s="111"/>
      <c r="E596" s="111"/>
      <c r="F596" s="111"/>
      <c r="G596" s="111"/>
      <c r="H596" s="110"/>
      <c r="J596" s="110"/>
      <c r="M596" s="110"/>
      <c r="N596" s="110"/>
      <c r="O596" s="110"/>
    </row>
    <row r="597" spans="1:15" x14ac:dyDescent="0.35">
      <c r="A597" s="111"/>
      <c r="B597" s="111"/>
      <c r="C597" s="111"/>
      <c r="D597" s="111"/>
      <c r="E597" s="111"/>
      <c r="F597" s="111"/>
      <c r="G597" s="111"/>
      <c r="H597" s="110"/>
      <c r="J597" s="110"/>
      <c r="M597" s="110"/>
      <c r="N597" s="110"/>
      <c r="O597" s="110"/>
    </row>
    <row r="598" spans="1:15" x14ac:dyDescent="0.35">
      <c r="A598" s="111"/>
      <c r="B598" s="111"/>
      <c r="C598" s="111"/>
      <c r="D598" s="111"/>
      <c r="E598" s="111"/>
      <c r="F598" s="111"/>
      <c r="G598" s="111"/>
      <c r="H598" s="110"/>
      <c r="J598" s="110"/>
      <c r="M598" s="110"/>
      <c r="N598" s="110"/>
      <c r="O598" s="110"/>
    </row>
    <row r="599" spans="1:15" x14ac:dyDescent="0.35">
      <c r="A599" s="111"/>
      <c r="B599" s="111"/>
      <c r="C599" s="111"/>
      <c r="D599" s="111"/>
      <c r="E599" s="111"/>
      <c r="F599" s="111"/>
      <c r="G599" s="111"/>
      <c r="H599" s="110"/>
      <c r="J599" s="110"/>
      <c r="M599" s="110"/>
      <c r="N599" s="110"/>
      <c r="O599" s="110"/>
    </row>
    <row r="600" spans="1:15" x14ac:dyDescent="0.35">
      <c r="A600" s="111"/>
      <c r="B600" s="111"/>
      <c r="C600" s="111"/>
      <c r="D600" s="111"/>
      <c r="E600" s="111"/>
      <c r="F600" s="111"/>
      <c r="G600" s="111"/>
      <c r="H600" s="110"/>
      <c r="J600" s="110"/>
      <c r="M600" s="110"/>
      <c r="N600" s="110"/>
      <c r="O600" s="110"/>
    </row>
    <row r="601" spans="1:15" x14ac:dyDescent="0.35">
      <c r="A601" s="111"/>
      <c r="B601" s="111"/>
      <c r="C601" s="111"/>
      <c r="D601" s="111"/>
      <c r="E601" s="111"/>
      <c r="F601" s="111"/>
      <c r="G601" s="111"/>
      <c r="H601" s="110"/>
      <c r="J601" s="110"/>
      <c r="M601" s="110"/>
      <c r="N601" s="110"/>
      <c r="O601" s="110"/>
    </row>
    <row r="602" spans="1:15" x14ac:dyDescent="0.35">
      <c r="A602" s="111"/>
      <c r="B602" s="111"/>
      <c r="C602" s="111"/>
      <c r="D602" s="111"/>
      <c r="E602" s="111"/>
      <c r="F602" s="111"/>
      <c r="G602" s="111"/>
      <c r="H602" s="110"/>
      <c r="J602" s="110"/>
      <c r="M602" s="110"/>
      <c r="N602" s="110"/>
      <c r="O602" s="110"/>
    </row>
    <row r="603" spans="1:15" x14ac:dyDescent="0.35">
      <c r="A603" s="111"/>
      <c r="B603" s="111"/>
      <c r="C603" s="111"/>
      <c r="D603" s="111"/>
      <c r="E603" s="111"/>
      <c r="F603" s="111"/>
      <c r="G603" s="111"/>
      <c r="H603" s="110"/>
      <c r="J603" s="110"/>
      <c r="M603" s="110"/>
      <c r="N603" s="110"/>
      <c r="O603" s="110"/>
    </row>
    <row r="604" spans="1:15" x14ac:dyDescent="0.35">
      <c r="A604" s="111"/>
      <c r="B604" s="111"/>
      <c r="C604" s="111"/>
      <c r="D604" s="111"/>
      <c r="E604" s="111"/>
      <c r="F604" s="111"/>
      <c r="G604" s="111"/>
      <c r="H604" s="110"/>
      <c r="J604" s="110"/>
      <c r="M604" s="110"/>
      <c r="N604" s="110"/>
      <c r="O604" s="110"/>
    </row>
    <row r="605" spans="1:15" x14ac:dyDescent="0.35">
      <c r="A605" s="111"/>
      <c r="B605" s="111"/>
      <c r="C605" s="111"/>
      <c r="D605" s="111"/>
      <c r="E605" s="111"/>
      <c r="F605" s="111"/>
      <c r="G605" s="111"/>
      <c r="H605" s="110"/>
      <c r="J605" s="110"/>
      <c r="M605" s="110"/>
      <c r="N605" s="110"/>
      <c r="O605" s="110"/>
    </row>
    <row r="606" spans="1:15" x14ac:dyDescent="0.35">
      <c r="A606" s="111"/>
      <c r="B606" s="111"/>
      <c r="C606" s="111"/>
      <c r="D606" s="111"/>
      <c r="E606" s="111"/>
      <c r="F606" s="111"/>
      <c r="G606" s="111"/>
      <c r="H606" s="110"/>
      <c r="J606" s="110"/>
      <c r="M606" s="110"/>
      <c r="N606" s="110"/>
      <c r="O606" s="110"/>
    </row>
    <row r="607" spans="1:15" x14ac:dyDescent="0.35">
      <c r="A607" s="111"/>
      <c r="B607" s="111"/>
      <c r="C607" s="111"/>
      <c r="D607" s="111"/>
      <c r="E607" s="111"/>
      <c r="F607" s="111"/>
      <c r="G607" s="111"/>
      <c r="H607" s="110"/>
      <c r="J607" s="110"/>
      <c r="M607" s="110"/>
      <c r="N607" s="110"/>
      <c r="O607" s="110"/>
    </row>
    <row r="608" spans="1:15" x14ac:dyDescent="0.35">
      <c r="A608" s="111"/>
      <c r="B608" s="111"/>
      <c r="C608" s="111"/>
      <c r="D608" s="111"/>
      <c r="E608" s="111"/>
      <c r="F608" s="111"/>
      <c r="G608" s="111"/>
      <c r="H608" s="110"/>
      <c r="J608" s="110"/>
      <c r="M608" s="110"/>
      <c r="N608" s="110"/>
      <c r="O608" s="110"/>
    </row>
    <row r="609" spans="1:15" x14ac:dyDescent="0.35">
      <c r="A609" s="111"/>
      <c r="B609" s="111"/>
      <c r="C609" s="111"/>
      <c r="D609" s="111"/>
      <c r="E609" s="111"/>
      <c r="F609" s="111"/>
      <c r="G609" s="111"/>
      <c r="H609" s="110"/>
      <c r="J609" s="110"/>
      <c r="M609" s="110"/>
      <c r="N609" s="110"/>
      <c r="O609" s="110"/>
    </row>
    <row r="610" spans="1:15" x14ac:dyDescent="0.35">
      <c r="A610" s="111"/>
      <c r="B610" s="111"/>
      <c r="C610" s="111"/>
      <c r="D610" s="111"/>
      <c r="E610" s="111"/>
      <c r="F610" s="111"/>
      <c r="G610" s="111"/>
      <c r="H610" s="110"/>
      <c r="J610" s="110"/>
      <c r="M610" s="110"/>
      <c r="N610" s="110"/>
      <c r="O610" s="110"/>
    </row>
    <row r="611" spans="1:15" x14ac:dyDescent="0.35">
      <c r="A611" s="111"/>
      <c r="B611" s="111"/>
      <c r="C611" s="111"/>
      <c r="D611" s="111"/>
      <c r="E611" s="111"/>
      <c r="F611" s="111"/>
      <c r="G611" s="111"/>
      <c r="H611" s="110"/>
      <c r="J611" s="110"/>
      <c r="M611" s="110"/>
      <c r="N611" s="110"/>
      <c r="O611" s="110"/>
    </row>
    <row r="612" spans="1:15" x14ac:dyDescent="0.35">
      <c r="A612" s="111"/>
      <c r="B612" s="111"/>
      <c r="C612" s="111"/>
      <c r="D612" s="111"/>
      <c r="E612" s="111"/>
      <c r="F612" s="111"/>
      <c r="G612" s="111"/>
      <c r="H612" s="110"/>
      <c r="J612" s="110"/>
      <c r="M612" s="110"/>
      <c r="N612" s="110"/>
      <c r="O612" s="110"/>
    </row>
    <row r="613" spans="1:15" x14ac:dyDescent="0.35">
      <c r="A613" s="111"/>
      <c r="B613" s="111"/>
      <c r="C613" s="111"/>
      <c r="D613" s="111"/>
      <c r="E613" s="111"/>
      <c r="F613" s="111"/>
      <c r="G613" s="111"/>
      <c r="H613" s="110"/>
      <c r="J613" s="110"/>
      <c r="M613" s="110"/>
      <c r="N613" s="110"/>
      <c r="O613" s="110"/>
    </row>
    <row r="614" spans="1:15" x14ac:dyDescent="0.35">
      <c r="A614" s="111"/>
      <c r="B614" s="111"/>
      <c r="C614" s="111"/>
      <c r="D614" s="111"/>
      <c r="E614" s="111"/>
      <c r="F614" s="111"/>
      <c r="G614" s="111"/>
      <c r="H614" s="110"/>
      <c r="J614" s="110"/>
      <c r="M614" s="110"/>
      <c r="N614" s="110"/>
      <c r="O614" s="110"/>
    </row>
    <row r="615" spans="1:15" x14ac:dyDescent="0.35">
      <c r="A615" s="111"/>
      <c r="B615" s="111"/>
      <c r="C615" s="111"/>
      <c r="D615" s="111"/>
      <c r="E615" s="111"/>
      <c r="F615" s="111"/>
      <c r="G615" s="111"/>
      <c r="H615" s="110"/>
      <c r="J615" s="110"/>
      <c r="M615" s="110"/>
      <c r="N615" s="110"/>
      <c r="O615" s="110"/>
    </row>
    <row r="616" spans="1:15" x14ac:dyDescent="0.35">
      <c r="A616" s="111"/>
      <c r="B616" s="111"/>
      <c r="C616" s="111"/>
      <c r="D616" s="111"/>
      <c r="E616" s="111"/>
      <c r="F616" s="111"/>
      <c r="G616" s="111"/>
      <c r="H616" s="110"/>
      <c r="J616" s="110"/>
      <c r="M616" s="110"/>
      <c r="N616" s="110"/>
      <c r="O616" s="110"/>
    </row>
    <row r="617" spans="1:15" x14ac:dyDescent="0.35">
      <c r="A617" s="111"/>
      <c r="B617" s="111"/>
      <c r="C617" s="111"/>
      <c r="D617" s="111"/>
      <c r="E617" s="111"/>
      <c r="F617" s="111"/>
      <c r="G617" s="111"/>
      <c r="H617" s="110"/>
      <c r="J617" s="110"/>
      <c r="M617" s="110"/>
      <c r="N617" s="110"/>
      <c r="O617" s="110"/>
    </row>
    <row r="618" spans="1:15" x14ac:dyDescent="0.35">
      <c r="A618" s="111"/>
      <c r="B618" s="111"/>
      <c r="C618" s="111"/>
      <c r="D618" s="111"/>
      <c r="E618" s="111"/>
      <c r="F618" s="111"/>
      <c r="G618" s="111"/>
      <c r="H618" s="110"/>
      <c r="J618" s="110"/>
      <c r="M618" s="110"/>
      <c r="N618" s="110"/>
      <c r="O618" s="110"/>
    </row>
    <row r="619" spans="1:15" x14ac:dyDescent="0.35">
      <c r="A619" s="111"/>
      <c r="B619" s="111"/>
      <c r="C619" s="111"/>
      <c r="D619" s="111"/>
      <c r="E619" s="111"/>
      <c r="F619" s="111"/>
      <c r="G619" s="111"/>
      <c r="H619" s="110"/>
      <c r="J619" s="110"/>
      <c r="M619" s="110"/>
      <c r="N619" s="110"/>
      <c r="O619" s="110"/>
    </row>
    <row r="620" spans="1:15" x14ac:dyDescent="0.35">
      <c r="A620" s="111"/>
      <c r="B620" s="111"/>
      <c r="C620" s="111"/>
      <c r="D620" s="111"/>
      <c r="E620" s="111"/>
      <c r="F620" s="111"/>
      <c r="G620" s="111"/>
      <c r="H620" s="110"/>
      <c r="J620" s="110"/>
      <c r="M620" s="110"/>
      <c r="N620" s="110"/>
      <c r="O620" s="110"/>
    </row>
    <row r="621" spans="1:15" x14ac:dyDescent="0.35">
      <c r="A621" s="111"/>
      <c r="B621" s="111"/>
      <c r="C621" s="111"/>
      <c r="D621" s="111"/>
      <c r="E621" s="111"/>
      <c r="F621" s="111"/>
      <c r="G621" s="111"/>
      <c r="H621" s="110"/>
      <c r="J621" s="110"/>
      <c r="M621" s="110"/>
      <c r="N621" s="110"/>
      <c r="O621" s="110"/>
    </row>
    <row r="622" spans="1:15" x14ac:dyDescent="0.35">
      <c r="A622" s="111"/>
      <c r="B622" s="111"/>
      <c r="C622" s="111"/>
      <c r="D622" s="111"/>
      <c r="E622" s="111"/>
      <c r="F622" s="111"/>
      <c r="G622" s="111"/>
      <c r="H622" s="110"/>
      <c r="J622" s="110"/>
      <c r="M622" s="110"/>
      <c r="N622" s="110"/>
      <c r="O622" s="110"/>
    </row>
    <row r="623" spans="1:15" x14ac:dyDescent="0.35">
      <c r="A623" s="111"/>
      <c r="B623" s="111"/>
      <c r="C623" s="111"/>
      <c r="D623" s="111"/>
      <c r="E623" s="111"/>
      <c r="F623" s="111"/>
      <c r="G623" s="111"/>
      <c r="H623" s="110"/>
      <c r="J623" s="110"/>
      <c r="M623" s="110"/>
      <c r="N623" s="110"/>
      <c r="O623" s="110"/>
    </row>
    <row r="624" spans="1:15" x14ac:dyDescent="0.35">
      <c r="A624" s="111"/>
      <c r="B624" s="111"/>
      <c r="C624" s="111"/>
      <c r="D624" s="111"/>
      <c r="E624" s="111"/>
      <c r="F624" s="111"/>
      <c r="G624" s="111"/>
      <c r="H624" s="110"/>
      <c r="J624" s="110"/>
      <c r="M624" s="110"/>
      <c r="N624" s="110"/>
      <c r="O624" s="110"/>
    </row>
    <row r="625" spans="1:15" x14ac:dyDescent="0.35">
      <c r="A625" s="111"/>
      <c r="B625" s="111"/>
      <c r="C625" s="111"/>
      <c r="D625" s="111"/>
      <c r="E625" s="111"/>
      <c r="F625" s="111"/>
      <c r="G625" s="111"/>
      <c r="H625" s="110"/>
      <c r="J625" s="110"/>
      <c r="M625" s="110"/>
      <c r="N625" s="110"/>
      <c r="O625" s="110"/>
    </row>
    <row r="626" spans="1:15" x14ac:dyDescent="0.35">
      <c r="A626" s="111"/>
      <c r="B626" s="111"/>
      <c r="C626" s="111"/>
      <c r="D626" s="111"/>
      <c r="E626" s="111"/>
      <c r="F626" s="111"/>
      <c r="G626" s="111"/>
      <c r="H626" s="110"/>
      <c r="J626" s="110"/>
      <c r="M626" s="110"/>
      <c r="N626" s="110"/>
      <c r="O626" s="110"/>
    </row>
    <row r="627" spans="1:15" x14ac:dyDescent="0.35">
      <c r="A627" s="111"/>
      <c r="B627" s="111"/>
      <c r="C627" s="111"/>
      <c r="D627" s="111"/>
      <c r="E627" s="111"/>
      <c r="F627" s="111"/>
      <c r="G627" s="111"/>
      <c r="H627" s="110"/>
      <c r="J627" s="110"/>
      <c r="M627" s="110"/>
      <c r="N627" s="110"/>
      <c r="O627" s="110"/>
    </row>
    <row r="628" spans="1:15" x14ac:dyDescent="0.35">
      <c r="A628" s="111"/>
      <c r="B628" s="111"/>
      <c r="C628" s="111"/>
      <c r="D628" s="111"/>
      <c r="E628" s="111"/>
      <c r="F628" s="111"/>
      <c r="G628" s="111"/>
      <c r="H628" s="110"/>
      <c r="J628" s="110"/>
      <c r="M628" s="110"/>
      <c r="N628" s="110"/>
      <c r="O628" s="110"/>
    </row>
    <row r="629" spans="1:15" x14ac:dyDescent="0.35">
      <c r="A629" s="111"/>
      <c r="B629" s="111"/>
      <c r="C629" s="111"/>
      <c r="D629" s="111"/>
      <c r="E629" s="111"/>
      <c r="F629" s="111"/>
      <c r="G629" s="111"/>
      <c r="H629" s="110"/>
      <c r="J629" s="110"/>
      <c r="M629" s="110"/>
      <c r="N629" s="110"/>
      <c r="O629" s="110"/>
    </row>
    <row r="630" spans="1:15" x14ac:dyDescent="0.35">
      <c r="A630" s="111"/>
      <c r="B630" s="111"/>
      <c r="C630" s="111"/>
      <c r="D630" s="111"/>
      <c r="E630" s="111"/>
      <c r="F630" s="111"/>
      <c r="G630" s="111"/>
      <c r="H630" s="110"/>
      <c r="J630" s="110"/>
      <c r="M630" s="110"/>
      <c r="N630" s="110"/>
      <c r="O630" s="110"/>
    </row>
    <row r="631" spans="1:15" x14ac:dyDescent="0.35">
      <c r="A631" s="111"/>
      <c r="B631" s="111"/>
      <c r="C631" s="111"/>
      <c r="D631" s="111"/>
      <c r="E631" s="111"/>
      <c r="F631" s="111"/>
      <c r="G631" s="111"/>
      <c r="H631" s="110"/>
      <c r="J631" s="110"/>
      <c r="M631" s="110"/>
      <c r="N631" s="110"/>
      <c r="O631" s="110"/>
    </row>
    <row r="632" spans="1:15" x14ac:dyDescent="0.35">
      <c r="A632" s="111"/>
      <c r="B632" s="111"/>
      <c r="C632" s="111"/>
      <c r="D632" s="111"/>
      <c r="E632" s="111"/>
      <c r="F632" s="111"/>
      <c r="G632" s="111"/>
      <c r="H632" s="110"/>
      <c r="J632" s="110"/>
      <c r="M632" s="110"/>
      <c r="N632" s="110"/>
      <c r="O632" s="110"/>
    </row>
    <row r="633" spans="1:15" x14ac:dyDescent="0.35">
      <c r="A633" s="111"/>
      <c r="B633" s="111"/>
      <c r="C633" s="111"/>
      <c r="D633" s="111"/>
      <c r="E633" s="111"/>
      <c r="F633" s="111"/>
      <c r="G633" s="111"/>
      <c r="H633" s="110"/>
      <c r="J633" s="110"/>
      <c r="M633" s="110"/>
      <c r="N633" s="110"/>
      <c r="O633" s="110"/>
    </row>
    <row r="634" spans="1:15" x14ac:dyDescent="0.35">
      <c r="A634" s="111"/>
      <c r="B634" s="111"/>
      <c r="C634" s="111"/>
      <c r="D634" s="111"/>
      <c r="E634" s="111"/>
      <c r="F634" s="111"/>
      <c r="G634" s="111"/>
      <c r="H634" s="110"/>
      <c r="J634" s="110"/>
      <c r="M634" s="110"/>
      <c r="N634" s="110"/>
      <c r="O634" s="110"/>
    </row>
    <row r="635" spans="1:15" x14ac:dyDescent="0.35">
      <c r="A635" s="111"/>
      <c r="B635" s="111"/>
      <c r="C635" s="111"/>
      <c r="D635" s="111"/>
      <c r="E635" s="111"/>
      <c r="F635" s="111"/>
      <c r="G635" s="111"/>
      <c r="H635" s="110"/>
      <c r="J635" s="110"/>
      <c r="M635" s="110"/>
      <c r="N635" s="110"/>
      <c r="O635" s="110"/>
    </row>
    <row r="636" spans="1:15" x14ac:dyDescent="0.35">
      <c r="A636" s="111"/>
      <c r="B636" s="111"/>
      <c r="C636" s="111"/>
      <c r="D636" s="111"/>
      <c r="E636" s="111"/>
      <c r="F636" s="111"/>
      <c r="G636" s="111"/>
      <c r="H636" s="110"/>
      <c r="J636" s="110"/>
      <c r="M636" s="110"/>
      <c r="N636" s="110"/>
      <c r="O636" s="110"/>
    </row>
    <row r="637" spans="1:15" x14ac:dyDescent="0.35">
      <c r="A637" s="111"/>
      <c r="B637" s="111"/>
      <c r="C637" s="111"/>
      <c r="D637" s="111"/>
      <c r="E637" s="111"/>
      <c r="F637" s="111"/>
      <c r="G637" s="111"/>
      <c r="H637" s="110"/>
      <c r="J637" s="110"/>
      <c r="M637" s="110"/>
      <c r="N637" s="110"/>
      <c r="O637" s="110"/>
    </row>
    <row r="638" spans="1:15" x14ac:dyDescent="0.35">
      <c r="A638" s="111"/>
      <c r="B638" s="111"/>
      <c r="C638" s="111"/>
      <c r="D638" s="111"/>
      <c r="E638" s="111"/>
      <c r="F638" s="111"/>
      <c r="G638" s="111"/>
      <c r="H638" s="110"/>
      <c r="J638" s="110"/>
      <c r="M638" s="110"/>
      <c r="N638" s="110"/>
      <c r="O638" s="110"/>
    </row>
    <row r="639" spans="1:15" x14ac:dyDescent="0.35">
      <c r="A639" s="111"/>
      <c r="B639" s="111"/>
      <c r="C639" s="111"/>
      <c r="D639" s="111"/>
      <c r="E639" s="111"/>
      <c r="F639" s="111"/>
      <c r="G639" s="111"/>
      <c r="H639" s="110"/>
      <c r="J639" s="110"/>
      <c r="M639" s="110"/>
      <c r="N639" s="110"/>
      <c r="O639" s="110"/>
    </row>
    <row r="640" spans="1:15" x14ac:dyDescent="0.35">
      <c r="A640" s="111"/>
      <c r="B640" s="111"/>
      <c r="C640" s="111"/>
      <c r="D640" s="111"/>
      <c r="E640" s="111"/>
      <c r="F640" s="111"/>
      <c r="G640" s="111"/>
      <c r="H640" s="110"/>
      <c r="J640" s="110"/>
      <c r="M640" s="110"/>
      <c r="N640" s="110"/>
      <c r="O640" s="110"/>
    </row>
    <row r="641" spans="1:15" x14ac:dyDescent="0.35">
      <c r="A641" s="111"/>
      <c r="B641" s="111"/>
      <c r="C641" s="111"/>
      <c r="D641" s="111"/>
      <c r="E641" s="111"/>
      <c r="F641" s="111"/>
      <c r="G641" s="111"/>
      <c r="H641" s="110"/>
      <c r="J641" s="110"/>
      <c r="M641" s="110"/>
      <c r="N641" s="110"/>
      <c r="O641" s="110"/>
    </row>
    <row r="642" spans="1:15" x14ac:dyDescent="0.35">
      <c r="A642" s="111"/>
      <c r="B642" s="111"/>
      <c r="C642" s="111"/>
      <c r="D642" s="111"/>
      <c r="E642" s="111"/>
      <c r="F642" s="111"/>
      <c r="G642" s="111"/>
      <c r="H642" s="110"/>
      <c r="J642" s="110"/>
      <c r="M642" s="110"/>
      <c r="N642" s="110"/>
      <c r="O642" s="110"/>
    </row>
    <row r="643" spans="1:15" x14ac:dyDescent="0.35">
      <c r="A643" s="111"/>
      <c r="B643" s="111"/>
      <c r="C643" s="111"/>
      <c r="D643" s="111"/>
      <c r="E643" s="111"/>
      <c r="F643" s="111"/>
      <c r="G643" s="111"/>
      <c r="H643" s="110"/>
      <c r="J643" s="110"/>
      <c r="M643" s="110"/>
      <c r="N643" s="110"/>
      <c r="O643" s="110"/>
    </row>
    <row r="644" spans="1:15" x14ac:dyDescent="0.35">
      <c r="A644" s="111"/>
      <c r="B644" s="111"/>
      <c r="C644" s="111"/>
      <c r="D644" s="111"/>
      <c r="E644" s="111"/>
      <c r="F644" s="111"/>
      <c r="G644" s="111"/>
      <c r="H644" s="110"/>
      <c r="J644" s="110"/>
      <c r="M644" s="110"/>
      <c r="N644" s="110"/>
      <c r="O644" s="110"/>
    </row>
    <row r="645" spans="1:15" x14ac:dyDescent="0.35">
      <c r="A645" s="111"/>
      <c r="B645" s="111"/>
      <c r="C645" s="111"/>
      <c r="D645" s="111"/>
      <c r="E645" s="111"/>
      <c r="F645" s="111"/>
      <c r="G645" s="111"/>
      <c r="H645" s="110"/>
      <c r="J645" s="110"/>
      <c r="M645" s="110"/>
      <c r="N645" s="110"/>
      <c r="O645" s="110"/>
    </row>
    <row r="646" spans="1:15" x14ac:dyDescent="0.35">
      <c r="A646" s="111"/>
      <c r="B646" s="111"/>
      <c r="C646" s="111"/>
      <c r="D646" s="111"/>
      <c r="E646" s="111"/>
      <c r="F646" s="111"/>
      <c r="G646" s="111"/>
      <c r="H646" s="110"/>
      <c r="J646" s="110"/>
      <c r="M646" s="110"/>
      <c r="N646" s="110"/>
      <c r="O646" s="110"/>
    </row>
    <row r="647" spans="1:15" x14ac:dyDescent="0.35">
      <c r="A647" s="111"/>
      <c r="B647" s="111"/>
      <c r="C647" s="111"/>
      <c r="D647" s="111"/>
      <c r="E647" s="111"/>
      <c r="F647" s="111"/>
      <c r="G647" s="111"/>
      <c r="H647" s="110"/>
      <c r="J647" s="110"/>
      <c r="M647" s="110"/>
      <c r="N647" s="110"/>
      <c r="O647" s="110"/>
    </row>
    <row r="648" spans="1:15" x14ac:dyDescent="0.35">
      <c r="A648" s="111"/>
      <c r="B648" s="111"/>
      <c r="C648" s="111"/>
      <c r="D648" s="111"/>
      <c r="E648" s="111"/>
      <c r="F648" s="111"/>
      <c r="G648" s="111"/>
      <c r="H648" s="110"/>
      <c r="J648" s="110"/>
      <c r="M648" s="110"/>
      <c r="N648" s="110"/>
      <c r="O648" s="110"/>
    </row>
    <row r="649" spans="1:15" x14ac:dyDescent="0.35">
      <c r="A649" s="111"/>
      <c r="B649" s="111"/>
      <c r="C649" s="111"/>
      <c r="D649" s="111"/>
      <c r="E649" s="111"/>
      <c r="F649" s="111"/>
      <c r="G649" s="111"/>
      <c r="H649" s="110"/>
      <c r="J649" s="110"/>
      <c r="M649" s="110"/>
      <c r="N649" s="110"/>
      <c r="O649" s="110"/>
    </row>
    <row r="650" spans="1:15" x14ac:dyDescent="0.35">
      <c r="A650" s="111"/>
      <c r="B650" s="111"/>
      <c r="C650" s="111"/>
      <c r="D650" s="111"/>
      <c r="E650" s="111"/>
      <c r="F650" s="111"/>
      <c r="G650" s="111"/>
      <c r="H650" s="110"/>
      <c r="J650" s="110"/>
      <c r="M650" s="110"/>
      <c r="N650" s="110"/>
      <c r="O650" s="110"/>
    </row>
    <row r="651" spans="1:15" x14ac:dyDescent="0.35">
      <c r="A651" s="111"/>
      <c r="B651" s="111"/>
      <c r="C651" s="111"/>
      <c r="D651" s="111"/>
      <c r="E651" s="111"/>
      <c r="F651" s="111"/>
      <c r="G651" s="111"/>
      <c r="H651" s="110"/>
      <c r="J651" s="110"/>
      <c r="M651" s="110"/>
      <c r="N651" s="110"/>
      <c r="O651" s="110"/>
    </row>
    <row r="652" spans="1:15" x14ac:dyDescent="0.35">
      <c r="A652" s="111"/>
      <c r="B652" s="111"/>
      <c r="C652" s="111"/>
      <c r="D652" s="111"/>
      <c r="E652" s="111"/>
      <c r="F652" s="111"/>
      <c r="G652" s="111"/>
      <c r="H652" s="110"/>
      <c r="J652" s="110"/>
      <c r="M652" s="110"/>
      <c r="N652" s="110"/>
      <c r="O652" s="110"/>
    </row>
    <row r="653" spans="1:15" x14ac:dyDescent="0.35">
      <c r="A653" s="111"/>
      <c r="B653" s="111"/>
      <c r="C653" s="111"/>
      <c r="D653" s="111"/>
      <c r="E653" s="111"/>
      <c r="F653" s="111"/>
      <c r="G653" s="111"/>
      <c r="H653" s="110"/>
      <c r="J653" s="110"/>
      <c r="M653" s="110"/>
      <c r="N653" s="110"/>
      <c r="O653" s="110"/>
    </row>
    <row r="654" spans="1:15" x14ac:dyDescent="0.35">
      <c r="A654" s="111"/>
      <c r="B654" s="111"/>
      <c r="C654" s="111"/>
      <c r="D654" s="111"/>
      <c r="E654" s="111"/>
      <c r="F654" s="111"/>
      <c r="G654" s="111"/>
      <c r="H654" s="110"/>
      <c r="J654" s="110"/>
      <c r="M654" s="110"/>
      <c r="N654" s="110"/>
      <c r="O654" s="110"/>
    </row>
    <row r="655" spans="1:15" x14ac:dyDescent="0.35">
      <c r="A655" s="111"/>
      <c r="B655" s="111"/>
      <c r="C655" s="111"/>
      <c r="D655" s="111"/>
      <c r="E655" s="111"/>
      <c r="F655" s="111"/>
      <c r="G655" s="111"/>
      <c r="H655" s="110"/>
      <c r="J655" s="110"/>
      <c r="M655" s="110"/>
      <c r="N655" s="110"/>
      <c r="O655" s="110"/>
    </row>
    <row r="656" spans="1:15" x14ac:dyDescent="0.35">
      <c r="A656" s="111"/>
      <c r="B656" s="111"/>
      <c r="C656" s="111"/>
      <c r="D656" s="111"/>
      <c r="E656" s="111"/>
      <c r="F656" s="111"/>
      <c r="G656" s="111"/>
      <c r="H656" s="110"/>
      <c r="J656" s="110"/>
      <c r="M656" s="110"/>
      <c r="N656" s="110"/>
      <c r="O656" s="110"/>
    </row>
    <row r="657" spans="1:15" x14ac:dyDescent="0.35">
      <c r="A657" s="111"/>
      <c r="B657" s="111"/>
      <c r="C657" s="111"/>
      <c r="D657" s="111"/>
      <c r="E657" s="111"/>
      <c r="F657" s="111"/>
      <c r="G657" s="111"/>
      <c r="H657" s="110"/>
      <c r="J657" s="110"/>
      <c r="M657" s="110"/>
      <c r="N657" s="110"/>
      <c r="O657" s="110"/>
    </row>
    <row r="658" spans="1:15" x14ac:dyDescent="0.35">
      <c r="A658" s="111"/>
      <c r="B658" s="111"/>
      <c r="C658" s="111"/>
      <c r="D658" s="111"/>
      <c r="E658" s="111"/>
      <c r="F658" s="111"/>
      <c r="G658" s="111"/>
      <c r="H658" s="110"/>
      <c r="J658" s="110"/>
      <c r="M658" s="110"/>
      <c r="N658" s="110"/>
      <c r="O658" s="110"/>
    </row>
    <row r="659" spans="1:15" x14ac:dyDescent="0.35">
      <c r="A659" s="111"/>
      <c r="B659" s="111"/>
      <c r="C659" s="111"/>
      <c r="D659" s="111"/>
      <c r="E659" s="111"/>
      <c r="F659" s="111"/>
      <c r="G659" s="111"/>
      <c r="H659" s="110"/>
      <c r="J659" s="110"/>
      <c r="M659" s="110"/>
      <c r="N659" s="110"/>
      <c r="O659" s="110"/>
    </row>
    <row r="660" spans="1:15" x14ac:dyDescent="0.35">
      <c r="A660" s="111"/>
      <c r="B660" s="111"/>
      <c r="C660" s="111"/>
      <c r="D660" s="111"/>
      <c r="E660" s="111"/>
      <c r="F660" s="111"/>
      <c r="G660" s="111"/>
      <c r="H660" s="110"/>
      <c r="J660" s="110"/>
      <c r="M660" s="110"/>
      <c r="N660" s="110"/>
      <c r="O660" s="110"/>
    </row>
    <row r="661" spans="1:15" x14ac:dyDescent="0.35">
      <c r="A661" s="111"/>
      <c r="B661" s="111"/>
      <c r="C661" s="111"/>
      <c r="D661" s="111"/>
      <c r="E661" s="111"/>
      <c r="F661" s="111"/>
      <c r="G661" s="111"/>
      <c r="H661" s="110"/>
      <c r="J661" s="110"/>
      <c r="M661" s="110"/>
      <c r="N661" s="110"/>
      <c r="O661" s="110"/>
    </row>
    <row r="662" spans="1:15" x14ac:dyDescent="0.35">
      <c r="A662" s="111"/>
      <c r="B662" s="111"/>
      <c r="C662" s="111"/>
      <c r="D662" s="111"/>
      <c r="E662" s="111"/>
      <c r="F662" s="111"/>
      <c r="G662" s="111"/>
      <c r="H662" s="110"/>
      <c r="J662" s="110"/>
      <c r="M662" s="110"/>
      <c r="N662" s="110"/>
      <c r="O662" s="110"/>
    </row>
    <row r="663" spans="1:15" x14ac:dyDescent="0.35">
      <c r="A663" s="111"/>
      <c r="B663" s="111"/>
      <c r="C663" s="111"/>
      <c r="D663" s="111"/>
      <c r="E663" s="111"/>
      <c r="F663" s="111"/>
      <c r="G663" s="111"/>
      <c r="H663" s="110"/>
      <c r="J663" s="110"/>
      <c r="M663" s="110"/>
      <c r="N663" s="110"/>
      <c r="O663" s="110"/>
    </row>
    <row r="664" spans="1:15" x14ac:dyDescent="0.35">
      <c r="A664" s="111"/>
      <c r="B664" s="111"/>
      <c r="C664" s="111"/>
      <c r="D664" s="111"/>
      <c r="E664" s="111"/>
      <c r="F664" s="111"/>
      <c r="G664" s="111"/>
      <c r="H664" s="110"/>
      <c r="J664" s="110"/>
      <c r="M664" s="110"/>
      <c r="N664" s="110"/>
      <c r="O664" s="110"/>
    </row>
    <row r="665" spans="1:15" x14ac:dyDescent="0.35">
      <c r="A665" s="111"/>
      <c r="B665" s="111"/>
      <c r="C665" s="111"/>
      <c r="D665" s="111"/>
      <c r="E665" s="111"/>
      <c r="F665" s="111"/>
      <c r="G665" s="111"/>
      <c r="H665" s="110"/>
      <c r="J665" s="110"/>
      <c r="M665" s="110"/>
      <c r="N665" s="110"/>
      <c r="O665" s="110"/>
    </row>
    <row r="666" spans="1:15" x14ac:dyDescent="0.35">
      <c r="A666" s="111"/>
      <c r="B666" s="111"/>
      <c r="C666" s="111"/>
      <c r="D666" s="111"/>
      <c r="E666" s="111"/>
      <c r="F666" s="111"/>
      <c r="G666" s="111"/>
      <c r="H666" s="110"/>
      <c r="J666" s="110"/>
      <c r="M666" s="110"/>
      <c r="N666" s="110"/>
      <c r="O666" s="110"/>
    </row>
    <row r="667" spans="1:15" x14ac:dyDescent="0.35">
      <c r="A667" s="111"/>
      <c r="B667" s="111"/>
      <c r="C667" s="111"/>
      <c r="D667" s="111"/>
      <c r="E667" s="111"/>
      <c r="F667" s="111"/>
      <c r="G667" s="111"/>
      <c r="H667" s="110"/>
      <c r="J667" s="110"/>
      <c r="M667" s="110"/>
      <c r="N667" s="110"/>
      <c r="O667" s="110"/>
    </row>
    <row r="668" spans="1:15" x14ac:dyDescent="0.35">
      <c r="A668" s="111"/>
      <c r="B668" s="111"/>
      <c r="C668" s="111"/>
      <c r="D668" s="111"/>
      <c r="E668" s="111"/>
      <c r="F668" s="111"/>
      <c r="G668" s="111"/>
      <c r="H668" s="110"/>
      <c r="J668" s="110"/>
      <c r="M668" s="110"/>
      <c r="N668" s="110"/>
      <c r="O668" s="110"/>
    </row>
    <row r="669" spans="1:15" x14ac:dyDescent="0.35">
      <c r="A669" s="111"/>
      <c r="B669" s="111"/>
      <c r="C669" s="111"/>
      <c r="D669" s="111"/>
      <c r="E669" s="111"/>
      <c r="F669" s="111"/>
      <c r="G669" s="111"/>
      <c r="H669" s="110"/>
      <c r="J669" s="110"/>
      <c r="M669" s="110"/>
      <c r="N669" s="110"/>
      <c r="O669" s="110"/>
    </row>
    <row r="670" spans="1:15" x14ac:dyDescent="0.35">
      <c r="A670" s="111"/>
      <c r="B670" s="111"/>
      <c r="C670" s="111"/>
      <c r="D670" s="111"/>
      <c r="E670" s="111"/>
      <c r="F670" s="111"/>
      <c r="G670" s="111"/>
      <c r="H670" s="110"/>
      <c r="J670" s="110"/>
      <c r="M670" s="110"/>
      <c r="N670" s="110"/>
      <c r="O670" s="110"/>
    </row>
    <row r="671" spans="1:15" x14ac:dyDescent="0.35">
      <c r="A671" s="111"/>
      <c r="B671" s="111"/>
      <c r="C671" s="111"/>
      <c r="D671" s="111"/>
      <c r="E671" s="111"/>
      <c r="F671" s="111"/>
      <c r="G671" s="111"/>
      <c r="H671" s="110"/>
      <c r="J671" s="110"/>
      <c r="M671" s="110"/>
      <c r="N671" s="110"/>
      <c r="O671" s="110"/>
    </row>
    <row r="672" spans="1:15" x14ac:dyDescent="0.35">
      <c r="A672" s="111"/>
      <c r="B672" s="111"/>
      <c r="C672" s="111"/>
      <c r="D672" s="111"/>
      <c r="E672" s="111"/>
      <c r="F672" s="111"/>
      <c r="G672" s="111"/>
      <c r="H672" s="110"/>
      <c r="J672" s="110"/>
      <c r="M672" s="110"/>
      <c r="N672" s="110"/>
      <c r="O672" s="110"/>
    </row>
    <row r="673" spans="1:15" x14ac:dyDescent="0.35">
      <c r="A673" s="111"/>
      <c r="B673" s="111"/>
      <c r="C673" s="111"/>
      <c r="D673" s="111"/>
      <c r="E673" s="111"/>
      <c r="F673" s="111"/>
      <c r="G673" s="111"/>
      <c r="H673" s="110"/>
      <c r="J673" s="110"/>
      <c r="M673" s="110"/>
      <c r="N673" s="110"/>
      <c r="O673" s="110"/>
    </row>
    <row r="674" spans="1:15" x14ac:dyDescent="0.35">
      <c r="A674" s="111"/>
      <c r="B674" s="111"/>
      <c r="C674" s="111"/>
      <c r="D674" s="111"/>
      <c r="E674" s="111"/>
      <c r="F674" s="111"/>
      <c r="G674" s="111"/>
      <c r="H674" s="110"/>
      <c r="J674" s="110"/>
      <c r="M674" s="110"/>
      <c r="N674" s="110"/>
      <c r="O674" s="110"/>
    </row>
    <row r="675" spans="1:15" x14ac:dyDescent="0.35">
      <c r="A675" s="111"/>
      <c r="B675" s="111"/>
      <c r="C675" s="111"/>
      <c r="D675" s="111"/>
      <c r="E675" s="111"/>
      <c r="F675" s="111"/>
      <c r="G675" s="111"/>
      <c r="H675" s="110"/>
      <c r="J675" s="110"/>
      <c r="M675" s="110"/>
      <c r="N675" s="110"/>
      <c r="O675" s="110"/>
    </row>
    <row r="676" spans="1:15" x14ac:dyDescent="0.35">
      <c r="A676" s="111"/>
      <c r="B676" s="111"/>
      <c r="C676" s="111"/>
      <c r="D676" s="111"/>
      <c r="E676" s="111"/>
      <c r="F676" s="111"/>
      <c r="G676" s="111"/>
      <c r="H676" s="110"/>
      <c r="J676" s="110"/>
      <c r="M676" s="110"/>
      <c r="N676" s="110"/>
      <c r="O676" s="110"/>
    </row>
    <row r="677" spans="1:15" x14ac:dyDescent="0.35">
      <c r="A677" s="111"/>
      <c r="B677" s="111"/>
      <c r="C677" s="111"/>
      <c r="D677" s="111"/>
      <c r="E677" s="111"/>
      <c r="F677" s="111"/>
      <c r="G677" s="111"/>
      <c r="H677" s="110"/>
      <c r="J677" s="110"/>
      <c r="M677" s="110"/>
      <c r="N677" s="110"/>
      <c r="O677" s="110"/>
    </row>
    <row r="678" spans="1:15" x14ac:dyDescent="0.35">
      <c r="A678" s="111"/>
      <c r="B678" s="111"/>
      <c r="C678" s="111"/>
      <c r="D678" s="111"/>
      <c r="E678" s="111"/>
      <c r="F678" s="111"/>
      <c r="G678" s="111"/>
      <c r="H678" s="110"/>
      <c r="J678" s="110"/>
      <c r="M678" s="110"/>
      <c r="N678" s="110"/>
      <c r="O678" s="110"/>
    </row>
    <row r="679" spans="1:15" x14ac:dyDescent="0.35">
      <c r="A679" s="111"/>
      <c r="B679" s="111"/>
      <c r="C679" s="111"/>
      <c r="D679" s="111"/>
      <c r="E679" s="111"/>
      <c r="F679" s="111"/>
      <c r="G679" s="111"/>
      <c r="H679" s="110"/>
      <c r="J679" s="110"/>
      <c r="M679" s="110"/>
      <c r="N679" s="110"/>
      <c r="O679" s="110"/>
    </row>
    <row r="680" spans="1:15" x14ac:dyDescent="0.35">
      <c r="A680" s="111"/>
      <c r="B680" s="111"/>
      <c r="C680" s="111"/>
      <c r="D680" s="111"/>
      <c r="E680" s="111"/>
      <c r="F680" s="111"/>
      <c r="G680" s="111"/>
      <c r="H680" s="110"/>
      <c r="J680" s="110"/>
      <c r="M680" s="110"/>
      <c r="N680" s="110"/>
      <c r="O680" s="110"/>
    </row>
    <row r="681" spans="1:15" x14ac:dyDescent="0.35">
      <c r="A681" s="111"/>
      <c r="B681" s="111"/>
      <c r="C681" s="111"/>
      <c r="D681" s="111"/>
      <c r="E681" s="111"/>
      <c r="F681" s="111"/>
      <c r="G681" s="111"/>
      <c r="H681" s="110"/>
      <c r="J681" s="110"/>
      <c r="M681" s="110"/>
      <c r="N681" s="110"/>
      <c r="O681" s="110"/>
    </row>
    <row r="682" spans="1:15" x14ac:dyDescent="0.35">
      <c r="A682" s="111"/>
      <c r="B682" s="111"/>
      <c r="C682" s="111"/>
      <c r="D682" s="111"/>
      <c r="E682" s="111"/>
      <c r="F682" s="111"/>
      <c r="G682" s="111"/>
      <c r="H682" s="110"/>
      <c r="J682" s="110"/>
      <c r="M682" s="110"/>
      <c r="N682" s="110"/>
      <c r="O682" s="110"/>
    </row>
    <row r="683" spans="1:15" x14ac:dyDescent="0.35">
      <c r="A683" s="111"/>
      <c r="B683" s="111"/>
      <c r="C683" s="111"/>
      <c r="D683" s="111"/>
      <c r="E683" s="111"/>
      <c r="F683" s="111"/>
      <c r="G683" s="111"/>
      <c r="H683" s="110"/>
      <c r="J683" s="110"/>
      <c r="M683" s="110"/>
      <c r="N683" s="110"/>
      <c r="O683" s="110"/>
    </row>
    <row r="684" spans="1:15" x14ac:dyDescent="0.35">
      <c r="A684" s="111"/>
      <c r="B684" s="111"/>
      <c r="C684" s="111"/>
      <c r="D684" s="111"/>
      <c r="E684" s="111"/>
      <c r="F684" s="111"/>
      <c r="G684" s="111"/>
      <c r="H684" s="110"/>
      <c r="J684" s="110"/>
      <c r="M684" s="110"/>
      <c r="N684" s="110"/>
      <c r="O684" s="110"/>
    </row>
    <row r="685" spans="1:15" x14ac:dyDescent="0.35">
      <c r="A685" s="111"/>
      <c r="B685" s="111"/>
      <c r="C685" s="111"/>
      <c r="D685" s="111"/>
      <c r="E685" s="111"/>
      <c r="F685" s="111"/>
      <c r="G685" s="111"/>
      <c r="H685" s="110"/>
      <c r="J685" s="110"/>
      <c r="M685" s="110"/>
      <c r="N685" s="110"/>
      <c r="O685" s="110"/>
    </row>
    <row r="686" spans="1:15" x14ac:dyDescent="0.35">
      <c r="A686" s="111"/>
      <c r="B686" s="111"/>
      <c r="C686" s="111"/>
      <c r="D686" s="111"/>
      <c r="E686" s="111"/>
      <c r="F686" s="111"/>
      <c r="G686" s="111"/>
      <c r="H686" s="110"/>
      <c r="J686" s="110"/>
      <c r="M686" s="110"/>
      <c r="N686" s="110"/>
      <c r="O686" s="110"/>
    </row>
    <row r="687" spans="1:15" x14ac:dyDescent="0.35">
      <c r="A687" s="111"/>
      <c r="B687" s="111"/>
      <c r="C687" s="111"/>
      <c r="D687" s="111"/>
      <c r="E687" s="111"/>
      <c r="F687" s="111"/>
      <c r="G687" s="111"/>
      <c r="H687" s="110"/>
      <c r="J687" s="110"/>
      <c r="M687" s="110"/>
      <c r="N687" s="110"/>
      <c r="O687" s="110"/>
    </row>
    <row r="688" spans="1:15" x14ac:dyDescent="0.35">
      <c r="A688" s="111"/>
      <c r="B688" s="111"/>
      <c r="C688" s="111"/>
      <c r="D688" s="111"/>
      <c r="E688" s="111"/>
      <c r="F688" s="111"/>
      <c r="G688" s="111"/>
      <c r="H688" s="110"/>
      <c r="J688" s="110"/>
      <c r="M688" s="110"/>
      <c r="N688" s="110"/>
      <c r="O688" s="110"/>
    </row>
    <row r="689" spans="1:15" x14ac:dyDescent="0.35">
      <c r="A689" s="111"/>
      <c r="B689" s="111"/>
      <c r="C689" s="111"/>
      <c r="D689" s="111"/>
      <c r="E689" s="111"/>
      <c r="F689" s="111"/>
      <c r="G689" s="111"/>
      <c r="H689" s="110"/>
      <c r="J689" s="110"/>
      <c r="M689" s="110"/>
      <c r="N689" s="110"/>
      <c r="O689" s="110"/>
    </row>
    <row r="690" spans="1:15" x14ac:dyDescent="0.35">
      <c r="A690" s="111"/>
      <c r="B690" s="111"/>
      <c r="C690" s="111"/>
      <c r="D690" s="111"/>
      <c r="E690" s="111"/>
      <c r="F690" s="111"/>
      <c r="G690" s="111"/>
      <c r="H690" s="110"/>
      <c r="J690" s="110"/>
      <c r="M690" s="110"/>
      <c r="N690" s="110"/>
      <c r="O690" s="110"/>
    </row>
    <row r="691" spans="1:15" x14ac:dyDescent="0.35">
      <c r="A691" s="111"/>
      <c r="B691" s="111"/>
      <c r="C691" s="111"/>
      <c r="D691" s="111"/>
      <c r="E691" s="111"/>
      <c r="F691" s="111"/>
      <c r="G691" s="111"/>
      <c r="H691" s="110"/>
      <c r="J691" s="110"/>
      <c r="M691" s="110"/>
      <c r="N691" s="110"/>
      <c r="O691" s="110"/>
    </row>
    <row r="692" spans="1:15" x14ac:dyDescent="0.35">
      <c r="A692" s="111"/>
      <c r="B692" s="111"/>
      <c r="C692" s="111"/>
      <c r="D692" s="111"/>
      <c r="E692" s="111"/>
      <c r="F692" s="111"/>
      <c r="G692" s="111"/>
      <c r="H692" s="110"/>
      <c r="J692" s="110"/>
      <c r="M692" s="110"/>
      <c r="N692" s="110"/>
      <c r="O692" s="110"/>
    </row>
    <row r="693" spans="1:15" x14ac:dyDescent="0.35">
      <c r="A693" s="111"/>
      <c r="B693" s="111"/>
      <c r="C693" s="111"/>
      <c r="D693" s="111"/>
      <c r="E693" s="111"/>
      <c r="F693" s="111"/>
      <c r="G693" s="111"/>
      <c r="H693" s="110"/>
      <c r="J693" s="110"/>
      <c r="M693" s="110"/>
      <c r="N693" s="110"/>
      <c r="O693" s="110"/>
    </row>
    <row r="694" spans="1:15" x14ac:dyDescent="0.35">
      <c r="A694" s="111"/>
      <c r="B694" s="111"/>
      <c r="C694" s="111"/>
      <c r="D694" s="111"/>
      <c r="E694" s="111"/>
      <c r="F694" s="111"/>
      <c r="G694" s="111"/>
      <c r="H694" s="110"/>
      <c r="J694" s="110"/>
      <c r="M694" s="110"/>
      <c r="N694" s="110"/>
      <c r="O694" s="110"/>
    </row>
    <row r="695" spans="1:15" x14ac:dyDescent="0.35">
      <c r="A695" s="111"/>
      <c r="B695" s="111"/>
      <c r="C695" s="111"/>
      <c r="D695" s="111"/>
      <c r="E695" s="111"/>
      <c r="F695" s="111"/>
      <c r="G695" s="111"/>
      <c r="H695" s="110"/>
      <c r="J695" s="110"/>
      <c r="M695" s="110"/>
      <c r="N695" s="110"/>
      <c r="O695" s="110"/>
    </row>
    <row r="696" spans="1:15" x14ac:dyDescent="0.35">
      <c r="A696" s="111"/>
      <c r="B696" s="111"/>
      <c r="C696" s="111"/>
      <c r="D696" s="111"/>
      <c r="E696" s="111"/>
      <c r="F696" s="111"/>
      <c r="G696" s="111"/>
      <c r="H696" s="110"/>
      <c r="J696" s="110"/>
      <c r="M696" s="110"/>
      <c r="N696" s="110"/>
      <c r="O696" s="110"/>
    </row>
    <row r="697" spans="1:15" x14ac:dyDescent="0.35">
      <c r="A697" s="111"/>
      <c r="B697" s="111"/>
      <c r="C697" s="111"/>
      <c r="D697" s="111"/>
      <c r="E697" s="111"/>
      <c r="F697" s="111"/>
      <c r="G697" s="111"/>
      <c r="H697" s="110"/>
      <c r="J697" s="110"/>
      <c r="M697" s="110"/>
      <c r="N697" s="110"/>
      <c r="O697" s="110"/>
    </row>
    <row r="698" spans="1:15" x14ac:dyDescent="0.35">
      <c r="A698" s="111"/>
      <c r="B698" s="111"/>
      <c r="C698" s="111"/>
      <c r="D698" s="111"/>
      <c r="E698" s="111"/>
      <c r="F698" s="111"/>
      <c r="G698" s="111"/>
      <c r="H698" s="110"/>
      <c r="J698" s="110"/>
      <c r="M698" s="110"/>
      <c r="N698" s="110"/>
      <c r="O698" s="110"/>
    </row>
    <row r="699" spans="1:15" x14ac:dyDescent="0.35">
      <c r="A699" s="111"/>
      <c r="B699" s="111"/>
      <c r="C699" s="111"/>
      <c r="D699" s="111"/>
      <c r="E699" s="111"/>
      <c r="F699" s="111"/>
      <c r="G699" s="111"/>
      <c r="H699" s="110"/>
      <c r="J699" s="110"/>
      <c r="M699" s="110"/>
      <c r="N699" s="110"/>
      <c r="O699" s="110"/>
    </row>
    <row r="700" spans="1:15" x14ac:dyDescent="0.35">
      <c r="A700" s="111"/>
      <c r="B700" s="111"/>
      <c r="C700" s="111"/>
      <c r="D700" s="111"/>
      <c r="E700" s="111"/>
      <c r="F700" s="111"/>
      <c r="G700" s="111"/>
      <c r="H700" s="110"/>
      <c r="J700" s="110"/>
      <c r="M700" s="110"/>
      <c r="N700" s="110"/>
      <c r="O700" s="110"/>
    </row>
    <row r="701" spans="1:15" x14ac:dyDescent="0.35">
      <c r="A701" s="111"/>
      <c r="B701" s="111"/>
      <c r="C701" s="111"/>
      <c r="D701" s="111"/>
      <c r="E701" s="111"/>
      <c r="F701" s="111"/>
      <c r="G701" s="111"/>
      <c r="H701" s="110"/>
      <c r="J701" s="110"/>
      <c r="M701" s="110"/>
      <c r="N701" s="110"/>
      <c r="O701" s="110"/>
    </row>
    <row r="702" spans="1:15" x14ac:dyDescent="0.35">
      <c r="A702" s="111"/>
      <c r="B702" s="111"/>
      <c r="C702" s="111"/>
      <c r="D702" s="111"/>
      <c r="E702" s="111"/>
      <c r="F702" s="111"/>
      <c r="G702" s="111"/>
      <c r="H702" s="110"/>
      <c r="J702" s="110"/>
      <c r="M702" s="110"/>
      <c r="N702" s="110"/>
      <c r="O702" s="110"/>
    </row>
    <row r="703" spans="1:15" x14ac:dyDescent="0.35">
      <c r="A703" s="111"/>
      <c r="B703" s="111"/>
      <c r="C703" s="111"/>
      <c r="D703" s="111"/>
      <c r="E703" s="111"/>
      <c r="F703" s="111"/>
      <c r="G703" s="111"/>
      <c r="H703" s="110"/>
      <c r="J703" s="110"/>
      <c r="M703" s="110"/>
      <c r="N703" s="110"/>
      <c r="O703" s="110"/>
    </row>
    <row r="704" spans="1:15" x14ac:dyDescent="0.35">
      <c r="A704" s="111"/>
      <c r="B704" s="111"/>
      <c r="C704" s="111"/>
      <c r="D704" s="111"/>
      <c r="E704" s="111"/>
      <c r="F704" s="111"/>
      <c r="G704" s="111"/>
      <c r="H704" s="110"/>
      <c r="J704" s="110"/>
      <c r="M704" s="110"/>
      <c r="N704" s="110"/>
      <c r="O704" s="110"/>
    </row>
    <row r="705" spans="1:15" x14ac:dyDescent="0.35">
      <c r="A705" s="111"/>
      <c r="B705" s="111"/>
      <c r="C705" s="111"/>
      <c r="D705" s="111"/>
      <c r="E705" s="111"/>
      <c r="F705" s="111"/>
      <c r="G705" s="111"/>
      <c r="H705" s="110"/>
      <c r="J705" s="110"/>
      <c r="M705" s="110"/>
      <c r="N705" s="110"/>
      <c r="O705" s="110"/>
    </row>
    <row r="706" spans="1:15" x14ac:dyDescent="0.35">
      <c r="A706" s="111"/>
      <c r="B706" s="111"/>
      <c r="C706" s="111"/>
      <c r="D706" s="111"/>
      <c r="E706" s="111"/>
      <c r="F706" s="111"/>
      <c r="G706" s="111"/>
      <c r="H706" s="110"/>
      <c r="J706" s="110"/>
      <c r="M706" s="110"/>
      <c r="N706" s="110"/>
      <c r="O706" s="110"/>
    </row>
    <row r="707" spans="1:15" x14ac:dyDescent="0.35">
      <c r="A707" s="111"/>
      <c r="B707" s="111"/>
      <c r="C707" s="111"/>
      <c r="D707" s="111"/>
      <c r="E707" s="111"/>
      <c r="F707" s="111"/>
      <c r="G707" s="111"/>
      <c r="H707" s="110"/>
      <c r="J707" s="110"/>
      <c r="M707" s="110"/>
      <c r="N707" s="110"/>
      <c r="O707" s="110"/>
    </row>
    <row r="708" spans="1:15" x14ac:dyDescent="0.35">
      <c r="A708" s="111"/>
      <c r="B708" s="111"/>
      <c r="C708" s="111"/>
      <c r="D708" s="111"/>
      <c r="E708" s="111"/>
      <c r="F708" s="111"/>
      <c r="G708" s="111"/>
      <c r="H708" s="110"/>
      <c r="J708" s="110"/>
      <c r="M708" s="110"/>
      <c r="N708" s="110"/>
      <c r="O708" s="110"/>
    </row>
    <row r="709" spans="1:15" x14ac:dyDescent="0.35">
      <c r="A709" s="111"/>
      <c r="B709" s="111"/>
      <c r="C709" s="111"/>
      <c r="D709" s="111"/>
      <c r="E709" s="111"/>
      <c r="F709" s="111"/>
      <c r="G709" s="111"/>
      <c r="H709" s="110"/>
      <c r="J709" s="110"/>
      <c r="M709" s="110"/>
      <c r="N709" s="110"/>
      <c r="O709" s="110"/>
    </row>
    <row r="710" spans="1:15" x14ac:dyDescent="0.35">
      <c r="A710" s="111"/>
      <c r="B710" s="111"/>
      <c r="C710" s="111"/>
      <c r="D710" s="111"/>
      <c r="E710" s="111"/>
      <c r="F710" s="111"/>
      <c r="G710" s="111"/>
      <c r="H710" s="110"/>
      <c r="J710" s="110"/>
      <c r="M710" s="110"/>
      <c r="N710" s="110"/>
      <c r="O710" s="110"/>
    </row>
    <row r="711" spans="1:15" x14ac:dyDescent="0.35">
      <c r="A711" s="111"/>
      <c r="B711" s="111"/>
      <c r="C711" s="111"/>
      <c r="D711" s="111"/>
      <c r="E711" s="111"/>
      <c r="F711" s="111"/>
      <c r="G711" s="111"/>
      <c r="H711" s="110"/>
      <c r="J711" s="110"/>
      <c r="M711" s="110"/>
      <c r="N711" s="110"/>
      <c r="O711" s="110"/>
    </row>
    <row r="712" spans="1:15" x14ac:dyDescent="0.35">
      <c r="A712" s="111"/>
      <c r="B712" s="111"/>
      <c r="C712" s="111"/>
      <c r="D712" s="111"/>
      <c r="E712" s="111"/>
      <c r="F712" s="111"/>
      <c r="G712" s="111"/>
      <c r="H712" s="110"/>
      <c r="J712" s="110"/>
      <c r="M712" s="110"/>
      <c r="N712" s="110"/>
      <c r="O712" s="110"/>
    </row>
    <row r="713" spans="1:15" x14ac:dyDescent="0.35">
      <c r="A713" s="111"/>
      <c r="B713" s="111"/>
      <c r="C713" s="111"/>
      <c r="D713" s="111"/>
      <c r="E713" s="111"/>
      <c r="F713" s="111"/>
      <c r="G713" s="111"/>
      <c r="H713" s="110"/>
      <c r="J713" s="110"/>
      <c r="M713" s="110"/>
      <c r="N713" s="110"/>
      <c r="O713" s="110"/>
    </row>
    <row r="714" spans="1:15" x14ac:dyDescent="0.35">
      <c r="A714" s="111"/>
      <c r="B714" s="111"/>
      <c r="C714" s="111"/>
      <c r="D714" s="111"/>
      <c r="E714" s="111"/>
      <c r="F714" s="111"/>
      <c r="G714" s="111"/>
      <c r="H714" s="110"/>
      <c r="J714" s="110"/>
      <c r="M714" s="110"/>
      <c r="N714" s="110"/>
      <c r="O714" s="110"/>
    </row>
    <row r="715" spans="1:15" x14ac:dyDescent="0.35">
      <c r="A715" s="111"/>
      <c r="B715" s="111"/>
      <c r="C715" s="111"/>
      <c r="D715" s="111"/>
      <c r="E715" s="111"/>
      <c r="F715" s="111"/>
      <c r="G715" s="111"/>
      <c r="H715" s="110"/>
      <c r="J715" s="110"/>
      <c r="M715" s="110"/>
      <c r="N715" s="110"/>
      <c r="O715" s="110"/>
    </row>
    <row r="716" spans="1:15" x14ac:dyDescent="0.35">
      <c r="A716" s="111"/>
      <c r="B716" s="111"/>
      <c r="C716" s="111"/>
      <c r="D716" s="111"/>
      <c r="E716" s="111"/>
      <c r="F716" s="111"/>
      <c r="G716" s="111"/>
      <c r="H716" s="110"/>
      <c r="J716" s="110"/>
      <c r="M716" s="110"/>
      <c r="N716" s="110"/>
      <c r="O716" s="110"/>
    </row>
    <row r="717" spans="1:15" x14ac:dyDescent="0.35">
      <c r="A717" s="111"/>
      <c r="B717" s="111"/>
      <c r="C717" s="111"/>
      <c r="D717" s="111"/>
      <c r="E717" s="111"/>
      <c r="F717" s="111"/>
      <c r="G717" s="111"/>
      <c r="H717" s="110"/>
      <c r="J717" s="110"/>
      <c r="M717" s="110"/>
      <c r="N717" s="110"/>
      <c r="O717" s="110"/>
    </row>
    <row r="718" spans="1:15" x14ac:dyDescent="0.35">
      <c r="A718" s="111"/>
      <c r="B718" s="111"/>
      <c r="C718" s="111"/>
      <c r="D718" s="111"/>
      <c r="E718" s="111"/>
      <c r="F718" s="111"/>
      <c r="G718" s="111"/>
      <c r="H718" s="110"/>
      <c r="J718" s="110"/>
      <c r="M718" s="110"/>
      <c r="N718" s="110"/>
      <c r="O718" s="110"/>
    </row>
    <row r="719" spans="1:15" x14ac:dyDescent="0.35">
      <c r="A719" s="111"/>
      <c r="B719" s="111"/>
      <c r="C719" s="111"/>
      <c r="D719" s="111"/>
      <c r="E719" s="111"/>
      <c r="F719" s="111"/>
      <c r="G719" s="111"/>
      <c r="H719" s="110"/>
      <c r="J719" s="110"/>
      <c r="M719" s="110"/>
      <c r="N719" s="110"/>
      <c r="O719" s="110"/>
    </row>
    <row r="720" spans="1:15" x14ac:dyDescent="0.35">
      <c r="A720" s="111"/>
      <c r="B720" s="111"/>
      <c r="C720" s="111"/>
      <c r="D720" s="111"/>
      <c r="E720" s="111"/>
      <c r="F720" s="111"/>
      <c r="G720" s="111"/>
      <c r="H720" s="110"/>
      <c r="J720" s="110"/>
      <c r="M720" s="110"/>
      <c r="N720" s="110"/>
      <c r="O720" s="110"/>
    </row>
    <row r="721" spans="1:15" x14ac:dyDescent="0.35">
      <c r="A721" s="111"/>
      <c r="B721" s="111"/>
      <c r="C721" s="111"/>
      <c r="D721" s="111"/>
      <c r="E721" s="111"/>
      <c r="F721" s="111"/>
      <c r="G721" s="111"/>
      <c r="H721" s="110"/>
      <c r="J721" s="110"/>
      <c r="M721" s="110"/>
      <c r="N721" s="110"/>
      <c r="O721" s="110"/>
    </row>
    <row r="722" spans="1:15" x14ac:dyDescent="0.35">
      <c r="A722" s="111"/>
      <c r="B722" s="111"/>
      <c r="C722" s="111"/>
      <c r="D722" s="111"/>
      <c r="E722" s="111"/>
      <c r="F722" s="111"/>
      <c r="G722" s="111"/>
      <c r="H722" s="110"/>
      <c r="J722" s="110"/>
      <c r="M722" s="110"/>
      <c r="N722" s="110"/>
      <c r="O722" s="110"/>
    </row>
    <row r="723" spans="1:15" x14ac:dyDescent="0.35">
      <c r="A723" s="111"/>
      <c r="B723" s="111"/>
      <c r="C723" s="111"/>
      <c r="D723" s="111"/>
      <c r="E723" s="111"/>
      <c r="F723" s="111"/>
      <c r="G723" s="111"/>
      <c r="H723" s="110"/>
      <c r="J723" s="110"/>
      <c r="M723" s="110"/>
      <c r="N723" s="110"/>
      <c r="O723" s="110"/>
    </row>
    <row r="724" spans="1:15" x14ac:dyDescent="0.35">
      <c r="A724" s="111"/>
      <c r="B724" s="111"/>
      <c r="C724" s="111"/>
      <c r="D724" s="111"/>
      <c r="E724" s="111"/>
      <c r="F724" s="111"/>
      <c r="G724" s="111"/>
      <c r="H724" s="110"/>
      <c r="J724" s="110"/>
      <c r="M724" s="110"/>
      <c r="N724" s="110"/>
      <c r="O724" s="110"/>
    </row>
    <row r="725" spans="1:15" x14ac:dyDescent="0.35">
      <c r="A725" s="111"/>
      <c r="B725" s="111"/>
      <c r="C725" s="111"/>
      <c r="D725" s="111"/>
      <c r="E725" s="111"/>
      <c r="F725" s="111"/>
      <c r="G725" s="111"/>
      <c r="H725" s="110"/>
      <c r="J725" s="110"/>
      <c r="M725" s="110"/>
      <c r="N725" s="110"/>
      <c r="O725" s="110"/>
    </row>
    <row r="726" spans="1:15" x14ac:dyDescent="0.35">
      <c r="A726" s="111"/>
      <c r="B726" s="111"/>
      <c r="C726" s="111"/>
      <c r="D726" s="111"/>
      <c r="E726" s="111"/>
      <c r="F726" s="111"/>
      <c r="G726" s="111"/>
      <c r="H726" s="110"/>
      <c r="J726" s="110"/>
      <c r="M726" s="110"/>
      <c r="N726" s="110"/>
      <c r="O726" s="110"/>
    </row>
    <row r="727" spans="1:15" x14ac:dyDescent="0.35">
      <c r="A727" s="111"/>
      <c r="B727" s="111"/>
      <c r="C727" s="111"/>
      <c r="D727" s="111"/>
      <c r="E727" s="111"/>
      <c r="F727" s="111"/>
      <c r="G727" s="111"/>
      <c r="H727" s="110"/>
      <c r="J727" s="110"/>
      <c r="M727" s="110"/>
      <c r="N727" s="110"/>
      <c r="O727" s="110"/>
    </row>
    <row r="728" spans="1:15" x14ac:dyDescent="0.35">
      <c r="A728" s="111"/>
      <c r="B728" s="111"/>
      <c r="C728" s="111"/>
      <c r="D728" s="111"/>
      <c r="E728" s="111"/>
      <c r="F728" s="111"/>
      <c r="G728" s="111"/>
      <c r="H728" s="110"/>
      <c r="J728" s="110"/>
      <c r="M728" s="110"/>
      <c r="N728" s="110"/>
      <c r="O728" s="110"/>
    </row>
    <row r="729" spans="1:15" x14ac:dyDescent="0.35">
      <c r="A729" s="111"/>
      <c r="B729" s="111"/>
      <c r="C729" s="111"/>
      <c r="D729" s="111"/>
      <c r="E729" s="111"/>
      <c r="F729" s="111"/>
      <c r="G729" s="111"/>
      <c r="H729" s="110"/>
      <c r="J729" s="110"/>
      <c r="M729" s="110"/>
      <c r="N729" s="110"/>
      <c r="O729" s="110"/>
    </row>
    <row r="730" spans="1:15" x14ac:dyDescent="0.35">
      <c r="A730" s="111"/>
      <c r="B730" s="111"/>
      <c r="C730" s="111"/>
      <c r="D730" s="111"/>
      <c r="E730" s="111"/>
      <c r="F730" s="111"/>
      <c r="G730" s="111"/>
      <c r="H730" s="110"/>
      <c r="J730" s="110"/>
      <c r="M730" s="110"/>
      <c r="N730" s="110"/>
      <c r="O730" s="110"/>
    </row>
    <row r="731" spans="1:15" x14ac:dyDescent="0.35">
      <c r="A731" s="111"/>
      <c r="B731" s="111"/>
      <c r="C731" s="111"/>
      <c r="D731" s="111"/>
      <c r="E731" s="111"/>
      <c r="F731" s="111"/>
      <c r="G731" s="111"/>
      <c r="H731" s="110"/>
      <c r="J731" s="110"/>
      <c r="M731" s="110"/>
      <c r="N731" s="110"/>
      <c r="O731" s="110"/>
    </row>
    <row r="732" spans="1:15" x14ac:dyDescent="0.35">
      <c r="A732" s="111"/>
      <c r="B732" s="111"/>
      <c r="C732" s="111"/>
      <c r="D732" s="111"/>
      <c r="E732" s="111"/>
      <c r="F732" s="111"/>
      <c r="G732" s="111"/>
      <c r="H732" s="110"/>
      <c r="J732" s="110"/>
      <c r="M732" s="110"/>
      <c r="N732" s="110"/>
      <c r="O732" s="110"/>
    </row>
    <row r="733" spans="1:15" x14ac:dyDescent="0.35">
      <c r="A733" s="111"/>
      <c r="B733" s="111"/>
      <c r="C733" s="111"/>
      <c r="D733" s="111"/>
      <c r="E733" s="111"/>
      <c r="F733" s="111"/>
      <c r="G733" s="111"/>
      <c r="H733" s="110"/>
      <c r="J733" s="110"/>
      <c r="M733" s="110"/>
      <c r="N733" s="110"/>
      <c r="O733" s="110"/>
    </row>
    <row r="734" spans="1:15" x14ac:dyDescent="0.35">
      <c r="A734" s="111"/>
      <c r="B734" s="111"/>
      <c r="C734" s="111"/>
      <c r="D734" s="111"/>
      <c r="E734" s="111"/>
      <c r="F734" s="111"/>
      <c r="G734" s="111"/>
      <c r="H734" s="110"/>
      <c r="J734" s="110"/>
      <c r="M734" s="110"/>
      <c r="N734" s="110"/>
      <c r="O734" s="110"/>
    </row>
    <row r="735" spans="1:15" x14ac:dyDescent="0.35">
      <c r="A735" s="111"/>
      <c r="B735" s="111"/>
      <c r="C735" s="111"/>
      <c r="D735" s="111"/>
      <c r="E735" s="111"/>
      <c r="F735" s="111"/>
      <c r="G735" s="111"/>
      <c r="H735" s="110"/>
      <c r="J735" s="110"/>
      <c r="M735" s="110"/>
      <c r="N735" s="110"/>
      <c r="O735" s="110"/>
    </row>
    <row r="736" spans="1:15" x14ac:dyDescent="0.35">
      <c r="A736" s="111"/>
      <c r="B736" s="111"/>
      <c r="C736" s="111"/>
      <c r="D736" s="111"/>
      <c r="E736" s="111"/>
      <c r="F736" s="111"/>
      <c r="G736" s="111"/>
      <c r="H736" s="110"/>
      <c r="J736" s="110"/>
      <c r="M736" s="110"/>
      <c r="N736" s="110"/>
      <c r="O736" s="110"/>
    </row>
    <row r="737" spans="1:15" x14ac:dyDescent="0.35">
      <c r="A737" s="111"/>
      <c r="B737" s="111"/>
      <c r="C737" s="111"/>
      <c r="D737" s="111"/>
      <c r="E737" s="111"/>
      <c r="F737" s="111"/>
      <c r="G737" s="111"/>
      <c r="H737" s="110"/>
      <c r="J737" s="110"/>
      <c r="M737" s="110"/>
      <c r="N737" s="110"/>
      <c r="O737" s="110"/>
    </row>
    <row r="738" spans="1:15" x14ac:dyDescent="0.35">
      <c r="A738" s="111"/>
      <c r="B738" s="111"/>
      <c r="C738" s="111"/>
      <c r="D738" s="111"/>
      <c r="E738" s="111"/>
      <c r="F738" s="111"/>
      <c r="G738" s="111"/>
      <c r="H738" s="110"/>
      <c r="J738" s="110"/>
      <c r="M738" s="110"/>
      <c r="N738" s="110"/>
      <c r="O738" s="110"/>
    </row>
    <row r="739" spans="1:15" x14ac:dyDescent="0.35">
      <c r="A739" s="111"/>
      <c r="B739" s="111"/>
      <c r="C739" s="111"/>
      <c r="D739" s="111"/>
      <c r="E739" s="111"/>
      <c r="F739" s="111"/>
      <c r="G739" s="111"/>
      <c r="H739" s="110"/>
      <c r="J739" s="110"/>
      <c r="M739" s="110"/>
      <c r="N739" s="110"/>
      <c r="O739" s="110"/>
    </row>
    <row r="740" spans="1:15" x14ac:dyDescent="0.35">
      <c r="A740" s="111"/>
      <c r="B740" s="111"/>
      <c r="C740" s="111"/>
      <c r="D740" s="111"/>
      <c r="E740" s="111"/>
      <c r="F740" s="111"/>
      <c r="G740" s="111"/>
      <c r="H740" s="110"/>
      <c r="J740" s="110"/>
      <c r="M740" s="110"/>
      <c r="N740" s="110"/>
      <c r="O740" s="110"/>
    </row>
    <row r="741" spans="1:15" x14ac:dyDescent="0.35">
      <c r="A741" s="111"/>
      <c r="B741" s="111"/>
      <c r="C741" s="111"/>
      <c r="D741" s="111"/>
      <c r="E741" s="111"/>
      <c r="F741" s="111"/>
      <c r="G741" s="111"/>
      <c r="H741" s="110"/>
      <c r="J741" s="110"/>
      <c r="M741" s="110"/>
      <c r="N741" s="110"/>
      <c r="O741" s="110"/>
    </row>
    <row r="742" spans="1:15" x14ac:dyDescent="0.35">
      <c r="A742" s="111"/>
      <c r="B742" s="111"/>
      <c r="C742" s="111"/>
      <c r="D742" s="111"/>
      <c r="E742" s="111"/>
      <c r="F742" s="111"/>
      <c r="G742" s="111"/>
      <c r="H742" s="110"/>
      <c r="J742" s="110"/>
      <c r="M742" s="110"/>
      <c r="N742" s="110"/>
      <c r="O742" s="110"/>
    </row>
    <row r="743" spans="1:15" x14ac:dyDescent="0.35">
      <c r="A743" s="111"/>
      <c r="B743" s="111"/>
      <c r="C743" s="111"/>
      <c r="D743" s="111"/>
      <c r="E743" s="111"/>
      <c r="F743" s="111"/>
      <c r="G743" s="111"/>
      <c r="H743" s="110"/>
      <c r="J743" s="110"/>
      <c r="M743" s="110"/>
      <c r="N743" s="110"/>
      <c r="O743" s="110"/>
    </row>
    <row r="744" spans="1:15" x14ac:dyDescent="0.35">
      <c r="A744" s="111"/>
      <c r="B744" s="111"/>
      <c r="C744" s="111"/>
      <c r="D744" s="111"/>
      <c r="E744" s="111"/>
      <c r="F744" s="111"/>
      <c r="G744" s="111"/>
      <c r="H744" s="110"/>
      <c r="J744" s="110"/>
      <c r="M744" s="110"/>
      <c r="N744" s="110"/>
      <c r="O744" s="110"/>
    </row>
    <row r="745" spans="1:15" x14ac:dyDescent="0.35">
      <c r="A745" s="111"/>
      <c r="B745" s="111"/>
      <c r="C745" s="111"/>
      <c r="D745" s="111"/>
      <c r="E745" s="111"/>
      <c r="F745" s="111"/>
      <c r="G745" s="111"/>
      <c r="H745" s="110"/>
      <c r="J745" s="110"/>
      <c r="M745" s="110"/>
      <c r="N745" s="110"/>
      <c r="O745" s="110"/>
    </row>
    <row r="746" spans="1:15" x14ac:dyDescent="0.35">
      <c r="A746" s="111"/>
      <c r="B746" s="111"/>
      <c r="C746" s="111"/>
      <c r="D746" s="111"/>
      <c r="E746" s="111"/>
      <c r="F746" s="111"/>
      <c r="G746" s="111"/>
      <c r="H746" s="110"/>
      <c r="J746" s="110"/>
      <c r="M746" s="110"/>
      <c r="N746" s="110"/>
      <c r="O746" s="110"/>
    </row>
    <row r="747" spans="1:15" x14ac:dyDescent="0.35">
      <c r="A747" s="111"/>
      <c r="B747" s="111"/>
      <c r="C747" s="111"/>
      <c r="D747" s="111"/>
      <c r="E747" s="111"/>
      <c r="F747" s="111"/>
      <c r="G747" s="111"/>
      <c r="H747" s="110"/>
      <c r="J747" s="110"/>
      <c r="M747" s="110"/>
      <c r="N747" s="110"/>
      <c r="O747" s="110"/>
    </row>
    <row r="748" spans="1:15" x14ac:dyDescent="0.35">
      <c r="A748" s="111"/>
      <c r="B748" s="111"/>
      <c r="C748" s="111"/>
      <c r="D748" s="111"/>
      <c r="E748" s="111"/>
      <c r="F748" s="111"/>
      <c r="G748" s="111"/>
      <c r="H748" s="110"/>
      <c r="J748" s="110"/>
      <c r="M748" s="110"/>
      <c r="N748" s="110"/>
      <c r="O748" s="110"/>
    </row>
    <row r="749" spans="1:15" x14ac:dyDescent="0.35">
      <c r="A749" s="111"/>
      <c r="B749" s="111"/>
      <c r="C749" s="111"/>
      <c r="D749" s="111"/>
      <c r="E749" s="111"/>
      <c r="F749" s="111"/>
      <c r="G749" s="111"/>
      <c r="H749" s="110"/>
      <c r="J749" s="110"/>
      <c r="M749" s="110"/>
      <c r="N749" s="110"/>
      <c r="O749" s="110"/>
    </row>
    <row r="750" spans="1:15" x14ac:dyDescent="0.35">
      <c r="A750" s="111"/>
      <c r="B750" s="111"/>
      <c r="C750" s="111"/>
      <c r="D750" s="111"/>
      <c r="E750" s="111"/>
      <c r="F750" s="111"/>
      <c r="G750" s="111"/>
      <c r="H750" s="110"/>
      <c r="J750" s="110"/>
      <c r="M750" s="110"/>
      <c r="N750" s="110"/>
      <c r="O750" s="110"/>
    </row>
    <row r="751" spans="1:15" x14ac:dyDescent="0.35">
      <c r="A751" s="111"/>
      <c r="B751" s="111"/>
      <c r="C751" s="111"/>
      <c r="D751" s="111"/>
      <c r="E751" s="111"/>
      <c r="F751" s="111"/>
      <c r="G751" s="111"/>
      <c r="H751" s="110"/>
      <c r="J751" s="110"/>
      <c r="M751" s="110"/>
      <c r="N751" s="110"/>
      <c r="O751" s="110"/>
    </row>
    <row r="752" spans="1:15" x14ac:dyDescent="0.35">
      <c r="A752" s="111"/>
      <c r="B752" s="111"/>
      <c r="C752" s="111"/>
      <c r="D752" s="111"/>
      <c r="E752" s="111"/>
      <c r="F752" s="111"/>
      <c r="G752" s="111"/>
      <c r="H752" s="110"/>
      <c r="J752" s="110"/>
      <c r="M752" s="110"/>
      <c r="N752" s="110"/>
      <c r="O752" s="110"/>
    </row>
    <row r="753" spans="1:15" x14ac:dyDescent="0.35">
      <c r="A753" s="111"/>
      <c r="B753" s="111"/>
      <c r="C753" s="111"/>
      <c r="D753" s="111"/>
      <c r="E753" s="111"/>
      <c r="F753" s="111"/>
      <c r="G753" s="111"/>
      <c r="H753" s="110"/>
      <c r="J753" s="110"/>
      <c r="M753" s="110"/>
      <c r="N753" s="110"/>
      <c r="O753" s="110"/>
    </row>
    <row r="754" spans="1:15" x14ac:dyDescent="0.35">
      <c r="A754" s="111"/>
      <c r="B754" s="111"/>
      <c r="C754" s="111"/>
      <c r="D754" s="111"/>
      <c r="E754" s="111"/>
      <c r="F754" s="111"/>
      <c r="G754" s="111"/>
      <c r="H754" s="110"/>
      <c r="J754" s="110"/>
      <c r="M754" s="110"/>
      <c r="N754" s="110"/>
      <c r="O754" s="110"/>
    </row>
    <row r="755" spans="1:15" x14ac:dyDescent="0.35">
      <c r="A755" s="111"/>
      <c r="B755" s="111"/>
      <c r="C755" s="111"/>
      <c r="D755" s="111"/>
      <c r="E755" s="111"/>
      <c r="F755" s="111"/>
      <c r="G755" s="111"/>
      <c r="H755" s="110"/>
      <c r="J755" s="110"/>
      <c r="M755" s="110"/>
      <c r="N755" s="110"/>
      <c r="O755" s="110"/>
    </row>
    <row r="756" spans="1:15" x14ac:dyDescent="0.35">
      <c r="A756" s="111"/>
      <c r="B756" s="111"/>
      <c r="C756" s="111"/>
      <c r="D756" s="111"/>
      <c r="E756" s="111"/>
      <c r="F756" s="111"/>
      <c r="G756" s="111"/>
      <c r="H756" s="110"/>
      <c r="J756" s="110"/>
      <c r="M756" s="110"/>
      <c r="N756" s="110"/>
      <c r="O756" s="110"/>
    </row>
    <row r="757" spans="1:15" x14ac:dyDescent="0.35">
      <c r="A757" s="111"/>
      <c r="B757" s="111"/>
      <c r="C757" s="111"/>
      <c r="D757" s="111"/>
      <c r="E757" s="111"/>
      <c r="F757" s="111"/>
      <c r="G757" s="111"/>
      <c r="H757" s="110"/>
      <c r="J757" s="110"/>
      <c r="M757" s="110"/>
      <c r="N757" s="110"/>
      <c r="O757" s="110"/>
    </row>
    <row r="758" spans="1:15" x14ac:dyDescent="0.35">
      <c r="A758" s="111"/>
      <c r="B758" s="111"/>
      <c r="C758" s="111"/>
      <c r="D758" s="111"/>
      <c r="E758" s="111"/>
      <c r="F758" s="111"/>
      <c r="G758" s="111"/>
      <c r="H758" s="110"/>
      <c r="J758" s="110"/>
      <c r="M758" s="110"/>
      <c r="N758" s="110"/>
      <c r="O758" s="110"/>
    </row>
    <row r="759" spans="1:15" x14ac:dyDescent="0.35">
      <c r="A759" s="111"/>
      <c r="B759" s="111"/>
      <c r="C759" s="111"/>
      <c r="D759" s="111"/>
      <c r="E759" s="111"/>
      <c r="F759" s="111"/>
      <c r="G759" s="111"/>
      <c r="H759" s="110"/>
      <c r="J759" s="110"/>
      <c r="M759" s="110"/>
      <c r="N759" s="110"/>
      <c r="O759" s="110"/>
    </row>
    <row r="760" spans="1:15" x14ac:dyDescent="0.35">
      <c r="A760" s="111"/>
      <c r="B760" s="111"/>
      <c r="C760" s="111"/>
      <c r="D760" s="111"/>
      <c r="E760" s="111"/>
      <c r="F760" s="111"/>
      <c r="G760" s="111"/>
      <c r="H760" s="110"/>
      <c r="J760" s="110"/>
      <c r="M760" s="110"/>
      <c r="N760" s="110"/>
      <c r="O760" s="110"/>
    </row>
    <row r="761" spans="1:15" x14ac:dyDescent="0.35">
      <c r="H761" s="110"/>
      <c r="J761" s="110"/>
      <c r="M761" s="110"/>
      <c r="N761" s="110"/>
      <c r="O761" s="110"/>
    </row>
  </sheetData>
  <mergeCells count="12">
    <mergeCell ref="B2:D3"/>
    <mergeCell ref="B5:I5"/>
    <mergeCell ref="B12:I12"/>
    <mergeCell ref="B10:I10"/>
    <mergeCell ref="C4:G4"/>
    <mergeCell ref="B19:I19"/>
    <mergeCell ref="C21:I21"/>
    <mergeCell ref="B24:I24"/>
    <mergeCell ref="A26:I26"/>
    <mergeCell ref="A30:I30"/>
    <mergeCell ref="C20:F20"/>
    <mergeCell ref="C25:F25"/>
  </mergeCells>
  <pageMargins left="1" right="0.7" top="1" bottom="0.5" header="0.3" footer="0.1"/>
  <pageSetup paperSize="9" scale="61" firstPageNumber="7" orientation="portrait" useFirstPageNumber="1" r:id="rId1"/>
  <headerFooter>
    <oddHeader>&amp;R&amp;G</oddHeader>
    <oddFooter>&amp;C&amp;"Calibri,Regular"&amp;11&amp;P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BS</vt:lpstr>
      <vt:lpstr>cash flow</vt:lpstr>
      <vt:lpstr>Sheet1</vt:lpstr>
      <vt:lpstr>Hostorical Ex rate trend</vt:lpstr>
      <vt:lpstr>IS (2)</vt:lpstr>
      <vt:lpstr>Initial capital</vt:lpstr>
      <vt:lpstr>Proforma IS</vt:lpstr>
      <vt:lpstr>Profitability</vt:lpstr>
      <vt:lpstr>CFS</vt:lpstr>
      <vt:lpstr>Pyback period</vt:lpstr>
      <vt:lpstr>NPV</vt:lpstr>
      <vt:lpstr>NPV profile</vt:lpstr>
      <vt:lpstr>CFS!Print_Area</vt:lpstr>
      <vt:lpstr>'Proforma 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20210002</cp:lastModifiedBy>
  <dcterms:created xsi:type="dcterms:W3CDTF">2021-09-02T05:12:47Z</dcterms:created>
  <dcterms:modified xsi:type="dcterms:W3CDTF">2021-09-20T17:54:36Z</dcterms:modified>
</cp:coreProperties>
</file>