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github\Lion-IRVT\Hardware\schematics\TIDA-010086\"/>
    </mc:Choice>
  </mc:AlternateContent>
  <xr:revisionPtr revIDLastSave="0" documentId="13_ncr:1_{76A95321-5B23-4AEC-B672-11A706B58DA3}" xr6:coauthVersionLast="45" xr6:coauthVersionMax="45" xr10:uidLastSave="{00000000-0000-0000-0000-000000000000}"/>
  <bookViews>
    <workbookView xWindow="-120" yWindow="-120" windowWidth="38640" windowHeight="23640" activeTab="1" xr2:uid="{730164E4-13AE-4E6B-9010-6F555502605C}"/>
  </bookViews>
  <sheets>
    <sheet name="Power Supplies" sheetId="2" r:id="rId1"/>
    <sheet name="Power Supply Tests" sheetId="4" r:id="rId2"/>
    <sheet name="Analog Channels" sheetId="6" r:id="rId3"/>
    <sheet name="Project Issue Register" sheetId="3" r:id="rId4"/>
    <sheet name="LM5060 Ro Rs Calculation" sheetId="5" r:id="rId5"/>
    <sheet name="NTC Sensor VtoC" sheetId="1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3" i="5"/>
  <c r="B48" i="5"/>
  <c r="B41" i="5"/>
  <c r="B30" i="5"/>
  <c r="B32" i="5" s="1"/>
  <c r="B34" i="5"/>
  <c r="B36" i="5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C11" i="1"/>
  <c r="C10" i="1"/>
  <c r="E13" i="1"/>
  <c r="C12" i="1"/>
  <c r="C14" i="1" s="1"/>
  <c r="I2" i="1"/>
  <c r="M3" i="1"/>
  <c r="M4" i="1"/>
  <c r="M5" i="1"/>
  <c r="M6" i="1"/>
  <c r="M7" i="1"/>
  <c r="M8" i="1"/>
  <c r="N8" i="1" s="1"/>
  <c r="M9" i="1"/>
  <c r="M10" i="1"/>
  <c r="M11" i="1"/>
  <c r="N11" i="1" s="1"/>
  <c r="M12" i="1"/>
  <c r="M13" i="1"/>
  <c r="N13" i="1" s="1"/>
  <c r="M14" i="1"/>
  <c r="M15" i="1"/>
  <c r="M16" i="1"/>
  <c r="M17" i="1"/>
  <c r="M18" i="1"/>
  <c r="M19" i="1"/>
  <c r="M20" i="1"/>
  <c r="N20" i="1" s="1"/>
  <c r="M21" i="1"/>
  <c r="M22" i="1"/>
  <c r="M23" i="1"/>
  <c r="M24" i="1"/>
  <c r="M25" i="1"/>
  <c r="N25" i="1" s="1"/>
  <c r="M26" i="1"/>
  <c r="M27" i="1"/>
  <c r="M28" i="1"/>
  <c r="M29" i="1"/>
  <c r="M30" i="1"/>
  <c r="M31" i="1"/>
  <c r="M32" i="1"/>
  <c r="N32" i="1" s="1"/>
  <c r="M33" i="1"/>
  <c r="M34" i="1"/>
  <c r="M35" i="1"/>
  <c r="N35" i="1" s="1"/>
  <c r="M36" i="1"/>
  <c r="M37" i="1"/>
  <c r="M38" i="1"/>
  <c r="M39" i="1"/>
  <c r="M40" i="1"/>
  <c r="M41" i="1"/>
  <c r="M42" i="1"/>
  <c r="M43" i="1"/>
  <c r="M44" i="1"/>
  <c r="N44" i="1" s="1"/>
  <c r="M45" i="1"/>
  <c r="N45" i="1" s="1"/>
  <c r="M46" i="1"/>
  <c r="M47" i="1"/>
  <c r="N47" i="1" s="1"/>
  <c r="M48" i="1"/>
  <c r="M49" i="1"/>
  <c r="M50" i="1"/>
  <c r="M51" i="1"/>
  <c r="M52" i="1"/>
  <c r="M53" i="1"/>
  <c r="M54" i="1"/>
  <c r="M55" i="1"/>
  <c r="M56" i="1"/>
  <c r="M57" i="1"/>
  <c r="N57" i="1" s="1"/>
  <c r="M58" i="1"/>
  <c r="M59" i="1"/>
  <c r="N59" i="1" s="1"/>
  <c r="M60" i="1"/>
  <c r="M61" i="1"/>
  <c r="N61" i="1" s="1"/>
  <c r="M62" i="1"/>
  <c r="M63" i="1"/>
  <c r="M64" i="1"/>
  <c r="M65" i="1"/>
  <c r="M66" i="1"/>
  <c r="M67" i="1"/>
  <c r="M68" i="1"/>
  <c r="N68" i="1" s="1"/>
  <c r="M69" i="1"/>
  <c r="M70" i="1"/>
  <c r="M71" i="1"/>
  <c r="M72" i="1"/>
  <c r="M73" i="1"/>
  <c r="N73" i="1" s="1"/>
  <c r="M74" i="1"/>
  <c r="M75" i="1"/>
  <c r="M76" i="1"/>
  <c r="M77" i="1"/>
  <c r="M78" i="1"/>
  <c r="M79" i="1"/>
  <c r="M80" i="1"/>
  <c r="N80" i="1" s="1"/>
  <c r="M81" i="1"/>
  <c r="N81" i="1" s="1"/>
  <c r="M82" i="1"/>
  <c r="M2" i="1"/>
  <c r="N2" i="1" s="1"/>
  <c r="N6" i="1"/>
  <c r="N12" i="1"/>
  <c r="N18" i="1"/>
  <c r="N24" i="1"/>
  <c r="N26" i="1"/>
  <c r="N30" i="1"/>
  <c r="N36" i="1"/>
  <c r="N38" i="1"/>
  <c r="N42" i="1"/>
  <c r="N48" i="1"/>
  <c r="N50" i="1"/>
  <c r="N54" i="1"/>
  <c r="N60" i="1"/>
  <c r="N62" i="1"/>
  <c r="N66" i="1"/>
  <c r="N72" i="1"/>
  <c r="N74" i="1"/>
  <c r="N78" i="1"/>
  <c r="N3" i="1"/>
  <c r="N4" i="1"/>
  <c r="N5" i="1"/>
  <c r="N7" i="1"/>
  <c r="N9" i="1"/>
  <c r="N10" i="1"/>
  <c r="N14" i="1"/>
  <c r="N15" i="1"/>
  <c r="N16" i="1"/>
  <c r="N17" i="1"/>
  <c r="N19" i="1"/>
  <c r="N21" i="1"/>
  <c r="N22" i="1"/>
  <c r="N23" i="1"/>
  <c r="N27" i="1"/>
  <c r="N28" i="1"/>
  <c r="N29" i="1"/>
  <c r="N31" i="1"/>
  <c r="N33" i="1"/>
  <c r="N34" i="1"/>
  <c r="N37" i="1"/>
  <c r="N39" i="1"/>
  <c r="N40" i="1"/>
  <c r="N41" i="1"/>
  <c r="N43" i="1"/>
  <c r="N46" i="1"/>
  <c r="N49" i="1"/>
  <c r="N51" i="1"/>
  <c r="N52" i="1"/>
  <c r="N53" i="1"/>
  <c r="N55" i="1"/>
  <c r="N56" i="1"/>
  <c r="N58" i="1"/>
  <c r="N63" i="1"/>
  <c r="N64" i="1"/>
  <c r="N65" i="1"/>
  <c r="N67" i="1"/>
  <c r="N69" i="1"/>
  <c r="N70" i="1"/>
  <c r="N71" i="1"/>
  <c r="N75" i="1"/>
  <c r="N76" i="1"/>
  <c r="N77" i="1"/>
  <c r="N79" i="1"/>
  <c r="N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C16" i="1"/>
  <c r="C17" i="1" l="1"/>
  <c r="J78" i="1"/>
  <c r="K78" i="1" s="1"/>
  <c r="J51" i="1"/>
  <c r="K51" i="1" s="1"/>
  <c r="J31" i="1"/>
  <c r="K31" i="1" s="1"/>
  <c r="J69" i="1"/>
  <c r="K69" i="1" s="1"/>
  <c r="J59" i="1"/>
  <c r="K59" i="1" s="1"/>
  <c r="J41" i="1"/>
  <c r="K41" i="1" s="1"/>
  <c r="J22" i="1"/>
  <c r="K22" i="1" s="1"/>
  <c r="J12" i="1"/>
  <c r="K12" i="1" s="1"/>
  <c r="J3" i="1"/>
  <c r="K3" i="1" s="1"/>
  <c r="J77" i="1"/>
  <c r="K77" i="1" s="1"/>
  <c r="J68" i="1"/>
  <c r="K68" i="1" s="1"/>
  <c r="J49" i="1"/>
  <c r="K49" i="1" s="1"/>
  <c r="J30" i="1"/>
  <c r="K30" i="1" s="1"/>
  <c r="J67" i="1"/>
  <c r="K67" i="1" s="1"/>
  <c r="J29" i="1"/>
  <c r="K29" i="1" s="1"/>
  <c r="J75" i="1"/>
  <c r="K75" i="1" s="1"/>
  <c r="J19" i="1"/>
  <c r="K19" i="1" s="1"/>
  <c r="J65" i="1"/>
  <c r="K65" i="1" s="1"/>
  <c r="J46" i="1"/>
  <c r="K46" i="1" s="1"/>
  <c r="J36" i="1"/>
  <c r="K36" i="1" s="1"/>
  <c r="J21" i="1"/>
  <c r="K21" i="1" s="1"/>
  <c r="J38" i="1"/>
  <c r="K38" i="1" s="1"/>
  <c r="J55" i="1"/>
  <c r="K55" i="1" s="1"/>
  <c r="J9" i="1"/>
  <c r="K9" i="1" s="1"/>
  <c r="J82" i="1"/>
  <c r="K82" i="1" s="1"/>
  <c r="J73" i="1"/>
  <c r="K73" i="1" s="1"/>
  <c r="J7" i="1"/>
  <c r="K7" i="1" s="1"/>
  <c r="J76" i="1"/>
  <c r="K76" i="1" s="1"/>
  <c r="J20" i="1"/>
  <c r="K20" i="1" s="1"/>
  <c r="J2" i="1"/>
  <c r="K2" i="1" s="1"/>
  <c r="J28" i="1"/>
  <c r="K28" i="1" s="1"/>
  <c r="J54" i="1"/>
  <c r="K54" i="1" s="1"/>
  <c r="J27" i="1"/>
  <c r="K27" i="1" s="1"/>
  <c r="J81" i="1"/>
  <c r="K81" i="1" s="1"/>
  <c r="J45" i="1"/>
  <c r="K45" i="1" s="1"/>
  <c r="J35" i="1"/>
  <c r="K35" i="1" s="1"/>
  <c r="J17" i="1"/>
  <c r="K17" i="1" s="1"/>
  <c r="J57" i="1"/>
  <c r="K57" i="1" s="1"/>
  <c r="J11" i="1"/>
  <c r="K11" i="1" s="1"/>
  <c r="J80" i="1"/>
  <c r="K80" i="1" s="1"/>
  <c r="J62" i="1"/>
  <c r="K62" i="1" s="1"/>
  <c r="J53" i="1"/>
  <c r="K53" i="1" s="1"/>
  <c r="J44" i="1"/>
  <c r="K44" i="1" s="1"/>
  <c r="J25" i="1"/>
  <c r="K25" i="1" s="1"/>
  <c r="J6" i="1"/>
  <c r="K6" i="1" s="1"/>
  <c r="J79" i="1"/>
  <c r="K79" i="1" s="1"/>
  <c r="J52" i="1"/>
  <c r="K52" i="1" s="1"/>
  <c r="J43" i="1"/>
  <c r="K43" i="1" s="1"/>
  <c r="J33" i="1"/>
  <c r="K33" i="1" s="1"/>
  <c r="J70" i="1"/>
  <c r="K70" i="1" s="1"/>
  <c r="J60" i="1"/>
  <c r="K60" i="1" s="1"/>
  <c r="J14" i="1"/>
  <c r="K14" i="1" s="1"/>
  <c r="J4" i="1"/>
  <c r="K4" i="1" s="1"/>
  <c r="J74" i="1"/>
  <c r="K74" i="1" s="1"/>
  <c r="J66" i="1"/>
  <c r="K66" i="1" s="1"/>
  <c r="J58" i="1"/>
  <c r="K58" i="1" s="1"/>
  <c r="J50" i="1"/>
  <c r="K50" i="1" s="1"/>
  <c r="J42" i="1"/>
  <c r="K42" i="1" s="1"/>
  <c r="J34" i="1"/>
  <c r="K34" i="1" s="1"/>
  <c r="J26" i="1"/>
  <c r="K26" i="1" s="1"/>
  <c r="J18" i="1"/>
  <c r="K18" i="1" s="1"/>
  <c r="J10" i="1"/>
  <c r="K10" i="1" s="1"/>
  <c r="J72" i="1"/>
  <c r="K72" i="1" s="1"/>
  <c r="J64" i="1"/>
  <c r="K64" i="1" s="1"/>
  <c r="J56" i="1"/>
  <c r="K56" i="1" s="1"/>
  <c r="J48" i="1"/>
  <c r="K48" i="1" s="1"/>
  <c r="J40" i="1"/>
  <c r="K40" i="1" s="1"/>
  <c r="J32" i="1"/>
  <c r="K32" i="1" s="1"/>
  <c r="J24" i="1"/>
  <c r="K24" i="1" s="1"/>
  <c r="J16" i="1"/>
  <c r="K16" i="1" s="1"/>
  <c r="J8" i="1"/>
  <c r="K8" i="1" s="1"/>
  <c r="J71" i="1"/>
  <c r="K71" i="1" s="1"/>
  <c r="J63" i="1"/>
  <c r="K63" i="1" s="1"/>
  <c r="J47" i="1"/>
  <c r="K47" i="1" s="1"/>
  <c r="J39" i="1"/>
  <c r="K39" i="1" s="1"/>
  <c r="J23" i="1"/>
  <c r="K23" i="1" s="1"/>
  <c r="J15" i="1"/>
  <c r="K15" i="1" s="1"/>
  <c r="J61" i="1"/>
  <c r="K61" i="1" s="1"/>
  <c r="J37" i="1"/>
  <c r="K37" i="1" s="1"/>
  <c r="J13" i="1"/>
  <c r="K13" i="1" s="1"/>
  <c r="J5" i="1"/>
  <c r="K5" i="1" s="1"/>
  <c r="C9" i="1"/>
  <c r="C18" i="1" l="1"/>
  <c r="C19" i="1" s="1"/>
</calcChain>
</file>

<file path=xl/sharedStrings.xml><?xml version="1.0" encoding="utf-8"?>
<sst xmlns="http://schemas.openxmlformats.org/spreadsheetml/2006/main" count="373" uniqueCount="282">
  <si>
    <t>R1</t>
  </si>
  <si>
    <t>R2</t>
  </si>
  <si>
    <t>kOhm</t>
  </si>
  <si>
    <t>Vout</t>
  </si>
  <si>
    <t>R20d</t>
  </si>
  <si>
    <t>R100d</t>
  </si>
  <si>
    <t>VinMin</t>
  </si>
  <si>
    <t>VinMax</t>
  </si>
  <si>
    <t>Gideal</t>
  </si>
  <si>
    <t>R3</t>
  </si>
  <si>
    <t>VoutSwing</t>
  </si>
  <si>
    <t>Gactual</t>
  </si>
  <si>
    <t>VoutMax</t>
  </si>
  <si>
    <t>Vref</t>
  </si>
  <si>
    <t>1.5 OK</t>
  </si>
  <si>
    <t>degC</t>
  </si>
  <si>
    <t>kOhms</t>
  </si>
  <si>
    <t>Vin</t>
  </si>
  <si>
    <t>mV</t>
  </si>
  <si>
    <t>mW</t>
  </si>
  <si>
    <t>mA</t>
  </si>
  <si>
    <t>Description</t>
  </si>
  <si>
    <t>Input.Voltage</t>
  </si>
  <si>
    <t>Input.I.Max</t>
  </si>
  <si>
    <t>Input.I.Trip</t>
  </si>
  <si>
    <t>Test.Description</t>
  </si>
  <si>
    <t>Test Metadata goes in order of power supply sequence then branches</t>
  </si>
  <si>
    <t>Issue Number</t>
  </si>
  <si>
    <t>Date</t>
  </si>
  <si>
    <t>Who</t>
  </si>
  <si>
    <t>Issue Type</t>
  </si>
  <si>
    <t>E3</t>
  </si>
  <si>
    <t>00001</t>
  </si>
  <si>
    <t>L.O</t>
  </si>
  <si>
    <t>Silkscreen</t>
  </si>
  <si>
    <t>Add silkscreen for I2C, Serial and Canbus IO connectores</t>
  </si>
  <si>
    <t>Add silkscreen for power supply options and undervoltage cut-out selection</t>
  </si>
  <si>
    <t>Add silkscreen for dip-swich device ID setting(s)</t>
  </si>
  <si>
    <t>Update all 0603 resistor footprints to the same types</t>
  </si>
  <si>
    <t>Reposition component designators, _CH# seems to ruin designator output</t>
  </si>
  <si>
    <t xml:space="preserve">Fix missing component descriptions e.g. 560 ohm resistor </t>
  </si>
  <si>
    <t>BOM</t>
  </si>
  <si>
    <t>Layout</t>
  </si>
  <si>
    <t>00002</t>
  </si>
  <si>
    <t>00003</t>
  </si>
  <si>
    <t>00004</t>
  </si>
  <si>
    <t>00005</t>
  </si>
  <si>
    <t>00006</t>
  </si>
  <si>
    <t>Update break-out for new ESP-WROOM-32 module and connector more ports through to serial, I2C and Display</t>
  </si>
  <si>
    <t>Design</t>
  </si>
  <si>
    <t>Revision</t>
  </si>
  <si>
    <t>Output.Voltage</t>
  </si>
  <si>
    <t>Output.Current</t>
  </si>
  <si>
    <t>Input.Current</t>
  </si>
  <si>
    <t>Calc.Efficiency</t>
  </si>
  <si>
    <t>Temp.Ambiant</t>
  </si>
  <si>
    <t>Temp.PCB</t>
  </si>
  <si>
    <t>Temp.Spot</t>
  </si>
  <si>
    <t>Calc.TempRise</t>
  </si>
  <si>
    <t>TP28</t>
  </si>
  <si>
    <t>TP34</t>
  </si>
  <si>
    <t>TP32</t>
  </si>
  <si>
    <t>TP26</t>
  </si>
  <si>
    <t>TP35</t>
  </si>
  <si>
    <t>Remove CC3220 and ESP32 Li-Ion module, replace with ESP-WROOM-32  w/ Remote Antenna</t>
  </si>
  <si>
    <t>Change -5V supply to use 10V input rail instead of 12V_IN  due to the wide supply range of 12V_IN being outside of the supplies input range which ranges from 9.0-16.8V</t>
  </si>
  <si>
    <t>Add -5V output test point and capactior node to allow board testing</t>
  </si>
  <si>
    <t>Column1</t>
  </si>
  <si>
    <t>LP38693MP-5</t>
  </si>
  <si>
    <t>LP5907MFX-3.3/NOPB</t>
  </si>
  <si>
    <t>TPS73633DBVR</t>
  </si>
  <si>
    <t>TPS63710DRR</t>
  </si>
  <si>
    <t>LM5118MH/NOPB</t>
  </si>
  <si>
    <t>10V Supply</t>
  </si>
  <si>
    <t>-5V Supply</t>
  </si>
  <si>
    <t>5V Supply</t>
  </si>
  <si>
    <t>5V_D Supply</t>
  </si>
  <si>
    <t>AVdd Supply</t>
  </si>
  <si>
    <t>DVdd Supply</t>
  </si>
  <si>
    <t>LM5060Q1MMX/NOPB</t>
  </si>
  <si>
    <t>Supply.Name</t>
  </si>
  <si>
    <t>Supply.Chipset</t>
  </si>
  <si>
    <t>Supply.Sequence</t>
  </si>
  <si>
    <t>Test.Duration</t>
  </si>
  <si>
    <t>Pass/Fail</t>
  </si>
  <si>
    <t>Input.V.Nom</t>
  </si>
  <si>
    <t>Input.V.Min</t>
  </si>
  <si>
    <t>Input.V.Max</t>
  </si>
  <si>
    <t>Output.V.Nom</t>
  </si>
  <si>
    <t>Output.I.Nom</t>
  </si>
  <si>
    <t>Output.I.Min</t>
  </si>
  <si>
    <t>Output.I.Max</t>
  </si>
  <si>
    <t>Output.Vpp</t>
  </si>
  <si>
    <t>Output.Eff</t>
  </si>
  <si>
    <t>Column2</t>
  </si>
  <si>
    <t>Input.TestPoint+</t>
  </si>
  <si>
    <t>Input.TestPoint-</t>
  </si>
  <si>
    <t>Output.TestPoint+</t>
  </si>
  <si>
    <t>Output.TestPoint-</t>
  </si>
  <si>
    <t>Test.Sequence</t>
  </si>
  <si>
    <t>1</t>
  </si>
  <si>
    <t>1-1</t>
  </si>
  <si>
    <t>1-1-1</t>
  </si>
  <si>
    <t>1-1-2</t>
  </si>
  <si>
    <t>1-1-1-1</t>
  </si>
  <si>
    <t>1-1-2-1</t>
  </si>
  <si>
    <t>12V Protection</t>
  </si>
  <si>
    <t>Supply.Description</t>
  </si>
  <si>
    <t>Vbias (Vref/2)</t>
  </si>
  <si>
    <t>Vref Buffer</t>
  </si>
  <si>
    <t>OPA378+OPA8371</t>
  </si>
  <si>
    <t>Mid-point for zero amps current measurement</t>
  </si>
  <si>
    <t>Top reference for NTC sensors</t>
  </si>
  <si>
    <t>Vbias_1_25_1</t>
  </si>
  <si>
    <t>Vbiat_2_50_1</t>
  </si>
  <si>
    <t>Vbias_1_25_2</t>
  </si>
  <si>
    <t>Vbiat_2_50_2</t>
  </si>
  <si>
    <t>1-1-1-1-1</t>
  </si>
  <si>
    <t>1-1-1-1-2</t>
  </si>
  <si>
    <t>1-1-1-1-3</t>
  </si>
  <si>
    <t>1-1-1-1-4</t>
  </si>
  <si>
    <t>1-1-1-1-3-1</t>
  </si>
  <si>
    <t>1-1-1-1-4-1</t>
  </si>
  <si>
    <t>REF2025-VBIAS</t>
  </si>
  <si>
    <t>REF2025-VREF</t>
  </si>
  <si>
    <t>Review</t>
  </si>
  <si>
    <t>Reverse Polarity connection LED indicator, need additional pull resistors for Open cell detection</t>
  </si>
  <si>
    <t>Level</t>
  </si>
  <si>
    <t>Med</t>
  </si>
  <si>
    <t>Low</t>
  </si>
  <si>
    <t>Hot-Fix?</t>
  </si>
  <si>
    <t>Yes</t>
  </si>
  <si>
    <t>Add reverse polarity detection threshold override per output, toggle threshold from 0.5v to -0.5v</t>
  </si>
  <si>
    <t>Vbias</t>
  </si>
  <si>
    <t>NTC</t>
  </si>
  <si>
    <t>R20d Res</t>
  </si>
  <si>
    <t>R100d Res</t>
  </si>
  <si>
    <t>Degrees</t>
  </si>
  <si>
    <t>Volts</t>
  </si>
  <si>
    <t>1-1-3</t>
  </si>
  <si>
    <t>Add LED indicator for -5V supply</t>
  </si>
  <si>
    <t>Design Fault</t>
  </si>
  <si>
    <t>Design Change</t>
  </si>
  <si>
    <t>00007</t>
  </si>
  <si>
    <t>00008</t>
  </si>
  <si>
    <t>00009</t>
  </si>
  <si>
    <t>00010</t>
  </si>
  <si>
    <t>00011</t>
  </si>
  <si>
    <t>00012</t>
  </si>
  <si>
    <t>00013</t>
  </si>
  <si>
    <t>1.1</t>
  </si>
  <si>
    <t>1.2</t>
  </si>
  <si>
    <t>1.3</t>
  </si>
  <si>
    <t>10V Supply Startup Voltage, no load</t>
  </si>
  <si>
    <t>10V Supply Nominal Voltage, no load</t>
  </si>
  <si>
    <t>10V Supply Max Voltage, no load</t>
  </si>
  <si>
    <t>n/a</t>
  </si>
  <si>
    <t>Calc.Input.Watts</t>
  </si>
  <si>
    <t>Calc.Output.Watts</t>
  </si>
  <si>
    <t>Fault Detection with Rs and Ro</t>
  </si>
  <si>
    <t>Design Paramter</t>
  </si>
  <si>
    <t>Operating voltage range</t>
  </si>
  <si>
    <t>Current Max</t>
  </si>
  <si>
    <t>OVP</t>
  </si>
  <si>
    <t>10.4 V to 14.4 V</t>
  </si>
  <si>
    <t>UVLO setting</t>
  </si>
  <si>
    <t>Value</t>
  </si>
  <si>
    <t>A</t>
  </si>
  <si>
    <t>V</t>
  </si>
  <si>
    <t>2v threshold</t>
  </si>
  <si>
    <t>1.6v threshold</t>
  </si>
  <si>
    <t>Ratio</t>
  </si>
  <si>
    <t>UVLO</t>
  </si>
  <si>
    <t>Case A : Vout &gt; Vin and In Reverse Polarity</t>
  </si>
  <si>
    <t>Case B : Vout &gt; Vin and no Reverse Polarity</t>
  </si>
  <si>
    <t>Case D : Vout &lt; Vin while Vout is negative and Vin is positive</t>
  </si>
  <si>
    <t>Does not apply</t>
  </si>
  <si>
    <t>Ro(min)</t>
  </si>
  <si>
    <t>Rs</t>
  </si>
  <si>
    <t>Isense</t>
  </si>
  <si>
    <t>Vdsth</t>
  </si>
  <si>
    <t>Iout-en</t>
  </si>
  <si>
    <t>Voffset</t>
  </si>
  <si>
    <t>Vds</t>
  </si>
  <si>
    <t>Rds(on)</t>
  </si>
  <si>
    <t>ohms</t>
  </si>
  <si>
    <t>volts</t>
  </si>
  <si>
    <t>amps</t>
  </si>
  <si>
    <t>Idsth</t>
  </si>
  <si>
    <t>Ro</t>
  </si>
  <si>
    <t>Iratio(min)</t>
  </si>
  <si>
    <t>Iratio(nom)</t>
  </si>
  <si>
    <t>Iratio(max)</t>
  </si>
  <si>
    <t>Channel.Name</t>
  </si>
  <si>
    <t>Input.TP+</t>
  </si>
  <si>
    <t>Input.TP-</t>
  </si>
  <si>
    <t>Output.TP+</t>
  </si>
  <si>
    <t>Output.TP-</t>
  </si>
  <si>
    <t>Input.Vcm</t>
  </si>
  <si>
    <t>Output.Vcm</t>
  </si>
  <si>
    <t>Input.Vpp</t>
  </si>
  <si>
    <t>Output.Gain</t>
  </si>
  <si>
    <t>Output.Frequency</t>
  </si>
  <si>
    <t>Output.Corner</t>
  </si>
  <si>
    <t>Output.Attenuation</t>
  </si>
  <si>
    <t>Channel.Sequence</t>
  </si>
  <si>
    <t>A-1-2-1</t>
  </si>
  <si>
    <t>A-1-1-1</t>
  </si>
  <si>
    <t>16kHz</t>
  </si>
  <si>
    <t>100kHz</t>
  </si>
  <si>
    <t>1.25v (Vbias)</t>
  </si>
  <si>
    <t>1.25Vpp</t>
  </si>
  <si>
    <t>-12.04dB</t>
  </si>
  <si>
    <t>A-1-3-1</t>
  </si>
  <si>
    <t>A-1-3-2</t>
  </si>
  <si>
    <t>TP9</t>
  </si>
  <si>
    <t>TP10</t>
  </si>
  <si>
    <t>VoutPN_CH#</t>
  </si>
  <si>
    <t>VoutS_CH#</t>
  </si>
  <si>
    <t>IoutPN_CH#</t>
  </si>
  <si>
    <t>IoutS_CH#</t>
  </si>
  <si>
    <t>J2-1</t>
  </si>
  <si>
    <t>J2-2</t>
  </si>
  <si>
    <t>TP7</t>
  </si>
  <si>
    <t>TP42</t>
  </si>
  <si>
    <t>TP43</t>
  </si>
  <si>
    <t>CS+</t>
  </si>
  <si>
    <t>CS-</t>
  </si>
  <si>
    <t>TP5</t>
  </si>
  <si>
    <t>TP6</t>
  </si>
  <si>
    <t>AGND</t>
  </si>
  <si>
    <t>TP8</t>
  </si>
  <si>
    <t>-60dB</t>
  </si>
  <si>
    <t>0V</t>
  </si>
  <si>
    <t>2.50V</t>
  </si>
  <si>
    <t>0.00V</t>
  </si>
  <si>
    <t>5.00Vpp</t>
  </si>
  <si>
    <t>+2.5Vmax</t>
  </si>
  <si>
    <t>+5.00Vmax</t>
  </si>
  <si>
    <t>25mVpp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</si>
  <si>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</si>
  <si>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</si>
  <si>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</si>
  <si>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</si>
  <si>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</si>
  <si>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</si>
  <si>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</si>
  <si>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</si>
  <si>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</si>
  <si>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5V Supply, no load</t>
  </si>
  <si>
    <t>AVdd Supply, no load</t>
  </si>
  <si>
    <t>5V_D Supply, no load</t>
  </si>
  <si>
    <t>DVdd Supply, no load</t>
  </si>
  <si>
    <t>-5V Supply, no load</t>
  </si>
  <si>
    <t>Vbias_1_25_2, no load</t>
  </si>
  <si>
    <t>Vbiat_2_50_2, no load</t>
  </si>
  <si>
    <t>Vbias (Vref/2), no load</t>
  </si>
  <si>
    <t>Vref Buffer, no load</t>
  </si>
  <si>
    <t>A-2-2-1</t>
  </si>
  <si>
    <t>A-3-2-1</t>
  </si>
  <si>
    <t>A-4-2-1</t>
  </si>
  <si>
    <t>A-5-2-1</t>
  </si>
  <si>
    <t>A-6-2-1</t>
  </si>
  <si>
    <t>A-7-2-1</t>
  </si>
  <si>
    <t>A-8-2-1</t>
  </si>
  <si>
    <t>11.1</t>
  </si>
  <si>
    <t>12.1</t>
  </si>
  <si>
    <t>13.1</t>
  </si>
  <si>
    <t>14.1</t>
  </si>
  <si>
    <t>15.1</t>
  </si>
  <si>
    <t>16.1</t>
  </si>
  <si>
    <t>17.1</t>
  </si>
  <si>
    <t>18.1</t>
  </si>
  <si>
    <t>Slot 1 VoutS</t>
  </si>
  <si>
    <t>Slot 2 VoutS</t>
  </si>
  <si>
    <t>Slot 3 VoutS</t>
  </si>
  <si>
    <t>Slot 4 VoutS</t>
  </si>
  <si>
    <t>Slot 5 VoutS</t>
  </si>
  <si>
    <t>Slot 6 VoutS</t>
  </si>
  <si>
    <t>Slot 8 VoutS</t>
  </si>
  <si>
    <t>Slot 7 VoutS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</si>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</sst>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textRotation="45"/>
    </xf>
    <xf numFmtId="49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textRotation="45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14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right" vertical="center"/>
    </xf>
    <xf numFmtId="0" fontId="2" fillId="2" borderId="2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0" fillId="6" borderId="0" xfId="0" applyFill="1" applyAlignment="1">
      <alignment textRotation="45"/>
    </xf>
    <xf numFmtId="0" fontId="0" fillId="7" borderId="0" xfId="0" applyFill="1" applyAlignment="1">
      <alignment textRotation="45"/>
    </xf>
    <xf numFmtId="0" fontId="0" fillId="8" borderId="0" xfId="0" applyFill="1" applyAlignment="1">
      <alignment textRotation="45"/>
    </xf>
    <xf numFmtId="0" fontId="0" fillId="9" borderId="0" xfId="0" applyFill="1" applyAlignment="1">
      <alignment textRotation="45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applyFill="1" applyAlignment="1">
      <alignment horizontal="right" vertical="top"/>
    </xf>
    <xf numFmtId="49" fontId="0" fillId="0" borderId="0" xfId="0" applyNumberFormat="1" applyAlignment="1">
      <alignment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2" fillId="2" borderId="4" xfId="0" applyFont="1" applyFill="1" applyBorder="1" applyAlignment="1">
      <alignment textRotation="45"/>
    </xf>
    <xf numFmtId="0" fontId="2" fillId="2" borderId="3" xfId="0" applyFont="1" applyFill="1" applyBorder="1" applyAlignment="1">
      <alignment textRotation="45"/>
    </xf>
    <xf numFmtId="0" fontId="2" fillId="2" borderId="0" xfId="0" applyFont="1" applyFill="1" applyBorder="1" applyAlignment="1">
      <alignment textRotation="45"/>
    </xf>
    <xf numFmtId="0" fontId="0" fillId="0" borderId="0" xfId="0" quotePrefix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10k NTC Circuit Output Voltage versus Degree</a:t>
            </a:r>
            <a:r>
              <a:rPr lang="en-US" baseline="0"/>
              <a:t> C</a:t>
            </a:r>
            <a:endParaRPr lang="en-US"/>
          </a:p>
        </c:rich>
      </c:tx>
      <c:layout>
        <c:manualLayout>
          <c:xMode val="edge"/>
          <c:yMode val="edge"/>
          <c:x val="0.1532721553188204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'NTC Sensor VtoC'!$L$1</c:f>
              <c:strCache>
                <c:ptCount val="1"/>
                <c:pt idx="0">
                  <c:v>degC</c:v>
                </c:pt>
              </c:strCache>
            </c:strRef>
          </c:tx>
          <c:spPr>
            <a:ln>
              <a:noFill/>
            </a:ln>
          </c:spPr>
          <c:xVal>
            <c:numRef>
              <c:f>'NTC Sensor VtoC'!$J$2:$J$82</c:f>
              <c:numCache>
                <c:formatCode>General</c:formatCode>
                <c:ptCount val="81"/>
                <c:pt idx="0">
                  <c:v>3.3346800258564957E-2</c:v>
                </c:pt>
                <c:pt idx="1">
                  <c:v>6.1762734584450363E-2</c:v>
                </c:pt>
                <c:pt idx="2">
                  <c:v>9.0050312283136646E-2</c:v>
                </c:pt>
                <c:pt idx="3">
                  <c:v>0.11979690869877779</c:v>
                </c:pt>
                <c:pt idx="4">
                  <c:v>0.14911710037174719</c:v>
                </c:pt>
                <c:pt idx="5">
                  <c:v>0.17980769230769222</c:v>
                </c:pt>
                <c:pt idx="6">
                  <c:v>0.21081013916501001</c:v>
                </c:pt>
                <c:pt idx="7">
                  <c:v>0.24236852917009033</c:v>
                </c:pt>
                <c:pt idx="8">
                  <c:v>0.27446537678207739</c:v>
                </c:pt>
                <c:pt idx="9">
                  <c:v>0.30708654519971967</c:v>
                </c:pt>
                <c:pt idx="10">
                  <c:v>0.34031995661605186</c:v>
                </c:pt>
                <c:pt idx="11">
                  <c:v>0.37386999068033544</c:v>
                </c:pt>
                <c:pt idx="12">
                  <c:v>0.40803314121037448</c:v>
                </c:pt>
                <c:pt idx="13">
                  <c:v>0.44249208391054806</c:v>
                </c:pt>
                <c:pt idx="14">
                  <c:v>0.47747707590422805</c:v>
                </c:pt>
                <c:pt idx="15">
                  <c:v>0.51276210945690914</c:v>
                </c:pt>
                <c:pt idx="16">
                  <c:v>0.54849158848269164</c:v>
                </c:pt>
                <c:pt idx="17">
                  <c:v>0.58456208425720624</c:v>
                </c:pt>
                <c:pt idx="18">
                  <c:v>0.62100991114149029</c:v>
                </c:pt>
                <c:pt idx="19">
                  <c:v>0.65756317267197006</c:v>
                </c:pt>
                <c:pt idx="20">
                  <c:v>0.69458838717425253</c:v>
                </c:pt>
                <c:pt idx="21">
                  <c:v>0.73163884440064042</c:v>
                </c:pt>
                <c:pt idx="22">
                  <c:v>0.76913297536323444</c:v>
                </c:pt>
                <c:pt idx="23">
                  <c:v>0.80658908455263501</c:v>
                </c:pt>
                <c:pt idx="24">
                  <c:v>0.84427477118981298</c:v>
                </c:pt>
                <c:pt idx="25">
                  <c:v>0.88208440852913184</c:v>
                </c:pt>
                <c:pt idx="26">
                  <c:v>0.91990097289784545</c:v>
                </c:pt>
                <c:pt idx="27">
                  <c:v>0.95783693488768817</c:v>
                </c:pt>
                <c:pt idx="28">
                  <c:v>0.9957848837209301</c:v>
                </c:pt>
                <c:pt idx="29">
                  <c:v>1.0336272835288871</c:v>
                </c:pt>
                <c:pt idx="30">
                  <c:v>1.0715109223300967</c:v>
                </c:pt>
                <c:pt idx="31">
                  <c:v>1.1093328945330647</c:v>
                </c:pt>
                <c:pt idx="32">
                  <c:v>1.1469816687737042</c:v>
                </c:pt>
                <c:pt idx="33">
                  <c:v>1.1846470019342354</c:v>
                </c:pt>
                <c:pt idx="34">
                  <c:v>1.2219150509365755</c:v>
                </c:pt>
                <c:pt idx="35">
                  <c:v>1.2593184862692568</c:v>
                </c:pt>
                <c:pt idx="36">
                  <c:v>1.29644166808801</c:v>
                </c:pt>
                <c:pt idx="37">
                  <c:v>1.3331719916652194</c:v>
                </c:pt>
                <c:pt idx="38">
                  <c:v>1.3697627672733699</c:v>
                </c:pt>
                <c:pt idx="39">
                  <c:v>1.405742271746945</c:v>
                </c:pt>
                <c:pt idx="40">
                  <c:v>1.4417763157894736</c:v>
                </c:pt>
                <c:pt idx="41">
                  <c:v>1.477395988112927</c:v>
                </c:pt>
                <c:pt idx="42">
                  <c:v>1.5129246084166827</c:v>
                </c:pt>
                <c:pt idx="43">
                  <c:v>1.5478583748562666</c:v>
                </c:pt>
                <c:pt idx="44">
                  <c:v>1.5820876288659793</c:v>
                </c:pt>
                <c:pt idx="45">
                  <c:v>1.6164281484405842</c:v>
                </c:pt>
                <c:pt idx="46">
                  <c:v>1.6503654385262316</c:v>
                </c:pt>
                <c:pt idx="47">
                  <c:v>1.6833282582216809</c:v>
                </c:pt>
                <c:pt idx="48">
                  <c:v>1.7162037037037035</c:v>
                </c:pt>
                <c:pt idx="49">
                  <c:v>1.7489470391993325</c:v>
                </c:pt>
                <c:pt idx="50">
                  <c:v>1.7809794086589226</c:v>
                </c:pt>
                <c:pt idx="51">
                  <c:v>1.812211353431687</c:v>
                </c:pt>
                <c:pt idx="52">
                  <c:v>1.8431102575200171</c:v>
                </c:pt>
                <c:pt idx="53">
                  <c:v>1.8736232756733084</c:v>
                </c:pt>
                <c:pt idx="54">
                  <c:v>1.903696013289037</c:v>
                </c:pt>
                <c:pt idx="55">
                  <c:v>1.9332726763717809</c:v>
                </c:pt>
                <c:pt idx="56">
                  <c:v>1.9622962417930725</c:v>
                </c:pt>
                <c:pt idx="57">
                  <c:v>1.9907086479066574</c:v>
                </c:pt>
                <c:pt idx="58">
                  <c:v>2.0190880721220523</c:v>
                </c:pt>
                <c:pt idx="59">
                  <c:v>2.0461134453781513</c:v>
                </c:pt>
                <c:pt idx="60">
                  <c:v>2.0730114305915626</c:v>
                </c:pt>
                <c:pt idx="61">
                  <c:v>2.0997591006423981</c:v>
                </c:pt>
                <c:pt idx="62">
                  <c:v>2.125645258103241</c:v>
                </c:pt>
                <c:pt idx="63">
                  <c:v>2.1513081395348834</c:v>
                </c:pt>
                <c:pt idx="64">
                  <c:v>2.1760108722208651</c:v>
                </c:pt>
                <c:pt idx="65">
                  <c:v>2.2004157427937914</c:v>
                </c:pt>
                <c:pt idx="66">
                  <c:v>2.2237614849764089</c:v>
                </c:pt>
                <c:pt idx="67">
                  <c:v>2.2471076836440997</c:v>
                </c:pt>
                <c:pt idx="68">
                  <c:v>2.2697628234226057</c:v>
                </c:pt>
                <c:pt idx="69">
                  <c:v>2.2919947031476258</c:v>
                </c:pt>
                <c:pt idx="70">
                  <c:v>2.3136987309060206</c:v>
                </c:pt>
                <c:pt idx="71">
                  <c:v>2.3350033494795426</c:v>
                </c:pt>
                <c:pt idx="72">
                  <c:v>2.3558852140077819</c:v>
                </c:pt>
                <c:pt idx="73">
                  <c:v>2.3763209259210907</c:v>
                </c:pt>
                <c:pt idx="74">
                  <c:v>2.3963694418164616</c:v>
                </c:pt>
                <c:pt idx="75">
                  <c:v>2.4159271207954305</c:v>
                </c:pt>
                <c:pt idx="76">
                  <c:v>2.4351394764147178</c:v>
                </c:pt>
                <c:pt idx="77">
                  <c:v>2.4539039501150777</c:v>
                </c:pt>
                <c:pt idx="78">
                  <c:v>2.4722868217054264</c:v>
                </c:pt>
                <c:pt idx="79">
                  <c:v>2.4902710109622412</c:v>
                </c:pt>
                <c:pt idx="80">
                  <c:v>2.507927824951012</c:v>
                </c:pt>
              </c:numCache>
            </c:numRef>
          </c:xVal>
          <c:yVal>
            <c:numRef>
              <c:f>'NTC Sensor VtoC'!$L$2:$L$82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79-4AA0-8211-C9EBCA8419F2}"/>
            </c:ext>
          </c:extLst>
        </c:ser>
        <c:ser>
          <c:idx val="0"/>
          <c:order val="1"/>
          <c:tx>
            <c:strRef>
              <c:f>'NTC Sensor VtoC'!$L$1</c:f>
              <c:strCache>
                <c:ptCount val="1"/>
                <c:pt idx="0">
                  <c:v>degC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3534564613246872"/>
                  <c:y val="-2.2512029746281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'NTC Sensor VtoC'!$J$2:$J$82</c:f>
              <c:numCache>
                <c:formatCode>General</c:formatCode>
                <c:ptCount val="81"/>
                <c:pt idx="0">
                  <c:v>3.3346800258564957E-2</c:v>
                </c:pt>
                <c:pt idx="1">
                  <c:v>6.1762734584450363E-2</c:v>
                </c:pt>
                <c:pt idx="2">
                  <c:v>9.0050312283136646E-2</c:v>
                </c:pt>
                <c:pt idx="3">
                  <c:v>0.11979690869877779</c:v>
                </c:pt>
                <c:pt idx="4">
                  <c:v>0.14911710037174719</c:v>
                </c:pt>
                <c:pt idx="5">
                  <c:v>0.17980769230769222</c:v>
                </c:pt>
                <c:pt idx="6">
                  <c:v>0.21081013916501001</c:v>
                </c:pt>
                <c:pt idx="7">
                  <c:v>0.24236852917009033</c:v>
                </c:pt>
                <c:pt idx="8">
                  <c:v>0.27446537678207739</c:v>
                </c:pt>
                <c:pt idx="9">
                  <c:v>0.30708654519971967</c:v>
                </c:pt>
                <c:pt idx="10">
                  <c:v>0.34031995661605186</c:v>
                </c:pt>
                <c:pt idx="11">
                  <c:v>0.37386999068033544</c:v>
                </c:pt>
                <c:pt idx="12">
                  <c:v>0.40803314121037448</c:v>
                </c:pt>
                <c:pt idx="13">
                  <c:v>0.44249208391054806</c:v>
                </c:pt>
                <c:pt idx="14">
                  <c:v>0.47747707590422805</c:v>
                </c:pt>
                <c:pt idx="15">
                  <c:v>0.51276210945690914</c:v>
                </c:pt>
                <c:pt idx="16">
                  <c:v>0.54849158848269164</c:v>
                </c:pt>
                <c:pt idx="17">
                  <c:v>0.58456208425720624</c:v>
                </c:pt>
                <c:pt idx="18">
                  <c:v>0.62100991114149029</c:v>
                </c:pt>
                <c:pt idx="19">
                  <c:v>0.65756317267197006</c:v>
                </c:pt>
                <c:pt idx="20">
                  <c:v>0.69458838717425253</c:v>
                </c:pt>
                <c:pt idx="21">
                  <c:v>0.73163884440064042</c:v>
                </c:pt>
                <c:pt idx="22">
                  <c:v>0.76913297536323444</c:v>
                </c:pt>
                <c:pt idx="23">
                  <c:v>0.80658908455263501</c:v>
                </c:pt>
                <c:pt idx="24">
                  <c:v>0.84427477118981298</c:v>
                </c:pt>
                <c:pt idx="25">
                  <c:v>0.88208440852913184</c:v>
                </c:pt>
                <c:pt idx="26">
                  <c:v>0.91990097289784545</c:v>
                </c:pt>
                <c:pt idx="27">
                  <c:v>0.95783693488768817</c:v>
                </c:pt>
                <c:pt idx="28">
                  <c:v>0.9957848837209301</c:v>
                </c:pt>
                <c:pt idx="29">
                  <c:v>1.0336272835288871</c:v>
                </c:pt>
                <c:pt idx="30">
                  <c:v>1.0715109223300967</c:v>
                </c:pt>
                <c:pt idx="31">
                  <c:v>1.1093328945330647</c:v>
                </c:pt>
                <c:pt idx="32">
                  <c:v>1.1469816687737042</c:v>
                </c:pt>
                <c:pt idx="33">
                  <c:v>1.1846470019342354</c:v>
                </c:pt>
                <c:pt idx="34">
                  <c:v>1.2219150509365755</c:v>
                </c:pt>
                <c:pt idx="35">
                  <c:v>1.2593184862692568</c:v>
                </c:pt>
                <c:pt idx="36">
                  <c:v>1.29644166808801</c:v>
                </c:pt>
                <c:pt idx="37">
                  <c:v>1.3331719916652194</c:v>
                </c:pt>
                <c:pt idx="38">
                  <c:v>1.3697627672733699</c:v>
                </c:pt>
                <c:pt idx="39">
                  <c:v>1.405742271746945</c:v>
                </c:pt>
                <c:pt idx="40">
                  <c:v>1.4417763157894736</c:v>
                </c:pt>
                <c:pt idx="41">
                  <c:v>1.477395988112927</c:v>
                </c:pt>
                <c:pt idx="42">
                  <c:v>1.5129246084166827</c:v>
                </c:pt>
                <c:pt idx="43">
                  <c:v>1.5478583748562666</c:v>
                </c:pt>
                <c:pt idx="44">
                  <c:v>1.5820876288659793</c:v>
                </c:pt>
                <c:pt idx="45">
                  <c:v>1.6164281484405842</c:v>
                </c:pt>
                <c:pt idx="46">
                  <c:v>1.6503654385262316</c:v>
                </c:pt>
                <c:pt idx="47">
                  <c:v>1.6833282582216809</c:v>
                </c:pt>
                <c:pt idx="48">
                  <c:v>1.7162037037037035</c:v>
                </c:pt>
                <c:pt idx="49">
                  <c:v>1.7489470391993325</c:v>
                </c:pt>
                <c:pt idx="50">
                  <c:v>1.7809794086589226</c:v>
                </c:pt>
                <c:pt idx="51">
                  <c:v>1.812211353431687</c:v>
                </c:pt>
                <c:pt idx="52">
                  <c:v>1.8431102575200171</c:v>
                </c:pt>
                <c:pt idx="53">
                  <c:v>1.8736232756733084</c:v>
                </c:pt>
                <c:pt idx="54">
                  <c:v>1.903696013289037</c:v>
                </c:pt>
                <c:pt idx="55">
                  <c:v>1.9332726763717809</c:v>
                </c:pt>
                <c:pt idx="56">
                  <c:v>1.9622962417930725</c:v>
                </c:pt>
                <c:pt idx="57">
                  <c:v>1.9907086479066574</c:v>
                </c:pt>
                <c:pt idx="58">
                  <c:v>2.0190880721220523</c:v>
                </c:pt>
                <c:pt idx="59">
                  <c:v>2.0461134453781513</c:v>
                </c:pt>
                <c:pt idx="60">
                  <c:v>2.0730114305915626</c:v>
                </c:pt>
                <c:pt idx="61">
                  <c:v>2.0997591006423981</c:v>
                </c:pt>
                <c:pt idx="62">
                  <c:v>2.125645258103241</c:v>
                </c:pt>
                <c:pt idx="63">
                  <c:v>2.1513081395348834</c:v>
                </c:pt>
                <c:pt idx="64">
                  <c:v>2.1760108722208651</c:v>
                </c:pt>
                <c:pt idx="65">
                  <c:v>2.2004157427937914</c:v>
                </c:pt>
                <c:pt idx="66">
                  <c:v>2.2237614849764089</c:v>
                </c:pt>
                <c:pt idx="67">
                  <c:v>2.2471076836440997</c:v>
                </c:pt>
                <c:pt idx="68">
                  <c:v>2.2697628234226057</c:v>
                </c:pt>
                <c:pt idx="69">
                  <c:v>2.2919947031476258</c:v>
                </c:pt>
                <c:pt idx="70">
                  <c:v>2.3136987309060206</c:v>
                </c:pt>
                <c:pt idx="71">
                  <c:v>2.3350033494795426</c:v>
                </c:pt>
                <c:pt idx="72">
                  <c:v>2.3558852140077819</c:v>
                </c:pt>
                <c:pt idx="73">
                  <c:v>2.3763209259210907</c:v>
                </c:pt>
                <c:pt idx="74">
                  <c:v>2.3963694418164616</c:v>
                </c:pt>
                <c:pt idx="75">
                  <c:v>2.4159271207954305</c:v>
                </c:pt>
                <c:pt idx="76">
                  <c:v>2.4351394764147178</c:v>
                </c:pt>
                <c:pt idx="77">
                  <c:v>2.4539039501150777</c:v>
                </c:pt>
                <c:pt idx="78">
                  <c:v>2.4722868217054264</c:v>
                </c:pt>
                <c:pt idx="79">
                  <c:v>2.4902710109622412</c:v>
                </c:pt>
                <c:pt idx="80">
                  <c:v>2.507927824951012</c:v>
                </c:pt>
              </c:numCache>
            </c:numRef>
          </c:xVal>
          <c:yVal>
            <c:numRef>
              <c:f>'NTC Sensor VtoC'!$L$2:$L$82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79-4AA0-8211-C9EBCA84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69551"/>
        <c:axId val="1450049855"/>
      </c:scatterChart>
      <c:valAx>
        <c:axId val="1588069551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NTC Sensor</a:t>
                </a:r>
                <a:r>
                  <a:rPr lang="en-AU" baseline="0"/>
                  <a:t> Amplified Output Voltage (Volts)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49855"/>
        <c:crosses val="autoZero"/>
        <c:crossBetween val="midCat"/>
      </c:valAx>
      <c:valAx>
        <c:axId val="1450049855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695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10k NTC Circuit Output MilliVolts versus Degree</a:t>
            </a:r>
            <a:r>
              <a:rPr lang="en-US" baseline="0"/>
              <a:t> C</a:t>
            </a:r>
            <a:endParaRPr lang="en-US"/>
          </a:p>
        </c:rich>
      </c:tx>
      <c:layout>
        <c:manualLayout>
          <c:xMode val="edge"/>
          <c:yMode val="edge"/>
          <c:x val="0.1532721553188204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'NTC Sensor VtoC'!$L$1</c:f>
              <c:strCache>
                <c:ptCount val="1"/>
                <c:pt idx="0">
                  <c:v>degC</c:v>
                </c:pt>
              </c:strCache>
            </c:strRef>
          </c:tx>
          <c:spPr>
            <a:ln>
              <a:noFill/>
            </a:ln>
          </c:spPr>
          <c:trendline>
            <c:spPr>
              <a:ln w="15875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036698355201882"/>
                  <c:y val="-5.0462962962962961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'NTC Sensor VtoC'!$K$2:$K$82</c:f>
              <c:numCache>
                <c:formatCode>General</c:formatCode>
                <c:ptCount val="81"/>
                <c:pt idx="0">
                  <c:v>33</c:v>
                </c:pt>
                <c:pt idx="1">
                  <c:v>62</c:v>
                </c:pt>
                <c:pt idx="2">
                  <c:v>90</c:v>
                </c:pt>
                <c:pt idx="3">
                  <c:v>120</c:v>
                </c:pt>
                <c:pt idx="4">
                  <c:v>149</c:v>
                </c:pt>
                <c:pt idx="5">
                  <c:v>180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307</c:v>
                </c:pt>
                <c:pt idx="10">
                  <c:v>340</c:v>
                </c:pt>
                <c:pt idx="11">
                  <c:v>374</c:v>
                </c:pt>
                <c:pt idx="12">
                  <c:v>408</c:v>
                </c:pt>
                <c:pt idx="13">
                  <c:v>442</c:v>
                </c:pt>
                <c:pt idx="14">
                  <c:v>477</c:v>
                </c:pt>
                <c:pt idx="15">
                  <c:v>513</c:v>
                </c:pt>
                <c:pt idx="16">
                  <c:v>548</c:v>
                </c:pt>
                <c:pt idx="17">
                  <c:v>585</c:v>
                </c:pt>
                <c:pt idx="18">
                  <c:v>621</c:v>
                </c:pt>
                <c:pt idx="19">
                  <c:v>658</c:v>
                </c:pt>
                <c:pt idx="20">
                  <c:v>695</c:v>
                </c:pt>
                <c:pt idx="21">
                  <c:v>732</c:v>
                </c:pt>
                <c:pt idx="22">
                  <c:v>769</c:v>
                </c:pt>
                <c:pt idx="23">
                  <c:v>807</c:v>
                </c:pt>
                <c:pt idx="24">
                  <c:v>844</c:v>
                </c:pt>
                <c:pt idx="25">
                  <c:v>882</c:v>
                </c:pt>
                <c:pt idx="26">
                  <c:v>920</c:v>
                </c:pt>
                <c:pt idx="27">
                  <c:v>958</c:v>
                </c:pt>
                <c:pt idx="28">
                  <c:v>996</c:v>
                </c:pt>
                <c:pt idx="29">
                  <c:v>1034</c:v>
                </c:pt>
                <c:pt idx="30">
                  <c:v>1072</c:v>
                </c:pt>
                <c:pt idx="31">
                  <c:v>1109</c:v>
                </c:pt>
                <c:pt idx="32">
                  <c:v>1147</c:v>
                </c:pt>
                <c:pt idx="33">
                  <c:v>1185</c:v>
                </c:pt>
                <c:pt idx="34">
                  <c:v>1222</c:v>
                </c:pt>
                <c:pt idx="35">
                  <c:v>1259</c:v>
                </c:pt>
                <c:pt idx="36">
                  <c:v>1296</c:v>
                </c:pt>
                <c:pt idx="37">
                  <c:v>1333</c:v>
                </c:pt>
                <c:pt idx="38">
                  <c:v>1370</c:v>
                </c:pt>
                <c:pt idx="39">
                  <c:v>1406</c:v>
                </c:pt>
                <c:pt idx="40">
                  <c:v>1442</c:v>
                </c:pt>
                <c:pt idx="41">
                  <c:v>1477</c:v>
                </c:pt>
                <c:pt idx="42">
                  <c:v>1513</c:v>
                </c:pt>
                <c:pt idx="43">
                  <c:v>1548</c:v>
                </c:pt>
                <c:pt idx="44">
                  <c:v>1582</c:v>
                </c:pt>
                <c:pt idx="45">
                  <c:v>1616</c:v>
                </c:pt>
                <c:pt idx="46">
                  <c:v>1650</c:v>
                </c:pt>
                <c:pt idx="47">
                  <c:v>1683</c:v>
                </c:pt>
                <c:pt idx="48">
                  <c:v>1716</c:v>
                </c:pt>
                <c:pt idx="49">
                  <c:v>1749</c:v>
                </c:pt>
                <c:pt idx="50">
                  <c:v>1781</c:v>
                </c:pt>
                <c:pt idx="51">
                  <c:v>1812</c:v>
                </c:pt>
                <c:pt idx="52">
                  <c:v>1843</c:v>
                </c:pt>
                <c:pt idx="53">
                  <c:v>1874</c:v>
                </c:pt>
                <c:pt idx="54">
                  <c:v>1904</c:v>
                </c:pt>
                <c:pt idx="55">
                  <c:v>1933</c:v>
                </c:pt>
                <c:pt idx="56">
                  <c:v>1962</c:v>
                </c:pt>
                <c:pt idx="57">
                  <c:v>1991</c:v>
                </c:pt>
                <c:pt idx="58">
                  <c:v>2019</c:v>
                </c:pt>
                <c:pt idx="59">
                  <c:v>2046</c:v>
                </c:pt>
                <c:pt idx="60">
                  <c:v>2073</c:v>
                </c:pt>
                <c:pt idx="61">
                  <c:v>2100</c:v>
                </c:pt>
                <c:pt idx="62">
                  <c:v>2126</c:v>
                </c:pt>
                <c:pt idx="63">
                  <c:v>2151</c:v>
                </c:pt>
                <c:pt idx="64">
                  <c:v>2176</c:v>
                </c:pt>
                <c:pt idx="65">
                  <c:v>2200</c:v>
                </c:pt>
                <c:pt idx="66">
                  <c:v>2224</c:v>
                </c:pt>
                <c:pt idx="67">
                  <c:v>2247</c:v>
                </c:pt>
                <c:pt idx="68">
                  <c:v>2270</c:v>
                </c:pt>
                <c:pt idx="69">
                  <c:v>2292</c:v>
                </c:pt>
                <c:pt idx="70">
                  <c:v>2314</c:v>
                </c:pt>
                <c:pt idx="71">
                  <c:v>2335</c:v>
                </c:pt>
                <c:pt idx="72">
                  <c:v>2356</c:v>
                </c:pt>
                <c:pt idx="73">
                  <c:v>2376</c:v>
                </c:pt>
                <c:pt idx="74">
                  <c:v>2396</c:v>
                </c:pt>
                <c:pt idx="75">
                  <c:v>2416</c:v>
                </c:pt>
                <c:pt idx="76">
                  <c:v>2435</c:v>
                </c:pt>
                <c:pt idx="77">
                  <c:v>2454</c:v>
                </c:pt>
                <c:pt idx="78">
                  <c:v>2472</c:v>
                </c:pt>
                <c:pt idx="79">
                  <c:v>2490</c:v>
                </c:pt>
                <c:pt idx="80">
                  <c:v>2508</c:v>
                </c:pt>
              </c:numCache>
            </c:numRef>
          </c:xVal>
          <c:yVal>
            <c:numRef>
              <c:f>'NTC Sensor VtoC'!$L$2:$L$82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B-484D-BC1C-7774C60A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69551"/>
        <c:axId val="1450049855"/>
      </c:scatterChart>
      <c:valAx>
        <c:axId val="158806955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NTC Sensor</a:t>
                </a:r>
                <a:r>
                  <a:rPr lang="en-AU" baseline="0"/>
                  <a:t> Amplified Output Voltage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49855"/>
        <c:crosses val="autoZero"/>
        <c:crossBetween val="midCat"/>
      </c:valAx>
      <c:valAx>
        <c:axId val="1450049855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(Degrees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695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61</xdr:row>
      <xdr:rowOff>9525</xdr:rowOff>
    </xdr:from>
    <xdr:to>
      <xdr:col>0</xdr:col>
      <xdr:colOff>3038475</xdr:colOff>
      <xdr:row>64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EABB2B-B375-4341-BE90-AABA2DA54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505700"/>
          <a:ext cx="28098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60</xdr:row>
      <xdr:rowOff>171450</xdr:rowOff>
    </xdr:from>
    <xdr:to>
      <xdr:col>13</xdr:col>
      <xdr:colOff>419100</xdr:colOff>
      <xdr:row>64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08B88E-5DD7-4DBA-AB78-690AF66E2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743450"/>
          <a:ext cx="16287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52</xdr:row>
      <xdr:rowOff>0</xdr:rowOff>
    </xdr:from>
    <xdr:to>
      <xdr:col>0</xdr:col>
      <xdr:colOff>1571625</xdr:colOff>
      <xdr:row>54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5C5772-08E5-4BA3-A690-A0979504B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81675"/>
          <a:ext cx="14763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57</xdr:row>
      <xdr:rowOff>76200</xdr:rowOff>
    </xdr:from>
    <xdr:to>
      <xdr:col>0</xdr:col>
      <xdr:colOff>2781300</xdr:colOff>
      <xdr:row>60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881E77-609E-4986-AEA0-4B0C13716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810375"/>
          <a:ext cx="2543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39</xdr:row>
      <xdr:rowOff>47625</xdr:rowOff>
    </xdr:from>
    <xdr:to>
      <xdr:col>0</xdr:col>
      <xdr:colOff>2228850</xdr:colOff>
      <xdr:row>41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05CC96-1DA1-4229-BE8C-AA7A7BAD7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352800"/>
          <a:ext cx="2200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42</xdr:row>
      <xdr:rowOff>38100</xdr:rowOff>
    </xdr:from>
    <xdr:to>
      <xdr:col>0</xdr:col>
      <xdr:colOff>1362075</xdr:colOff>
      <xdr:row>44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C2F768-7236-45F7-AA59-1DD2351B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724275"/>
          <a:ext cx="13239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57150</xdr:rowOff>
    </xdr:from>
    <xdr:to>
      <xdr:col>0</xdr:col>
      <xdr:colOff>2581275</xdr:colOff>
      <xdr:row>49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13D4F2-ABFB-42BC-8DB2-35351D34A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25812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59831</xdr:colOff>
      <xdr:row>19</xdr:row>
      <xdr:rowOff>80482</xdr:rowOff>
    </xdr:from>
    <xdr:to>
      <xdr:col>6</xdr:col>
      <xdr:colOff>1574466</xdr:colOff>
      <xdr:row>33</xdr:row>
      <xdr:rowOff>156682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52629-EBAC-44E7-8045-73F6347A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44823</xdr:colOff>
      <xdr:row>34</xdr:row>
      <xdr:rowOff>14567</xdr:rowOff>
    </xdr:from>
    <xdr:to>
      <xdr:col>6</xdr:col>
      <xdr:colOff>1563941</xdr:colOff>
      <xdr:row>48</xdr:row>
      <xdr:rowOff>90767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DC4EC-25C1-4427-979F-67654F06B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FB930-238F-45C0-ADF5-02C2D9F30A91}" name="Table2" displayName="Table2" ref="A1:S26" totalsRowShown="0" headerRowDxfId="51">
  <autoFilter ref="A1:S26" xr:uid="{CEEF75BB-EAC9-4E42-A612-97EAC53F562A}"/>
  <tableColumns count="19">
    <tableColumn id="1" xr3:uid="{13DCA04C-13B6-4304-A110-601E8620282F}" name="Supply.Sequence" dataDxfId="50"/>
    <tableColumn id="2" xr3:uid="{71703492-43B6-4AC4-855E-DAB45D90CFDE}" name="Supply.Name" dataDxfId="49"/>
    <tableColumn id="18" xr3:uid="{6A824BF0-13B5-4636-B855-546252357E17}" name="Supply.Chipset" dataDxfId="48"/>
    <tableColumn id="19" xr3:uid="{DC3C1329-F6F9-425C-89B8-5AF1F8A0DC37}" name="Supply.Description" dataDxfId="47"/>
    <tableColumn id="17" xr3:uid="{350D1B51-75D5-4E3A-8A8C-C5C16D24F99C}" name="Input.V.Min" dataDxfId="46"/>
    <tableColumn id="11" xr3:uid="{4B2D530B-8555-46BD-9554-CC1B9941CFD1}" name="Input.V.Nom" dataDxfId="45"/>
    <tableColumn id="16" xr3:uid="{63FF9277-EC8B-4B20-A099-89240C0C7D57}" name="Input.V.Max" dataDxfId="44"/>
    <tableColumn id="12" xr3:uid="{8464BD43-089F-4E10-B40C-FE097FCC37ED}" name="Input.I.Max" dataDxfId="43"/>
    <tableColumn id="13" xr3:uid="{5DB2F782-BC28-4268-B312-99365754EDB4}" name="Input.I.Trip" dataDxfId="42"/>
    <tableColumn id="9" xr3:uid="{643FD936-3CB4-4C9B-94E6-6F611AF95C16}" name="Input.TestPoint+" dataDxfId="41"/>
    <tableColumn id="10" xr3:uid="{E4F7D814-1524-4B19-A1A7-91ADEB82CA14}" name="Input.TestPoint-" dataDxfId="40"/>
    <tableColumn id="3" xr3:uid="{78694311-A483-43E2-A63A-3E5DEE289DC6}" name="Output.V.Nom" dataDxfId="39"/>
    <tableColumn id="4" xr3:uid="{B7126421-DE43-4CDC-8C89-8BC6C7994E89}" name="Output.I.Min" dataDxfId="38"/>
    <tableColumn id="6" xr3:uid="{37904484-607F-469A-B5A3-562D5697727B}" name="Output.I.Nom" dataDxfId="37"/>
    <tableColumn id="5" xr3:uid="{2389B74B-FD7C-48A9-A395-FEA34BD9B54A}" name="Output.I.Max" dataDxfId="36"/>
    <tableColumn id="7" xr3:uid="{45CAEA86-905C-46C5-8CFD-8C05D8A40EE2}" name="Output.Vpp" dataDxfId="35"/>
    <tableColumn id="8" xr3:uid="{FC125D42-7DC2-4C1C-BEFD-114A64F6963C}" name="Output.Eff" dataDxfId="34"/>
    <tableColumn id="14" xr3:uid="{45DB411C-0C02-4F40-860E-4F391A6300E8}" name="Output.TestPoint+" dataDxfId="33"/>
    <tableColumn id="15" xr3:uid="{AED511FD-A443-4B54-8151-8379FD7DCEBC}" name="Output.TestPoint-" dataDxfId="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4F663-B905-4B68-84C8-6D10CEB7D502}" name="Table4" displayName="Table4" ref="A1:P30" totalsRowShown="0" headerRowDxfId="31" tableBorderDxfId="30">
  <autoFilter ref="A1:P30" xr:uid="{E0287AFF-6C0D-4CC5-A6E8-6BA0EF5CE6FF}"/>
  <tableColumns count="16">
    <tableColumn id="14" xr3:uid="{102A7AA2-DD3F-4336-BA11-21708B025D56}" name="Supply.Sequence" dataDxfId="29"/>
    <tableColumn id="1" xr3:uid="{90313DD0-84F0-4F38-8510-EEFD35598BD2}" name="Test.Sequence" dataDxfId="28"/>
    <tableColumn id="2" xr3:uid="{FB9F59C6-6404-47E7-AB46-585A1049E07F}" name="Test.Description" dataDxfId="27"/>
    <tableColumn id="4" xr3:uid="{1AEBC295-C0F1-465B-B594-285487069199}" name="Test.Duration" dataDxfId="26"/>
    <tableColumn id="5" xr3:uid="{C3D48C1C-AC28-43C2-9362-4183F1C42CE0}" name="Input.Voltage" dataDxfId="25"/>
    <tableColumn id="6" xr3:uid="{2835E1FF-8625-4DEC-98D2-9310C2AADCB9}" name="Input.Current" dataDxfId="24"/>
    <tableColumn id="7" xr3:uid="{4781A387-9BC6-46E8-932C-7273D67C3749}" name="Output.Voltage" dataDxfId="23"/>
    <tableColumn id="8" xr3:uid="{2C10F823-ED66-478A-B1A1-50840D60592E}" name="Output.Current" dataDxfId="22"/>
    <tableColumn id="9" xr3:uid="{DB5F531C-13C5-4887-B182-E9C8E3750B68}" name="Calc.Input.Watts" dataDxfId="21">
      <calculatedColumnFormula>Table4[[#This Row],[Input.Voltage]]*Table4[[#This Row],[Input.Current]]</calculatedColumnFormula>
    </tableColumn>
    <tableColumn id="18" xr3:uid="{84438332-D531-4B7D-ABE4-650FED81FE60}" name="Calc.Output.Watts" dataDxfId="20"/>
    <tableColumn id="17" xr3:uid="{F8B2745B-B339-4EA7-B1A6-9B6531AD3C78}" name="Calc.Efficiency" dataDxfId="19"/>
    <tableColumn id="10" xr3:uid="{65617CD1-9799-48F8-AF61-D21FEF07D6EC}" name="Temp.Ambiant" dataDxfId="18"/>
    <tableColumn id="11" xr3:uid="{F81D19B7-AD8F-425D-934F-C049C2A9DEA5}" name="Temp.PCB" dataDxfId="17"/>
    <tableColumn id="12" xr3:uid="{B0A3486C-89CA-4CD4-B17D-856494D6DCD1}" name="Temp.Spot" dataDxfId="16"/>
    <tableColumn id="13" xr3:uid="{8A0BBB33-2105-4C58-9B06-D7B158932732}" name="Calc.TempRise" dataDxfId="15"/>
    <tableColumn id="15" xr3:uid="{7B4E0116-7EB3-47C4-8721-DE3444B2B410}" name="Pass/Fail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16AE0-B520-4804-B993-6E1625CE01CA}" name="Table3" displayName="Table3" ref="A1:H22" totalsRowShown="0" dataDxfId="13">
  <autoFilter ref="A1:H22" xr:uid="{12A63F76-5B12-47DE-9FE2-E2520C25AE68}"/>
  <tableColumns count="8">
    <tableColumn id="1" xr3:uid="{3E0582FF-EA75-42B6-9C76-2855617E9412}" name="Issue Number" dataDxfId="12"/>
    <tableColumn id="2" xr3:uid="{1023F675-EA89-42E6-A30C-8F0EDAD5A7D8}" name="Revision" dataDxfId="11"/>
    <tableColumn id="6" xr3:uid="{30DEFD12-984C-4430-957F-B50AD698A25E}" name="Issue Type" dataDxfId="10"/>
    <tableColumn id="3" xr3:uid="{1F310C08-7ED2-4B2B-AA72-9E5D4943EDF3}" name="Description" dataDxfId="9"/>
    <tableColumn id="7" xr3:uid="{C3BFA457-907D-40FE-9B2D-096E478FBBFB}" name="Level" dataDxfId="8"/>
    <tableColumn id="8" xr3:uid="{0EE0E3BE-D6F0-4465-B1C6-43D19518F37F}" name="Hot-Fix?" dataDxfId="7"/>
    <tableColumn id="4" xr3:uid="{BF20E317-41A2-4A09-B969-6D165D62779B}" name="Date" dataDxfId="6"/>
    <tableColumn id="5" xr3:uid="{CFEFE281-316B-42F6-BC45-698234E52557}" name="Who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1E7890-D5DB-4CEF-9D96-1834BD9CC3AD}" name="Table5" displayName="Table5" ref="A2:D6" totalsRowShown="0">
  <autoFilter ref="A2:D6" xr:uid="{1D46223A-5B86-4519-A418-0742D39EC816}"/>
  <tableColumns count="4">
    <tableColumn id="1" xr3:uid="{96E7CC1B-3BDD-4621-87F0-4219779D86F5}" name="Design Paramter" dataDxfId="4"/>
    <tableColumn id="2" xr3:uid="{05C197E3-86AA-421C-B727-FBF8CD87C191}" name="Value" dataDxfId="3"/>
    <tableColumn id="3" xr3:uid="{E6F8625F-ACBD-4DF4-9E4A-5E1AFD67EBD2}" name="Column1"/>
    <tableColumn id="4" xr3:uid="{1F052C1C-B6A7-401E-A453-9BD82B5CF965}" name="Column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4E7AB-2418-4E53-937C-5311780BB8AE}" name="Table1" displayName="Table1" ref="H1:N82" totalsRowShown="0">
  <autoFilter ref="H1:N82" xr:uid="{28ABF772-24AC-48C7-8BF7-1F1957250A35}"/>
  <tableColumns count="7">
    <tableColumn id="2" xr3:uid="{E8030F13-5F30-4EBE-86A0-68EBF93F72F2}" name="kOhms"/>
    <tableColumn id="3" xr3:uid="{55FB9CD5-00F6-465E-9762-C30D37CD2422}" name="Vin">
      <calculatedColumnFormula>($D$9*$C$2)/($D$9+$H2)</calculatedColumnFormula>
    </tableColumn>
    <tableColumn id="4" xr3:uid="{CE15F520-3D23-460A-AD43-7F6388C215F7}" name="Vout">
      <calculatedColumnFormula>$I2*$C$16-($D$14/$C$13)*$C$1</calculatedColumnFormula>
    </tableColumn>
    <tableColumn id="5" xr3:uid="{BF738FE2-9A47-41A7-AEE1-A867928E428B}" name="mV" dataDxfId="2">
      <calculatedColumnFormula>ROUND(Table1[[#This Row],[Vout]]*1000,0)</calculatedColumnFormula>
    </tableColumn>
    <tableColumn id="1" xr3:uid="{D78168D3-AC24-4A82-B78E-8786F944A9B8}" name="degC"/>
    <tableColumn id="6" xr3:uid="{CB041A65-4CEC-4056-BA0C-39675AFB96A7}" name="mA" dataDxfId="1">
      <calculatedColumnFormula>$C$2/((Table1[[#This Row],[kOhms]]+$D$9)*1000)*1000</calculatedColumnFormula>
    </tableColumn>
    <tableColumn id="7" xr3:uid="{BDE9BF48-F596-4E5C-B65A-E5808FAF1751}" name="mW" dataDxfId="0">
      <calculatedColumnFormula>POWER(Table1[[#This Row],[mA]]/1000,2)*(Table1[[#This Row],[kOhms]]*1000)*1000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CFAF-792F-4C73-8108-D2835A84D33B}">
  <dimension ref="A1:S35"/>
  <sheetViews>
    <sheetView workbookViewId="0">
      <selection activeCell="A4" sqref="A4:B12"/>
    </sheetView>
  </sheetViews>
  <sheetFormatPr defaultRowHeight="15" x14ac:dyDescent="0.25"/>
  <cols>
    <col min="1" max="1" width="12.5703125" customWidth="1"/>
    <col min="2" max="2" width="14.140625" bestFit="1" customWidth="1"/>
    <col min="3" max="3" width="20.85546875" bestFit="1" customWidth="1"/>
    <col min="4" max="4" width="55.7109375" customWidth="1"/>
    <col min="8" max="11" width="9.140625" customWidth="1"/>
    <col min="12" max="12" width="8.5703125" customWidth="1"/>
    <col min="13" max="14" width="9.140625" customWidth="1"/>
    <col min="16" max="17" width="9.140625" customWidth="1"/>
    <col min="19" max="21" width="9.140625" customWidth="1"/>
    <col min="31" max="33" width="8.5703125" customWidth="1"/>
  </cols>
  <sheetData>
    <row r="1" spans="1:19" s="2" customFormat="1" ht="74.25" x14ac:dyDescent="0.25">
      <c r="A1" s="2" t="s">
        <v>82</v>
      </c>
      <c r="B1" s="2" t="s">
        <v>80</v>
      </c>
      <c r="C1" s="2" t="s">
        <v>81</v>
      </c>
      <c r="D1" s="2" t="s">
        <v>107</v>
      </c>
      <c r="E1" s="18" t="s">
        <v>86</v>
      </c>
      <c r="F1" s="18" t="s">
        <v>85</v>
      </c>
      <c r="G1" s="18" t="s">
        <v>87</v>
      </c>
      <c r="H1" s="18" t="s">
        <v>23</v>
      </c>
      <c r="I1" s="18" t="s">
        <v>24</v>
      </c>
      <c r="J1" s="20" t="s">
        <v>95</v>
      </c>
      <c r="K1" s="20" t="s">
        <v>96</v>
      </c>
      <c r="L1" s="19" t="s">
        <v>88</v>
      </c>
      <c r="M1" s="19" t="s">
        <v>90</v>
      </c>
      <c r="N1" s="19" t="s">
        <v>89</v>
      </c>
      <c r="O1" s="19" t="s">
        <v>91</v>
      </c>
      <c r="P1" s="19" t="s">
        <v>92</v>
      </c>
      <c r="Q1" s="19" t="s">
        <v>93</v>
      </c>
      <c r="R1" s="21" t="s">
        <v>97</v>
      </c>
      <c r="S1" s="21" t="s">
        <v>98</v>
      </c>
    </row>
    <row r="2" spans="1:19" x14ac:dyDescent="0.25">
      <c r="A2" s="3" t="s">
        <v>100</v>
      </c>
      <c r="B2" s="11" t="s">
        <v>106</v>
      </c>
      <c r="C2" s="11" t="s">
        <v>79</v>
      </c>
      <c r="D2" s="22"/>
      <c r="E2" s="14">
        <v>9</v>
      </c>
      <c r="F2" s="14">
        <v>12</v>
      </c>
      <c r="G2" s="14">
        <v>16.8</v>
      </c>
      <c r="H2" s="14">
        <v>0.5</v>
      </c>
      <c r="I2" s="14">
        <v>1</v>
      </c>
      <c r="J2" s="6"/>
      <c r="K2" s="6"/>
      <c r="L2" s="14">
        <v>12</v>
      </c>
      <c r="M2" s="14">
        <v>1E-3</v>
      </c>
      <c r="N2" s="14"/>
      <c r="O2" s="14">
        <v>0.5</v>
      </c>
      <c r="P2" s="14"/>
      <c r="Q2" s="14"/>
      <c r="R2" s="6"/>
      <c r="S2" s="6"/>
    </row>
    <row r="3" spans="1:19" x14ac:dyDescent="0.25">
      <c r="A3" s="3" t="s">
        <v>101</v>
      </c>
      <c r="B3" s="11" t="s">
        <v>73</v>
      </c>
      <c r="C3" s="11" t="s">
        <v>72</v>
      </c>
      <c r="D3" s="22"/>
      <c r="E3" s="14">
        <v>7.2</v>
      </c>
      <c r="F3" s="14">
        <v>12</v>
      </c>
      <c r="G3" s="14">
        <v>16.8</v>
      </c>
      <c r="H3" s="14">
        <v>0.5</v>
      </c>
      <c r="I3" s="14">
        <v>1</v>
      </c>
      <c r="J3" s="6" t="s">
        <v>59</v>
      </c>
      <c r="K3" s="6" t="s">
        <v>60</v>
      </c>
      <c r="L3" s="14">
        <v>10</v>
      </c>
      <c r="M3" s="14">
        <v>1E-3</v>
      </c>
      <c r="N3" s="14">
        <v>0.5</v>
      </c>
      <c r="O3" s="14">
        <v>3</v>
      </c>
      <c r="P3" s="14"/>
      <c r="Q3" s="14"/>
      <c r="R3" s="6" t="s">
        <v>61</v>
      </c>
      <c r="S3" s="6" t="s">
        <v>60</v>
      </c>
    </row>
    <row r="4" spans="1:19" x14ac:dyDescent="0.25">
      <c r="A4" s="3" t="s">
        <v>102</v>
      </c>
      <c r="B4" s="11" t="s">
        <v>75</v>
      </c>
      <c r="C4" s="11" t="s">
        <v>68</v>
      </c>
      <c r="D4" s="22"/>
      <c r="E4" s="14">
        <v>9.9</v>
      </c>
      <c r="F4" s="14">
        <v>10</v>
      </c>
      <c r="G4" s="14">
        <v>10.1</v>
      </c>
      <c r="H4" s="14">
        <v>0.85</v>
      </c>
      <c r="I4" s="14"/>
      <c r="J4" s="6"/>
      <c r="K4" s="6"/>
      <c r="L4" s="14">
        <v>5</v>
      </c>
      <c r="M4" s="14"/>
      <c r="N4" s="14"/>
      <c r="O4" s="14">
        <v>0.5</v>
      </c>
      <c r="P4" s="14"/>
      <c r="Q4" s="6"/>
      <c r="R4" s="6"/>
      <c r="S4" s="6"/>
    </row>
    <row r="5" spans="1:19" x14ac:dyDescent="0.25">
      <c r="A5" s="3" t="s">
        <v>104</v>
      </c>
      <c r="B5" s="11" t="s">
        <v>77</v>
      </c>
      <c r="C5" s="11" t="s">
        <v>69</v>
      </c>
      <c r="D5" s="22"/>
      <c r="E5" s="14">
        <v>4.3</v>
      </c>
      <c r="F5" s="14">
        <v>5</v>
      </c>
      <c r="G5" s="14">
        <v>5</v>
      </c>
      <c r="H5" s="14">
        <v>0.25</v>
      </c>
      <c r="I5" s="14"/>
      <c r="J5" s="6"/>
      <c r="K5" s="6"/>
      <c r="L5" s="14">
        <v>3.3</v>
      </c>
      <c r="M5" s="14"/>
      <c r="N5" s="14"/>
      <c r="O5" s="14">
        <v>0.25</v>
      </c>
      <c r="P5" s="14"/>
      <c r="Q5" s="6"/>
      <c r="R5" s="6"/>
      <c r="S5" s="6"/>
    </row>
    <row r="6" spans="1:19" x14ac:dyDescent="0.25">
      <c r="A6" s="3" t="s">
        <v>103</v>
      </c>
      <c r="B6" s="11" t="s">
        <v>76</v>
      </c>
      <c r="C6" s="11" t="s">
        <v>68</v>
      </c>
      <c r="D6" s="22"/>
      <c r="E6" s="14">
        <v>9.75</v>
      </c>
      <c r="F6" s="14">
        <v>10</v>
      </c>
      <c r="G6" s="14">
        <v>10.25</v>
      </c>
      <c r="H6" s="14">
        <v>0.85</v>
      </c>
      <c r="I6" s="14"/>
      <c r="J6" s="6"/>
      <c r="K6" s="6"/>
      <c r="L6" s="14">
        <v>5</v>
      </c>
      <c r="M6" s="14"/>
      <c r="N6" s="14"/>
      <c r="O6" s="14">
        <v>0.5</v>
      </c>
      <c r="P6" s="14"/>
      <c r="Q6" s="6"/>
      <c r="R6" s="6"/>
      <c r="S6" s="6"/>
    </row>
    <row r="7" spans="1:19" x14ac:dyDescent="0.25">
      <c r="A7" s="3" t="s">
        <v>105</v>
      </c>
      <c r="B7" s="11" t="s">
        <v>78</v>
      </c>
      <c r="C7" s="11" t="s">
        <v>70</v>
      </c>
      <c r="D7" s="22"/>
      <c r="E7" s="14">
        <v>4.75</v>
      </c>
      <c r="F7" s="14">
        <v>5</v>
      </c>
      <c r="G7" s="14">
        <v>5.25</v>
      </c>
      <c r="H7" s="14">
        <v>0.5</v>
      </c>
      <c r="I7" s="14"/>
      <c r="J7" s="6"/>
      <c r="K7" s="6"/>
      <c r="L7" s="14">
        <v>3.3</v>
      </c>
      <c r="M7" s="14"/>
      <c r="N7" s="14"/>
      <c r="O7" s="14">
        <v>0.5</v>
      </c>
      <c r="P7" s="14"/>
      <c r="Q7" s="6"/>
      <c r="R7" s="6"/>
      <c r="S7" s="6"/>
    </row>
    <row r="8" spans="1:19" x14ac:dyDescent="0.25">
      <c r="A8" s="3" t="s">
        <v>139</v>
      </c>
      <c r="B8" s="23" t="s">
        <v>74</v>
      </c>
      <c r="C8" s="11" t="s">
        <v>71</v>
      </c>
      <c r="D8" s="22"/>
      <c r="E8" s="14">
        <v>9.9</v>
      </c>
      <c r="F8" s="14">
        <v>10</v>
      </c>
      <c r="G8" s="14">
        <v>10.1</v>
      </c>
      <c r="H8" s="14">
        <v>1</v>
      </c>
      <c r="I8" s="14">
        <v>1.5</v>
      </c>
      <c r="J8" s="6" t="s">
        <v>59</v>
      </c>
      <c r="K8" s="6" t="s">
        <v>60</v>
      </c>
      <c r="L8" s="14">
        <v>-5</v>
      </c>
      <c r="M8" s="14">
        <v>0.01</v>
      </c>
      <c r="N8" s="14">
        <v>0.01</v>
      </c>
      <c r="O8" s="14">
        <v>1</v>
      </c>
      <c r="P8" s="14"/>
      <c r="Q8" s="14"/>
      <c r="R8" s="6" t="s">
        <v>62</v>
      </c>
      <c r="S8" s="6" t="s">
        <v>63</v>
      </c>
    </row>
    <row r="9" spans="1:19" x14ac:dyDescent="0.25">
      <c r="A9" s="3" t="s">
        <v>119</v>
      </c>
      <c r="B9" s="11" t="s">
        <v>115</v>
      </c>
      <c r="C9" s="11" t="s">
        <v>123</v>
      </c>
      <c r="D9" s="22"/>
      <c r="E9" s="14">
        <v>2.52</v>
      </c>
      <c r="F9" s="14">
        <v>3.3</v>
      </c>
      <c r="G9" s="14">
        <v>5.5</v>
      </c>
      <c r="H9" s="14"/>
      <c r="I9" s="14"/>
      <c r="J9" s="6"/>
      <c r="K9" s="6"/>
      <c r="L9" s="14">
        <v>1.25</v>
      </c>
      <c r="M9" s="14"/>
      <c r="N9" s="14"/>
      <c r="O9" s="14"/>
      <c r="P9" s="14"/>
      <c r="Q9" s="6"/>
      <c r="R9" s="6"/>
      <c r="S9" s="6"/>
    </row>
    <row r="10" spans="1:19" x14ac:dyDescent="0.25">
      <c r="A10" s="3" t="s">
        <v>120</v>
      </c>
      <c r="B10" s="11" t="s">
        <v>116</v>
      </c>
      <c r="C10" s="11" t="s">
        <v>124</v>
      </c>
      <c r="D10" s="11"/>
      <c r="E10" s="14">
        <v>2.52</v>
      </c>
      <c r="F10" s="14">
        <v>3.3</v>
      </c>
      <c r="G10" s="14">
        <v>5.5</v>
      </c>
      <c r="H10" s="14"/>
      <c r="I10" s="14"/>
      <c r="J10" s="6"/>
      <c r="K10" s="6"/>
      <c r="L10" s="14">
        <v>2.5</v>
      </c>
      <c r="M10" s="14"/>
      <c r="N10" s="14"/>
      <c r="O10" s="14"/>
      <c r="P10" s="14"/>
      <c r="Q10" s="6"/>
      <c r="R10" s="6"/>
      <c r="S10" s="6"/>
    </row>
    <row r="11" spans="1:19" x14ac:dyDescent="0.25">
      <c r="A11" s="3" t="s">
        <v>121</v>
      </c>
      <c r="B11" s="11" t="s">
        <v>108</v>
      </c>
      <c r="C11" s="11" t="s">
        <v>110</v>
      </c>
      <c r="D11" s="22" t="s">
        <v>111</v>
      </c>
      <c r="E11" s="14">
        <v>1.25</v>
      </c>
      <c r="F11" s="14">
        <v>1.25</v>
      </c>
      <c r="G11" s="14">
        <v>1.25</v>
      </c>
      <c r="H11" s="14"/>
      <c r="I11" s="14"/>
      <c r="J11" s="6"/>
      <c r="K11" s="6"/>
      <c r="L11" s="14">
        <v>1.25</v>
      </c>
      <c r="M11" s="14"/>
      <c r="N11" s="14"/>
      <c r="O11" s="14"/>
      <c r="P11" s="14"/>
      <c r="Q11" s="6"/>
      <c r="R11" s="6"/>
      <c r="S11" s="6"/>
    </row>
    <row r="12" spans="1:19" x14ac:dyDescent="0.25">
      <c r="A12" s="3" t="s">
        <v>122</v>
      </c>
      <c r="B12" s="11" t="s">
        <v>109</v>
      </c>
      <c r="C12" s="11" t="s">
        <v>110</v>
      </c>
      <c r="D12" s="22" t="s">
        <v>112</v>
      </c>
      <c r="E12" s="14">
        <v>2.5</v>
      </c>
      <c r="F12" s="14">
        <v>2.5</v>
      </c>
      <c r="G12" s="14">
        <v>2.5</v>
      </c>
      <c r="H12" s="14"/>
      <c r="I12" s="14"/>
      <c r="J12" s="6"/>
      <c r="K12" s="6"/>
      <c r="L12" s="14">
        <v>2.5</v>
      </c>
      <c r="M12" s="14"/>
      <c r="N12" s="14"/>
      <c r="O12" s="14"/>
      <c r="P12" s="14"/>
      <c r="Q12" s="6"/>
      <c r="R12" s="6"/>
      <c r="S12" s="6"/>
    </row>
    <row r="13" spans="1:19" x14ac:dyDescent="0.25">
      <c r="A13" s="3" t="s">
        <v>117</v>
      </c>
      <c r="B13" s="11" t="s">
        <v>113</v>
      </c>
      <c r="C13" s="11" t="s">
        <v>123</v>
      </c>
      <c r="D13" s="22"/>
      <c r="E13" s="14">
        <v>3.2</v>
      </c>
      <c r="F13" s="14">
        <v>3.3</v>
      </c>
      <c r="G13" s="14">
        <v>3.4</v>
      </c>
      <c r="H13" s="14"/>
      <c r="I13" s="14"/>
      <c r="J13" s="6"/>
      <c r="K13" s="6"/>
      <c r="L13" s="14">
        <v>1.25</v>
      </c>
      <c r="M13" s="14"/>
      <c r="N13" s="14"/>
      <c r="O13" s="14">
        <v>0.02</v>
      </c>
      <c r="P13" s="14"/>
      <c r="Q13" s="6"/>
      <c r="R13" s="6"/>
      <c r="S13" s="6"/>
    </row>
    <row r="14" spans="1:19" x14ac:dyDescent="0.25">
      <c r="A14" s="3" t="s">
        <v>118</v>
      </c>
      <c r="B14" s="11" t="s">
        <v>114</v>
      </c>
      <c r="C14" s="11" t="s">
        <v>124</v>
      </c>
      <c r="D14" s="22"/>
      <c r="E14" s="14">
        <v>3.2</v>
      </c>
      <c r="F14" s="14">
        <v>3.3</v>
      </c>
      <c r="G14" s="14">
        <v>3.4</v>
      </c>
      <c r="H14" s="14"/>
      <c r="I14" s="14"/>
      <c r="J14" s="6"/>
      <c r="K14" s="6"/>
      <c r="L14" s="14">
        <v>2.5</v>
      </c>
      <c r="M14" s="14"/>
      <c r="N14" s="14"/>
      <c r="O14" s="14">
        <v>0.02</v>
      </c>
      <c r="P14" s="14"/>
      <c r="Q14" s="6"/>
      <c r="R14" s="6"/>
      <c r="S14" s="6"/>
    </row>
    <row r="15" spans="1:19" x14ac:dyDescent="0.25">
      <c r="A15" s="3"/>
      <c r="B15" s="11"/>
      <c r="C15" s="11"/>
      <c r="D15" s="22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3"/>
      <c r="B16" s="11"/>
      <c r="C16" s="11"/>
      <c r="D16" s="22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3"/>
      <c r="B17" s="11"/>
      <c r="C17" s="11"/>
      <c r="D17" s="22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3"/>
      <c r="B18" s="11"/>
      <c r="C18" s="11"/>
      <c r="D18" s="22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3"/>
      <c r="B19" s="11"/>
      <c r="C19" s="11"/>
      <c r="D19" s="22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3"/>
      <c r="B20" s="11"/>
      <c r="C20" s="11"/>
      <c r="D20" s="22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3"/>
      <c r="B21" s="11"/>
      <c r="C21" s="11"/>
      <c r="D21" s="22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3"/>
      <c r="B22" s="11"/>
      <c r="C22" s="11"/>
      <c r="D22" s="22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3"/>
      <c r="B23" s="11"/>
      <c r="C23" s="11"/>
      <c r="D23" s="22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3"/>
      <c r="B24" s="11"/>
      <c r="C24" s="11"/>
      <c r="D24" s="22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3"/>
      <c r="B25" s="11"/>
      <c r="C25" s="11"/>
      <c r="D25" s="22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3"/>
      <c r="B26" s="11"/>
      <c r="C26" s="11"/>
      <c r="D26" s="22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</row>
    <row r="35" spans="1:1" x14ac:dyDescent="0.25">
      <c r="A35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E35E-A270-40E3-BB8C-8C3AAB012FE0}">
  <dimension ref="A1:P30"/>
  <sheetViews>
    <sheetView tabSelected="1" workbookViewId="0">
      <selection activeCell="AB7" sqref="AB7"/>
    </sheetView>
  </sheetViews>
  <sheetFormatPr defaultRowHeight="15" x14ac:dyDescent="0.25"/>
  <cols>
    <col min="3" max="3" width="34.42578125" bestFit="1" customWidth="1"/>
  </cols>
  <sheetData>
    <row r="1" spans="1:16" ht="72.75" x14ac:dyDescent="0.25">
      <c r="A1" s="15" t="s">
        <v>82</v>
      </c>
      <c r="B1" s="5" t="s">
        <v>99</v>
      </c>
      <c r="C1" s="5" t="s">
        <v>25</v>
      </c>
      <c r="D1" s="5" t="s">
        <v>83</v>
      </c>
      <c r="E1" s="5" t="s">
        <v>22</v>
      </c>
      <c r="F1" s="5" t="s">
        <v>53</v>
      </c>
      <c r="G1" s="5" t="s">
        <v>51</v>
      </c>
      <c r="H1" s="5" t="s">
        <v>52</v>
      </c>
      <c r="I1" s="17" t="s">
        <v>157</v>
      </c>
      <c r="J1" s="17" t="s">
        <v>158</v>
      </c>
      <c r="K1" s="17" t="s">
        <v>54</v>
      </c>
      <c r="L1" s="5" t="s">
        <v>55</v>
      </c>
      <c r="M1" s="5" t="s">
        <v>56</v>
      </c>
      <c r="N1" s="5" t="s">
        <v>57</v>
      </c>
      <c r="O1" s="17" t="s">
        <v>58</v>
      </c>
      <c r="P1" s="16" t="s">
        <v>84</v>
      </c>
    </row>
    <row r="2" spans="1:16" x14ac:dyDescent="0.25">
      <c r="A2" s="27" t="s">
        <v>101</v>
      </c>
      <c r="B2" s="27" t="s">
        <v>150</v>
      </c>
      <c r="C2" s="12" t="s">
        <v>153</v>
      </c>
      <c r="D2" s="7">
        <v>0</v>
      </c>
      <c r="E2" s="7">
        <v>7.2</v>
      </c>
      <c r="F2" s="28">
        <v>0.22</v>
      </c>
      <c r="G2" s="28">
        <v>10.058</v>
      </c>
      <c r="H2" s="7" t="s">
        <v>156</v>
      </c>
      <c r="I2" s="26">
        <f>Table4[[#This Row],[Input.Voltage]]*Table4[[#This Row],[Input.Current]]</f>
        <v>1.5840000000000001</v>
      </c>
      <c r="J2" s="26"/>
      <c r="K2" s="26"/>
      <c r="L2" s="7"/>
      <c r="M2" s="7"/>
      <c r="N2" s="7"/>
      <c r="O2" s="26"/>
      <c r="P2" s="7"/>
    </row>
    <row r="3" spans="1:16" x14ac:dyDescent="0.25">
      <c r="A3" s="27"/>
      <c r="B3" s="27" t="s">
        <v>151</v>
      </c>
      <c r="C3" s="12" t="s">
        <v>154</v>
      </c>
      <c r="D3" s="7">
        <v>0</v>
      </c>
      <c r="E3" s="7">
        <v>12</v>
      </c>
      <c r="F3" s="28">
        <v>0.13200000000000001</v>
      </c>
      <c r="G3" s="28">
        <v>10.073</v>
      </c>
      <c r="H3" s="7" t="s">
        <v>156</v>
      </c>
      <c r="I3" s="26">
        <f>Table4[[#This Row],[Input.Voltage]]*Table4[[#This Row],[Input.Current]]</f>
        <v>1.5840000000000001</v>
      </c>
      <c r="J3" s="26"/>
      <c r="K3" s="26"/>
      <c r="L3" s="7"/>
      <c r="M3" s="7"/>
      <c r="N3" s="7"/>
      <c r="O3" s="26"/>
      <c r="P3" s="7"/>
    </row>
    <row r="4" spans="1:16" x14ac:dyDescent="0.25">
      <c r="A4" s="27"/>
      <c r="B4" s="27" t="s">
        <v>152</v>
      </c>
      <c r="C4" s="12" t="s">
        <v>155</v>
      </c>
      <c r="D4" s="7">
        <v>0</v>
      </c>
      <c r="E4" s="7">
        <v>16</v>
      </c>
      <c r="F4" s="28">
        <v>9.6000000000000002E-2</v>
      </c>
      <c r="G4" s="28">
        <v>10.073</v>
      </c>
      <c r="H4" s="7" t="s">
        <v>156</v>
      </c>
      <c r="I4" s="26">
        <f>Table4[[#This Row],[Input.Voltage]]*Table4[[#This Row],[Input.Current]]</f>
        <v>1.536</v>
      </c>
      <c r="J4" s="26"/>
      <c r="K4" s="26"/>
      <c r="L4" s="7"/>
      <c r="M4" s="7"/>
      <c r="N4" s="7"/>
      <c r="O4" s="26"/>
      <c r="P4" s="7"/>
    </row>
    <row r="5" spans="1:16" x14ac:dyDescent="0.25">
      <c r="A5" s="27" t="s">
        <v>102</v>
      </c>
      <c r="B5" s="27" t="s">
        <v>240</v>
      </c>
      <c r="C5" s="27" t="s">
        <v>249</v>
      </c>
      <c r="D5" s="7">
        <v>0</v>
      </c>
      <c r="E5" s="7">
        <v>10.068</v>
      </c>
      <c r="F5" s="7"/>
      <c r="G5" s="7">
        <v>5.0091000000000001</v>
      </c>
      <c r="H5" s="7"/>
      <c r="I5" s="26">
        <f>Table4[[#This Row],[Input.Voltage]]*Table4[[#This Row],[Input.Current]]</f>
        <v>0</v>
      </c>
      <c r="J5" s="26"/>
      <c r="K5" s="26"/>
      <c r="L5" s="7"/>
      <c r="M5" s="7"/>
      <c r="N5" s="7"/>
      <c r="O5" s="26"/>
      <c r="P5" s="7"/>
    </row>
    <row r="6" spans="1:16" x14ac:dyDescent="0.25">
      <c r="A6" s="27" t="s">
        <v>104</v>
      </c>
      <c r="B6" s="27" t="s">
        <v>241</v>
      </c>
      <c r="C6" s="27" t="s">
        <v>250</v>
      </c>
      <c r="D6" s="7"/>
      <c r="E6" s="7">
        <v>5.0091000000000001</v>
      </c>
      <c r="F6" s="7"/>
      <c r="G6" s="7">
        <v>3.3186</v>
      </c>
      <c r="H6" s="7"/>
      <c r="I6" s="26">
        <f>Table4[[#This Row],[Input.Voltage]]*Table4[[#This Row],[Input.Current]]</f>
        <v>0</v>
      </c>
      <c r="J6" s="26"/>
      <c r="K6" s="26"/>
      <c r="L6" s="7"/>
      <c r="M6" s="7"/>
      <c r="N6" s="7"/>
      <c r="O6" s="26"/>
      <c r="P6" s="7"/>
    </row>
    <row r="7" spans="1:16" x14ac:dyDescent="0.25">
      <c r="A7" s="27" t="s">
        <v>103</v>
      </c>
      <c r="B7" s="27" t="s">
        <v>242</v>
      </c>
      <c r="C7" s="27" t="s">
        <v>251</v>
      </c>
      <c r="D7" s="7"/>
      <c r="E7" s="7">
        <v>10.068</v>
      </c>
      <c r="F7" s="7"/>
      <c r="G7" s="7">
        <v>5.0308999999999999</v>
      </c>
      <c r="H7" s="7"/>
      <c r="I7" s="26">
        <f>Table4[[#This Row],[Input.Voltage]]*Table4[[#This Row],[Input.Current]]</f>
        <v>0</v>
      </c>
      <c r="J7" s="26"/>
      <c r="K7" s="26"/>
      <c r="L7" s="7"/>
      <c r="M7" s="7"/>
      <c r="N7" s="7"/>
      <c r="O7" s="26"/>
      <c r="P7" s="7"/>
    </row>
    <row r="8" spans="1:16" x14ac:dyDescent="0.25">
      <c r="A8" s="27" t="s">
        <v>105</v>
      </c>
      <c r="B8" s="27" t="s">
        <v>243</v>
      </c>
      <c r="C8" s="27" t="s">
        <v>252</v>
      </c>
      <c r="D8" s="7"/>
      <c r="E8" s="7">
        <v>5.0308999999999999</v>
      </c>
      <c r="F8" s="7"/>
      <c r="G8" s="7">
        <v>3.2932999999999999</v>
      </c>
      <c r="H8" s="7"/>
      <c r="I8" s="26">
        <f>Table4[[#This Row],[Input.Voltage]]*Table4[[#This Row],[Input.Current]]</f>
        <v>0</v>
      </c>
      <c r="J8" s="26"/>
      <c r="K8" s="26"/>
      <c r="L8" s="7"/>
      <c r="M8" s="7"/>
      <c r="N8" s="7"/>
      <c r="O8" s="26"/>
      <c r="P8" s="7"/>
    </row>
    <row r="9" spans="1:16" x14ac:dyDescent="0.25">
      <c r="A9" s="27" t="s">
        <v>139</v>
      </c>
      <c r="B9" s="27" t="s">
        <v>244</v>
      </c>
      <c r="C9" s="27" t="s">
        <v>253</v>
      </c>
      <c r="D9" s="7"/>
      <c r="E9" s="7">
        <v>10.068</v>
      </c>
      <c r="F9" s="7"/>
      <c r="G9" s="7">
        <v>-5.0410000000000004</v>
      </c>
      <c r="H9" s="7"/>
      <c r="I9" s="26">
        <f>Table4[[#This Row],[Input.Voltage]]*Table4[[#This Row],[Input.Current]]</f>
        <v>0</v>
      </c>
      <c r="J9" s="26"/>
      <c r="K9" s="26"/>
      <c r="L9" s="7"/>
      <c r="M9" s="7"/>
      <c r="N9" s="7"/>
      <c r="O9" s="26"/>
      <c r="P9" s="7"/>
    </row>
    <row r="10" spans="1:16" x14ac:dyDescent="0.25">
      <c r="A10" s="27" t="s">
        <v>119</v>
      </c>
      <c r="B10" s="27" t="s">
        <v>245</v>
      </c>
      <c r="C10" s="27" t="s">
        <v>254</v>
      </c>
      <c r="D10" s="7"/>
      <c r="E10" s="7">
        <v>3.3170000000000002</v>
      </c>
      <c r="F10" s="7"/>
      <c r="G10" s="7">
        <v>1.2501</v>
      </c>
      <c r="H10" s="7"/>
      <c r="I10" s="26">
        <f>Table4[[#This Row],[Input.Voltage]]*Table4[[#This Row],[Input.Current]]</f>
        <v>0</v>
      </c>
      <c r="J10" s="26"/>
      <c r="K10" s="26"/>
      <c r="L10" s="7"/>
      <c r="M10" s="7"/>
      <c r="N10" s="7"/>
      <c r="O10" s="26"/>
      <c r="P10" s="7"/>
    </row>
    <row r="11" spans="1:16" x14ac:dyDescent="0.25">
      <c r="A11" s="27" t="s">
        <v>120</v>
      </c>
      <c r="B11" s="27" t="s">
        <v>246</v>
      </c>
      <c r="C11" s="27" t="s">
        <v>255</v>
      </c>
      <c r="D11" s="7"/>
      <c r="E11" s="7">
        <v>3.3170000000000002</v>
      </c>
      <c r="F11" s="7"/>
      <c r="G11" s="7">
        <v>2.5001000000000002</v>
      </c>
      <c r="H11" s="7"/>
      <c r="I11" s="26">
        <f>Table4[[#This Row],[Input.Voltage]]*Table4[[#This Row],[Input.Current]]</f>
        <v>0</v>
      </c>
      <c r="J11" s="26"/>
      <c r="K11" s="26"/>
      <c r="L11" s="7"/>
      <c r="M11" s="7"/>
      <c r="N11" s="7"/>
      <c r="O11" s="26"/>
      <c r="P11" s="7"/>
    </row>
    <row r="12" spans="1:16" x14ac:dyDescent="0.25">
      <c r="A12" s="27" t="s">
        <v>121</v>
      </c>
      <c r="B12" s="27" t="s">
        <v>247</v>
      </c>
      <c r="C12" s="27" t="s">
        <v>256</v>
      </c>
      <c r="D12" s="7"/>
      <c r="E12" s="7">
        <v>1.2501</v>
      </c>
      <c r="F12" s="7"/>
      <c r="G12" s="7">
        <v>1.25</v>
      </c>
      <c r="H12" s="7"/>
      <c r="I12" s="26">
        <f>Table4[[#This Row],[Input.Voltage]]*Table4[[#This Row],[Input.Current]]</f>
        <v>0</v>
      </c>
      <c r="J12" s="26"/>
      <c r="K12" s="26"/>
      <c r="L12" s="7"/>
      <c r="M12" s="7"/>
      <c r="N12" s="7"/>
      <c r="O12" s="26"/>
      <c r="P12" s="7"/>
    </row>
    <row r="13" spans="1:16" x14ac:dyDescent="0.25">
      <c r="A13" s="27" t="s">
        <v>122</v>
      </c>
      <c r="B13" s="27" t="s">
        <v>248</v>
      </c>
      <c r="C13" s="27" t="s">
        <v>257</v>
      </c>
      <c r="D13" s="7"/>
      <c r="E13" s="7">
        <v>2.5001000000000002</v>
      </c>
      <c r="F13" s="7"/>
      <c r="G13" s="7">
        <v>2.5001000000000002</v>
      </c>
      <c r="H13" s="7"/>
      <c r="I13" s="26">
        <f>Table4[[#This Row],[Input.Voltage]]*Table4[[#This Row],[Input.Current]]</f>
        <v>0</v>
      </c>
      <c r="J13" s="26"/>
      <c r="K13" s="26"/>
      <c r="L13" s="7"/>
      <c r="M13" s="7"/>
      <c r="N13" s="7"/>
      <c r="O13" s="26"/>
      <c r="P13" s="7"/>
    </row>
    <row r="14" spans="1:16" x14ac:dyDescent="0.25">
      <c r="A14" s="27"/>
      <c r="B14" s="27"/>
      <c r="C14" s="12"/>
      <c r="D14" s="7"/>
      <c r="E14" s="7"/>
      <c r="F14" s="7"/>
      <c r="G14" s="7"/>
      <c r="H14" s="7"/>
      <c r="I14" s="26">
        <f>Table4[[#This Row],[Input.Voltage]]*Table4[[#This Row],[Input.Current]]</f>
        <v>0</v>
      </c>
      <c r="J14" s="26"/>
      <c r="K14" s="26"/>
      <c r="L14" s="7"/>
      <c r="M14" s="7"/>
      <c r="N14" s="7"/>
      <c r="O14" s="26"/>
      <c r="P14" s="7"/>
    </row>
    <row r="15" spans="1:16" x14ac:dyDescent="0.25">
      <c r="A15" s="27"/>
      <c r="B15" s="27"/>
      <c r="C15" s="12"/>
      <c r="D15" s="7"/>
      <c r="E15" s="7"/>
      <c r="F15" s="7"/>
      <c r="G15" s="7"/>
      <c r="H15" s="7"/>
      <c r="I15" s="26">
        <f>Table4[[#This Row],[Input.Voltage]]*Table4[[#This Row],[Input.Current]]</f>
        <v>0</v>
      </c>
      <c r="J15" s="26"/>
      <c r="K15" s="26"/>
      <c r="L15" s="7"/>
      <c r="M15" s="7"/>
      <c r="N15" s="7"/>
      <c r="O15" s="26"/>
      <c r="P15" s="7"/>
    </row>
    <row r="16" spans="1:16" x14ac:dyDescent="0.25">
      <c r="A16" s="27"/>
      <c r="B16" s="27"/>
      <c r="C16" s="12"/>
      <c r="D16" s="7"/>
      <c r="E16" s="7"/>
      <c r="F16" s="7"/>
      <c r="G16" s="7"/>
      <c r="H16" s="7"/>
      <c r="I16" s="26">
        <f>Table4[[#This Row],[Input.Voltage]]*Table4[[#This Row],[Input.Current]]</f>
        <v>0</v>
      </c>
      <c r="J16" s="26"/>
      <c r="K16" s="26"/>
      <c r="L16" s="7"/>
      <c r="M16" s="7"/>
      <c r="N16" s="7"/>
      <c r="O16" s="26"/>
      <c r="P16" s="7"/>
    </row>
    <row r="17" spans="1:16" x14ac:dyDescent="0.25">
      <c r="A17" s="27"/>
      <c r="B17" s="27"/>
      <c r="C17" s="12"/>
      <c r="D17" s="7"/>
      <c r="E17" s="7"/>
      <c r="F17" s="7"/>
      <c r="G17" s="7"/>
      <c r="H17" s="7"/>
      <c r="I17" s="26">
        <f>Table4[[#This Row],[Input.Voltage]]*Table4[[#This Row],[Input.Current]]</f>
        <v>0</v>
      </c>
      <c r="J17" s="26"/>
      <c r="K17" s="26"/>
      <c r="L17" s="7"/>
      <c r="M17" s="7"/>
      <c r="N17" s="7"/>
      <c r="O17" s="26"/>
      <c r="P17" s="7"/>
    </row>
    <row r="18" spans="1:16" x14ac:dyDescent="0.25">
      <c r="A18" t="s">
        <v>206</v>
      </c>
      <c r="B18" s="27" t="s">
        <v>265</v>
      </c>
      <c r="C18" s="12" t="s">
        <v>273</v>
      </c>
      <c r="D18" s="7">
        <v>0</v>
      </c>
      <c r="E18" s="7">
        <v>2.5019999999999998</v>
      </c>
      <c r="F18" s="7">
        <v>0</v>
      </c>
      <c r="G18" s="7">
        <v>1.2487999999999999</v>
      </c>
      <c r="H18" s="7"/>
      <c r="I18" s="26">
        <f>Table4[[#This Row],[Input.Voltage]]*Table4[[#This Row],[Input.Current]]</f>
        <v>0</v>
      </c>
      <c r="J18" s="26"/>
      <c r="K18" s="26"/>
      <c r="L18" s="7"/>
      <c r="M18" s="7"/>
      <c r="N18" s="7"/>
      <c r="O18" s="26"/>
      <c r="P18" s="7"/>
    </row>
    <row r="19" spans="1:16" x14ac:dyDescent="0.25">
      <c r="A19" s="27" t="s">
        <v>258</v>
      </c>
      <c r="B19" s="27" t="s">
        <v>266</v>
      </c>
      <c r="C19" s="12" t="s">
        <v>274</v>
      </c>
      <c r="D19" s="7">
        <v>0</v>
      </c>
      <c r="E19" s="7">
        <v>2.5019999999999998</v>
      </c>
      <c r="F19" s="7">
        <v>0</v>
      </c>
      <c r="G19" s="7" t="s">
        <v>281</v>
      </c>
      <c r="H19" s="7"/>
      <c r="I19" s="26">
        <f>Table4[[#This Row],[Input.Voltage]]*Table4[[#This Row],[Input.Current]]</f>
        <v>0</v>
      </c>
      <c r="J19" s="26"/>
      <c r="K19" s="26"/>
      <c r="L19" s="7"/>
      <c r="M19" s="7"/>
      <c r="N19" s="7"/>
      <c r="O19" s="26"/>
      <c r="P19" s="7"/>
    </row>
    <row r="20" spans="1:16" x14ac:dyDescent="0.25">
      <c r="A20" s="27" t="s">
        <v>259</v>
      </c>
      <c r="B20" s="27" t="s">
        <v>267</v>
      </c>
      <c r="C20" s="12" t="s">
        <v>275</v>
      </c>
      <c r="D20" s="7">
        <v>0</v>
      </c>
      <c r="E20" s="7">
        <v>2.5019999999999998</v>
      </c>
      <c r="F20" s="7">
        <v>0</v>
      </c>
      <c r="G20" s="7">
        <v>1.2499</v>
      </c>
      <c r="H20" s="7"/>
      <c r="I20" s="26">
        <f>Table4[[#This Row],[Input.Voltage]]*Table4[[#This Row],[Input.Current]]</f>
        <v>0</v>
      </c>
      <c r="J20" s="26"/>
      <c r="K20" s="26"/>
      <c r="L20" s="7"/>
      <c r="M20" s="7"/>
      <c r="N20" s="7"/>
      <c r="O20" s="26"/>
      <c r="P20" s="7"/>
    </row>
    <row r="21" spans="1:16" x14ac:dyDescent="0.25">
      <c r="A21" s="27" t="s">
        <v>260</v>
      </c>
      <c r="B21" s="27" t="s">
        <v>268</v>
      </c>
      <c r="C21" s="12" t="s">
        <v>276</v>
      </c>
      <c r="D21" s="7">
        <v>0</v>
      </c>
      <c r="E21" s="7">
        <v>2.5019999999999998</v>
      </c>
      <c r="F21" s="7">
        <v>0</v>
      </c>
      <c r="G21" s="7">
        <v>1.2488999999999999</v>
      </c>
      <c r="H21" s="7"/>
      <c r="I21" s="26">
        <f>Table4[[#This Row],[Input.Voltage]]*Table4[[#This Row],[Input.Current]]</f>
        <v>0</v>
      </c>
      <c r="J21" s="26"/>
      <c r="K21" s="26"/>
      <c r="L21" s="7"/>
      <c r="M21" s="7"/>
      <c r="N21" s="7"/>
      <c r="O21" s="26"/>
      <c r="P21" s="7"/>
    </row>
    <row r="22" spans="1:16" x14ac:dyDescent="0.25">
      <c r="A22" s="27" t="s">
        <v>261</v>
      </c>
      <c r="B22" s="27" t="s">
        <v>269</v>
      </c>
      <c r="C22" s="12" t="s">
        <v>277</v>
      </c>
      <c r="D22" s="7">
        <v>0</v>
      </c>
      <c r="E22" s="7">
        <v>2.5019999999999998</v>
      </c>
      <c r="F22" s="7">
        <v>0</v>
      </c>
      <c r="G22" s="7">
        <v>1.2434000000000001</v>
      </c>
      <c r="H22" s="7"/>
      <c r="I22" s="26">
        <f>Table4[[#This Row],[Input.Voltage]]*Table4[[#This Row],[Input.Current]]</f>
        <v>0</v>
      </c>
      <c r="J22" s="26"/>
      <c r="K22" s="26"/>
      <c r="L22" s="7"/>
      <c r="M22" s="7"/>
      <c r="N22" s="7"/>
      <c r="O22" s="26"/>
      <c r="P22" s="7"/>
    </row>
    <row r="23" spans="1:16" x14ac:dyDescent="0.25">
      <c r="A23" s="27" t="s">
        <v>262</v>
      </c>
      <c r="B23" s="27" t="s">
        <v>270</v>
      </c>
      <c r="C23" s="12" t="s">
        <v>278</v>
      </c>
      <c r="D23" s="7">
        <v>0</v>
      </c>
      <c r="E23" s="7">
        <v>2.5019999999999998</v>
      </c>
      <c r="F23" s="7">
        <v>0</v>
      </c>
      <c r="G23" s="7">
        <v>1.2492000000000001</v>
      </c>
      <c r="H23" s="7"/>
      <c r="I23" s="26">
        <f>Table4[[#This Row],[Input.Voltage]]*Table4[[#This Row],[Input.Current]]</f>
        <v>0</v>
      </c>
      <c r="J23" s="26"/>
      <c r="K23" s="26"/>
      <c r="L23" s="7"/>
      <c r="M23" s="7"/>
      <c r="N23" s="7"/>
      <c r="O23" s="26"/>
      <c r="P23" s="7"/>
    </row>
    <row r="24" spans="1:16" x14ac:dyDescent="0.25">
      <c r="A24" s="3" t="s">
        <v>263</v>
      </c>
      <c r="B24" s="27" t="s">
        <v>271</v>
      </c>
      <c r="C24" s="12" t="s">
        <v>280</v>
      </c>
      <c r="D24" s="7">
        <v>0</v>
      </c>
      <c r="E24" s="7">
        <v>2.5019999999999998</v>
      </c>
      <c r="F24" s="7">
        <v>0</v>
      </c>
      <c r="G24" s="7">
        <v>1.2485999999999999</v>
      </c>
      <c r="H24" s="7"/>
      <c r="I24" s="26">
        <f>Table4[[#This Row],[Input.Voltage]]*Table4[[#This Row],[Input.Current]]</f>
        <v>0</v>
      </c>
      <c r="J24" s="26"/>
      <c r="K24" s="26"/>
      <c r="L24" s="7"/>
      <c r="M24" s="7"/>
      <c r="N24" s="7"/>
      <c r="O24" s="26"/>
      <c r="P24" s="7"/>
    </row>
    <row r="25" spans="1:16" x14ac:dyDescent="0.25">
      <c r="A25" s="3" t="s">
        <v>264</v>
      </c>
      <c r="B25" s="27" t="s">
        <v>272</v>
      </c>
      <c r="C25" s="12" t="s">
        <v>279</v>
      </c>
      <c r="D25" s="7">
        <v>0</v>
      </c>
      <c r="E25" s="7">
        <v>2.5019999999999998</v>
      </c>
      <c r="F25" s="7">
        <v>0</v>
      </c>
      <c r="G25" s="7">
        <v>1.2522</v>
      </c>
      <c r="H25" s="7"/>
      <c r="I25" s="26">
        <f>Table4[[#This Row],[Input.Voltage]]*Table4[[#This Row],[Input.Current]]</f>
        <v>0</v>
      </c>
      <c r="J25" s="26"/>
      <c r="K25" s="26"/>
      <c r="L25" s="7"/>
      <c r="M25" s="7"/>
      <c r="N25" s="7"/>
      <c r="O25" s="26"/>
      <c r="P25" s="7"/>
    </row>
    <row r="26" spans="1:16" x14ac:dyDescent="0.25">
      <c r="A26" s="27"/>
      <c r="B26" s="27"/>
      <c r="C26" s="12"/>
      <c r="D26" s="7"/>
      <c r="E26" s="7"/>
      <c r="F26" s="7"/>
      <c r="G26" s="7"/>
      <c r="H26" s="7"/>
      <c r="I26" s="26">
        <f>Table4[[#This Row],[Input.Voltage]]*Table4[[#This Row],[Input.Current]]</f>
        <v>0</v>
      </c>
      <c r="J26" s="26"/>
      <c r="K26" s="26"/>
      <c r="L26" s="7"/>
      <c r="M26" s="7"/>
      <c r="N26" s="7"/>
      <c r="O26" s="26"/>
      <c r="P26" s="7"/>
    </row>
    <row r="27" spans="1:16" x14ac:dyDescent="0.25">
      <c r="A27" s="27"/>
      <c r="B27" s="27"/>
      <c r="C27" s="12"/>
      <c r="D27" s="7"/>
      <c r="E27" s="7"/>
      <c r="F27" s="7"/>
      <c r="G27" s="7"/>
      <c r="H27" s="7"/>
      <c r="I27" s="26">
        <f>Table4[[#This Row],[Input.Voltage]]*Table4[[#This Row],[Input.Current]]</f>
        <v>0</v>
      </c>
      <c r="J27" s="26"/>
      <c r="K27" s="26"/>
      <c r="L27" s="7"/>
      <c r="M27" s="7"/>
      <c r="N27" s="7"/>
      <c r="O27" s="26"/>
      <c r="P27" s="7"/>
    </row>
    <row r="28" spans="1:16" x14ac:dyDescent="0.25">
      <c r="A28" s="27"/>
      <c r="B28" s="27"/>
      <c r="C28" s="12"/>
      <c r="D28" s="7"/>
      <c r="E28" s="7"/>
      <c r="F28" s="7"/>
      <c r="G28" s="7"/>
      <c r="H28" s="7"/>
      <c r="I28" s="26">
        <f>Table4[[#This Row],[Input.Voltage]]*Table4[[#This Row],[Input.Current]]</f>
        <v>0</v>
      </c>
      <c r="J28" s="26"/>
      <c r="K28" s="26"/>
      <c r="L28" s="7"/>
      <c r="M28" s="7"/>
      <c r="N28" s="7"/>
      <c r="O28" s="26"/>
      <c r="P28" s="7"/>
    </row>
    <row r="29" spans="1:16" x14ac:dyDescent="0.25">
      <c r="A29" s="27"/>
      <c r="B29" s="27"/>
      <c r="C29" s="12"/>
      <c r="D29" s="7"/>
      <c r="E29" s="7"/>
      <c r="F29" s="7"/>
      <c r="G29" s="7"/>
      <c r="H29" s="7"/>
      <c r="I29" s="26">
        <f>Table4[[#This Row],[Input.Voltage]]*Table4[[#This Row],[Input.Current]]</f>
        <v>0</v>
      </c>
      <c r="J29" s="26"/>
      <c r="K29" s="26"/>
      <c r="L29" s="7"/>
      <c r="M29" s="7"/>
      <c r="N29" s="7"/>
      <c r="O29" s="26"/>
      <c r="P29" s="7"/>
    </row>
    <row r="30" spans="1:16" x14ac:dyDescent="0.25">
      <c r="A30" s="27"/>
      <c r="B30" s="27"/>
      <c r="C30" s="12"/>
      <c r="D30" s="7"/>
      <c r="E30" s="7"/>
      <c r="F30" s="7"/>
      <c r="G30" s="7"/>
      <c r="H30" s="7"/>
      <c r="I30" s="26">
        <f>Table4[[#This Row],[Input.Voltage]]*Table4[[#This Row],[Input.Current]]</f>
        <v>0</v>
      </c>
      <c r="J30" s="26"/>
      <c r="K30" s="26"/>
      <c r="L30" s="7"/>
      <c r="M30" s="7"/>
      <c r="N30" s="7"/>
      <c r="O30" s="26"/>
      <c r="P3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E737-1ED7-41B6-B1E7-B408F57018B9}">
  <dimension ref="A1:N5"/>
  <sheetViews>
    <sheetView workbookViewId="0">
      <selection activeCell="A3" sqref="A3"/>
    </sheetView>
  </sheetViews>
  <sheetFormatPr defaultRowHeight="15" x14ac:dyDescent="0.25"/>
  <cols>
    <col min="2" max="2" width="12.7109375" bestFit="1" customWidth="1"/>
    <col min="6" max="6" width="9.5703125" bestFit="1" customWidth="1"/>
    <col min="14" max="14" width="8.5703125" customWidth="1"/>
  </cols>
  <sheetData>
    <row r="1" spans="1:14" ht="77.25" x14ac:dyDescent="0.25">
      <c r="A1" s="34" t="s">
        <v>205</v>
      </c>
      <c r="B1" s="35" t="s">
        <v>193</v>
      </c>
      <c r="C1" s="35" t="s">
        <v>194</v>
      </c>
      <c r="D1" s="35" t="s">
        <v>195</v>
      </c>
      <c r="E1" s="35" t="s">
        <v>196</v>
      </c>
      <c r="F1" s="35" t="s">
        <v>197</v>
      </c>
      <c r="G1" s="35" t="s">
        <v>198</v>
      </c>
      <c r="H1" s="35" t="s">
        <v>200</v>
      </c>
      <c r="I1" s="35" t="s">
        <v>199</v>
      </c>
      <c r="J1" s="35" t="s">
        <v>92</v>
      </c>
      <c r="K1" s="36" t="s">
        <v>201</v>
      </c>
      <c r="L1" s="36" t="s">
        <v>203</v>
      </c>
      <c r="M1" s="36" t="s">
        <v>202</v>
      </c>
      <c r="N1" s="36" t="s">
        <v>204</v>
      </c>
    </row>
    <row r="2" spans="1:14" x14ac:dyDescent="0.25">
      <c r="A2" t="s">
        <v>207</v>
      </c>
      <c r="B2" t="s">
        <v>217</v>
      </c>
      <c r="C2" t="s">
        <v>221</v>
      </c>
      <c r="D2" t="s">
        <v>222</v>
      </c>
      <c r="E2" t="s">
        <v>215</v>
      </c>
      <c r="F2" t="s">
        <v>216</v>
      </c>
      <c r="G2" t="s">
        <v>235</v>
      </c>
      <c r="H2" t="s">
        <v>236</v>
      </c>
      <c r="I2" t="s">
        <v>210</v>
      </c>
      <c r="J2" t="s">
        <v>211</v>
      </c>
      <c r="K2" s="37" t="s">
        <v>212</v>
      </c>
      <c r="L2" t="s">
        <v>208</v>
      </c>
      <c r="M2" t="s">
        <v>209</v>
      </c>
      <c r="N2" s="37" t="s">
        <v>232</v>
      </c>
    </row>
    <row r="3" spans="1:14" x14ac:dyDescent="0.25">
      <c r="A3" t="s">
        <v>206</v>
      </c>
      <c r="B3" t="s">
        <v>218</v>
      </c>
      <c r="C3" t="s">
        <v>228</v>
      </c>
      <c r="D3" t="s">
        <v>229</v>
      </c>
      <c r="E3" t="s">
        <v>224</v>
      </c>
      <c r="F3" t="s">
        <v>230</v>
      </c>
      <c r="G3" t="s">
        <v>233</v>
      </c>
      <c r="H3" s="37" t="s">
        <v>238</v>
      </c>
      <c r="I3" t="s">
        <v>233</v>
      </c>
      <c r="J3" s="37" t="s">
        <v>237</v>
      </c>
    </row>
    <row r="4" spans="1:14" x14ac:dyDescent="0.25">
      <c r="A4" t="s">
        <v>213</v>
      </c>
      <c r="B4" t="s">
        <v>219</v>
      </c>
      <c r="C4" t="s">
        <v>226</v>
      </c>
      <c r="D4" t="s">
        <v>227</v>
      </c>
      <c r="E4" t="s">
        <v>223</v>
      </c>
      <c r="F4" t="s">
        <v>231</v>
      </c>
      <c r="G4" t="s">
        <v>234</v>
      </c>
      <c r="H4" t="s">
        <v>239</v>
      </c>
      <c r="I4" t="s">
        <v>210</v>
      </c>
      <c r="J4" t="s">
        <v>211</v>
      </c>
    </row>
    <row r="5" spans="1:14" x14ac:dyDescent="0.25">
      <c r="A5" t="s">
        <v>214</v>
      </c>
      <c r="B5" t="s">
        <v>220</v>
      </c>
      <c r="C5" t="s">
        <v>226</v>
      </c>
      <c r="D5" t="s">
        <v>227</v>
      </c>
      <c r="E5" t="s">
        <v>225</v>
      </c>
      <c r="F5" t="s">
        <v>230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F143-0A89-4ED8-9D65-5FC3DADC0989}">
  <dimension ref="A1:H22"/>
  <sheetViews>
    <sheetView workbookViewId="0">
      <selection activeCell="E8" sqref="E8"/>
    </sheetView>
  </sheetViews>
  <sheetFormatPr defaultRowHeight="15" x14ac:dyDescent="0.25"/>
  <cols>
    <col min="1" max="1" width="15.7109375" style="4" bestFit="1" customWidth="1"/>
    <col min="2" max="2" width="10.85546875" style="4" bestFit="1" customWidth="1"/>
    <col min="3" max="3" width="14.140625" bestFit="1" customWidth="1"/>
    <col min="4" max="4" width="81.5703125" customWidth="1"/>
    <col min="5" max="5" width="11.7109375" bestFit="1" customWidth="1"/>
    <col min="6" max="6" width="10.7109375" bestFit="1" customWidth="1"/>
    <col min="7" max="7" width="9.7109375" bestFit="1" customWidth="1"/>
  </cols>
  <sheetData>
    <row r="1" spans="1:8" x14ac:dyDescent="0.25">
      <c r="A1" s="4" t="s">
        <v>27</v>
      </c>
      <c r="B1" s="4" t="s">
        <v>50</v>
      </c>
      <c r="C1" t="s">
        <v>30</v>
      </c>
      <c r="D1" t="s">
        <v>21</v>
      </c>
      <c r="E1" s="4" t="s">
        <v>127</v>
      </c>
      <c r="F1" s="4" t="s">
        <v>130</v>
      </c>
      <c r="G1" s="4" t="s">
        <v>28</v>
      </c>
      <c r="H1" s="4" t="s">
        <v>29</v>
      </c>
    </row>
    <row r="2" spans="1:8" x14ac:dyDescent="0.25">
      <c r="A2" s="10" t="s">
        <v>32</v>
      </c>
      <c r="B2" s="11" t="s">
        <v>31</v>
      </c>
      <c r="C2" s="12" t="s">
        <v>34</v>
      </c>
      <c r="D2" s="13" t="s">
        <v>35</v>
      </c>
      <c r="E2" s="8" t="s">
        <v>129</v>
      </c>
      <c r="F2" s="8"/>
      <c r="G2" s="9">
        <v>44235</v>
      </c>
      <c r="H2" s="7" t="s">
        <v>33</v>
      </c>
    </row>
    <row r="3" spans="1:8" x14ac:dyDescent="0.25">
      <c r="A3" s="10" t="s">
        <v>43</v>
      </c>
      <c r="B3" s="11" t="s">
        <v>31</v>
      </c>
      <c r="C3" s="12" t="s">
        <v>34</v>
      </c>
      <c r="D3" s="13" t="s">
        <v>36</v>
      </c>
      <c r="E3" s="8" t="s">
        <v>129</v>
      </c>
      <c r="F3" s="8"/>
      <c r="G3" s="9">
        <v>44235</v>
      </c>
      <c r="H3" s="7" t="s">
        <v>33</v>
      </c>
    </row>
    <row r="4" spans="1:8" x14ac:dyDescent="0.25">
      <c r="A4" s="10" t="s">
        <v>44</v>
      </c>
      <c r="B4" s="11" t="s">
        <v>31</v>
      </c>
      <c r="C4" s="12" t="s">
        <v>34</v>
      </c>
      <c r="D4" s="13" t="s">
        <v>37</v>
      </c>
      <c r="E4" s="8" t="s">
        <v>129</v>
      </c>
      <c r="F4" s="8"/>
      <c r="G4" s="9">
        <v>44235</v>
      </c>
      <c r="H4" s="7" t="s">
        <v>33</v>
      </c>
    </row>
    <row r="5" spans="1:8" x14ac:dyDescent="0.25">
      <c r="A5" s="10" t="s">
        <v>45</v>
      </c>
      <c r="B5" s="11" t="s">
        <v>31</v>
      </c>
      <c r="C5" s="12" t="s">
        <v>42</v>
      </c>
      <c r="D5" s="13" t="s">
        <v>38</v>
      </c>
      <c r="E5" s="8" t="s">
        <v>128</v>
      </c>
      <c r="F5" s="8"/>
      <c r="G5" s="9">
        <v>44235</v>
      </c>
      <c r="H5" s="7" t="s">
        <v>33</v>
      </c>
    </row>
    <row r="6" spans="1:8" x14ac:dyDescent="0.25">
      <c r="A6" s="10" t="s">
        <v>46</v>
      </c>
      <c r="B6" s="11" t="s">
        <v>31</v>
      </c>
      <c r="C6" s="12" t="s">
        <v>34</v>
      </c>
      <c r="D6" s="13" t="s">
        <v>39</v>
      </c>
      <c r="E6" s="8" t="s">
        <v>129</v>
      </c>
      <c r="F6" s="8"/>
      <c r="G6" s="9">
        <v>44235</v>
      </c>
      <c r="H6" s="7" t="s">
        <v>33</v>
      </c>
    </row>
    <row r="7" spans="1:8" x14ac:dyDescent="0.25">
      <c r="A7" s="10" t="s">
        <v>47</v>
      </c>
      <c r="B7" s="11" t="s">
        <v>31</v>
      </c>
      <c r="C7" s="12" t="s">
        <v>41</v>
      </c>
      <c r="D7" s="13" t="s">
        <v>40</v>
      </c>
      <c r="E7" s="8" t="s">
        <v>129</v>
      </c>
      <c r="F7" s="8"/>
      <c r="G7" s="9">
        <v>44235</v>
      </c>
      <c r="H7" s="7" t="s">
        <v>33</v>
      </c>
    </row>
    <row r="8" spans="1:8" ht="30" x14ac:dyDescent="0.25">
      <c r="A8" s="10" t="s">
        <v>143</v>
      </c>
      <c r="B8" s="11" t="s">
        <v>31</v>
      </c>
      <c r="C8" s="12" t="s">
        <v>142</v>
      </c>
      <c r="D8" s="13" t="s">
        <v>64</v>
      </c>
      <c r="E8" s="8" t="s">
        <v>129</v>
      </c>
      <c r="F8" s="8"/>
      <c r="G8" s="9">
        <v>44235</v>
      </c>
      <c r="H8" s="7" t="s">
        <v>33</v>
      </c>
    </row>
    <row r="9" spans="1:8" ht="30" x14ac:dyDescent="0.25">
      <c r="A9" s="10" t="s">
        <v>144</v>
      </c>
      <c r="B9" s="11" t="s">
        <v>31</v>
      </c>
      <c r="C9" s="12" t="s">
        <v>142</v>
      </c>
      <c r="D9" s="13" t="s">
        <v>48</v>
      </c>
      <c r="E9" s="8" t="s">
        <v>129</v>
      </c>
      <c r="F9" s="8" t="s">
        <v>131</v>
      </c>
      <c r="G9" s="9">
        <v>44235</v>
      </c>
      <c r="H9" s="7" t="s">
        <v>33</v>
      </c>
    </row>
    <row r="10" spans="1:8" ht="30" x14ac:dyDescent="0.25">
      <c r="A10" s="10" t="s">
        <v>145</v>
      </c>
      <c r="B10" s="11" t="s">
        <v>31</v>
      </c>
      <c r="C10" s="12" t="s">
        <v>141</v>
      </c>
      <c r="D10" s="13" t="s">
        <v>65</v>
      </c>
      <c r="E10" s="8" t="s">
        <v>129</v>
      </c>
      <c r="F10" s="8" t="s">
        <v>131</v>
      </c>
      <c r="G10" s="9">
        <v>44235</v>
      </c>
      <c r="H10" s="7" t="s">
        <v>33</v>
      </c>
    </row>
    <row r="11" spans="1:8" x14ac:dyDescent="0.25">
      <c r="A11" s="10" t="s">
        <v>146</v>
      </c>
      <c r="B11" s="11" t="s">
        <v>31</v>
      </c>
      <c r="C11" s="12" t="s">
        <v>50</v>
      </c>
      <c r="D11" s="13" t="s">
        <v>66</v>
      </c>
      <c r="E11" s="8" t="s">
        <v>129</v>
      </c>
      <c r="F11" s="8"/>
      <c r="G11" s="9">
        <v>44235</v>
      </c>
      <c r="H11" s="7" t="s">
        <v>33</v>
      </c>
    </row>
    <row r="12" spans="1:8" ht="30" x14ac:dyDescent="0.25">
      <c r="A12" s="10" t="s">
        <v>147</v>
      </c>
      <c r="B12" s="11" t="s">
        <v>31</v>
      </c>
      <c r="C12" s="12" t="s">
        <v>125</v>
      </c>
      <c r="D12" s="13" t="s">
        <v>126</v>
      </c>
      <c r="E12" s="8" t="s">
        <v>128</v>
      </c>
      <c r="F12" s="8"/>
      <c r="G12" s="9">
        <v>44235</v>
      </c>
      <c r="H12" s="7" t="s">
        <v>33</v>
      </c>
    </row>
    <row r="13" spans="1:8" ht="30" x14ac:dyDescent="0.25">
      <c r="A13" s="10" t="s">
        <v>148</v>
      </c>
      <c r="B13" s="11" t="s">
        <v>31</v>
      </c>
      <c r="C13" s="12" t="s">
        <v>49</v>
      </c>
      <c r="D13" s="13" t="s">
        <v>132</v>
      </c>
      <c r="E13" s="8" t="s">
        <v>128</v>
      </c>
      <c r="F13" s="8"/>
      <c r="G13" s="9">
        <v>44235</v>
      </c>
      <c r="H13" s="7" t="s">
        <v>33</v>
      </c>
    </row>
    <row r="14" spans="1:8" x14ac:dyDescent="0.25">
      <c r="A14" s="10" t="s">
        <v>149</v>
      </c>
      <c r="B14" s="11" t="s">
        <v>31</v>
      </c>
      <c r="C14" s="12" t="s">
        <v>50</v>
      </c>
      <c r="D14" s="13" t="s">
        <v>140</v>
      </c>
      <c r="E14" s="8" t="s">
        <v>129</v>
      </c>
      <c r="F14" s="8"/>
      <c r="G14" s="9">
        <v>44235</v>
      </c>
      <c r="H14" s="7" t="s">
        <v>33</v>
      </c>
    </row>
    <row r="15" spans="1:8" x14ac:dyDescent="0.25">
      <c r="A15" s="10"/>
      <c r="B15" s="11"/>
      <c r="C15" s="12"/>
      <c r="D15" s="13"/>
      <c r="E15" s="8"/>
      <c r="F15" s="8"/>
      <c r="G15" s="7"/>
      <c r="H15" s="7"/>
    </row>
    <row r="16" spans="1:8" x14ac:dyDescent="0.25">
      <c r="A16" s="10"/>
      <c r="B16" s="11"/>
      <c r="C16" s="12"/>
      <c r="D16" s="13"/>
      <c r="E16" s="8"/>
      <c r="F16" s="8"/>
      <c r="G16" s="7"/>
      <c r="H16" s="7"/>
    </row>
    <row r="17" spans="1:8" x14ac:dyDescent="0.25">
      <c r="A17" s="10"/>
      <c r="B17" s="11"/>
      <c r="C17" s="12"/>
      <c r="D17" s="13"/>
      <c r="E17" s="8"/>
      <c r="F17" s="8"/>
      <c r="G17" s="7"/>
      <c r="H17" s="7"/>
    </row>
    <row r="18" spans="1:8" x14ac:dyDescent="0.25">
      <c r="A18" s="10"/>
      <c r="B18" s="11"/>
      <c r="C18" s="12"/>
      <c r="D18" s="13"/>
      <c r="E18" s="8"/>
      <c r="F18" s="8"/>
      <c r="G18" s="7"/>
      <c r="H18" s="7"/>
    </row>
    <row r="19" spans="1:8" x14ac:dyDescent="0.25">
      <c r="A19" s="10"/>
      <c r="B19" s="11"/>
      <c r="C19" s="12"/>
      <c r="D19" s="13"/>
      <c r="E19" s="8"/>
      <c r="F19" s="8"/>
      <c r="G19" s="7"/>
      <c r="H19" s="7"/>
    </row>
    <row r="20" spans="1:8" x14ac:dyDescent="0.25">
      <c r="A20" s="10"/>
      <c r="B20" s="11"/>
      <c r="C20" s="12"/>
      <c r="D20" s="13"/>
      <c r="E20" s="8"/>
      <c r="F20" s="8"/>
      <c r="G20" s="7"/>
      <c r="H20" s="7"/>
    </row>
    <row r="21" spans="1:8" x14ac:dyDescent="0.25">
      <c r="A21" s="10"/>
      <c r="B21" s="11"/>
      <c r="C21" s="12"/>
      <c r="D21" s="13"/>
      <c r="E21" s="8"/>
      <c r="F21" s="8"/>
      <c r="G21" s="7"/>
      <c r="H21" s="7"/>
    </row>
    <row r="22" spans="1:8" x14ac:dyDescent="0.25">
      <c r="A22" s="10"/>
      <c r="B22" s="11"/>
      <c r="C22" s="12"/>
      <c r="D22" s="13"/>
      <c r="E22" s="8"/>
      <c r="F22" s="8"/>
      <c r="G22" s="7"/>
      <c r="H22" s="7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7D9F-5A10-49A0-A962-98BA71B3E05E}">
  <dimension ref="A2:D57"/>
  <sheetViews>
    <sheetView zoomScale="85" zoomScaleNormal="85" workbookViewId="0">
      <selection activeCell="L10" sqref="L10"/>
    </sheetView>
  </sheetViews>
  <sheetFormatPr defaultRowHeight="15" x14ac:dyDescent="0.25"/>
  <cols>
    <col min="1" max="1" width="58.85546875" customWidth="1"/>
    <col min="2" max="2" width="21.140625" customWidth="1"/>
  </cols>
  <sheetData>
    <row r="2" spans="1:4" x14ac:dyDescent="0.25">
      <c r="A2" t="s">
        <v>160</v>
      </c>
      <c r="B2" t="s">
        <v>166</v>
      </c>
      <c r="C2" t="s">
        <v>67</v>
      </c>
      <c r="D2" t="s">
        <v>94</v>
      </c>
    </row>
    <row r="3" spans="1:4" x14ac:dyDescent="0.25">
      <c r="A3" s="29" t="s">
        <v>161</v>
      </c>
      <c r="B3" s="29" t="s">
        <v>164</v>
      </c>
    </row>
    <row r="4" spans="1:4" x14ac:dyDescent="0.25">
      <c r="A4" s="29" t="s">
        <v>162</v>
      </c>
      <c r="B4" s="29">
        <v>40</v>
      </c>
      <c r="C4" t="s">
        <v>167</v>
      </c>
    </row>
    <row r="5" spans="1:4" x14ac:dyDescent="0.25">
      <c r="A5" s="29" t="s">
        <v>163</v>
      </c>
      <c r="B5" s="29">
        <v>16.8</v>
      </c>
      <c r="C5" t="s">
        <v>168</v>
      </c>
      <c r="D5" t="s">
        <v>169</v>
      </c>
    </row>
    <row r="6" spans="1:4" x14ac:dyDescent="0.25">
      <c r="A6" s="29" t="s">
        <v>165</v>
      </c>
      <c r="B6" s="29">
        <v>10.4</v>
      </c>
      <c r="C6" t="s">
        <v>168</v>
      </c>
      <c r="D6" t="s">
        <v>170</v>
      </c>
    </row>
    <row r="7" spans="1:4" x14ac:dyDescent="0.25">
      <c r="B7">
        <v>40</v>
      </c>
    </row>
    <row r="8" spans="1:4" x14ac:dyDescent="0.25">
      <c r="A8" s="24" t="s">
        <v>178</v>
      </c>
      <c r="B8">
        <v>10</v>
      </c>
      <c r="C8" t="s">
        <v>2</v>
      </c>
    </row>
    <row r="9" spans="1:4" x14ac:dyDescent="0.25">
      <c r="A9" s="24" t="s">
        <v>179</v>
      </c>
      <c r="B9">
        <v>1.5999999999999999E-5</v>
      </c>
      <c r="C9" t="s">
        <v>187</v>
      </c>
    </row>
    <row r="10" spans="1:4" x14ac:dyDescent="0.25">
      <c r="A10" s="24" t="s">
        <v>180</v>
      </c>
      <c r="B10">
        <v>1.5</v>
      </c>
    </row>
    <row r="11" spans="1:4" x14ac:dyDescent="0.25">
      <c r="A11" s="24" t="s">
        <v>181</v>
      </c>
      <c r="B11">
        <v>7.9999999999999996E-6</v>
      </c>
      <c r="C11" t="s">
        <v>187</v>
      </c>
    </row>
    <row r="12" spans="1:4" x14ac:dyDescent="0.25">
      <c r="A12" s="24" t="s">
        <v>182</v>
      </c>
      <c r="B12">
        <v>0</v>
      </c>
    </row>
    <row r="13" spans="1:4" x14ac:dyDescent="0.25">
      <c r="A13" s="24" t="s">
        <v>183</v>
      </c>
      <c r="B13">
        <f>B14*B9</f>
        <v>7.8399999999999994E-9</v>
      </c>
      <c r="C13" t="s">
        <v>186</v>
      </c>
    </row>
    <row r="14" spans="1:4" x14ac:dyDescent="0.25">
      <c r="A14" s="24" t="s">
        <v>184</v>
      </c>
      <c r="B14">
        <v>4.8999999999999998E-4</v>
      </c>
      <c r="C14" t="s">
        <v>185</v>
      </c>
    </row>
    <row r="15" spans="1:4" x14ac:dyDescent="0.25">
      <c r="A15" s="24" t="s">
        <v>189</v>
      </c>
      <c r="B15">
        <v>20800</v>
      </c>
    </row>
    <row r="16" spans="1:4" x14ac:dyDescent="0.25">
      <c r="A16" s="24" t="s">
        <v>188</v>
      </c>
      <c r="B16">
        <v>40</v>
      </c>
    </row>
    <row r="17" spans="1:3" x14ac:dyDescent="0.25">
      <c r="A17" s="24" t="s">
        <v>180</v>
      </c>
      <c r="B17">
        <f>B16*B14*2</f>
        <v>3.9199999999999999E-2</v>
      </c>
    </row>
    <row r="18" spans="1:3" x14ac:dyDescent="0.25">
      <c r="A18" s="24" t="s">
        <v>178</v>
      </c>
      <c r="B18">
        <f>(B17/B9)+((B15*B11)/B9)-(B12/B9)</f>
        <v>12850</v>
      </c>
    </row>
    <row r="19" spans="1:3" x14ac:dyDescent="0.25">
      <c r="A19" s="24" t="s">
        <v>190</v>
      </c>
      <c r="B19">
        <v>1.7</v>
      </c>
    </row>
    <row r="20" spans="1:3" x14ac:dyDescent="0.25">
      <c r="A20" s="24" t="s">
        <v>192</v>
      </c>
      <c r="B20">
        <v>2.2999999999999998</v>
      </c>
    </row>
    <row r="21" spans="1:3" x14ac:dyDescent="0.25">
      <c r="A21" s="24" t="s">
        <v>191</v>
      </c>
      <c r="B21">
        <v>2</v>
      </c>
    </row>
    <row r="30" spans="1:3" x14ac:dyDescent="0.25">
      <c r="A30" s="32" t="s">
        <v>172</v>
      </c>
      <c r="B30" s="31">
        <f>$B$6/1.6</f>
        <v>6.5</v>
      </c>
      <c r="C30" t="s">
        <v>171</v>
      </c>
    </row>
    <row r="31" spans="1:3" x14ac:dyDescent="0.25">
      <c r="A31" s="33" t="s">
        <v>1</v>
      </c>
      <c r="B31">
        <v>10</v>
      </c>
      <c r="C31" t="s">
        <v>2</v>
      </c>
    </row>
    <row r="32" spans="1:3" x14ac:dyDescent="0.25">
      <c r="A32" s="33" t="s">
        <v>0</v>
      </c>
      <c r="B32" s="30">
        <f>(B31*B30)-B31</f>
        <v>55</v>
      </c>
      <c r="C32" t="s">
        <v>2</v>
      </c>
    </row>
    <row r="33" spans="1:3" x14ac:dyDescent="0.25">
      <c r="A33" s="24"/>
    </row>
    <row r="34" spans="1:3" x14ac:dyDescent="0.25">
      <c r="A34" s="32" t="s">
        <v>163</v>
      </c>
      <c r="B34">
        <f>$B$5/2</f>
        <v>8.4</v>
      </c>
      <c r="C34" t="s">
        <v>171</v>
      </c>
    </row>
    <row r="35" spans="1:3" x14ac:dyDescent="0.25">
      <c r="A35" s="33" t="s">
        <v>1</v>
      </c>
      <c r="B35">
        <v>10</v>
      </c>
      <c r="C35" t="s">
        <v>2</v>
      </c>
    </row>
    <row r="36" spans="1:3" x14ac:dyDescent="0.25">
      <c r="A36" s="33" t="s">
        <v>0</v>
      </c>
      <c r="B36" s="30">
        <f>(B35*B34)-B35</f>
        <v>74</v>
      </c>
      <c r="C36" t="s">
        <v>2</v>
      </c>
    </row>
    <row r="39" spans="1:3" ht="20.25" customHeight="1" x14ac:dyDescent="0.25">
      <c r="A39" t="s">
        <v>173</v>
      </c>
    </row>
    <row r="41" spans="1:3" x14ac:dyDescent="0.25">
      <c r="A41" s="24" t="s">
        <v>177</v>
      </c>
      <c r="B41">
        <f>(16.8 - (0.004 * 1500)) / 0.004</f>
        <v>2700</v>
      </c>
    </row>
    <row r="46" spans="1:3" x14ac:dyDescent="0.25">
      <c r="A46" t="s">
        <v>174</v>
      </c>
    </row>
    <row r="48" spans="1:3" x14ac:dyDescent="0.25">
      <c r="A48" s="24" t="s">
        <v>177</v>
      </c>
      <c r="B48">
        <f>((16.8 - 10.4) / 0.004) - ((B8*1000)+1500)</f>
        <v>-9900</v>
      </c>
    </row>
    <row r="51" spans="1:1" x14ac:dyDescent="0.25">
      <c r="A51" t="s">
        <v>175</v>
      </c>
    </row>
    <row r="53" spans="1:1" x14ac:dyDescent="0.25">
      <c r="A53" s="24" t="s">
        <v>176</v>
      </c>
    </row>
    <row r="57" spans="1:1" x14ac:dyDescent="0.25">
      <c r="A57" t="s">
        <v>159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A927-1F07-42B1-82CD-CE65FBFCCF2C}">
  <dimension ref="B1:N82"/>
  <sheetViews>
    <sheetView zoomScale="115" zoomScaleNormal="115" workbookViewId="0">
      <selection activeCell="J12" sqref="J12"/>
    </sheetView>
  </sheetViews>
  <sheetFormatPr defaultRowHeight="15" x14ac:dyDescent="0.25"/>
  <cols>
    <col min="6" max="6" width="9.140625" customWidth="1"/>
    <col min="7" max="7" width="26.85546875" customWidth="1"/>
    <col min="9" max="9" width="9.28515625" customWidth="1"/>
  </cols>
  <sheetData>
    <row r="1" spans="2:14" x14ac:dyDescent="0.25">
      <c r="B1" t="s">
        <v>133</v>
      </c>
      <c r="C1" s="25">
        <v>1.25</v>
      </c>
      <c r="D1" t="s">
        <v>138</v>
      </c>
      <c r="H1" t="s">
        <v>16</v>
      </c>
      <c r="I1" t="s">
        <v>17</v>
      </c>
      <c r="J1" t="s">
        <v>3</v>
      </c>
      <c r="K1" t="s">
        <v>18</v>
      </c>
      <c r="L1" t="s">
        <v>15</v>
      </c>
      <c r="M1" t="s">
        <v>20</v>
      </c>
      <c r="N1" t="s">
        <v>19</v>
      </c>
    </row>
    <row r="2" spans="2:14" x14ac:dyDescent="0.25">
      <c r="B2" t="s">
        <v>13</v>
      </c>
      <c r="C2" s="25">
        <v>2.5</v>
      </c>
      <c r="D2" t="s">
        <v>138</v>
      </c>
      <c r="H2">
        <v>12.47</v>
      </c>
      <c r="I2">
        <f>($D$9*$C$2)/($D$9+$H2)</f>
        <v>0.4848093083387201</v>
      </c>
      <c r="J2">
        <f>$I2*$C$16-($D$14/$C$13)*$C$1</f>
        <v>3.3346800258564957E-2</v>
      </c>
      <c r="K2">
        <f>ROUND(Table1[[#This Row],[Vout]]*1000,0)</f>
        <v>33</v>
      </c>
      <c r="L2">
        <v>20</v>
      </c>
      <c r="M2">
        <f>$C$2/((Table1[[#This Row],[kOhms]]+$D$9)*1000)*1000</f>
        <v>0.16160310277957338</v>
      </c>
      <c r="N2">
        <f>POWER(Table1[[#This Row],[mA]]/1000,2)*(Table1[[#This Row],[kOhms]]*1000)*1000</f>
        <v>0.32566106846497744</v>
      </c>
    </row>
    <row r="3" spans="2:14" x14ac:dyDescent="0.25">
      <c r="B3" t="s">
        <v>134</v>
      </c>
      <c r="C3">
        <v>10</v>
      </c>
      <c r="D3" t="s">
        <v>2</v>
      </c>
      <c r="H3">
        <v>11.92</v>
      </c>
      <c r="I3">
        <f t="shared" ref="I3:I66" si="0">($D$9*$C$2)/($D$9+$H3)</f>
        <v>0.50268096514745308</v>
      </c>
      <c r="J3">
        <f t="shared" ref="J3:J66" si="1">$I3*$C$16-($D$14/$C$13)*$C$1</f>
        <v>6.1762734584450363E-2</v>
      </c>
      <c r="K3">
        <f>ROUND(Table1[[#This Row],[Vout]]*1000,0)</f>
        <v>62</v>
      </c>
      <c r="L3">
        <v>21</v>
      </c>
      <c r="M3">
        <f>$C$2/((Table1[[#This Row],[kOhms]]+$D$9)*1000)*1000</f>
        <v>0.16756032171581769</v>
      </c>
      <c r="N3">
        <f>POWER(Table1[[#This Row],[mA]]/1000,2)*(Table1[[#This Row],[kOhms]]*1000)*1000</f>
        <v>0.33467142004901923</v>
      </c>
    </row>
    <row r="4" spans="2:14" x14ac:dyDescent="0.25">
      <c r="B4" t="s">
        <v>4</v>
      </c>
      <c r="C4">
        <v>20</v>
      </c>
      <c r="D4" t="s">
        <v>137</v>
      </c>
      <c r="H4">
        <v>11.41</v>
      </c>
      <c r="I4">
        <f t="shared" si="0"/>
        <v>0.52047189451769604</v>
      </c>
      <c r="J4">
        <f t="shared" si="1"/>
        <v>9.0050312283136646E-2</v>
      </c>
      <c r="K4">
        <f>ROUND(Table1[[#This Row],[Vout]]*1000,0)</f>
        <v>90</v>
      </c>
      <c r="L4">
        <v>22</v>
      </c>
      <c r="M4">
        <f>$C$2/((Table1[[#This Row],[kOhms]]+$D$9)*1000)*1000</f>
        <v>0.17349063150589866</v>
      </c>
      <c r="N4">
        <f>POWER(Table1[[#This Row],[mA]]/1000,2)*(Table1[[#This Row],[kOhms]]*1000)*1000</f>
        <v>0.34342958110380006</v>
      </c>
    </row>
    <row r="5" spans="2:14" x14ac:dyDescent="0.25">
      <c r="B5" t="s">
        <v>5</v>
      </c>
      <c r="C5">
        <v>100</v>
      </c>
      <c r="D5" t="s">
        <v>137</v>
      </c>
      <c r="H5">
        <v>10.91</v>
      </c>
      <c r="I5">
        <f t="shared" si="0"/>
        <v>0.53918044572250179</v>
      </c>
      <c r="J5">
        <f t="shared" si="1"/>
        <v>0.11979690869877779</v>
      </c>
      <c r="K5">
        <f>ROUND(Table1[[#This Row],[Vout]]*1000,0)</f>
        <v>120</v>
      </c>
      <c r="L5">
        <v>23</v>
      </c>
      <c r="M5">
        <f>$C$2/((Table1[[#This Row],[kOhms]]+$D$9)*1000)*1000</f>
        <v>0.17972681524083395</v>
      </c>
      <c r="N5">
        <f>POWER(Table1[[#This Row],[mA]]/1000,2)*(Table1[[#This Row],[kOhms]]*1000)*1000</f>
        <v>0.35241185375224626</v>
      </c>
    </row>
    <row r="6" spans="2:14" x14ac:dyDescent="0.25">
      <c r="B6" t="s">
        <v>135</v>
      </c>
      <c r="C6">
        <v>12.47</v>
      </c>
      <c r="D6" t="s">
        <v>16</v>
      </c>
      <c r="H6">
        <v>10.45</v>
      </c>
      <c r="I6">
        <f t="shared" si="0"/>
        <v>0.55762081784386619</v>
      </c>
      <c r="J6">
        <f t="shared" si="1"/>
        <v>0.14911710037174719</v>
      </c>
      <c r="K6">
        <f>ROUND(Table1[[#This Row],[Vout]]*1000,0)</f>
        <v>149</v>
      </c>
      <c r="L6">
        <v>24</v>
      </c>
      <c r="M6">
        <f>$C$2/((Table1[[#This Row],[kOhms]]+$D$9)*1000)*1000</f>
        <v>0.18587360594795538</v>
      </c>
      <c r="N6">
        <f>POWER(Table1[[#This Row],[mA]]/1000,2)*(Table1[[#This Row],[kOhms]]*1000)*1000</f>
        <v>0.36103702270560106</v>
      </c>
    </row>
    <row r="7" spans="2:14" x14ac:dyDescent="0.25">
      <c r="B7" t="s">
        <v>136</v>
      </c>
      <c r="C7">
        <v>0.6744</v>
      </c>
      <c r="H7">
        <v>10</v>
      </c>
      <c r="I7">
        <f t="shared" si="0"/>
        <v>0.57692307692307687</v>
      </c>
      <c r="J7">
        <f t="shared" si="1"/>
        <v>0.17980769230769222</v>
      </c>
      <c r="K7">
        <f>ROUND(Table1[[#This Row],[Vout]]*1000,0)</f>
        <v>180</v>
      </c>
      <c r="L7">
        <v>25</v>
      </c>
      <c r="M7">
        <f>$C$2/((Table1[[#This Row],[kOhms]]+$D$9)*1000)*1000</f>
        <v>0.19230769230769232</v>
      </c>
      <c r="N7">
        <f>POWER(Table1[[#This Row],[mA]]/1000,2)*(Table1[[#This Row],[kOhms]]*1000)*1000</f>
        <v>0.36982248520710059</v>
      </c>
    </row>
    <row r="8" spans="2:14" x14ac:dyDescent="0.25">
      <c r="B8" t="s">
        <v>3</v>
      </c>
      <c r="C8">
        <v>2.5</v>
      </c>
      <c r="H8">
        <v>9.5749999999999993</v>
      </c>
      <c r="I8">
        <f t="shared" si="0"/>
        <v>0.59642147117296229</v>
      </c>
      <c r="J8">
        <f t="shared" si="1"/>
        <v>0.21081013916501001</v>
      </c>
      <c r="K8">
        <f>ROUND(Table1[[#This Row],[Vout]]*1000,0)</f>
        <v>211</v>
      </c>
      <c r="L8">
        <v>26</v>
      </c>
      <c r="M8">
        <f>$C$2/((Table1[[#This Row],[kOhms]]+$D$9)*1000)*1000</f>
        <v>0.19880715705765409</v>
      </c>
      <c r="N8">
        <f>POWER(Table1[[#This Row],[mA]]/1000,2)*(Table1[[#This Row],[kOhms]]*1000)*1000</f>
        <v>0.37844503555209508</v>
      </c>
    </row>
    <row r="9" spans="2:14" x14ac:dyDescent="0.25">
      <c r="B9" s="1" t="s">
        <v>0</v>
      </c>
      <c r="C9">
        <f>SQRT(C6*C7)</f>
        <v>2.8999599997241341</v>
      </c>
      <c r="D9" s="1">
        <v>3</v>
      </c>
      <c r="H9">
        <v>9.17</v>
      </c>
      <c r="I9">
        <f t="shared" si="0"/>
        <v>0.61626951520131468</v>
      </c>
      <c r="J9">
        <f t="shared" si="1"/>
        <v>0.24236852917009033</v>
      </c>
      <c r="K9">
        <f>ROUND(Table1[[#This Row],[Vout]]*1000,0)</f>
        <v>242</v>
      </c>
      <c r="L9">
        <v>27</v>
      </c>
      <c r="M9">
        <f>$C$2/((Table1[[#This Row],[kOhms]]+$D$9)*1000)*1000</f>
        <v>0.20542317173377156</v>
      </c>
      <c r="N9">
        <f>POWER(Table1[[#This Row],[mA]]/1000,2)*(Table1[[#This Row],[kOhms]]*1000)*1000</f>
        <v>0.38696189087894112</v>
      </c>
    </row>
    <row r="10" spans="2:14" x14ac:dyDescent="0.25">
      <c r="B10" t="s">
        <v>6</v>
      </c>
      <c r="C10">
        <f>C2*(D9/(C6+D9))</f>
        <v>0.4848093083387201</v>
      </c>
      <c r="D10">
        <v>0.57999999999999996</v>
      </c>
      <c r="H10">
        <v>8.7840000000000007</v>
      </c>
      <c r="I10">
        <f t="shared" si="0"/>
        <v>0.63645621181262724</v>
      </c>
      <c r="J10">
        <f t="shared" si="1"/>
        <v>0.27446537678207739</v>
      </c>
      <c r="K10">
        <f>ROUND(Table1[[#This Row],[Vout]]*1000,0)</f>
        <v>274</v>
      </c>
      <c r="L10">
        <v>28</v>
      </c>
      <c r="M10">
        <f>$C$2/((Table1[[#This Row],[kOhms]]+$D$9)*1000)*1000</f>
        <v>0.2121520706042091</v>
      </c>
      <c r="N10">
        <f>POWER(Table1[[#This Row],[mA]]/1000,2)*(Table1[[#This Row],[kOhms]]*1000)*1000</f>
        <v>0.39535467332556279</v>
      </c>
    </row>
    <row r="11" spans="2:14" x14ac:dyDescent="0.25">
      <c r="B11" t="s">
        <v>7</v>
      </c>
      <c r="C11">
        <f>C2*(D9/(C7+D9))</f>
        <v>2.0411495754408886</v>
      </c>
      <c r="D11">
        <v>2.4500000000000002</v>
      </c>
      <c r="H11">
        <v>8.4160000000000004</v>
      </c>
      <c r="I11">
        <f t="shared" si="0"/>
        <v>0.6569726699369306</v>
      </c>
      <c r="J11">
        <f t="shared" si="1"/>
        <v>0.30708654519971967</v>
      </c>
      <c r="K11">
        <f>ROUND(Table1[[#This Row],[Vout]]*1000,0)</f>
        <v>307</v>
      </c>
      <c r="L11">
        <v>29</v>
      </c>
      <c r="M11">
        <f>$C$2/((Table1[[#This Row],[kOhms]]+$D$9)*1000)*1000</f>
        <v>0.21899088997897687</v>
      </c>
      <c r="N11">
        <f>POWER(Table1[[#This Row],[mA]]/1000,2)*(Table1[[#This Row],[kOhms]]*1000)*1000</f>
        <v>0.4036061952660891</v>
      </c>
    </row>
    <row r="12" spans="2:14" x14ac:dyDescent="0.25">
      <c r="B12" t="s">
        <v>8</v>
      </c>
      <c r="C12">
        <f>((C2-0.1)/(D11-D10))</f>
        <v>1.2834224598930479</v>
      </c>
      <c r="H12">
        <v>8.0640000000000001</v>
      </c>
      <c r="I12">
        <f t="shared" si="0"/>
        <v>0.67787418655097609</v>
      </c>
      <c r="J12">
        <f t="shared" si="1"/>
        <v>0.34031995661605186</v>
      </c>
      <c r="K12">
        <f>ROUND(Table1[[#This Row],[Vout]]*1000,0)</f>
        <v>340</v>
      </c>
      <c r="L12">
        <v>30</v>
      </c>
      <c r="M12">
        <f>$C$2/((Table1[[#This Row],[kOhms]]+$D$9)*1000)*1000</f>
        <v>0.22595806218365871</v>
      </c>
      <c r="N12">
        <f>POWER(Table1[[#This Row],[mA]]/1000,2)*(Table1[[#This Row],[kOhms]]*1000)*1000</f>
        <v>0.41172401786176421</v>
      </c>
    </row>
    <row r="13" spans="2:14" x14ac:dyDescent="0.25">
      <c r="B13" s="1" t="s">
        <v>1</v>
      </c>
      <c r="C13" s="1">
        <v>1</v>
      </c>
      <c r="E13">
        <f>1/(1.59)</f>
        <v>0.62893081761006286</v>
      </c>
      <c r="H13">
        <v>7.73</v>
      </c>
      <c r="I13">
        <f t="shared" si="0"/>
        <v>0.69897483690587137</v>
      </c>
      <c r="J13">
        <f t="shared" si="1"/>
        <v>0.37386999068033544</v>
      </c>
      <c r="K13">
        <f>ROUND(Table1[[#This Row],[Vout]]*1000,0)</f>
        <v>374</v>
      </c>
      <c r="L13">
        <v>31</v>
      </c>
      <c r="M13">
        <f>$C$2/((Table1[[#This Row],[kOhms]]+$D$9)*1000)*1000</f>
        <v>0.23299161230195711</v>
      </c>
      <c r="N13">
        <f>POWER(Table1[[#This Row],[mA]]/1000,2)*(Table1[[#This Row],[kOhms]]*1000)*1000</f>
        <v>0.41962375654569628</v>
      </c>
    </row>
    <row r="14" spans="2:14" x14ac:dyDescent="0.25">
      <c r="B14" s="1" t="s">
        <v>9</v>
      </c>
      <c r="C14">
        <f>($C$12-1)*$C$13</f>
        <v>0.28342245989304793</v>
      </c>
      <c r="D14" s="1">
        <v>0.59</v>
      </c>
      <c r="H14">
        <v>7.41</v>
      </c>
      <c r="I14">
        <f t="shared" si="0"/>
        <v>0.72046109510086453</v>
      </c>
      <c r="J14">
        <f t="shared" si="1"/>
        <v>0.40803314121037448</v>
      </c>
      <c r="K14">
        <f>ROUND(Table1[[#This Row],[Vout]]*1000,0)</f>
        <v>408</v>
      </c>
      <c r="L14">
        <v>32</v>
      </c>
      <c r="M14">
        <f>$C$2/((Table1[[#This Row],[kOhms]]+$D$9)*1000)*1000</f>
        <v>0.24015369836695485</v>
      </c>
      <c r="N14">
        <f>POWER(Table1[[#This Row],[mA]]/1000,2)*(Table1[[#This Row],[kOhms]]*1000)*1000</f>
        <v>0.42736284939940811</v>
      </c>
    </row>
    <row r="15" spans="2:14" x14ac:dyDescent="0.25">
      <c r="B15" s="1"/>
      <c r="H15">
        <v>7.1059999999999999</v>
      </c>
      <c r="I15">
        <f t="shared" si="0"/>
        <v>0.74213338610726298</v>
      </c>
      <c r="J15">
        <f t="shared" si="1"/>
        <v>0.44249208391054806</v>
      </c>
      <c r="K15">
        <f>ROUND(Table1[[#This Row],[Vout]]*1000,0)</f>
        <v>442</v>
      </c>
      <c r="L15">
        <v>33</v>
      </c>
      <c r="M15">
        <f>$C$2/((Table1[[#This Row],[kOhms]]+$D$9)*1000)*1000</f>
        <v>0.24737779536908766</v>
      </c>
      <c r="N15">
        <f>POWER(Table1[[#This Row],[mA]]/1000,2)*(Table1[[#This Row],[kOhms]]*1000)*1000</f>
        <v>0.43485716749770847</v>
      </c>
    </row>
    <row r="16" spans="2:14" x14ac:dyDescent="0.25">
      <c r="B16" t="s">
        <v>11</v>
      </c>
      <c r="C16" s="1">
        <f>(C13+D14)/C13</f>
        <v>1.5899999999999999</v>
      </c>
      <c r="H16">
        <v>6.8150000000000004</v>
      </c>
      <c r="I16">
        <f t="shared" si="0"/>
        <v>0.76413652572592961</v>
      </c>
      <c r="J16">
        <f t="shared" si="1"/>
        <v>0.47747707590422805</v>
      </c>
      <c r="K16">
        <f>ROUND(Table1[[#This Row],[Vout]]*1000,0)</f>
        <v>477</v>
      </c>
      <c r="L16">
        <v>34</v>
      </c>
      <c r="M16">
        <f>$C$2/((Table1[[#This Row],[kOhms]]+$D$9)*1000)*1000</f>
        <v>0.25471217524197654</v>
      </c>
      <c r="N16">
        <f>POWER(Table1[[#This Row],[mA]]/1000,2)*(Table1[[#This Row],[kOhms]]*1000)*1000</f>
        <v>0.44214556145544309</v>
      </c>
    </row>
    <row r="17" spans="2:14" x14ac:dyDescent="0.25">
      <c r="B17" t="s">
        <v>10</v>
      </c>
      <c r="C17">
        <f>(C11-C10)*C16</f>
        <v>2.4745810246924478</v>
      </c>
      <c r="H17">
        <v>6.5380000000000003</v>
      </c>
      <c r="I17">
        <f t="shared" si="0"/>
        <v>0.78632837072761586</v>
      </c>
      <c r="J17">
        <f t="shared" si="1"/>
        <v>0.51276210945690914</v>
      </c>
      <c r="K17">
        <f>ROUND(Table1[[#This Row],[Vout]]*1000,0)</f>
        <v>513</v>
      </c>
      <c r="L17">
        <v>35</v>
      </c>
      <c r="M17">
        <f>$C$2/((Table1[[#This Row],[kOhms]]+$D$9)*1000)*1000</f>
        <v>0.26210945690920529</v>
      </c>
      <c r="N17">
        <f>POWER(Table1[[#This Row],[mA]]/1000,2)*(Table1[[#This Row],[kOhms]]*1000)*1000</f>
        <v>0.4491695400692976</v>
      </c>
    </row>
    <row r="18" spans="2:14" x14ac:dyDescent="0.25">
      <c r="B18" t="s">
        <v>12</v>
      </c>
      <c r="C18">
        <f>C1+(C17/2)</f>
        <v>2.4872905123462239</v>
      </c>
      <c r="H18">
        <v>6.2729999999999997</v>
      </c>
      <c r="I18">
        <f t="shared" si="0"/>
        <v>0.80879974118408282</v>
      </c>
      <c r="J18">
        <f t="shared" si="1"/>
        <v>0.54849158848269164</v>
      </c>
      <c r="K18">
        <f>ROUND(Table1[[#This Row],[Vout]]*1000,0)</f>
        <v>548</v>
      </c>
      <c r="L18">
        <v>36</v>
      </c>
      <c r="M18">
        <f>$C$2/((Table1[[#This Row],[kOhms]]+$D$9)*1000)*1000</f>
        <v>0.26959991372802761</v>
      </c>
      <c r="N18">
        <f>POWER(Table1[[#This Row],[mA]]/1000,2)*(Table1[[#This Row],[kOhms]]*1000)*1000</f>
        <v>0.45594744387358932</v>
      </c>
    </row>
    <row r="19" spans="2:14" x14ac:dyDescent="0.25">
      <c r="B19" t="s">
        <v>13</v>
      </c>
      <c r="C19">
        <f>(C11*C16-C18)/(D14/C13)</f>
        <v>1.2849784959403201</v>
      </c>
      <c r="D19" t="s">
        <v>14</v>
      </c>
      <c r="H19">
        <v>6.02</v>
      </c>
      <c r="I19">
        <f t="shared" si="0"/>
        <v>0.83148558758314861</v>
      </c>
      <c r="J19">
        <f t="shared" si="1"/>
        <v>0.58456208425720624</v>
      </c>
      <c r="K19">
        <f>ROUND(Table1[[#This Row],[Vout]]*1000,0)</f>
        <v>585</v>
      </c>
      <c r="L19">
        <v>37</v>
      </c>
      <c r="M19">
        <f>$C$2/((Table1[[#This Row],[kOhms]]+$D$9)*1000)*1000</f>
        <v>0.27716186252771619</v>
      </c>
      <c r="N19">
        <f>POWER(Table1[[#This Row],[mA]]/1000,2)*(Table1[[#This Row],[kOhms]]*1000)*1000</f>
        <v>0.46244856219979252</v>
      </c>
    </row>
    <row r="20" spans="2:14" x14ac:dyDescent="0.25">
      <c r="H20">
        <v>5.7779999999999996</v>
      </c>
      <c r="I20">
        <f t="shared" si="0"/>
        <v>0.8544087491455914</v>
      </c>
      <c r="J20">
        <f t="shared" si="1"/>
        <v>0.62100991114149029</v>
      </c>
      <c r="K20">
        <f>ROUND(Table1[[#This Row],[Vout]]*1000,0)</f>
        <v>621</v>
      </c>
      <c r="L20">
        <v>38</v>
      </c>
      <c r="M20">
        <f>$C$2/((Table1[[#This Row],[kOhms]]+$D$9)*1000)*1000</f>
        <v>0.28480291638186378</v>
      </c>
      <c r="N20">
        <f>POWER(Table1[[#This Row],[mA]]/1000,2)*(Table1[[#This Row],[kOhms]]*1000)*1000</f>
        <v>0.46866918741581493</v>
      </c>
    </row>
    <row r="21" spans="2:14" x14ac:dyDescent="0.25">
      <c r="H21">
        <v>5.548</v>
      </c>
      <c r="I21">
        <f t="shared" si="0"/>
        <v>0.87739822180627047</v>
      </c>
      <c r="J21">
        <f t="shared" si="1"/>
        <v>0.65756317267197006</v>
      </c>
      <c r="K21">
        <f>ROUND(Table1[[#This Row],[Vout]]*1000,0)</f>
        <v>658</v>
      </c>
      <c r="L21">
        <v>39</v>
      </c>
      <c r="M21">
        <f>$C$2/((Table1[[#This Row],[kOhms]]+$D$9)*1000)*1000</f>
        <v>0.29246607393542351</v>
      </c>
      <c r="N21">
        <f>POWER(Table1[[#This Row],[mA]]/1000,2)*(Table1[[#This Row],[kOhms]]*1000)*1000</f>
        <v>0.47455597162895696</v>
      </c>
    </row>
    <row r="22" spans="2:14" x14ac:dyDescent="0.25">
      <c r="H22">
        <v>5.327</v>
      </c>
      <c r="I22">
        <f t="shared" si="0"/>
        <v>0.90068452023537893</v>
      </c>
      <c r="J22">
        <f t="shared" si="1"/>
        <v>0.69458838717425253</v>
      </c>
      <c r="K22">
        <f>ROUND(Table1[[#This Row],[Vout]]*1000,0)</f>
        <v>695</v>
      </c>
      <c r="L22">
        <v>40</v>
      </c>
      <c r="M22">
        <f>$C$2/((Table1[[#This Row],[kOhms]]+$D$9)*1000)*1000</f>
        <v>0.30022817341179292</v>
      </c>
      <c r="N22">
        <f>POWER(Table1[[#This Row],[mA]]/1000,2)*(Table1[[#This Row],[kOhms]]*1000)*1000</f>
        <v>0.48015956519893749</v>
      </c>
    </row>
    <row r="23" spans="2:14" x14ac:dyDescent="0.25">
      <c r="H23">
        <v>5.117</v>
      </c>
      <c r="I23">
        <f t="shared" si="0"/>
        <v>0.92398669459159777</v>
      </c>
      <c r="J23">
        <f t="shared" si="1"/>
        <v>0.73163884440064042</v>
      </c>
      <c r="K23">
        <f>ROUND(Table1[[#This Row],[Vout]]*1000,0)</f>
        <v>732</v>
      </c>
      <c r="L23">
        <v>41</v>
      </c>
      <c r="M23">
        <f>$C$2/((Table1[[#This Row],[kOhms]]+$D$9)*1000)*1000</f>
        <v>0.30799556486386592</v>
      </c>
      <c r="N23">
        <f>POWER(Table1[[#This Row],[mA]]/1000,2)*(Table1[[#This Row],[kOhms]]*1000)*1000</f>
        <v>0.48540510823222927</v>
      </c>
    </row>
    <row r="24" spans="2:14" x14ac:dyDescent="0.25">
      <c r="H24">
        <v>4.915</v>
      </c>
      <c r="I24">
        <f t="shared" si="0"/>
        <v>0.94756790903348076</v>
      </c>
      <c r="J24">
        <f t="shared" si="1"/>
        <v>0.76913297536323444</v>
      </c>
      <c r="K24">
        <f>ROUND(Table1[[#This Row],[Vout]]*1000,0)</f>
        <v>769</v>
      </c>
      <c r="L24">
        <v>42</v>
      </c>
      <c r="M24">
        <f>$C$2/((Table1[[#This Row],[kOhms]]+$D$9)*1000)*1000</f>
        <v>0.31585596967782686</v>
      </c>
      <c r="N24">
        <f>POWER(Table1[[#This Row],[mA]]/1000,2)*(Table1[[#This Row],[kOhms]]*1000)*1000</f>
        <v>0.49034494345120627</v>
      </c>
    </row>
    <row r="25" spans="2:14" x14ac:dyDescent="0.25">
      <c r="H25">
        <v>4.7229999999999999</v>
      </c>
      <c r="I25">
        <f t="shared" si="0"/>
        <v>0.97112521041046229</v>
      </c>
      <c r="J25">
        <f t="shared" si="1"/>
        <v>0.80658908455263501</v>
      </c>
      <c r="K25">
        <f>ROUND(Table1[[#This Row],[Vout]]*1000,0)</f>
        <v>807</v>
      </c>
      <c r="L25">
        <v>43</v>
      </c>
      <c r="M25">
        <f>$C$2/((Table1[[#This Row],[kOhms]]+$D$9)*1000)*1000</f>
        <v>0.32370840347015406</v>
      </c>
      <c r="N25">
        <f>POWER(Table1[[#This Row],[mA]]/1000,2)*(Table1[[#This Row],[kOhms]]*1000)*1000</f>
        <v>0.49490961724379695</v>
      </c>
    </row>
    <row r="26" spans="2:14" x14ac:dyDescent="0.25">
      <c r="H26">
        <v>4.5389999999999997</v>
      </c>
      <c r="I26">
        <f t="shared" si="0"/>
        <v>0.99482690011937924</v>
      </c>
      <c r="J26">
        <f t="shared" si="1"/>
        <v>0.84427477118981298</v>
      </c>
      <c r="K26">
        <f>ROUND(Table1[[#This Row],[Vout]]*1000,0)</f>
        <v>844</v>
      </c>
      <c r="L26">
        <v>44</v>
      </c>
      <c r="M26">
        <f>$C$2/((Table1[[#This Row],[kOhms]]+$D$9)*1000)*1000</f>
        <v>0.33160896670645973</v>
      </c>
      <c r="N26">
        <f>POWER(Table1[[#This Row],[mA]]/1000,2)*(Table1[[#This Row],[kOhms]]*1000)*1000</f>
        <v>0.49912889636577157</v>
      </c>
    </row>
    <row r="27" spans="2:14" x14ac:dyDescent="0.25">
      <c r="H27">
        <v>4.3630000000000004</v>
      </c>
      <c r="I27">
        <f t="shared" si="0"/>
        <v>1.0186065462447371</v>
      </c>
      <c r="J27">
        <f t="shared" si="1"/>
        <v>0.88208440852913184</v>
      </c>
      <c r="K27">
        <f>ROUND(Table1[[#This Row],[Vout]]*1000,0)</f>
        <v>882</v>
      </c>
      <c r="L27">
        <v>45</v>
      </c>
      <c r="M27">
        <f>$C$2/((Table1[[#This Row],[kOhms]]+$D$9)*1000)*1000</f>
        <v>0.33953551541491239</v>
      </c>
      <c r="N27">
        <f>POWER(Table1[[#This Row],[mA]]/1000,2)*(Table1[[#This Row],[kOhms]]*1000)*1000</f>
        <v>0.50298568985307035</v>
      </c>
    </row>
    <row r="28" spans="2:14" x14ac:dyDescent="0.25">
      <c r="H28">
        <v>4.1950000000000003</v>
      </c>
      <c r="I28">
        <f t="shared" si="0"/>
        <v>1.0423905489923557</v>
      </c>
      <c r="J28">
        <f t="shared" si="1"/>
        <v>0.91990097289784545</v>
      </c>
      <c r="K28">
        <f>ROUND(Table1[[#This Row],[Vout]]*1000,0)</f>
        <v>920</v>
      </c>
      <c r="L28">
        <v>46</v>
      </c>
      <c r="M28">
        <f>$C$2/((Table1[[#This Row],[kOhms]]+$D$9)*1000)*1000</f>
        <v>0.34746351633078526</v>
      </c>
      <c r="N28">
        <f>POWER(Table1[[#This Row],[mA]]/1000,2)*(Table1[[#This Row],[kOhms]]*1000)*1000</f>
        <v>0.50646610528410152</v>
      </c>
    </row>
    <row r="29" spans="2:14" x14ac:dyDescent="0.25">
      <c r="H29">
        <v>4.0339999999999998</v>
      </c>
      <c r="I29">
        <f t="shared" si="0"/>
        <v>1.0662496445834517</v>
      </c>
      <c r="J29">
        <f t="shared" si="1"/>
        <v>0.95783693488768817</v>
      </c>
      <c r="K29">
        <f>ROUND(Table1[[#This Row],[Vout]]*1000,0)</f>
        <v>958</v>
      </c>
      <c r="L29">
        <v>47</v>
      </c>
      <c r="M29">
        <f>$C$2/((Table1[[#This Row],[kOhms]]+$D$9)*1000)*1000</f>
        <v>0.35541654819448393</v>
      </c>
      <c r="N29">
        <f>POWER(Table1[[#This Row],[mA]]/1000,2)*(Table1[[#This Row],[kOhms]]*1000)*1000</f>
        <v>0.50957860229476404</v>
      </c>
    </row>
    <row r="30" spans="2:14" x14ac:dyDescent="0.25">
      <c r="H30">
        <v>3.88</v>
      </c>
      <c r="I30">
        <f t="shared" si="0"/>
        <v>1.0901162790697674</v>
      </c>
      <c r="J30">
        <f t="shared" si="1"/>
        <v>0.9957848837209301</v>
      </c>
      <c r="K30">
        <f>ROUND(Table1[[#This Row],[Vout]]*1000,0)</f>
        <v>996</v>
      </c>
      <c r="L30">
        <v>48</v>
      </c>
      <c r="M30">
        <f>$C$2/((Table1[[#This Row],[kOhms]]+$D$9)*1000)*1000</f>
        <v>0.36337209302325579</v>
      </c>
      <c r="N30">
        <f>POWER(Table1[[#This Row],[mA]]/1000,2)*(Table1[[#This Row],[kOhms]]*1000)*1000</f>
        <v>0.51231239859383448</v>
      </c>
    </row>
    <row r="31" spans="2:14" x14ac:dyDescent="0.25">
      <c r="H31">
        <v>3.7330000000000001</v>
      </c>
      <c r="I31">
        <f t="shared" si="0"/>
        <v>1.1139165305213128</v>
      </c>
      <c r="J31">
        <f t="shared" si="1"/>
        <v>1.0336272835288871</v>
      </c>
      <c r="K31">
        <f>ROUND(Table1[[#This Row],[Vout]]*1000,0)</f>
        <v>1034</v>
      </c>
      <c r="L31">
        <v>49</v>
      </c>
      <c r="M31">
        <f>$C$2/((Table1[[#This Row],[kOhms]]+$D$9)*1000)*1000</f>
        <v>0.37130551017377095</v>
      </c>
      <c r="N31">
        <f>POWER(Table1[[#This Row],[mA]]/1000,2)*(Table1[[#This Row],[kOhms]]*1000)*1000</f>
        <v>0.51466042977821436</v>
      </c>
    </row>
    <row r="32" spans="2:14" x14ac:dyDescent="0.25">
      <c r="H32">
        <v>3.5920000000000001</v>
      </c>
      <c r="I32">
        <f t="shared" si="0"/>
        <v>1.1377427184466018</v>
      </c>
      <c r="J32">
        <f t="shared" si="1"/>
        <v>1.0715109223300967</v>
      </c>
      <c r="K32">
        <f>ROUND(Table1[[#This Row],[Vout]]*1000,0)</f>
        <v>1072</v>
      </c>
      <c r="L32">
        <v>50</v>
      </c>
      <c r="M32">
        <f>$C$2/((Table1[[#This Row],[kOhms]]+$D$9)*1000)*1000</f>
        <v>0.3792475728155339</v>
      </c>
      <c r="N32">
        <f>POWER(Table1[[#This Row],[mA]]/1000,2)*(Table1[[#This Row],[kOhms]]*1000)*1000</f>
        <v>0.51663276757941357</v>
      </c>
    </row>
    <row r="33" spans="8:14" x14ac:dyDescent="0.25">
      <c r="H33">
        <v>3.4569999999999999</v>
      </c>
      <c r="I33">
        <f t="shared" si="0"/>
        <v>1.1615301223478396</v>
      </c>
      <c r="J33">
        <f t="shared" si="1"/>
        <v>1.1093328945330647</v>
      </c>
      <c r="K33">
        <f>ROUND(Table1[[#This Row],[Vout]]*1000,0)</f>
        <v>1109</v>
      </c>
      <c r="L33">
        <v>51</v>
      </c>
      <c r="M33">
        <f>$C$2/((Table1[[#This Row],[kOhms]]+$D$9)*1000)*1000</f>
        <v>0.38717670744927984</v>
      </c>
      <c r="N33">
        <f>POWER(Table1[[#This Row],[mA]]/1000,2)*(Table1[[#This Row],[kOhms]]*1000)*1000</f>
        <v>0.51822436024940399</v>
      </c>
    </row>
    <row r="34" spans="8:14" x14ac:dyDescent="0.25">
      <c r="H34">
        <v>3.3279999999999998</v>
      </c>
      <c r="I34">
        <f t="shared" si="0"/>
        <v>1.1852085967130217</v>
      </c>
      <c r="J34">
        <f t="shared" si="1"/>
        <v>1.1469816687737042</v>
      </c>
      <c r="K34">
        <f>ROUND(Table1[[#This Row],[Vout]]*1000,0)</f>
        <v>1147</v>
      </c>
      <c r="L34">
        <v>52</v>
      </c>
      <c r="M34">
        <f>$C$2/((Table1[[#This Row],[kOhms]]+$D$9)*1000)*1000</f>
        <v>0.39506953223767388</v>
      </c>
      <c r="N34">
        <f>POWER(Table1[[#This Row],[mA]]/1000,2)*(Table1[[#This Row],[kOhms]]*1000)*1000</f>
        <v>0.51943402468670141</v>
      </c>
    </row>
    <row r="35" spans="8:14" x14ac:dyDescent="0.25">
      <c r="H35">
        <v>3.2040000000000002</v>
      </c>
      <c r="I35">
        <f t="shared" si="0"/>
        <v>1.20889748549323</v>
      </c>
      <c r="J35">
        <f t="shared" si="1"/>
        <v>1.1846470019342354</v>
      </c>
      <c r="K35">
        <f>ROUND(Table1[[#This Row],[Vout]]*1000,0)</f>
        <v>1185</v>
      </c>
      <c r="L35">
        <v>53</v>
      </c>
      <c r="M35">
        <f>$C$2/((Table1[[#This Row],[kOhms]]+$D$9)*1000)*1000</f>
        <v>0.40296582849774332</v>
      </c>
      <c r="N35">
        <f>POWER(Table1[[#This Row],[mA]]/1000,2)*(Table1[[#This Row],[kOhms]]*1000)*1000</f>
        <v>0.52027019443374001</v>
      </c>
    </row>
    <row r="36" spans="8:14" x14ac:dyDescent="0.25">
      <c r="H36">
        <v>3.0859999999999999</v>
      </c>
      <c r="I36">
        <f t="shared" si="0"/>
        <v>1.2323365100230035</v>
      </c>
      <c r="J36">
        <f t="shared" si="1"/>
        <v>1.2219150509365755</v>
      </c>
      <c r="K36">
        <f>ROUND(Table1[[#This Row],[Vout]]*1000,0)</f>
        <v>1222</v>
      </c>
      <c r="L36">
        <v>54</v>
      </c>
      <c r="M36">
        <f>$C$2/((Table1[[#This Row],[kOhms]]+$D$9)*1000)*1000</f>
        <v>0.41077883667433451</v>
      </c>
      <c r="N36">
        <f>POWER(Table1[[#This Row],[mA]]/1000,2)*(Table1[[#This Row],[kOhms]]*1000)*1000</f>
        <v>0.52072933370727748</v>
      </c>
    </row>
    <row r="37" spans="8:14" x14ac:dyDescent="0.25">
      <c r="H37">
        <v>2.972</v>
      </c>
      <c r="I37">
        <f t="shared" si="0"/>
        <v>1.2558606831882118</v>
      </c>
      <c r="J37">
        <f t="shared" si="1"/>
        <v>1.2593184862692568</v>
      </c>
      <c r="K37">
        <f>ROUND(Table1[[#This Row],[Vout]]*1000,0)</f>
        <v>1259</v>
      </c>
      <c r="L37">
        <v>55</v>
      </c>
      <c r="M37">
        <f>$C$2/((Table1[[#This Row],[kOhms]]+$D$9)*1000)*1000</f>
        <v>0.41862022772940394</v>
      </c>
      <c r="N37">
        <f>POWER(Table1[[#This Row],[mA]]/1000,2)*(Table1[[#This Row],[kOhms]]*1000)*1000</f>
        <v>0.52082188413085595</v>
      </c>
    </row>
    <row r="38" spans="8:14" x14ac:dyDescent="0.25">
      <c r="H38">
        <v>2.863</v>
      </c>
      <c r="I38">
        <f t="shared" si="0"/>
        <v>1.2792085962817672</v>
      </c>
      <c r="J38">
        <f t="shared" si="1"/>
        <v>1.29644166808801</v>
      </c>
      <c r="K38">
        <f>ROUND(Table1[[#This Row],[Vout]]*1000,0)</f>
        <v>1296</v>
      </c>
      <c r="L38">
        <v>56</v>
      </c>
      <c r="M38">
        <f>$C$2/((Table1[[#This Row],[kOhms]]+$D$9)*1000)*1000</f>
        <v>0.4264028654272557</v>
      </c>
      <c r="N38">
        <f>POWER(Table1[[#This Row],[mA]]/1000,2)*(Table1[[#This Row],[kOhms]]*1000)*1000</f>
        <v>0.52054895263441625</v>
      </c>
    </row>
    <row r="39" spans="8:14" x14ac:dyDescent="0.25">
      <c r="H39">
        <v>2.7589999999999999</v>
      </c>
      <c r="I39">
        <f t="shared" si="0"/>
        <v>1.3023094287202639</v>
      </c>
      <c r="J39">
        <f t="shared" si="1"/>
        <v>1.3331719916652194</v>
      </c>
      <c r="K39">
        <f>ROUND(Table1[[#This Row],[Vout]]*1000,0)</f>
        <v>1333</v>
      </c>
      <c r="L39">
        <v>57</v>
      </c>
      <c r="M39">
        <f>$C$2/((Table1[[#This Row],[kOhms]]+$D$9)*1000)*1000</f>
        <v>0.43410314290675467</v>
      </c>
      <c r="N39">
        <f>POWER(Table1[[#This Row],[mA]]/1000,2)*(Table1[[#This Row],[kOhms]]*1000)*1000</f>
        <v>0.51992124122231986</v>
      </c>
    </row>
    <row r="40" spans="8:14" x14ac:dyDescent="0.25">
      <c r="H40">
        <v>2.6589999999999998</v>
      </c>
      <c r="I40">
        <f t="shared" si="0"/>
        <v>1.3253224951404843</v>
      </c>
      <c r="J40">
        <f t="shared" si="1"/>
        <v>1.3697627672733699</v>
      </c>
      <c r="K40">
        <f>ROUND(Table1[[#This Row],[Vout]]*1000,0)</f>
        <v>1370</v>
      </c>
      <c r="L40">
        <v>58</v>
      </c>
      <c r="M40">
        <f>$C$2/((Table1[[#This Row],[kOhms]]+$D$9)*1000)*1000</f>
        <v>0.44177416504682809</v>
      </c>
      <c r="N40">
        <f>POWER(Table1[[#This Row],[mA]]/1000,2)*(Table1[[#This Row],[kOhms]]*1000)*1000</f>
        <v>0.51894217390860387</v>
      </c>
    </row>
    <row r="41" spans="8:14" x14ac:dyDescent="0.25">
      <c r="H41">
        <v>2.5640000000000001</v>
      </c>
      <c r="I41">
        <f t="shared" si="0"/>
        <v>1.3479511143062546</v>
      </c>
      <c r="J41">
        <f t="shared" si="1"/>
        <v>1.405742271746945</v>
      </c>
      <c r="K41">
        <f>ROUND(Table1[[#This Row],[Vout]]*1000,0)</f>
        <v>1406</v>
      </c>
      <c r="L41">
        <v>59</v>
      </c>
      <c r="M41">
        <f>$C$2/((Table1[[#This Row],[kOhms]]+$D$9)*1000)*1000</f>
        <v>0.44931703810208484</v>
      </c>
      <c r="N41">
        <f>POWER(Table1[[#This Row],[mA]]/1000,2)*(Table1[[#This Row],[kOhms]]*1000)*1000</f>
        <v>0.51763519306872097</v>
      </c>
    </row>
    <row r="42" spans="8:14" x14ac:dyDescent="0.25">
      <c r="H42">
        <v>2.472</v>
      </c>
      <c r="I42">
        <f t="shared" si="0"/>
        <v>1.3706140350877194</v>
      </c>
      <c r="J42">
        <f t="shared" si="1"/>
        <v>1.4417763157894736</v>
      </c>
      <c r="K42">
        <f>ROUND(Table1[[#This Row],[Vout]]*1000,0)</f>
        <v>1442</v>
      </c>
      <c r="L42">
        <v>60</v>
      </c>
      <c r="M42">
        <f>$C$2/((Table1[[#This Row],[kOhms]]+$D$9)*1000)*1000</f>
        <v>0.45687134502923987</v>
      </c>
      <c r="N42">
        <f>POWER(Table1[[#This Row],[mA]]/1000,2)*(Table1[[#This Row],[kOhms]]*1000)*1000</f>
        <v>0.51598408484661973</v>
      </c>
    </row>
    <row r="43" spans="8:14" x14ac:dyDescent="0.25">
      <c r="H43">
        <v>2.3839999999999999</v>
      </c>
      <c r="I43">
        <f t="shared" si="0"/>
        <v>1.3930163447251114</v>
      </c>
      <c r="J43">
        <f t="shared" si="1"/>
        <v>1.477395988112927</v>
      </c>
      <c r="K43">
        <f>ROUND(Table1[[#This Row],[Vout]]*1000,0)</f>
        <v>1477</v>
      </c>
      <c r="L43">
        <v>61</v>
      </c>
      <c r="M43">
        <f>$C$2/((Table1[[#This Row],[kOhms]]+$D$9)*1000)*1000</f>
        <v>0.46433878157503711</v>
      </c>
      <c r="N43">
        <f>POWER(Table1[[#This Row],[mA]]/1000,2)*(Table1[[#This Row],[kOhms]]*1000)*1000</f>
        <v>0.51401544171382252</v>
      </c>
    </row>
    <row r="44" spans="8:14" x14ac:dyDescent="0.25">
      <c r="H44">
        <v>2.2989999999999999</v>
      </c>
      <c r="I44">
        <f t="shared" si="0"/>
        <v>1.4153613889413099</v>
      </c>
      <c r="J44">
        <f t="shared" si="1"/>
        <v>1.5129246084166827</v>
      </c>
      <c r="K44">
        <f>ROUND(Table1[[#This Row],[Vout]]*1000,0)</f>
        <v>1513</v>
      </c>
      <c r="L44">
        <v>62</v>
      </c>
      <c r="M44">
        <f>$C$2/((Table1[[#This Row],[kOhms]]+$D$9)*1000)*1000</f>
        <v>0.47178712964710334</v>
      </c>
      <c r="N44">
        <f>POWER(Table1[[#This Row],[mA]]/1000,2)*(Table1[[#This Row],[kOhms]]*1000)*1000</f>
        <v>0.5117185370158005</v>
      </c>
    </row>
    <row r="45" spans="8:14" x14ac:dyDescent="0.25">
      <c r="H45">
        <v>2.218</v>
      </c>
      <c r="I45">
        <f t="shared" si="0"/>
        <v>1.4373323112303564</v>
      </c>
      <c r="J45">
        <f t="shared" si="1"/>
        <v>1.5478583748562666</v>
      </c>
      <c r="K45">
        <f>ROUND(Table1[[#This Row],[Vout]]*1000,0)</f>
        <v>1548</v>
      </c>
      <c r="L45">
        <v>63</v>
      </c>
      <c r="M45">
        <f>$C$2/((Table1[[#This Row],[kOhms]]+$D$9)*1000)*1000</f>
        <v>0.47911077041011885</v>
      </c>
      <c r="N45">
        <f>POWER(Table1[[#This Row],[mA]]/1000,2)*(Table1[[#This Row],[kOhms]]*1000)*1000</f>
        <v>0.50913553505636433</v>
      </c>
    </row>
    <row r="46" spans="8:14" x14ac:dyDescent="0.25">
      <c r="H46">
        <v>2.141</v>
      </c>
      <c r="I46">
        <f t="shared" si="0"/>
        <v>1.4588601439408675</v>
      </c>
      <c r="J46">
        <f t="shared" si="1"/>
        <v>1.5820876288659793</v>
      </c>
      <c r="K46">
        <f>ROUND(Table1[[#This Row],[Vout]]*1000,0)</f>
        <v>1582</v>
      </c>
      <c r="L46">
        <v>64</v>
      </c>
      <c r="M46">
        <f>$C$2/((Table1[[#This Row],[kOhms]]+$D$9)*1000)*1000</f>
        <v>0.48628671464695589</v>
      </c>
      <c r="N46">
        <f>POWER(Table1[[#This Row],[mA]]/1000,2)*(Table1[[#This Row],[kOhms]]*1000)*1000</f>
        <v>0.50629248009100003</v>
      </c>
    </row>
    <row r="47" spans="8:14" x14ac:dyDescent="0.25">
      <c r="H47">
        <v>2.0659999999999998</v>
      </c>
      <c r="I47">
        <f t="shared" si="0"/>
        <v>1.4804579549940782</v>
      </c>
      <c r="J47">
        <f t="shared" si="1"/>
        <v>1.6164281484405842</v>
      </c>
      <c r="K47">
        <f>ROUND(Table1[[#This Row],[Vout]]*1000,0)</f>
        <v>1616</v>
      </c>
      <c r="L47">
        <v>65</v>
      </c>
      <c r="M47">
        <f>$C$2/((Table1[[#This Row],[kOhms]]+$D$9)*1000)*1000</f>
        <v>0.49348598499802604</v>
      </c>
      <c r="N47">
        <f>POWER(Table1[[#This Row],[mA]]/1000,2)*(Table1[[#This Row],[kOhms]]*1000)*1000</f>
        <v>0.5031297103266491</v>
      </c>
    </row>
    <row r="48" spans="8:14" x14ac:dyDescent="0.25">
      <c r="H48">
        <v>1.994</v>
      </c>
      <c r="I48">
        <f t="shared" si="0"/>
        <v>1.5018021625951141</v>
      </c>
      <c r="J48">
        <f t="shared" si="1"/>
        <v>1.6503654385262316</v>
      </c>
      <c r="K48">
        <f>ROUND(Table1[[#This Row],[Vout]]*1000,0)</f>
        <v>1650</v>
      </c>
      <c r="L48">
        <v>66</v>
      </c>
      <c r="M48">
        <f>$C$2/((Table1[[#This Row],[kOhms]]+$D$9)*1000)*1000</f>
        <v>0.50060072086503804</v>
      </c>
      <c r="N48">
        <f>POWER(Table1[[#This Row],[mA]]/1000,2)*(Table1[[#This Row],[kOhms]]*1000)*1000</f>
        <v>0.49969855697080795</v>
      </c>
    </row>
    <row r="49" spans="8:14" x14ac:dyDescent="0.25">
      <c r="H49">
        <v>1.9259999999999999</v>
      </c>
      <c r="I49">
        <f t="shared" si="0"/>
        <v>1.5225334957369061</v>
      </c>
      <c r="J49">
        <f t="shared" si="1"/>
        <v>1.6833282582216809</v>
      </c>
      <c r="K49">
        <f>ROUND(Table1[[#This Row],[Vout]]*1000,0)</f>
        <v>1683</v>
      </c>
      <c r="L49">
        <v>67</v>
      </c>
      <c r="M49">
        <f>$C$2/((Table1[[#This Row],[kOhms]]+$D$9)*1000)*1000</f>
        <v>0.50751116524563544</v>
      </c>
      <c r="N49">
        <f>POWER(Table1[[#This Row],[mA]]/1000,2)*(Table1[[#This Row],[kOhms]]*1000)*1000</f>
        <v>0.49607516456714063</v>
      </c>
    </row>
    <row r="50" spans="8:14" x14ac:dyDescent="0.25">
      <c r="H50">
        <v>1.86</v>
      </c>
      <c r="I50">
        <f t="shared" si="0"/>
        <v>1.5432098765432098</v>
      </c>
      <c r="J50">
        <f t="shared" si="1"/>
        <v>1.7162037037037035</v>
      </c>
      <c r="K50">
        <f>ROUND(Table1[[#This Row],[Vout]]*1000,0)</f>
        <v>1716</v>
      </c>
      <c r="L50">
        <v>68</v>
      </c>
      <c r="M50">
        <f>$C$2/((Table1[[#This Row],[kOhms]]+$D$9)*1000)*1000</f>
        <v>0.51440329218106995</v>
      </c>
      <c r="N50">
        <f>POWER(Table1[[#This Row],[mA]]/1000,2)*(Table1[[#This Row],[kOhms]]*1000)*1000</f>
        <v>0.49217598943250529</v>
      </c>
    </row>
    <row r="51" spans="8:14" x14ac:dyDescent="0.25">
      <c r="H51">
        <v>1.796</v>
      </c>
      <c r="I51">
        <f t="shared" si="0"/>
        <v>1.5638031693077563</v>
      </c>
      <c r="J51">
        <f t="shared" si="1"/>
        <v>1.7489470391993325</v>
      </c>
      <c r="K51">
        <f>ROUND(Table1[[#This Row],[Vout]]*1000,0)</f>
        <v>1749</v>
      </c>
      <c r="L51">
        <v>69</v>
      </c>
      <c r="M51">
        <f>$C$2/((Table1[[#This Row],[kOhms]]+$D$9)*1000)*1000</f>
        <v>0.52126772310258551</v>
      </c>
      <c r="N51">
        <f>POWER(Table1[[#This Row],[mA]]/1000,2)*(Table1[[#This Row],[kOhms]]*1000)*1000</f>
        <v>0.48800919031080253</v>
      </c>
    </row>
    <row r="52" spans="8:14" x14ac:dyDescent="0.25">
      <c r="H52">
        <v>1.7350000000000001</v>
      </c>
      <c r="I52">
        <f t="shared" si="0"/>
        <v>1.583949313621964</v>
      </c>
      <c r="J52">
        <f t="shared" si="1"/>
        <v>1.7809794086589226</v>
      </c>
      <c r="K52">
        <f>ROUND(Table1[[#This Row],[Vout]]*1000,0)</f>
        <v>1781</v>
      </c>
      <c r="L52">
        <v>70</v>
      </c>
      <c r="M52">
        <f>$C$2/((Table1[[#This Row],[kOhms]]+$D$9)*1000)*1000</f>
        <v>0.52798310454065467</v>
      </c>
      <c r="N52">
        <f>POWER(Table1[[#This Row],[mA]]/1000,2)*(Table1[[#This Row],[kOhms]]*1000)*1000</f>
        <v>0.48365928531047298</v>
      </c>
    </row>
    <row r="53" spans="8:14" x14ac:dyDescent="0.25">
      <c r="H53">
        <v>1.677</v>
      </c>
      <c r="I53">
        <f t="shared" si="0"/>
        <v>1.603592046183451</v>
      </c>
      <c r="J53">
        <f t="shared" si="1"/>
        <v>1.812211353431687</v>
      </c>
      <c r="K53">
        <f>ROUND(Table1[[#This Row],[Vout]]*1000,0)</f>
        <v>1812</v>
      </c>
      <c r="L53">
        <v>71</v>
      </c>
      <c r="M53">
        <f>$C$2/((Table1[[#This Row],[kOhms]]+$D$9)*1000)*1000</f>
        <v>0.5345306820611504</v>
      </c>
      <c r="N53">
        <f>POWER(Table1[[#This Row],[mA]]/1000,2)*(Table1[[#This Row],[kOhms]]*1000)*1000</f>
        <v>0.47915755495860018</v>
      </c>
    </row>
    <row r="54" spans="8:14" x14ac:dyDescent="0.25">
      <c r="H54">
        <v>1.621</v>
      </c>
      <c r="I54">
        <f t="shared" si="0"/>
        <v>1.6230253191949793</v>
      </c>
      <c r="J54">
        <f t="shared" si="1"/>
        <v>1.8431102575200171</v>
      </c>
      <c r="K54">
        <f>ROUND(Table1[[#This Row],[Vout]]*1000,0)</f>
        <v>1843</v>
      </c>
      <c r="L54">
        <v>72</v>
      </c>
      <c r="M54">
        <f>$C$2/((Table1[[#This Row],[kOhms]]+$D$9)*1000)*1000</f>
        <v>0.5410084397316598</v>
      </c>
      <c r="N54">
        <f>POWER(Table1[[#This Row],[mA]]/1000,2)*(Table1[[#This Row],[kOhms]]*1000)*1000</f>
        <v>0.47445070374649451</v>
      </c>
    </row>
    <row r="55" spans="8:14" x14ac:dyDescent="0.25">
      <c r="H55">
        <v>1.5669999999999999</v>
      </c>
      <c r="I55">
        <f t="shared" si="0"/>
        <v>1.6422158966498794</v>
      </c>
      <c r="J55">
        <f t="shared" si="1"/>
        <v>1.8736232756733084</v>
      </c>
      <c r="K55">
        <f>ROUND(Table1[[#This Row],[Vout]]*1000,0)</f>
        <v>1874</v>
      </c>
      <c r="L55">
        <v>73</v>
      </c>
      <c r="M55">
        <f>$C$2/((Table1[[#This Row],[kOhms]]+$D$9)*1000)*1000</f>
        <v>0.54740529888329315</v>
      </c>
      <c r="N55">
        <f>POWER(Table1[[#This Row],[mA]]/1000,2)*(Table1[[#This Row],[kOhms]]*1000)*1000</f>
        <v>0.46955556347171029</v>
      </c>
    </row>
    <row r="56" spans="8:14" x14ac:dyDescent="0.25">
      <c r="H56">
        <v>1.5149999999999999</v>
      </c>
      <c r="I56">
        <f t="shared" si="0"/>
        <v>1.6611295681063125</v>
      </c>
      <c r="J56">
        <f t="shared" si="1"/>
        <v>1.903696013289037</v>
      </c>
      <c r="K56">
        <f>ROUND(Table1[[#This Row],[Vout]]*1000,0)</f>
        <v>1904</v>
      </c>
      <c r="L56">
        <v>74</v>
      </c>
      <c r="M56">
        <f>$C$2/((Table1[[#This Row],[kOhms]]+$D$9)*1000)*1000</f>
        <v>0.55370985603543743</v>
      </c>
      <c r="N56">
        <f>POWER(Table1[[#This Row],[mA]]/1000,2)*(Table1[[#This Row],[kOhms]]*1000)*1000</f>
        <v>0.46449082607623898</v>
      </c>
    </row>
    <row r="57" spans="8:14" x14ac:dyDescent="0.25">
      <c r="H57">
        <v>1.4650000000000001</v>
      </c>
      <c r="I57">
        <f t="shared" si="0"/>
        <v>1.67973124300112</v>
      </c>
      <c r="J57">
        <f t="shared" si="1"/>
        <v>1.9332726763717809</v>
      </c>
      <c r="K57">
        <f>ROUND(Table1[[#This Row],[Vout]]*1000,0)</f>
        <v>1933</v>
      </c>
      <c r="L57">
        <v>75</v>
      </c>
      <c r="M57">
        <f>$C$2/((Table1[[#This Row],[kOhms]]+$D$9)*1000)*1000</f>
        <v>0.55991041433370659</v>
      </c>
      <c r="N57">
        <f>POWER(Table1[[#This Row],[mA]]/1000,2)*(Table1[[#This Row],[kOhms]]*1000)*1000</f>
        <v>0.45927701959623751</v>
      </c>
    </row>
    <row r="58" spans="8:14" x14ac:dyDescent="0.25">
      <c r="H58">
        <v>1.417</v>
      </c>
      <c r="I58">
        <f t="shared" si="0"/>
        <v>1.6979850577314921</v>
      </c>
      <c r="J58">
        <f t="shared" si="1"/>
        <v>1.9622962417930725</v>
      </c>
      <c r="K58">
        <f>ROUND(Table1[[#This Row],[Vout]]*1000,0)</f>
        <v>1962</v>
      </c>
      <c r="L58">
        <v>76</v>
      </c>
      <c r="M58">
        <f>$C$2/((Table1[[#This Row],[kOhms]]+$D$9)*1000)*1000</f>
        <v>0.56599501924383067</v>
      </c>
      <c r="N58">
        <f>POWER(Table1[[#This Row],[mA]]/1000,2)*(Table1[[#This Row],[kOhms]]*1000)*1000</f>
        <v>0.45393646268310389</v>
      </c>
    </row>
    <row r="59" spans="8:14" x14ac:dyDescent="0.25">
      <c r="H59">
        <v>1.371</v>
      </c>
      <c r="I59">
        <f t="shared" si="0"/>
        <v>1.7158544955387782</v>
      </c>
      <c r="J59">
        <f t="shared" si="1"/>
        <v>1.9907086479066574</v>
      </c>
      <c r="K59">
        <f>ROUND(Table1[[#This Row],[Vout]]*1000,0)</f>
        <v>1991</v>
      </c>
      <c r="L59">
        <v>77</v>
      </c>
      <c r="M59">
        <f>$C$2/((Table1[[#This Row],[kOhms]]+$D$9)*1000)*1000</f>
        <v>0.57195149851292615</v>
      </c>
      <c r="N59">
        <f>POWER(Table1[[#This Row],[mA]]/1000,2)*(Table1[[#This Row],[kOhms]]*1000)*1000</f>
        <v>0.44849319632877027</v>
      </c>
    </row>
    <row r="60" spans="8:14" x14ac:dyDescent="0.25">
      <c r="H60">
        <v>1.3260000000000001</v>
      </c>
      <c r="I60">
        <f t="shared" si="0"/>
        <v>1.7337031900138695</v>
      </c>
      <c r="J60">
        <f t="shared" si="1"/>
        <v>2.0190880721220523</v>
      </c>
      <c r="K60">
        <f>ROUND(Table1[[#This Row],[Vout]]*1000,0)</f>
        <v>2019</v>
      </c>
      <c r="L60">
        <v>78</v>
      </c>
      <c r="M60">
        <f>$C$2/((Table1[[#This Row],[kOhms]]+$D$9)*1000)*1000</f>
        <v>0.57790106333795643</v>
      </c>
      <c r="N60">
        <f>POWER(Table1[[#This Row],[mA]]/1000,2)*(Table1[[#This Row],[kOhms]]*1000)*1000</f>
        <v>0.4428437413234686</v>
      </c>
    </row>
    <row r="61" spans="8:14" x14ac:dyDescent="0.25">
      <c r="H61">
        <v>1.284</v>
      </c>
      <c r="I61">
        <f t="shared" si="0"/>
        <v>1.7507002801120448</v>
      </c>
      <c r="J61">
        <f t="shared" si="1"/>
        <v>2.0461134453781513</v>
      </c>
      <c r="K61">
        <f>ROUND(Table1[[#This Row],[Vout]]*1000,0)</f>
        <v>2046</v>
      </c>
      <c r="L61">
        <v>79</v>
      </c>
      <c r="M61">
        <f>$C$2/((Table1[[#This Row],[kOhms]]+$D$9)*1000)*1000</f>
        <v>0.58356676003734831</v>
      </c>
      <c r="N61">
        <f>POWER(Table1[[#This Row],[mA]]/1000,2)*(Table1[[#This Row],[kOhms]]*1000)*1000</f>
        <v>0.43726640983190662</v>
      </c>
    </row>
    <row r="62" spans="8:14" x14ac:dyDescent="0.25">
      <c r="H62">
        <v>1.2430000000000001</v>
      </c>
      <c r="I62">
        <f t="shared" si="0"/>
        <v>1.7676172519443789</v>
      </c>
      <c r="J62">
        <f t="shared" si="1"/>
        <v>2.0730114305915626</v>
      </c>
      <c r="K62">
        <f>ROUND(Table1[[#This Row],[Vout]]*1000,0)</f>
        <v>2073</v>
      </c>
      <c r="L62">
        <v>80</v>
      </c>
      <c r="M62">
        <f>$C$2/((Table1[[#This Row],[kOhms]]+$D$9)*1000)*1000</f>
        <v>0.5892057506481263</v>
      </c>
      <c r="N62">
        <f>POWER(Table1[[#This Row],[mA]]/1000,2)*(Table1[[#This Row],[kOhms]]*1000)*1000</f>
        <v>0.43152412682984975</v>
      </c>
    </row>
    <row r="63" spans="8:14" x14ac:dyDescent="0.25">
      <c r="H63">
        <v>1.2030000000000001</v>
      </c>
      <c r="I63">
        <f t="shared" si="0"/>
        <v>1.7844396859386151</v>
      </c>
      <c r="J63">
        <f t="shared" si="1"/>
        <v>2.0997591006423981</v>
      </c>
      <c r="K63">
        <f>ROUND(Table1[[#This Row],[Vout]]*1000,0)</f>
        <v>2100</v>
      </c>
      <c r="L63">
        <v>81</v>
      </c>
      <c r="M63">
        <f>$C$2/((Table1[[#This Row],[kOhms]]+$D$9)*1000)*1000</f>
        <v>0.59481322864620512</v>
      </c>
      <c r="N63">
        <f>POWER(Table1[[#This Row],[mA]]/1000,2)*(Table1[[#This Row],[kOhms]]*1000)*1000</f>
        <v>0.42562474069794476</v>
      </c>
    </row>
    <row r="64" spans="8:14" x14ac:dyDescent="0.25">
      <c r="H64">
        <v>1.165</v>
      </c>
      <c r="I64">
        <f t="shared" si="0"/>
        <v>1.800720288115246</v>
      </c>
      <c r="J64">
        <f t="shared" si="1"/>
        <v>2.125645258103241</v>
      </c>
      <c r="K64">
        <f>ROUND(Table1[[#This Row],[Vout]]*1000,0)</f>
        <v>2126</v>
      </c>
      <c r="L64">
        <v>82</v>
      </c>
      <c r="M64">
        <f>$C$2/((Table1[[#This Row],[kOhms]]+$D$9)*1000)*1000</f>
        <v>0.60024009603841533</v>
      </c>
      <c r="N64">
        <f>POWER(Table1[[#This Row],[mA]]/1000,2)*(Table1[[#This Row],[kOhms]]*1000)*1000</f>
        <v>0.41973572141942006</v>
      </c>
    </row>
    <row r="65" spans="8:14" x14ac:dyDescent="0.25">
      <c r="H65">
        <v>1.1279999999999999</v>
      </c>
      <c r="I65">
        <f t="shared" si="0"/>
        <v>1.816860465116279</v>
      </c>
      <c r="J65">
        <f t="shared" si="1"/>
        <v>2.1513081395348834</v>
      </c>
      <c r="K65">
        <f>ROUND(Table1[[#This Row],[Vout]]*1000,0)</f>
        <v>2151</v>
      </c>
      <c r="L65">
        <v>83</v>
      </c>
      <c r="M65">
        <f>$C$2/((Table1[[#This Row],[kOhms]]+$D$9)*1000)*1000</f>
        <v>0.60562015503875966</v>
      </c>
      <c r="N65">
        <f>POWER(Table1[[#This Row],[mA]]/1000,2)*(Table1[[#This Row],[kOhms]]*1000)*1000</f>
        <v>0.41372307102938521</v>
      </c>
    </row>
    <row r="66" spans="8:14" x14ac:dyDescent="0.25">
      <c r="H66">
        <v>1.093</v>
      </c>
      <c r="I66">
        <f t="shared" si="0"/>
        <v>1.8323967749816761</v>
      </c>
      <c r="J66">
        <f t="shared" si="1"/>
        <v>2.1760108722208651</v>
      </c>
      <c r="K66">
        <f>ROUND(Table1[[#This Row],[Vout]]*1000,0)</f>
        <v>2176</v>
      </c>
      <c r="L66">
        <v>84</v>
      </c>
      <c r="M66">
        <f>$C$2/((Table1[[#This Row],[kOhms]]+$D$9)*1000)*1000</f>
        <v>0.61079892499389199</v>
      </c>
      <c r="N66">
        <f>POWER(Table1[[#This Row],[mA]]/1000,2)*(Table1[[#This Row],[kOhms]]*1000)*1000</f>
        <v>0.40777133216364764</v>
      </c>
    </row>
    <row r="67" spans="8:14" x14ac:dyDescent="0.25">
      <c r="H67">
        <v>1.0589999999999999</v>
      </c>
      <c r="I67">
        <f t="shared" ref="I67:I82" si="2">($D$9*$C$2)/($D$9+$H67)</f>
        <v>1.8477457501847745</v>
      </c>
      <c r="J67">
        <f t="shared" ref="J67:J82" si="3">$I67*$C$16-($D$14/$C$13)*$C$1</f>
        <v>2.2004157427937914</v>
      </c>
      <c r="K67">
        <f>ROUND(Table1[[#This Row],[Vout]]*1000,0)</f>
        <v>2200</v>
      </c>
      <c r="L67">
        <v>85</v>
      </c>
      <c r="M67">
        <f>$C$2/((Table1[[#This Row],[kOhms]]+$D$9)*1000)*1000</f>
        <v>0.61591525006159153</v>
      </c>
      <c r="N67">
        <f>POWER(Table1[[#This Row],[mA]]/1000,2)*(Table1[[#This Row],[kOhms]]*1000)*1000</f>
        <v>0.40173333937868039</v>
      </c>
    </row>
    <row r="68" spans="8:14" x14ac:dyDescent="0.25">
      <c r="H68">
        <v>1.0269999999999999</v>
      </c>
      <c r="I68">
        <f t="shared" si="2"/>
        <v>1.862428606903402</v>
      </c>
      <c r="J68">
        <f t="shared" si="3"/>
        <v>2.2237614849764089</v>
      </c>
      <c r="K68">
        <f>ROUND(Table1[[#This Row],[Vout]]*1000,0)</f>
        <v>2224</v>
      </c>
      <c r="L68">
        <v>86</v>
      </c>
      <c r="M68">
        <f>$C$2/((Table1[[#This Row],[kOhms]]+$D$9)*1000)*1000</f>
        <v>0.62080953563446739</v>
      </c>
      <c r="N68">
        <f>POWER(Table1[[#This Row],[mA]]/1000,2)*(Table1[[#This Row],[kOhms]]*1000)*1000</f>
        <v>0.39581040048211952</v>
      </c>
    </row>
    <row r="69" spans="8:14" x14ac:dyDescent="0.25">
      <c r="H69">
        <v>0.99550000000000005</v>
      </c>
      <c r="I69">
        <f t="shared" si="2"/>
        <v>1.8771117507195596</v>
      </c>
      <c r="J69">
        <f t="shared" si="3"/>
        <v>2.2471076836440997</v>
      </c>
      <c r="K69">
        <f>ROUND(Table1[[#This Row],[Vout]]*1000,0)</f>
        <v>2247</v>
      </c>
      <c r="L69">
        <v>87</v>
      </c>
      <c r="M69">
        <f>$C$2/((Table1[[#This Row],[kOhms]]+$D$9)*1000)*1000</f>
        <v>0.62570391690651983</v>
      </c>
      <c r="N69">
        <f>POWER(Table1[[#This Row],[mA]]/1000,2)*(Table1[[#This Row],[kOhms]]*1000)*1000</f>
        <v>0.38974361736981639</v>
      </c>
    </row>
    <row r="70" spans="8:14" x14ac:dyDescent="0.25">
      <c r="H70">
        <v>0.96540000000000004</v>
      </c>
      <c r="I70">
        <f t="shared" si="2"/>
        <v>1.8913602663035256</v>
      </c>
      <c r="J70">
        <f t="shared" si="3"/>
        <v>2.2697628234226057</v>
      </c>
      <c r="K70">
        <f>ROUND(Table1[[#This Row],[Vout]]*1000,0)</f>
        <v>2270</v>
      </c>
      <c r="L70">
        <v>88</v>
      </c>
      <c r="M70">
        <f>$C$2/((Table1[[#This Row],[kOhms]]+$D$9)*1000)*1000</f>
        <v>0.63045342210117516</v>
      </c>
      <c r="N70">
        <f>POWER(Table1[[#This Row],[mA]]/1000,2)*(Table1[[#This Row],[kOhms]]*1000)*1000</f>
        <v>0.38371900293569033</v>
      </c>
    </row>
    <row r="71" spans="8:14" x14ac:dyDescent="0.25">
      <c r="H71">
        <v>0.93630000000000002</v>
      </c>
      <c r="I71">
        <f t="shared" si="2"/>
        <v>1.9053425805959912</v>
      </c>
      <c r="J71">
        <f t="shared" si="3"/>
        <v>2.2919947031476258</v>
      </c>
      <c r="K71">
        <f>ROUND(Table1[[#This Row],[Vout]]*1000,0)</f>
        <v>2292</v>
      </c>
      <c r="L71">
        <v>89</v>
      </c>
      <c r="M71">
        <f>$C$2/((Table1[[#This Row],[kOhms]]+$D$9)*1000)*1000</f>
        <v>0.63511419353199705</v>
      </c>
      <c r="N71">
        <f>POWER(Table1[[#This Row],[mA]]/1000,2)*(Table1[[#This Row],[kOhms]]*1000)*1000</f>
        <v>0.37767536735259566</v>
      </c>
    </row>
    <row r="72" spans="8:14" x14ac:dyDescent="0.25">
      <c r="H72">
        <v>0.9083</v>
      </c>
      <c r="I72">
        <f t="shared" si="2"/>
        <v>1.9189929125195098</v>
      </c>
      <c r="J72">
        <f t="shared" si="3"/>
        <v>2.3136987309060206</v>
      </c>
      <c r="K72">
        <f>ROUND(Table1[[#This Row],[Vout]]*1000,0)</f>
        <v>2314</v>
      </c>
      <c r="L72">
        <v>90</v>
      </c>
      <c r="M72">
        <f>$C$2/((Table1[[#This Row],[kOhms]]+$D$9)*1000)*1000</f>
        <v>0.63966430417316988</v>
      </c>
      <c r="N72">
        <f>POWER(Table1[[#This Row],[mA]]/1000,2)*(Table1[[#This Row],[kOhms]]*1000)*1000</f>
        <v>0.3716494943328878</v>
      </c>
    </row>
    <row r="73" spans="8:14" x14ac:dyDescent="0.25">
      <c r="H73">
        <v>0.88119999999999998</v>
      </c>
      <c r="I73">
        <f t="shared" si="2"/>
        <v>1.9323920436978255</v>
      </c>
      <c r="J73">
        <f t="shared" si="3"/>
        <v>2.3350033494795426</v>
      </c>
      <c r="K73">
        <f>ROUND(Table1[[#This Row],[Vout]]*1000,0)</f>
        <v>2335</v>
      </c>
      <c r="L73">
        <v>91</v>
      </c>
      <c r="M73">
        <f>$C$2/((Table1[[#This Row],[kOhms]]+$D$9)*1000)*1000</f>
        <v>0.64413068123260853</v>
      </c>
      <c r="N73">
        <f>POWER(Table1[[#This Row],[mA]]/1000,2)*(Table1[[#This Row],[kOhms]]*1000)*1000</f>
        <v>0.36561369956596845</v>
      </c>
    </row>
    <row r="74" spans="8:14" x14ac:dyDescent="0.25">
      <c r="H74">
        <v>0.85499999999999998</v>
      </c>
      <c r="I74">
        <f t="shared" si="2"/>
        <v>1.9455252918287937</v>
      </c>
      <c r="J74">
        <f t="shared" si="3"/>
        <v>2.3558852140077819</v>
      </c>
      <c r="K74">
        <f>ROUND(Table1[[#This Row],[Vout]]*1000,0)</f>
        <v>2356</v>
      </c>
      <c r="L74">
        <v>92</v>
      </c>
      <c r="M74">
        <f>$C$2/((Table1[[#This Row],[kOhms]]+$D$9)*1000)*1000</f>
        <v>0.64850843060959795</v>
      </c>
      <c r="N74">
        <f>POWER(Table1[[#This Row],[mA]]/1000,2)*(Table1[[#This Row],[kOhms]]*1000)*1000</f>
        <v>0.35958152280882383</v>
      </c>
    </row>
    <row r="75" spans="8:14" x14ac:dyDescent="0.25">
      <c r="H75">
        <v>0.82969999999999999</v>
      </c>
      <c r="I75">
        <f t="shared" si="2"/>
        <v>1.9583779408308746</v>
      </c>
      <c r="J75">
        <f t="shared" si="3"/>
        <v>2.3763209259210907</v>
      </c>
      <c r="K75">
        <f>ROUND(Table1[[#This Row],[Vout]]*1000,0)</f>
        <v>2376</v>
      </c>
      <c r="L75">
        <v>93</v>
      </c>
      <c r="M75">
        <f>$C$2/((Table1[[#This Row],[kOhms]]+$D$9)*1000)*1000</f>
        <v>0.65279264694362493</v>
      </c>
      <c r="N75">
        <f>POWER(Table1[[#This Row],[mA]]/1000,2)*(Table1[[#This Row],[kOhms]]*1000)*1000</f>
        <v>0.35356689764807009</v>
      </c>
    </row>
    <row r="76" spans="8:14" x14ac:dyDescent="0.25">
      <c r="H76">
        <v>0.80520000000000003</v>
      </c>
      <c r="I76">
        <f t="shared" si="2"/>
        <v>1.9709870703248187</v>
      </c>
      <c r="J76">
        <f t="shared" si="3"/>
        <v>2.3963694418164616</v>
      </c>
      <c r="K76">
        <f>ROUND(Table1[[#This Row],[Vout]]*1000,0)</f>
        <v>2396</v>
      </c>
      <c r="L76">
        <v>94</v>
      </c>
      <c r="M76">
        <f>$C$2/((Table1[[#This Row],[kOhms]]+$D$9)*1000)*1000</f>
        <v>0.65699569010827286</v>
      </c>
      <c r="N76">
        <f>POWER(Table1[[#This Row],[mA]]/1000,2)*(Table1[[#This Row],[kOhms]]*1000)*1000</f>
        <v>0.347559214808145</v>
      </c>
    </row>
    <row r="77" spans="8:14" x14ac:dyDescent="0.25">
      <c r="H77">
        <v>0.78159999999999996</v>
      </c>
      <c r="I77">
        <f t="shared" si="2"/>
        <v>1.9832874973556167</v>
      </c>
      <c r="J77">
        <f t="shared" si="3"/>
        <v>2.4159271207954305</v>
      </c>
      <c r="K77">
        <f>ROUND(Table1[[#This Row],[Vout]]*1000,0)</f>
        <v>2416</v>
      </c>
      <c r="L77">
        <v>95</v>
      </c>
      <c r="M77">
        <f>$C$2/((Table1[[#This Row],[kOhms]]+$D$9)*1000)*1000</f>
        <v>0.6610958324518722</v>
      </c>
      <c r="N77">
        <f>POWER(Table1[[#This Row],[mA]]/1000,2)*(Table1[[#This Row],[kOhms]]*1000)*1000</f>
        <v>0.34159648207397869</v>
      </c>
    </row>
    <row r="78" spans="8:14" x14ac:dyDescent="0.25">
      <c r="H78">
        <v>0.75870000000000004</v>
      </c>
      <c r="I78">
        <f t="shared" si="2"/>
        <v>1.9953707398834704</v>
      </c>
      <c r="J78">
        <f t="shared" si="3"/>
        <v>2.4351394764147178</v>
      </c>
      <c r="K78">
        <f>ROUND(Table1[[#This Row],[Vout]]*1000,0)</f>
        <v>2435</v>
      </c>
      <c r="L78">
        <v>96</v>
      </c>
      <c r="M78">
        <f>$C$2/((Table1[[#This Row],[kOhms]]+$D$9)*1000)*1000</f>
        <v>0.66512357996115679</v>
      </c>
      <c r="N78">
        <f>POWER(Table1[[#This Row],[mA]]/1000,2)*(Table1[[#This Row],[kOhms]]*1000)*1000</f>
        <v>0.33564082004185603</v>
      </c>
    </row>
    <row r="79" spans="8:14" x14ac:dyDescent="0.25">
      <c r="H79">
        <v>0.73660000000000003</v>
      </c>
      <c r="I79">
        <f t="shared" si="2"/>
        <v>2.0071722956698603</v>
      </c>
      <c r="J79">
        <f t="shared" si="3"/>
        <v>2.4539039501150777</v>
      </c>
      <c r="K79">
        <f>ROUND(Table1[[#This Row],[Vout]]*1000,0)</f>
        <v>2454</v>
      </c>
      <c r="L79">
        <v>97</v>
      </c>
      <c r="M79">
        <f>$C$2/((Table1[[#This Row],[kOhms]]+$D$9)*1000)*1000</f>
        <v>0.66905743188995337</v>
      </c>
      <c r="N79">
        <f>POWER(Table1[[#This Row],[mA]]/1000,2)*(Table1[[#This Row],[kOhms]]*1000)*1000</f>
        <v>0.32973003822334457</v>
      </c>
    </row>
    <row r="80" spans="8:14" x14ac:dyDescent="0.25">
      <c r="H80">
        <v>0.71519999999999995</v>
      </c>
      <c r="I80">
        <f t="shared" si="2"/>
        <v>2.0187338501291991</v>
      </c>
      <c r="J80">
        <f t="shared" si="3"/>
        <v>2.4722868217054264</v>
      </c>
      <c r="K80">
        <f>ROUND(Table1[[#This Row],[Vout]]*1000,0)</f>
        <v>2472</v>
      </c>
      <c r="L80">
        <v>98</v>
      </c>
      <c r="M80">
        <f>$C$2/((Table1[[#This Row],[kOhms]]+$D$9)*1000)*1000</f>
        <v>0.67291128337639972</v>
      </c>
      <c r="N80">
        <f>POWER(Table1[[#This Row],[mA]]/1000,2)*(Table1[[#This Row],[kOhms]]*1000)*1000</f>
        <v>0.32384942255517946</v>
      </c>
    </row>
    <row r="81" spans="8:14" x14ac:dyDescent="0.25">
      <c r="H81">
        <v>0.69450000000000001</v>
      </c>
      <c r="I81">
        <f t="shared" si="2"/>
        <v>2.0300446609825418</v>
      </c>
      <c r="J81">
        <f t="shared" si="3"/>
        <v>2.4902710109622412</v>
      </c>
      <c r="K81">
        <f>ROUND(Table1[[#This Row],[Vout]]*1000,0)</f>
        <v>2490</v>
      </c>
      <c r="L81">
        <v>99</v>
      </c>
      <c r="M81">
        <f>$C$2/((Table1[[#This Row],[kOhms]]+$D$9)*1000)*1000</f>
        <v>0.67668155366084726</v>
      </c>
      <c r="N81">
        <f>POWER(Table1[[#This Row],[mA]]/1000,2)*(Table1[[#This Row],[kOhms]]*1000)*1000</f>
        <v>0.31801010895754395</v>
      </c>
    </row>
    <row r="82" spans="8:14" x14ac:dyDescent="0.25">
      <c r="H82">
        <v>0.6744</v>
      </c>
      <c r="I82">
        <f t="shared" si="2"/>
        <v>2.0411495754408882</v>
      </c>
      <c r="J82">
        <f t="shared" si="3"/>
        <v>2.507927824951012</v>
      </c>
      <c r="K82">
        <f>ROUND(Table1[[#This Row],[Vout]]*1000,0)</f>
        <v>2508</v>
      </c>
      <c r="L82">
        <v>100</v>
      </c>
      <c r="M82">
        <f>$C$2/((Table1[[#This Row],[kOhms]]+$D$9)*1000)*1000</f>
        <v>0.6803831918136295</v>
      </c>
      <c r="N82">
        <f>POWER(Table1[[#This Row],[mA]]/1000,2)*(Table1[[#This Row],[kOhms]]*1000)*1000</f>
        <v>0.31219411642656747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Supplies</vt:lpstr>
      <vt:lpstr>Power Supply Tests</vt:lpstr>
      <vt:lpstr>Analog Channels</vt:lpstr>
      <vt:lpstr>Project Issue Register</vt:lpstr>
      <vt:lpstr>LM5060 Ro Rs Calculation</vt:lpstr>
      <vt:lpstr>NTC Sensor VtoC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Oldfield, Lucas (RTA)</dc:creator>
  <cp:lastModifiedBy>Oldfield, Lucas (RTA)</cp:lastModifiedBy>
  <dcterms:created xsi:type="dcterms:W3CDTF">2020-11-25T01:12:10Z</dcterms:created>
  <dcterms:modified xsi:type="dcterms:W3CDTF">2021-02-15T01:26:01Z</dcterms:modified>
</cp:coreProperties>
</file>