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7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andbox\github\foxbms\hardware\datasheets\"/>
    </mc:Choice>
  </mc:AlternateContent>
  <xr:revisionPtr revIDLastSave="0" documentId="13_ncr:1_{5D6DC575-2BA4-43A6-A719-21FE264B808D}" xr6:coauthVersionLast="43" xr6:coauthVersionMax="43" xr10:uidLastSave="{00000000-0000-0000-0000-000000000000}"/>
  <bookViews>
    <workbookView xWindow="-21600" yWindow="0" windowWidth="21570" windowHeight="13470" xr2:uid="{00000000-000D-0000-FFFF-FFFF00000000}"/>
  </bookViews>
  <sheets>
    <sheet name="Calculation Sheet" sheetId="1" r:id="rId1"/>
    <sheet name="Thermal Shutdown Limit Plot" sheetId="14" r:id="rId2"/>
    <sheet name="Res EIA Tables" sheetId="11" r:id="rId3"/>
    <sheet name="Cap Tables" sheetId="13" r:id="rId4"/>
  </sheets>
  <definedNames>
    <definedName name="Cdvdt">'Calculation Sheet'!$D$42</definedName>
    <definedName name="Cdvdt_cal1">'Calculation Sheet'!$D$39</definedName>
    <definedName name="Cdvdt_cal2">'Calculation Sheet'!$D$40</definedName>
    <definedName name="Cout">'Calculation Sheet'!$D$8</definedName>
    <definedName name="Gain_dvdt">'Calculation Sheet'!$D$77</definedName>
    <definedName name="Gain_IMON">'Calculation Sheet'!$D$79</definedName>
    <definedName name="I_dvdt">'Calculation Sheet'!$D$76</definedName>
    <definedName name="Icharge">'Calculation Sheet'!$D$44</definedName>
    <definedName name="Icharge_req">'Calculation Sheet'!$D$38</definedName>
    <definedName name="Ilimit">'Calculation Sheet'!$D$12</definedName>
    <definedName name="Ilimit_final">'Calculation Sheet'!$D$28</definedName>
    <definedName name="Imax">'Calculation Sheet'!$D$11</definedName>
    <definedName name="OVPref">'Calculation Sheet'!$D$75</definedName>
    <definedName name="OVset">'Calculation Sheet'!$D$7</definedName>
    <definedName name="Rdson_125deg">'Calculation Sheet'!$D$70</definedName>
    <definedName name="Rdson_25deg">'Calculation Sheet'!$D$68</definedName>
    <definedName name="Rdson_85deg">'Calculation Sheet'!$D$69</definedName>
    <definedName name="Rilim">'Calculation Sheet'!$D$27</definedName>
    <definedName name="RIMON_sel">'Calculation Sheet'!$D$58</definedName>
    <definedName name="RIN">'Calculation Sheet'!$D$19</definedName>
    <definedName name="Rlimit">'Calculation Sheet'!$D$27</definedName>
    <definedName name="RLstart">'Calculation Sheet'!$D$10</definedName>
    <definedName name="RUV">'Calculation Sheet'!$D$18</definedName>
    <definedName name="Ta">'Calculation Sheet'!$D$9</definedName>
    <definedName name="Tdvdt">'Calculation Sheet'!$D$43</definedName>
    <definedName name="Tdvdt_default">'Calculation Sheet'!$D$78</definedName>
    <definedName name="Tstart_req">'Calculation Sheet'!$D$37</definedName>
    <definedName name="UVLOhys">'Calculation Sheet'!$D$74</definedName>
    <definedName name="UVLOref">'Calculation Sheet'!$D$73</definedName>
    <definedName name="UVset">'Calculation Sheet'!$D$6</definedName>
    <definedName name="Vinmax">'Calculation Sheet'!$D$5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35" i="1" l="1"/>
  <c r="D36" i="1" l="1"/>
  <c r="D38" i="1" s="1"/>
  <c r="D37" i="1" l="1"/>
  <c r="D39" i="1" s="1"/>
  <c r="F19" i="1"/>
  <c r="F18" i="1"/>
  <c r="D12" i="1" l="1"/>
  <c r="D48" i="1" l="1"/>
  <c r="J17" i="1"/>
  <c r="D16" i="1"/>
  <c r="F58" i="1" l="1"/>
  <c r="M28" i="1"/>
  <c r="F27" i="1"/>
  <c r="F59" i="1" l="1"/>
  <c r="F28" i="1"/>
  <c r="F29" i="1" s="1"/>
  <c r="D25" i="1" l="1"/>
  <c r="D40" i="1"/>
  <c r="M40" i="1" s="1"/>
  <c r="M15" i="1"/>
  <c r="M18" i="1" s="1"/>
  <c r="D34" i="1" l="1"/>
  <c r="M16" i="1"/>
  <c r="M19" i="1" s="1"/>
  <c r="G18" i="1" l="1"/>
  <c r="D18" i="1" s="1"/>
  <c r="C20" i="1" l="1"/>
  <c r="F20" i="1"/>
  <c r="F21" i="1" l="1"/>
  <c r="M25" i="1"/>
  <c r="M27" i="1" l="1"/>
  <c r="G27" i="1" s="1"/>
  <c r="D27" i="1" s="1"/>
  <c r="D28" i="1" l="1"/>
  <c r="D56" i="1" l="1"/>
  <c r="M56" i="1" s="1"/>
  <c r="M58" i="1" s="1"/>
  <c r="G58" i="1" s="1"/>
  <c r="D58" i="1" s="1"/>
  <c r="D29" i="1"/>
  <c r="J27" i="1" s="1"/>
  <c r="J26" i="1"/>
  <c r="G19" i="1"/>
  <c r="D19" i="1" s="1"/>
  <c r="D21" i="1" l="1"/>
  <c r="J15" i="1" s="1"/>
  <c r="D20" i="1"/>
  <c r="D22" i="1"/>
  <c r="D59" i="1"/>
  <c r="M39" i="1"/>
  <c r="F39" i="1" s="1"/>
  <c r="F42" i="1" s="1"/>
  <c r="F43" i="1" s="1"/>
  <c r="J16" i="1" l="1"/>
  <c r="G42" i="1"/>
  <c r="D42" i="1" s="1"/>
  <c r="D43" i="1" l="1"/>
  <c r="D44" i="1" s="1"/>
  <c r="D47" i="1" s="1"/>
  <c r="D63" i="1"/>
  <c r="D64" i="1"/>
  <c r="D49" i="1" l="1"/>
  <c r="C29" i="14" s="1"/>
  <c r="D50" i="1"/>
  <c r="D28" i="14"/>
  <c r="D29" i="14" s="1"/>
  <c r="J25" i="1" l="1"/>
  <c r="C28" i="14"/>
  <c r="D51" i="1"/>
  <c r="D52" i="1"/>
</calcChain>
</file>

<file path=xl/sharedStrings.xml><?xml version="1.0" encoding="utf-8"?>
<sst xmlns="http://schemas.openxmlformats.org/spreadsheetml/2006/main" count="219" uniqueCount="167">
  <si>
    <t>Parameter</t>
  </si>
  <si>
    <t>Description</t>
  </si>
  <si>
    <t xml:space="preserve">Value </t>
  </si>
  <si>
    <t xml:space="preserve"> Units</t>
  </si>
  <si>
    <t>A</t>
  </si>
  <si>
    <t>ms</t>
  </si>
  <si>
    <t>V</t>
  </si>
  <si>
    <t>uA</t>
  </si>
  <si>
    <t>Cout</t>
  </si>
  <si>
    <t>Load Capacitance</t>
  </si>
  <si>
    <t>Imax</t>
  </si>
  <si>
    <t>Rds(on)</t>
  </si>
  <si>
    <t>Rds(on)_85degC</t>
  </si>
  <si>
    <t>W</t>
  </si>
  <si>
    <t>Pd_dvdt</t>
  </si>
  <si>
    <t>Internal FET Parameters</t>
  </si>
  <si>
    <t>Vdrop</t>
  </si>
  <si>
    <t>mV</t>
  </si>
  <si>
    <t>Pdiss_ss</t>
  </si>
  <si>
    <t>mW</t>
  </si>
  <si>
    <t>Constants Cells</t>
  </si>
  <si>
    <t>Calculation Cells</t>
  </si>
  <si>
    <t>Steady state Voltage drop &amp; Power dissipation</t>
  </si>
  <si>
    <t>Total Power dissipation at Start-up</t>
  </si>
  <si>
    <t>Pd_Rlstart</t>
  </si>
  <si>
    <t>Pd_startup</t>
  </si>
  <si>
    <t>Internal References</t>
  </si>
  <si>
    <t>Calculations for CURRENT MONITOR</t>
  </si>
  <si>
    <t>RIMON_sel</t>
  </si>
  <si>
    <t>Imon_Gain</t>
  </si>
  <si>
    <t>Icharge_req</t>
  </si>
  <si>
    <t>Tolerance</t>
  </si>
  <si>
    <t>Standard EIA Decade Resistor Values</t>
  </si>
  <si>
    <t>0.5%, 0.25%, 0.1%</t>
  </si>
  <si>
    <t>E6</t>
  </si>
  <si>
    <t>E12</t>
  </si>
  <si>
    <t>E24</t>
  </si>
  <si>
    <t>E48</t>
  </si>
  <si>
    <t>E96</t>
  </si>
  <si>
    <t>E192</t>
  </si>
  <si>
    <t>Cdvdt</t>
  </si>
  <si>
    <r>
      <t>R</t>
    </r>
    <r>
      <rPr>
        <sz val="7"/>
        <color theme="1"/>
        <rFont val="Calibri"/>
        <family val="2"/>
        <scheme val="minor"/>
      </rPr>
      <t>LIM</t>
    </r>
  </si>
  <si>
    <t>OVset</t>
  </si>
  <si>
    <r>
      <t>R</t>
    </r>
    <r>
      <rPr>
        <sz val="7"/>
        <color theme="1"/>
        <rFont val="Calibri"/>
        <family val="2"/>
        <scheme val="minor"/>
      </rPr>
      <t>LIM</t>
    </r>
    <r>
      <rPr>
        <sz val="11"/>
        <color theme="1"/>
        <rFont val="Calibri"/>
        <family val="2"/>
        <scheme val="minor"/>
      </rPr>
      <t>_cal</t>
    </r>
  </si>
  <si>
    <t>Thermal Shutdown Time Vs. Power Dissipation</t>
  </si>
  <si>
    <t>Title of Graph</t>
  </si>
  <si>
    <t>Lable</t>
  </si>
  <si>
    <t xml:space="preserve">X-Axis </t>
  </si>
  <si>
    <t xml:space="preserve"> Power Dissipation (W)</t>
  </si>
  <si>
    <t>Y-Axis</t>
  </si>
  <si>
    <t>Thermal Shutdown time (ms)</t>
  </si>
  <si>
    <t>UVLO 
(VIN Rising)</t>
  </si>
  <si>
    <t>Inrush Charging 
Current</t>
  </si>
  <si>
    <t>Maximum System Input Voltage</t>
  </si>
  <si>
    <r>
      <rPr>
        <sz val="11"/>
        <color theme="1"/>
        <rFont val="Calibri"/>
        <family val="2"/>
      </rPr>
      <t>µ</t>
    </r>
    <r>
      <rPr>
        <sz val="11"/>
        <color theme="1"/>
        <rFont val="Calibri"/>
        <family val="2"/>
        <scheme val="minor"/>
      </rPr>
      <t>F</t>
    </r>
  </si>
  <si>
    <r>
      <t>T</t>
    </r>
    <r>
      <rPr>
        <vertAlign val="subscript"/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>(max)</t>
    </r>
  </si>
  <si>
    <r>
      <t>V</t>
    </r>
    <r>
      <rPr>
        <vertAlign val="subscript"/>
        <sz val="11"/>
        <color theme="1"/>
        <rFont val="Calibri"/>
        <family val="2"/>
        <scheme val="minor"/>
      </rPr>
      <t xml:space="preserve">IN </t>
    </r>
    <r>
      <rPr>
        <sz val="11"/>
        <color theme="1"/>
        <rFont val="Calibri"/>
        <family val="2"/>
        <scheme val="minor"/>
      </rPr>
      <t>(max)</t>
    </r>
  </si>
  <si>
    <r>
      <rPr>
        <sz val="11"/>
        <color theme="1"/>
        <rFont val="Calibri"/>
        <family val="2"/>
      </rPr>
      <t>°</t>
    </r>
    <r>
      <rPr>
        <sz val="11"/>
        <color theme="1"/>
        <rFont val="Calibri"/>
        <family val="2"/>
        <scheme val="minor"/>
      </rPr>
      <t>C</t>
    </r>
  </si>
  <si>
    <t>RLstart</t>
  </si>
  <si>
    <t>ILimit</t>
  </si>
  <si>
    <t>Maximum continuous load current</t>
  </si>
  <si>
    <t>Ω</t>
  </si>
  <si>
    <t>kΩ</t>
  </si>
  <si>
    <t>R1_cal</t>
  </si>
  <si>
    <t>Undervoltage Lockout Threshold</t>
  </si>
  <si>
    <t>UVLO Threshold Voltage, Rising</t>
  </si>
  <si>
    <t>Calculated value of Resistor at IN pin</t>
  </si>
  <si>
    <t>R2_sel</t>
  </si>
  <si>
    <t>R1_sel</t>
  </si>
  <si>
    <t>UV_Final</t>
  </si>
  <si>
    <t>Power Fail Detection</t>
  </si>
  <si>
    <t>V(UVLOR)</t>
  </si>
  <si>
    <t>V(OVPR)</t>
  </si>
  <si>
    <t>V(UVLOHys)</t>
  </si>
  <si>
    <t>Current Limit Calculations</t>
  </si>
  <si>
    <t>ILimit_Final</t>
  </si>
  <si>
    <t>Power Fail Detection Threshold</t>
  </si>
  <si>
    <t>dVdT Charging Current</t>
  </si>
  <si>
    <t>I(dVdT)</t>
  </si>
  <si>
    <t>GAIN(dVdT)</t>
  </si>
  <si>
    <t>dVdT to OUT Gain</t>
  </si>
  <si>
    <t>UVLO Hysteresis</t>
  </si>
  <si>
    <t>Rds(on)_125degC</t>
  </si>
  <si>
    <t>Over-Voltage Threshold Voltage, Rising</t>
  </si>
  <si>
    <t>Gain Factor I(IMON):I(OUT)</t>
  </si>
  <si>
    <t>Fast-Trip Current Limit to Detect Short Circuit</t>
  </si>
  <si>
    <t>UVLO, OVP Calculations</t>
  </si>
  <si>
    <t>VMON_Max</t>
  </si>
  <si>
    <t>I_Fastrip</t>
  </si>
  <si>
    <t>dV/dT Capacitor and Start-up Time Calculations</t>
  </si>
  <si>
    <t>Tstart_default</t>
  </si>
  <si>
    <t>Tstart_recommended</t>
  </si>
  <si>
    <t>Tstart_req</t>
  </si>
  <si>
    <t>Required start-up time</t>
  </si>
  <si>
    <t>Charging current required to charge the load capacitor</t>
  </si>
  <si>
    <t>Calculated dVdT capacitor value based on required start-up time</t>
  </si>
  <si>
    <t>Calculated dVdT capacitor value based on required charging current</t>
  </si>
  <si>
    <r>
      <rPr>
        <sz val="11"/>
        <rFont val="Calibri"/>
        <family val="2"/>
      </rPr>
      <t>µ</t>
    </r>
    <r>
      <rPr>
        <sz val="11"/>
        <rFont val="Calibri"/>
        <family val="2"/>
        <scheme val="minor"/>
      </rPr>
      <t>F</t>
    </r>
  </si>
  <si>
    <r>
      <rPr>
        <b/>
        <sz val="8"/>
        <color rgb="FF333333"/>
        <rFont val="Calibri"/>
        <family val="2"/>
      </rPr>
      <t>µ</t>
    </r>
    <r>
      <rPr>
        <b/>
        <sz val="8"/>
        <color rgb="FF333333"/>
        <rFont val="Arial"/>
        <family val="2"/>
      </rPr>
      <t>F</t>
    </r>
  </si>
  <si>
    <t>Capacitors Lookup Table</t>
  </si>
  <si>
    <t>Default start-up time with no external capacitor connected at dVdT pin</t>
  </si>
  <si>
    <t>Output Voltage Start-up Time</t>
  </si>
  <si>
    <t>Maximum allowable voltage at IMON for Maximum Load Current</t>
  </si>
  <si>
    <t>RIMON_cal</t>
  </si>
  <si>
    <t>Calculated IMON resistor value</t>
  </si>
  <si>
    <t>Tstart_Final</t>
  </si>
  <si>
    <t>Icharge_Final</t>
  </si>
  <si>
    <t>Charging Current to Charge Load Capacitance</t>
  </si>
  <si>
    <t>Voltage at IMON for Maximum Load Current</t>
  </si>
  <si>
    <t>Steady state power dissipation with maximum current  at TA = 25°C</t>
  </si>
  <si>
    <t>uA/A</t>
  </si>
  <si>
    <t>TdVdT</t>
  </si>
  <si>
    <t>Default Start-up Time with dVdT = Open</t>
  </si>
  <si>
    <r>
      <t>m</t>
    </r>
    <r>
      <rPr>
        <sz val="11"/>
        <color theme="1"/>
        <rFont val="Calibri"/>
        <family val="2"/>
      </rPr>
      <t>Ω</t>
    </r>
  </si>
  <si>
    <t>Final Current Limit Set Point</t>
  </si>
  <si>
    <t>Fastrip Current
Limit</t>
  </si>
  <si>
    <t>Overload Current
Limit</t>
  </si>
  <si>
    <t>UVset</t>
  </si>
  <si>
    <t>Input / Select Cells</t>
  </si>
  <si>
    <r>
      <t xml:space="preserve">Calculated, but can be over-ridden by the user. 
</t>
    </r>
    <r>
      <rPr>
        <sz val="11"/>
        <rFont val="Calibri"/>
        <family val="2"/>
        <scheme val="minor"/>
      </rPr>
      <t>Note: Once cells are over-ridden, new calculation sheet should be used for the next design</t>
    </r>
  </si>
  <si>
    <t xml:space="preserve">Maximum Ambient Temperature </t>
  </si>
  <si>
    <t>Icharge_recommended</t>
  </si>
  <si>
    <t>Recommended charging current to charge the load capacitor</t>
  </si>
  <si>
    <t>Select a value in the range from 10k to 249k</t>
  </si>
  <si>
    <t>Selected closest possible value for RLIM resistor</t>
  </si>
  <si>
    <t>Selected closest possible value for CdV/dT capacitor</t>
  </si>
  <si>
    <t>Selected closest possible value for IMON resistor</t>
  </si>
  <si>
    <t>Selected closest possible value for R3 resistor</t>
  </si>
  <si>
    <t>Selected closest possible value for R1 resistor</t>
  </si>
  <si>
    <t>Margin</t>
  </si>
  <si>
    <t>%</t>
  </si>
  <si>
    <t>Total power dissipation during start-up</t>
  </si>
  <si>
    <t>TA = -40C</t>
  </si>
  <si>
    <t>TA = 25C</t>
  </si>
  <si>
    <t>TA = 85C</t>
  </si>
  <si>
    <t>TA = 105C</t>
  </si>
  <si>
    <t>TA = 125C</t>
  </si>
  <si>
    <t>Maximum Point</t>
  </si>
  <si>
    <t>Operating Point</t>
  </si>
  <si>
    <t>Load during start-up (Assumed to be resistive)</t>
  </si>
  <si>
    <t>SELECT THE CLOSEST POSSIBLE RESISTANCE VALUE FOR RLIM</t>
  </si>
  <si>
    <t>SELECT THE CLOSEST POSSIBLE CAPACITANCE VALUE FOR CdVdT</t>
  </si>
  <si>
    <t>SELECT THE CLOSEST POSSIBLE RESISTANCE VALUE FOR RIMON</t>
  </si>
  <si>
    <t>Calculated current limit resistor value</t>
  </si>
  <si>
    <t>Power dissipation due to load capacitance during start-up</t>
  </si>
  <si>
    <t>Power dissipation due to load resistance during start-up</t>
  </si>
  <si>
    <t>Maximum power dissipation allowed during start-up for glitch-free operation</t>
  </si>
  <si>
    <t>Is my system start-up glitch-free?</t>
  </si>
  <si>
    <r>
      <t>Maximum voltage drop across the device at T</t>
    </r>
    <r>
      <rPr>
        <vertAlign val="subscript"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 xml:space="preserve"> = 25</t>
    </r>
    <r>
      <rPr>
        <sz val="11"/>
        <color theme="1"/>
        <rFont val="Calibri"/>
        <family val="2"/>
      </rPr>
      <t>°</t>
    </r>
    <r>
      <rPr>
        <sz val="11"/>
        <color theme="1"/>
        <rFont val="Calibri"/>
        <family val="2"/>
        <scheme val="minor"/>
      </rPr>
      <t>C</t>
    </r>
  </si>
  <si>
    <t>FET maximum Rds(on) at 25°C</t>
  </si>
  <si>
    <t>FET maximum Rds(on) at 85°C</t>
  </si>
  <si>
    <t>FET maximum Rds(on) at 125°C</t>
  </si>
  <si>
    <t>Cdvdt_cal1</t>
  </si>
  <si>
    <t>Cdvdt_cal2</t>
  </si>
  <si>
    <t>Over Voltage Clamp Threshold</t>
  </si>
  <si>
    <t>I_R12</t>
  </si>
  <si>
    <t>Current in R1, R2 Branch</t>
  </si>
  <si>
    <t>PFAIL 
(VIN Falling)</t>
  </si>
  <si>
    <t>OV Clamp
(VIN Rising)</t>
  </si>
  <si>
    <t>SELECT THE CLOSEST POSSIBLE RESISTANCE VALUE FOR R1, R2</t>
  </si>
  <si>
    <t>Thermal Shutdown Time(ms) Vs. Power Dissipation(W)</t>
  </si>
  <si>
    <t>Power Dissipation(W)</t>
  </si>
  <si>
    <t>Current Limit, 10% higher than the maximum continuous load current</t>
  </si>
  <si>
    <t>TPS26602 Design Calculator Tool</t>
  </si>
  <si>
    <t>Pd (W)</t>
  </si>
  <si>
    <t>Tstart-up (ms)</t>
  </si>
  <si>
    <t>Recommended start-up time based on 1 / 10th of load current as capacitive charging current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</si>
</sst>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%"/>
    <numFmt numFmtId="166" formatCode="0.000"/>
  </numFmts>
  <fonts count="2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8"/>
      <color rgb="FF333333"/>
      <name val="Arial"/>
      <family val="2"/>
    </font>
    <font>
      <sz val="9"/>
      <color rgb="FF000000"/>
      <name val="Verdana"/>
      <family val="2"/>
    </font>
    <font>
      <sz val="16"/>
      <name val="Arial"/>
      <family val="2"/>
    </font>
    <font>
      <sz val="12"/>
      <name val="Calibri"/>
      <family val="2"/>
      <scheme val="minor"/>
    </font>
    <font>
      <i/>
      <sz val="11"/>
      <name val="Calibri"/>
      <family val="2"/>
      <scheme val="minor"/>
    </font>
    <font>
      <sz val="11"/>
      <name val="Calibri"/>
      <family val="2"/>
      <scheme val="minor"/>
    </font>
    <font>
      <sz val="7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0"/>
      <name val="Arial"/>
      <family val="2"/>
    </font>
    <font>
      <b/>
      <sz val="12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16"/>
      <name val="Calibri"/>
      <family val="2"/>
      <scheme val="minor"/>
    </font>
    <font>
      <i/>
      <sz val="16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</font>
    <font>
      <b/>
      <sz val="8"/>
      <color rgb="FF333333"/>
      <name val="Calibri"/>
      <family val="2"/>
    </font>
    <font>
      <b/>
      <sz val="24"/>
      <color rgb="FF333333"/>
      <name val="Calibri"/>
      <family val="2"/>
    </font>
    <font>
      <sz val="14"/>
      <color theme="1"/>
      <name val="Calibri"/>
      <family val="2"/>
      <scheme val="minor"/>
    </font>
    <font>
      <sz val="16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DAE7F6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gradientFill type="path">
        <stop position="0">
          <color rgb="FF00FFFF"/>
        </stop>
        <stop position="1">
          <color rgb="FFFFFF00"/>
        </stop>
      </gradientFill>
    </fill>
    <fill>
      <patternFill patternType="solid">
        <fgColor rgb="FFFFFF9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153">
    <xf numFmtId="0" fontId="0" fillId="0" borderId="0" xfId="0"/>
    <xf numFmtId="0" fontId="0" fillId="0" borderId="0" xfId="0" applyFont="1" applyAlignment="1">
      <alignment vertical="center"/>
    </xf>
    <xf numFmtId="2" fontId="0" fillId="0" borderId="0" xfId="0" applyNumberFormat="1"/>
    <xf numFmtId="2" fontId="0" fillId="0" borderId="0" xfId="0" applyNumberFormat="1" applyFont="1" applyAlignment="1">
      <alignment vertical="center"/>
    </xf>
    <xf numFmtId="0" fontId="0" fillId="0" borderId="0" xfId="0" applyFont="1" applyAlignment="1">
      <alignment horizontal="center" vertical="center"/>
    </xf>
    <xf numFmtId="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8" fillId="10" borderId="7" xfId="0" applyFont="1" applyFill="1" applyBorder="1" applyAlignment="1">
      <alignment horizontal="center" vertical="center" wrapText="1"/>
    </xf>
    <xf numFmtId="164" fontId="9" fillId="0" borderId="7" xfId="0" applyNumberFormat="1" applyFont="1" applyBorder="1" applyAlignment="1">
      <alignment vertical="center" wrapText="1"/>
    </xf>
    <xf numFmtId="165" fontId="11" fillId="15" borderId="1" xfId="1" applyNumberFormat="1" applyFont="1" applyFill="1" applyBorder="1" applyAlignment="1" applyProtection="1">
      <alignment horizontal="center" vertical="center"/>
    </xf>
    <xf numFmtId="0" fontId="10" fillId="0" borderId="0" xfId="0" applyFont="1" applyFill="1" applyAlignment="1" applyProtection="1">
      <alignment horizontal="left" vertical="center"/>
    </xf>
    <xf numFmtId="0" fontId="0" fillId="0" borderId="0" xfId="0" applyFont="1" applyAlignment="1" applyProtection="1">
      <alignment horizontal="center" vertical="center"/>
    </xf>
    <xf numFmtId="165" fontId="5" fillId="15" borderId="1" xfId="1" applyNumberFormat="1" applyFont="1" applyFill="1" applyBorder="1" applyAlignment="1" applyProtection="1">
      <alignment horizontal="center" vertical="center"/>
    </xf>
    <xf numFmtId="165" fontId="13" fillId="15" borderId="1" xfId="1" applyNumberFormat="1" applyFont="1" applyFill="1" applyBorder="1" applyAlignment="1" applyProtection="1">
      <alignment horizontal="center" vertical="center"/>
    </xf>
    <xf numFmtId="0" fontId="0" fillId="0" borderId="0" xfId="0" applyFont="1" applyAlignment="1" applyProtection="1">
      <alignment horizontal="left" vertical="center"/>
    </xf>
    <xf numFmtId="0" fontId="0" fillId="0" borderId="0" xfId="0" applyFont="1" applyFill="1" applyAlignment="1" applyProtection="1">
      <alignment horizontal="center" vertical="center"/>
    </xf>
    <xf numFmtId="165" fontId="16" fillId="5" borderId="1" xfId="1" applyNumberFormat="1" applyFont="1" applyFill="1" applyBorder="1" applyAlignment="1" applyProtection="1">
      <alignment horizontal="center" vertical="center"/>
    </xf>
    <xf numFmtId="0" fontId="15" fillId="0" borderId="0" xfId="0" applyFont="1" applyAlignment="1">
      <alignment vertical="center"/>
    </xf>
    <xf numFmtId="2" fontId="15" fillId="0" borderId="0" xfId="0" applyNumberFormat="1" applyFont="1" applyAlignment="1">
      <alignment vertical="center"/>
    </xf>
    <xf numFmtId="165" fontId="15" fillId="5" borderId="1" xfId="1" applyNumberFormat="1" applyFont="1" applyFill="1" applyBorder="1" applyAlignment="1" applyProtection="1">
      <alignment horizontal="center" vertical="center"/>
    </xf>
    <xf numFmtId="0" fontId="2" fillId="0" borderId="0" xfId="0" applyFont="1" applyAlignment="1">
      <alignment vertical="center"/>
    </xf>
    <xf numFmtId="2" fontId="2" fillId="0" borderId="0" xfId="0" applyNumberFormat="1" applyFont="1" applyAlignment="1">
      <alignment vertical="center"/>
    </xf>
    <xf numFmtId="165" fontId="5" fillId="15" borderId="8" xfId="1" applyNumberFormat="1" applyFont="1" applyFill="1" applyBorder="1" applyAlignment="1" applyProtection="1">
      <alignment horizontal="center" vertical="center"/>
    </xf>
    <xf numFmtId="165" fontId="5" fillId="15" borderId="9" xfId="1" applyNumberFormat="1" applyFont="1" applyFill="1" applyBorder="1" applyAlignment="1" applyProtection="1">
      <alignment horizontal="center" vertical="center"/>
    </xf>
    <xf numFmtId="0" fontId="17" fillId="0" borderId="5" xfId="0" applyFont="1" applyBorder="1" applyAlignment="1" applyProtection="1">
      <alignment horizontal="left" indent="1"/>
      <protection locked="0"/>
    </xf>
    <xf numFmtId="0" fontId="17" fillId="0" borderId="5" xfId="0" applyFont="1" applyBorder="1" applyAlignment="1" applyProtection="1">
      <alignment horizontal="center"/>
      <protection locked="0"/>
    </xf>
    <xf numFmtId="0" fontId="0" fillId="0" borderId="0" xfId="0" applyAlignment="1"/>
    <xf numFmtId="0" fontId="0" fillId="19" borderId="0" xfId="0" applyFill="1" applyAlignment="1"/>
    <xf numFmtId="0" fontId="0" fillId="0" borderId="5" xfId="0" applyBorder="1" applyAlignment="1"/>
    <xf numFmtId="0" fontId="17" fillId="0" borderId="10" xfId="0" applyFont="1" applyBorder="1" applyAlignment="1" applyProtection="1">
      <alignment horizontal="center" vertical="center"/>
      <protection locked="0"/>
    </xf>
    <xf numFmtId="0" fontId="17" fillId="0" borderId="11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left" indent="1"/>
    </xf>
    <xf numFmtId="2" fontId="0" fillId="0" borderId="0" xfId="0" applyNumberFormat="1" applyAlignment="1">
      <alignment horizontal="center"/>
    </xf>
    <xf numFmtId="0" fontId="0" fillId="20" borderId="0" xfId="0" applyFill="1" applyAlignment="1"/>
    <xf numFmtId="0" fontId="1" fillId="0" borderId="0" xfId="0" applyFont="1" applyAlignment="1">
      <alignment horizontal="left" indent="1"/>
    </xf>
    <xf numFmtId="0" fontId="1" fillId="0" borderId="0" xfId="0" applyFont="1" applyAlignment="1">
      <alignment horizontal="left"/>
    </xf>
    <xf numFmtId="2" fontId="19" fillId="0" borderId="0" xfId="0" applyNumberFormat="1" applyFont="1" applyAlignment="1">
      <alignment vertical="center" wrapText="1"/>
    </xf>
    <xf numFmtId="0" fontId="0" fillId="0" borderId="0" xfId="0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2" fontId="4" fillId="0" borderId="0" xfId="0" applyNumberFormat="1" applyFont="1" applyAlignment="1">
      <alignment horizontal="left" vertical="center"/>
    </xf>
    <xf numFmtId="0" fontId="12" fillId="18" borderId="1" xfId="0" applyFont="1" applyFill="1" applyBorder="1" applyAlignment="1" applyProtection="1">
      <alignment horizontal="center" vertical="center" wrapText="1"/>
    </xf>
    <xf numFmtId="0" fontId="6" fillId="6" borderId="1" xfId="0" applyFont="1" applyFill="1" applyBorder="1" applyAlignment="1" applyProtection="1">
      <alignment horizontal="center" vertical="center"/>
    </xf>
    <xf numFmtId="0" fontId="6" fillId="6" borderId="1" xfId="0" applyFont="1" applyFill="1" applyBorder="1" applyAlignment="1" applyProtection="1">
      <alignment horizontal="left" vertical="center"/>
    </xf>
    <xf numFmtId="0" fontId="0" fillId="18" borderId="1" xfId="0" applyFont="1" applyFill="1" applyBorder="1" applyAlignment="1" applyProtection="1">
      <alignment horizontal="center" vertical="center"/>
    </xf>
    <xf numFmtId="0" fontId="13" fillId="3" borderId="1" xfId="0" applyFont="1" applyFill="1" applyBorder="1" applyAlignment="1" applyProtection="1">
      <alignment horizontal="center" vertical="center"/>
    </xf>
    <xf numFmtId="2" fontId="13" fillId="3" borderId="1" xfId="0" applyNumberFormat="1" applyFont="1" applyFill="1" applyBorder="1" applyAlignment="1" applyProtection="1">
      <alignment horizontal="center" vertical="center"/>
    </xf>
    <xf numFmtId="0" fontId="13" fillId="3" borderId="1" xfId="0" applyFont="1" applyFill="1" applyBorder="1" applyAlignment="1" applyProtection="1">
      <alignment horizontal="left" vertical="center"/>
    </xf>
    <xf numFmtId="0" fontId="0" fillId="0" borderId="0" xfId="0" applyFont="1" applyAlignment="1">
      <alignment horizontal="right" vertical="center"/>
    </xf>
    <xf numFmtId="2" fontId="0" fillId="0" borderId="0" xfId="0" applyNumberFormat="1" applyFont="1" applyAlignment="1">
      <alignment horizontal="left" vertical="center"/>
    </xf>
    <xf numFmtId="0" fontId="17" fillId="0" borderId="0" xfId="0" applyFont="1" applyBorder="1" applyAlignment="1" applyProtection="1">
      <alignment horizontal="center"/>
      <protection locked="0"/>
    </xf>
    <xf numFmtId="2" fontId="0" fillId="0" borderId="0" xfId="0" applyNumberFormat="1" applyFont="1" applyAlignment="1" applyProtection="1">
      <alignment horizontal="center" vertical="center"/>
    </xf>
    <xf numFmtId="2" fontId="3" fillId="9" borderId="1" xfId="0" applyNumberFormat="1" applyFont="1" applyFill="1" applyBorder="1" applyAlignment="1" applyProtection="1">
      <alignment horizontal="center" vertical="center"/>
    </xf>
    <xf numFmtId="2" fontId="11" fillId="17" borderId="1" xfId="0" applyNumberFormat="1" applyFont="1" applyFill="1" applyBorder="1" applyAlignment="1" applyProtection="1">
      <alignment horizontal="center" vertical="center"/>
    </xf>
    <xf numFmtId="0" fontId="0" fillId="15" borderId="1" xfId="0" applyFont="1" applyFill="1" applyBorder="1" applyAlignment="1" applyProtection="1">
      <alignment horizontal="center" vertical="center"/>
    </xf>
    <xf numFmtId="164" fontId="11" fillId="17" borderId="1" xfId="0" applyNumberFormat="1" applyFont="1" applyFill="1" applyBorder="1" applyAlignment="1" applyProtection="1">
      <alignment horizontal="center" vertical="center"/>
    </xf>
    <xf numFmtId="1" fontId="11" fillId="17" borderId="1" xfId="0" applyNumberFormat="1" applyFont="1" applyFill="1" applyBorder="1" applyAlignment="1" applyProtection="1">
      <alignment horizontal="center" vertical="center"/>
    </xf>
    <xf numFmtId="0" fontId="23" fillId="15" borderId="1" xfId="0" applyFont="1" applyFill="1" applyBorder="1" applyAlignment="1" applyProtection="1">
      <alignment horizontal="center" vertical="center"/>
    </xf>
    <xf numFmtId="0" fontId="0" fillId="15" borderId="6" xfId="0" applyFont="1" applyFill="1" applyBorder="1" applyAlignment="1" applyProtection="1">
      <alignment horizontal="center" vertical="center"/>
    </xf>
    <xf numFmtId="2" fontId="12" fillId="18" borderId="1" xfId="0" applyNumberFormat="1" applyFont="1" applyFill="1" applyBorder="1" applyAlignment="1" applyProtection="1">
      <alignment horizontal="center" vertical="center" wrapText="1"/>
    </xf>
    <xf numFmtId="164" fontId="11" fillId="5" borderId="1" xfId="0" applyNumberFormat="1" applyFont="1" applyFill="1" applyBorder="1" applyAlignment="1" applyProtection="1">
      <alignment horizontal="center" vertical="center"/>
    </xf>
    <xf numFmtId="0" fontId="13" fillId="15" borderId="1" xfId="0" applyFont="1" applyFill="1" applyBorder="1" applyAlignment="1" applyProtection="1">
      <alignment horizontal="center" vertical="center"/>
    </xf>
    <xf numFmtId="2" fontId="11" fillId="2" borderId="1" xfId="0" applyNumberFormat="1" applyFont="1" applyFill="1" applyBorder="1" applyAlignment="1" applyProtection="1">
      <alignment horizontal="center" vertical="center"/>
    </xf>
    <xf numFmtId="2" fontId="11" fillId="15" borderId="1" xfId="0" applyNumberFormat="1" applyFont="1" applyFill="1" applyBorder="1" applyAlignment="1" applyProtection="1">
      <alignment horizontal="center" vertical="center"/>
    </xf>
    <xf numFmtId="2" fontId="16" fillId="5" borderId="1" xfId="0" applyNumberFormat="1" applyFont="1" applyFill="1" applyBorder="1" applyAlignment="1" applyProtection="1">
      <alignment horizontal="center" vertical="center"/>
    </xf>
    <xf numFmtId="0" fontId="16" fillId="15" borderId="1" xfId="0" applyFont="1" applyFill="1" applyBorder="1" applyAlignment="1" applyProtection="1">
      <alignment horizontal="center" vertical="center"/>
    </xf>
    <xf numFmtId="2" fontId="11" fillId="5" borderId="1" xfId="0" applyNumberFormat="1" applyFont="1" applyFill="1" applyBorder="1" applyAlignment="1" applyProtection="1">
      <alignment horizontal="center" vertical="center"/>
    </xf>
    <xf numFmtId="2" fontId="2" fillId="2" borderId="1" xfId="0" applyNumberFormat="1" applyFont="1" applyFill="1" applyBorder="1" applyAlignment="1" applyProtection="1">
      <alignment horizontal="center" vertical="center"/>
    </xf>
    <xf numFmtId="0" fontId="15" fillId="15" borderId="1" xfId="0" applyFont="1" applyFill="1" applyBorder="1" applyAlignment="1" applyProtection="1">
      <alignment horizontal="center" vertical="center"/>
    </xf>
    <xf numFmtId="0" fontId="15" fillId="7" borderId="1" xfId="0" applyFont="1" applyFill="1" applyBorder="1" applyAlignment="1" applyProtection="1">
      <alignment horizontal="center" vertical="center"/>
    </xf>
    <xf numFmtId="2" fontId="6" fillId="6" borderId="1" xfId="0" applyNumberFormat="1" applyFont="1" applyFill="1" applyBorder="1" applyAlignment="1" applyProtection="1">
      <alignment horizontal="center" vertical="center"/>
    </xf>
    <xf numFmtId="2" fontId="11" fillId="8" borderId="1" xfId="0" applyNumberFormat="1" applyFont="1" applyFill="1" applyBorder="1" applyAlignment="1" applyProtection="1">
      <alignment horizontal="center" vertical="center"/>
    </xf>
    <xf numFmtId="2" fontId="18" fillId="5" borderId="1" xfId="0" applyNumberFormat="1" applyFont="1" applyFill="1" applyBorder="1" applyAlignment="1" applyProtection="1">
      <alignment horizontal="center" vertical="center"/>
    </xf>
    <xf numFmtId="1" fontId="11" fillId="8" borderId="1" xfId="0" applyNumberFormat="1" applyFont="1" applyFill="1" applyBorder="1" applyAlignment="1" applyProtection="1">
      <alignment horizontal="center" vertical="center"/>
    </xf>
    <xf numFmtId="2" fontId="0" fillId="0" borderId="0" xfId="0" applyNumberFormat="1" applyFont="1" applyAlignment="1">
      <alignment horizontal="center" vertical="center"/>
    </xf>
    <xf numFmtId="0" fontId="0" fillId="0" borderId="0" xfId="0" applyFont="1" applyFill="1" applyAlignment="1" applyProtection="1">
      <alignment horizontal="left" vertical="center"/>
    </xf>
    <xf numFmtId="0" fontId="0" fillId="17" borderId="0" xfId="0" applyFont="1" applyFill="1" applyBorder="1" applyAlignment="1" applyProtection="1">
      <alignment horizontal="left" vertical="center"/>
    </xf>
    <xf numFmtId="0" fontId="0" fillId="17" borderId="1" xfId="0" applyFont="1" applyFill="1" applyBorder="1" applyAlignment="1" applyProtection="1">
      <alignment horizontal="left" vertical="center"/>
    </xf>
    <xf numFmtId="0" fontId="20" fillId="18" borderId="1" xfId="0" applyFont="1" applyFill="1" applyBorder="1" applyAlignment="1" applyProtection="1">
      <alignment horizontal="left" vertical="center"/>
    </xf>
    <xf numFmtId="0" fontId="12" fillId="18" borderId="1" xfId="0" applyFont="1" applyFill="1" applyBorder="1" applyAlignment="1" applyProtection="1">
      <alignment horizontal="left" vertical="center" wrapText="1"/>
    </xf>
    <xf numFmtId="0" fontId="0" fillId="7" borderId="1" xfId="0" applyFont="1" applyFill="1" applyBorder="1" applyAlignment="1" applyProtection="1">
      <alignment horizontal="left" vertical="center"/>
    </xf>
    <xf numFmtId="0" fontId="1" fillId="2" borderId="1" xfId="0" applyFont="1" applyFill="1" applyBorder="1" applyAlignment="1" applyProtection="1">
      <alignment horizontal="left" vertical="center"/>
    </xf>
    <xf numFmtId="0" fontId="0" fillId="16" borderId="1" xfId="0" applyFont="1" applyFill="1" applyBorder="1" applyAlignment="1" applyProtection="1">
      <alignment horizontal="left" vertical="center"/>
    </xf>
    <xf numFmtId="0" fontId="15" fillId="4" borderId="1" xfId="0" applyFont="1" applyFill="1" applyBorder="1" applyAlignment="1" applyProtection="1">
      <alignment horizontal="left" vertical="center"/>
    </xf>
    <xf numFmtId="0" fontId="0" fillId="4" borderId="1" xfId="0" applyFont="1" applyFill="1" applyBorder="1" applyAlignment="1" applyProtection="1">
      <alignment horizontal="left" vertical="center"/>
    </xf>
    <xf numFmtId="0" fontId="15" fillId="7" borderId="1" xfId="0" applyFont="1" applyFill="1" applyBorder="1" applyAlignment="1" applyProtection="1">
      <alignment horizontal="left" vertical="center"/>
    </xf>
    <xf numFmtId="0" fontId="1" fillId="7" borderId="1" xfId="0" applyFont="1" applyFill="1" applyBorder="1" applyAlignment="1" applyProtection="1">
      <alignment horizontal="left" vertical="center"/>
    </xf>
    <xf numFmtId="0" fontId="21" fillId="0" borderId="0" xfId="0" applyFont="1" applyAlignment="1" applyProtection="1">
      <alignment horizontal="left" vertical="center"/>
    </xf>
    <xf numFmtId="0" fontId="0" fillId="4" borderId="1" xfId="0" applyFont="1" applyFill="1" applyBorder="1" applyAlignment="1" applyProtection="1">
      <alignment horizontal="left" vertical="center" wrapText="1"/>
    </xf>
    <xf numFmtId="9" fontId="5" fillId="17" borderId="1" xfId="1" applyNumberFormat="1" applyFont="1" applyFill="1" applyBorder="1" applyAlignment="1" applyProtection="1">
      <alignment horizontal="center" vertical="center"/>
    </xf>
    <xf numFmtId="166" fontId="2" fillId="5" borderId="1" xfId="0" applyNumberFormat="1" applyFont="1" applyFill="1" applyBorder="1" applyAlignment="1" applyProtection="1">
      <alignment horizontal="center" vertical="center"/>
    </xf>
    <xf numFmtId="166" fontId="9" fillId="0" borderId="7" xfId="0" applyNumberFormat="1" applyFont="1" applyBorder="1" applyAlignment="1">
      <alignment vertical="center" wrapText="1"/>
    </xf>
    <xf numFmtId="2" fontId="9" fillId="0" borderId="7" xfId="0" applyNumberFormat="1" applyFont="1" applyBorder="1" applyAlignment="1">
      <alignment vertical="center" wrapText="1"/>
    </xf>
    <xf numFmtId="0" fontId="26" fillId="0" borderId="0" xfId="0" applyFont="1"/>
    <xf numFmtId="164" fontId="9" fillId="0" borderId="12" xfId="0" applyNumberFormat="1" applyFont="1" applyBorder="1" applyAlignment="1">
      <alignment vertical="center" wrapText="1"/>
    </xf>
    <xf numFmtId="164" fontId="9" fillId="0" borderId="1" xfId="0" applyNumberFormat="1" applyFont="1" applyFill="1" applyBorder="1" applyAlignment="1">
      <alignment vertical="center" wrapText="1"/>
    </xf>
    <xf numFmtId="164" fontId="11" fillId="8" borderId="1" xfId="0" applyNumberFormat="1" applyFont="1" applyFill="1" applyBorder="1" applyAlignment="1" applyProtection="1">
      <alignment horizontal="center" vertical="center"/>
    </xf>
    <xf numFmtId="1" fontId="16" fillId="5" borderId="1" xfId="0" applyNumberFormat="1" applyFont="1" applyFill="1" applyBorder="1" applyAlignment="1" applyProtection="1">
      <alignment horizontal="center" vertical="center"/>
    </xf>
    <xf numFmtId="0" fontId="0" fillId="17" borderId="1" xfId="0" applyFont="1" applyFill="1" applyBorder="1" applyAlignment="1" applyProtection="1">
      <alignment horizontal="center" vertical="center"/>
    </xf>
    <xf numFmtId="9" fontId="0" fillId="0" borderId="0" xfId="0" applyNumberFormat="1" applyFont="1" applyAlignment="1">
      <alignment vertical="center"/>
    </xf>
    <xf numFmtId="164" fontId="11" fillId="17" borderId="13" xfId="0" applyNumberFormat="1" applyFont="1" applyFill="1" applyBorder="1" applyAlignment="1" applyProtection="1">
      <alignment horizontal="center" vertical="center"/>
    </xf>
    <xf numFmtId="0" fontId="0" fillId="4" borderId="15" xfId="0" applyFont="1" applyFill="1" applyBorder="1" applyAlignment="1" applyProtection="1">
      <alignment horizontal="left" vertical="center"/>
    </xf>
    <xf numFmtId="0" fontId="0" fillId="4" borderId="6" xfId="0" applyFont="1" applyFill="1" applyBorder="1" applyAlignment="1" applyProtection="1">
      <alignment horizontal="left" vertical="center"/>
    </xf>
    <xf numFmtId="0" fontId="0" fillId="4" borderId="14" xfId="0" applyFont="1" applyFill="1" applyBorder="1" applyAlignment="1" applyProtection="1">
      <alignment horizontal="left" vertical="center"/>
    </xf>
    <xf numFmtId="0" fontId="0" fillId="4" borderId="2" xfId="0" applyFont="1" applyFill="1" applyBorder="1" applyAlignment="1" applyProtection="1">
      <alignment horizontal="left" vertical="center"/>
    </xf>
    <xf numFmtId="0" fontId="0" fillId="4" borderId="3" xfId="0" applyFont="1" applyFill="1" applyBorder="1" applyAlignment="1" applyProtection="1">
      <alignment horizontal="left" vertical="center"/>
    </xf>
    <xf numFmtId="2" fontId="11" fillId="8" borderId="3" xfId="0" applyNumberFormat="1" applyFont="1" applyFill="1" applyBorder="1" applyAlignment="1" applyProtection="1">
      <alignment horizontal="center" vertical="center"/>
    </xf>
    <xf numFmtId="0" fontId="0" fillId="15" borderId="3" xfId="0" applyFont="1" applyFill="1" applyBorder="1" applyAlignment="1" applyProtection="1">
      <alignment horizontal="center" vertical="center"/>
    </xf>
    <xf numFmtId="165" fontId="0" fillId="15" borderId="4" xfId="1" quotePrefix="1" applyNumberFormat="1" applyFont="1" applyFill="1" applyBorder="1" applyAlignment="1" applyProtection="1">
      <alignment horizontal="center" vertical="center"/>
    </xf>
    <xf numFmtId="2" fontId="11" fillId="8" borderId="6" xfId="0" applyNumberFormat="1" applyFont="1" applyFill="1" applyBorder="1" applyAlignment="1" applyProtection="1">
      <alignment horizontal="center" vertical="center"/>
    </xf>
    <xf numFmtId="0" fontId="13" fillId="18" borderId="1" xfId="0" applyFont="1" applyFill="1" applyBorder="1" applyAlignment="1" applyProtection="1">
      <alignment horizontal="left" vertical="center"/>
    </xf>
    <xf numFmtId="2" fontId="13" fillId="18" borderId="1" xfId="0" applyNumberFormat="1" applyFont="1" applyFill="1" applyBorder="1" applyAlignment="1" applyProtection="1">
      <alignment horizontal="center" vertical="center"/>
    </xf>
    <xf numFmtId="0" fontId="13" fillId="18" borderId="8" xfId="0" applyFont="1" applyFill="1" applyBorder="1" applyAlignment="1" applyProtection="1">
      <alignment horizontal="center" vertical="center"/>
    </xf>
    <xf numFmtId="0" fontId="13" fillId="18" borderId="1" xfId="0" applyFont="1" applyFill="1" applyBorder="1" applyAlignment="1" applyProtection="1">
      <alignment horizontal="center" vertical="center"/>
    </xf>
    <xf numFmtId="0" fontId="0" fillId="16" borderId="16" xfId="0" applyFont="1" applyFill="1" applyBorder="1" applyAlignment="1" applyProtection="1">
      <alignment horizontal="left" vertical="center"/>
    </xf>
    <xf numFmtId="0" fontId="0" fillId="16" borderId="17" xfId="0" applyFont="1" applyFill="1" applyBorder="1" applyAlignment="1" applyProtection="1">
      <alignment horizontal="left" vertical="center"/>
    </xf>
    <xf numFmtId="0" fontId="0" fillId="15" borderId="18" xfId="0" applyFont="1" applyFill="1" applyBorder="1" applyAlignment="1" applyProtection="1">
      <alignment horizontal="center" vertical="center"/>
    </xf>
    <xf numFmtId="10" fontId="0" fillId="0" borderId="0" xfId="0" applyNumberFormat="1" applyFont="1" applyAlignment="1">
      <alignment vertical="center"/>
    </xf>
    <xf numFmtId="9" fontId="27" fillId="5" borderId="1" xfId="1" applyNumberFormat="1" applyFont="1" applyFill="1" applyBorder="1" applyAlignment="1" applyProtection="1">
      <alignment horizontal="center" vertical="center"/>
    </xf>
    <xf numFmtId="0" fontId="0" fillId="16" borderId="0" xfId="0" applyFont="1" applyFill="1" applyBorder="1" applyAlignment="1" applyProtection="1">
      <alignment horizontal="left" vertical="center" wrapText="1"/>
    </xf>
    <xf numFmtId="164" fontId="2" fillId="5" borderId="1" xfId="0" applyNumberFormat="1" applyFont="1" applyFill="1" applyBorder="1" applyAlignment="1" applyProtection="1">
      <alignment horizontal="center" vertical="center"/>
    </xf>
    <xf numFmtId="2" fontId="2" fillId="5" borderId="1" xfId="0" applyNumberFormat="1" applyFont="1" applyFill="1" applyBorder="1" applyAlignment="1" applyProtection="1">
      <alignment horizontal="center" vertical="center"/>
    </xf>
    <xf numFmtId="1" fontId="11" fillId="5" borderId="1" xfId="0" applyNumberFormat="1" applyFont="1" applyFill="1" applyBorder="1" applyAlignment="1" applyProtection="1">
      <alignment horizontal="center" vertical="center"/>
    </xf>
    <xf numFmtId="2" fontId="0" fillId="0" borderId="0" xfId="0" applyNumberFormat="1" applyBorder="1" applyAlignment="1">
      <alignment horizontal="center"/>
    </xf>
    <xf numFmtId="2" fontId="11" fillId="16" borderId="1" xfId="0" applyNumberFormat="1" applyFont="1" applyFill="1" applyBorder="1" applyAlignment="1" applyProtection="1">
      <alignment horizontal="center" vertical="center"/>
      <protection locked="0"/>
    </xf>
    <xf numFmtId="9" fontId="13" fillId="16" borderId="1" xfId="1" applyNumberFormat="1" applyFont="1" applyFill="1" applyBorder="1" applyAlignment="1" applyProtection="1">
      <alignment horizontal="center" vertical="center"/>
      <protection locked="0"/>
    </xf>
    <xf numFmtId="164" fontId="11" fillId="16" borderId="1" xfId="0" applyNumberFormat="1" applyFont="1" applyFill="1" applyBorder="1" applyAlignment="1" applyProtection="1">
      <alignment horizontal="center" vertical="center"/>
      <protection locked="0"/>
    </xf>
    <xf numFmtId="166" fontId="11" fillId="16" borderId="1" xfId="0" applyNumberFormat="1" applyFont="1" applyFill="1" applyBorder="1" applyAlignment="1" applyProtection="1">
      <alignment horizontal="center" vertical="center"/>
      <protection locked="0"/>
    </xf>
    <xf numFmtId="165" fontId="5" fillId="15" borderId="1" xfId="1" applyNumberFormat="1" applyFont="1" applyFill="1" applyBorder="1" applyAlignment="1" applyProtection="1">
      <alignment horizontal="left" vertical="center"/>
    </xf>
    <xf numFmtId="1" fontId="5" fillId="15" borderId="1" xfId="1" applyNumberFormat="1" applyFont="1" applyFill="1" applyBorder="1" applyAlignment="1" applyProtection="1">
      <alignment horizontal="center" vertical="center"/>
    </xf>
    <xf numFmtId="165" fontId="0" fillId="15" borderId="1" xfId="1" applyNumberFormat="1" applyFont="1" applyFill="1" applyBorder="1" applyAlignment="1" applyProtection="1">
      <alignment horizontal="left" vertical="center"/>
    </xf>
    <xf numFmtId="0" fontId="17" fillId="0" borderId="5" xfId="0" applyFont="1" applyBorder="1" applyAlignment="1" applyProtection="1">
      <protection locked="0"/>
    </xf>
    <xf numFmtId="165" fontId="5" fillId="17" borderId="1" xfId="1" applyNumberFormat="1" applyFont="1" applyFill="1" applyBorder="1" applyAlignment="1" applyProtection="1">
      <alignment horizontal="center" vertical="center"/>
    </xf>
    <xf numFmtId="165" fontId="13" fillId="16" borderId="1" xfId="1" applyNumberFormat="1" applyFont="1" applyFill="1" applyBorder="1" applyAlignment="1" applyProtection="1">
      <alignment horizontal="center" vertical="center"/>
      <protection locked="0"/>
    </xf>
    <xf numFmtId="2" fontId="0" fillId="0" borderId="19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2" fontId="0" fillId="0" borderId="21" xfId="0" applyNumberFormat="1" applyBorder="1" applyAlignment="1">
      <alignment horizontal="center"/>
    </xf>
    <xf numFmtId="2" fontId="0" fillId="0" borderId="22" xfId="0" applyNumberFormat="1" applyBorder="1" applyAlignment="1">
      <alignment horizontal="center"/>
    </xf>
    <xf numFmtId="2" fontId="0" fillId="0" borderId="23" xfId="0" applyNumberFormat="1" applyBorder="1" applyAlignment="1">
      <alignment horizontal="center"/>
    </xf>
    <xf numFmtId="2" fontId="0" fillId="0" borderId="16" xfId="0" applyNumberFormat="1" applyBorder="1" applyAlignment="1">
      <alignment horizontal="center"/>
    </xf>
    <xf numFmtId="2" fontId="0" fillId="0" borderId="24" xfId="0" applyNumberFormat="1" applyBorder="1" applyAlignment="1">
      <alignment horizontal="center"/>
    </xf>
    <xf numFmtId="2" fontId="0" fillId="0" borderId="25" xfId="0" applyNumberFormat="1" applyBorder="1" applyAlignment="1">
      <alignment horizontal="center"/>
    </xf>
    <xf numFmtId="0" fontId="20" fillId="18" borderId="1" xfId="0" applyFont="1" applyFill="1" applyBorder="1" applyAlignment="1" applyProtection="1">
      <alignment horizontal="left" vertical="center" wrapText="1"/>
    </xf>
    <xf numFmtId="0" fontId="28" fillId="18" borderId="1" xfId="0" applyFont="1" applyFill="1" applyBorder="1" applyAlignment="1" applyProtection="1">
      <alignment horizontal="left" vertical="center" wrapText="1"/>
    </xf>
    <xf numFmtId="0" fontId="0" fillId="1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7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2">
    <dxf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0000FF"/>
      <color rgb="FFFFFF99"/>
      <color rgb="FF00FFFF"/>
      <color rgb="FFFFFFCC"/>
      <color rgb="FF969696"/>
      <color rgb="FF33CC33"/>
      <color rgb="FF003366"/>
      <color rgb="FFFF3300"/>
      <color rgb="FFFF6A47"/>
      <color rgb="FFF5F5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Current Limits Programmed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'Calculation Sheet'!$K$25:$K$27</c:f>
              <c:strCache>
                <c:ptCount val="3"/>
                <c:pt idx="0">
                  <c:v>Inrush Charging 
Current</c:v>
                </c:pt>
                <c:pt idx="1">
                  <c:v>Overload Current
Limit</c:v>
                </c:pt>
                <c:pt idx="2">
                  <c:v>Fastrip Current
Limit</c:v>
                </c:pt>
              </c:strCache>
            </c:strRef>
          </c:cat>
          <c:val>
            <c:numRef>
              <c:f>'Calculation Sheet'!$J$25:$J$27</c:f>
              <c:numCache>
                <c:formatCode>0.00</c:formatCode>
                <c:ptCount val="3"/>
                <c:pt idx="0">
                  <c:v>0.115761</c:v>
                </c:pt>
                <c:pt idx="1">
                  <c:v>1.1214953271028036</c:v>
                </c:pt>
                <c:pt idx="2">
                  <c:v>2.0336915887850466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99-49C7-950B-DDF0A01674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963840"/>
        <c:axId val="127021824"/>
      </c:lineChart>
      <c:catAx>
        <c:axId val="124963840"/>
        <c:scaling>
          <c:orientation val="minMax"/>
        </c:scaling>
        <c:delete val="0"/>
        <c:axPos val="b"/>
        <c:majorGridlines/>
        <c:minorGridlines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900" b="1"/>
            </a:pPr>
            <a:endParaRPr lang="en-US"/>
          </a:p>
        </c:txPr>
        <c:crossAx val="127021824"/>
        <c:crosses val="autoZero"/>
        <c:auto val="0"/>
        <c:lblAlgn val="ctr"/>
        <c:lblOffset val="100"/>
        <c:noMultiLvlLbl val="0"/>
      </c:catAx>
      <c:valAx>
        <c:axId val="12702182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249638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VIN Thresholds Programmed</a:t>
            </a:r>
            <a:endParaRPr lang="en-US">
              <a:effectLst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'Calculation Sheet'!$K$15:$K$17</c:f>
              <c:strCache>
                <c:ptCount val="3"/>
                <c:pt idx="0">
                  <c:v>PFAIL 
(VIN Falling)</c:v>
                </c:pt>
                <c:pt idx="1">
                  <c:v>UVLO 
(VIN Rising)</c:v>
                </c:pt>
                <c:pt idx="2">
                  <c:v>OV Clamp
(VIN Rising)</c:v>
                </c:pt>
              </c:strCache>
            </c:strRef>
          </c:cat>
          <c:val>
            <c:numRef>
              <c:f>'Calculation Sheet'!$J$15:$J$17</c:f>
              <c:numCache>
                <c:formatCode>0.00</c:formatCode>
                <c:ptCount val="3"/>
                <c:pt idx="0">
                  <c:v>9.3444889779559102</c:v>
                </c:pt>
                <c:pt idx="1">
                  <c:v>10.109038076152304</c:v>
                </c:pt>
                <c:pt idx="2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EC-4B7C-B2D3-EC0BD78110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054592"/>
        <c:axId val="127056128"/>
      </c:lineChart>
      <c:catAx>
        <c:axId val="127054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 b="1"/>
            </a:pPr>
            <a:endParaRPr lang="en-US"/>
          </a:p>
        </c:txPr>
        <c:crossAx val="127056128"/>
        <c:crosses val="autoZero"/>
        <c:auto val="1"/>
        <c:lblAlgn val="ctr"/>
        <c:lblOffset val="100"/>
        <c:noMultiLvlLbl val="0"/>
      </c:catAx>
      <c:valAx>
        <c:axId val="12705612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270545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Thermal Shutdown Time Vs. Power Dissipation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'Thermal Shutdown Limit Plot'!$B$2</c:f>
              <c:strCache>
                <c:ptCount val="1"/>
                <c:pt idx="0">
                  <c:v>TA = -40C</c:v>
                </c:pt>
              </c:strCache>
            </c:strRef>
          </c:tx>
          <c:spPr>
            <a:ln w="38100">
              <a:solidFill>
                <a:srgbClr val="0070C0"/>
              </a:solidFill>
            </a:ln>
          </c:spPr>
          <c:marker>
            <c:symbol val="none"/>
          </c:marker>
          <c:xVal>
            <c:numRef>
              <c:f>'Thermal Shutdown Limit Plot'!$A$3:$A$25</c:f>
              <c:numCache>
                <c:formatCode>0.00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12</c:v>
                </c:pt>
                <c:pt idx="11">
                  <c:v>14</c:v>
                </c:pt>
                <c:pt idx="12">
                  <c:v>16</c:v>
                </c:pt>
                <c:pt idx="13">
                  <c:v>18</c:v>
                </c:pt>
                <c:pt idx="14">
                  <c:v>20</c:v>
                </c:pt>
                <c:pt idx="15">
                  <c:v>25</c:v>
                </c:pt>
                <c:pt idx="16">
                  <c:v>30</c:v>
                </c:pt>
                <c:pt idx="17">
                  <c:v>35</c:v>
                </c:pt>
                <c:pt idx="18">
                  <c:v>40</c:v>
                </c:pt>
                <c:pt idx="19">
                  <c:v>50</c:v>
                </c:pt>
                <c:pt idx="20">
                  <c:v>60</c:v>
                </c:pt>
                <c:pt idx="21">
                  <c:v>75</c:v>
                </c:pt>
                <c:pt idx="22">
                  <c:v>100</c:v>
                </c:pt>
              </c:numCache>
            </c:numRef>
          </c:xVal>
          <c:yVal>
            <c:numRef>
              <c:f>'Thermal Shutdown Limit Plot'!$B$3:$B$25</c:f>
              <c:numCache>
                <c:formatCode>0.00</c:formatCode>
                <c:ptCount val="23"/>
                <c:pt idx="0">
                  <c:v>100000</c:v>
                </c:pt>
                <c:pt idx="1">
                  <c:v>100000</c:v>
                </c:pt>
                <c:pt idx="2">
                  <c:v>100000</c:v>
                </c:pt>
                <c:pt idx="3">
                  <c:v>100000</c:v>
                </c:pt>
                <c:pt idx="4">
                  <c:v>100000</c:v>
                </c:pt>
                <c:pt idx="5">
                  <c:v>100000</c:v>
                </c:pt>
                <c:pt idx="6">
                  <c:v>100000</c:v>
                </c:pt>
                <c:pt idx="7">
                  <c:v>59170</c:v>
                </c:pt>
                <c:pt idx="8">
                  <c:v>7000</c:v>
                </c:pt>
                <c:pt idx="9">
                  <c:v>3275</c:v>
                </c:pt>
                <c:pt idx="10">
                  <c:v>1172</c:v>
                </c:pt>
                <c:pt idx="11">
                  <c:v>602.6</c:v>
                </c:pt>
                <c:pt idx="12">
                  <c:v>367.2</c:v>
                </c:pt>
                <c:pt idx="13">
                  <c:v>245.9</c:v>
                </c:pt>
                <c:pt idx="14">
                  <c:v>174</c:v>
                </c:pt>
                <c:pt idx="15">
                  <c:v>85.9</c:v>
                </c:pt>
                <c:pt idx="16">
                  <c:v>48</c:v>
                </c:pt>
                <c:pt idx="17">
                  <c:v>28.44</c:v>
                </c:pt>
                <c:pt idx="18">
                  <c:v>18.940000000000001</c:v>
                </c:pt>
                <c:pt idx="19">
                  <c:v>9</c:v>
                </c:pt>
                <c:pt idx="20">
                  <c:v>6.72</c:v>
                </c:pt>
                <c:pt idx="21">
                  <c:v>3.73</c:v>
                </c:pt>
                <c:pt idx="22">
                  <c:v>2.1549999999999998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779-409E-968C-E437360A48EA}"/>
            </c:ext>
          </c:extLst>
        </c:ser>
        <c:ser>
          <c:idx val="1"/>
          <c:order val="1"/>
          <c:tx>
            <c:strRef>
              <c:f>'Thermal Shutdown Limit Plot'!$C$2</c:f>
              <c:strCache>
                <c:ptCount val="1"/>
                <c:pt idx="0">
                  <c:v>TA = 25C</c:v>
                </c:pt>
              </c:strCache>
            </c:strRef>
          </c:tx>
          <c:spPr>
            <a:ln w="38100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'Thermal Shutdown Limit Plot'!$A$3:$A$25</c:f>
              <c:numCache>
                <c:formatCode>0.00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12</c:v>
                </c:pt>
                <c:pt idx="11">
                  <c:v>14</c:v>
                </c:pt>
                <c:pt idx="12">
                  <c:v>16</c:v>
                </c:pt>
                <c:pt idx="13">
                  <c:v>18</c:v>
                </c:pt>
                <c:pt idx="14">
                  <c:v>20</c:v>
                </c:pt>
                <c:pt idx="15">
                  <c:v>25</c:v>
                </c:pt>
                <c:pt idx="16">
                  <c:v>30</c:v>
                </c:pt>
                <c:pt idx="17">
                  <c:v>35</c:v>
                </c:pt>
                <c:pt idx="18">
                  <c:v>40</c:v>
                </c:pt>
                <c:pt idx="19">
                  <c:v>50</c:v>
                </c:pt>
                <c:pt idx="20">
                  <c:v>60</c:v>
                </c:pt>
                <c:pt idx="21">
                  <c:v>75</c:v>
                </c:pt>
                <c:pt idx="22">
                  <c:v>100</c:v>
                </c:pt>
              </c:numCache>
            </c:numRef>
          </c:xVal>
          <c:yVal>
            <c:numRef>
              <c:f>'Thermal Shutdown Limit Plot'!$C$3:$C$25</c:f>
              <c:numCache>
                <c:formatCode>0.00</c:formatCode>
                <c:ptCount val="23"/>
                <c:pt idx="0">
                  <c:v>100000</c:v>
                </c:pt>
                <c:pt idx="1">
                  <c:v>100000</c:v>
                </c:pt>
                <c:pt idx="2">
                  <c:v>100000</c:v>
                </c:pt>
                <c:pt idx="3">
                  <c:v>72350</c:v>
                </c:pt>
                <c:pt idx="4">
                  <c:v>13880</c:v>
                </c:pt>
                <c:pt idx="5">
                  <c:v>4315</c:v>
                </c:pt>
                <c:pt idx="6">
                  <c:v>2088</c:v>
                </c:pt>
                <c:pt idx="7">
                  <c:v>1147</c:v>
                </c:pt>
                <c:pt idx="8">
                  <c:v>716</c:v>
                </c:pt>
                <c:pt idx="9">
                  <c:v>472.76</c:v>
                </c:pt>
                <c:pt idx="10">
                  <c:v>255.7</c:v>
                </c:pt>
                <c:pt idx="11">
                  <c:v>154.30000000000001</c:v>
                </c:pt>
                <c:pt idx="12">
                  <c:v>100</c:v>
                </c:pt>
                <c:pt idx="13">
                  <c:v>68.114999999999995</c:v>
                </c:pt>
                <c:pt idx="14">
                  <c:v>49.142000000000003</c:v>
                </c:pt>
                <c:pt idx="15">
                  <c:v>24.4</c:v>
                </c:pt>
                <c:pt idx="16">
                  <c:v>13.79</c:v>
                </c:pt>
                <c:pt idx="17">
                  <c:v>8.6430000000000007</c:v>
                </c:pt>
                <c:pt idx="18">
                  <c:v>6.07</c:v>
                </c:pt>
                <c:pt idx="19">
                  <c:v>3.52</c:v>
                </c:pt>
                <c:pt idx="20">
                  <c:v>2.39</c:v>
                </c:pt>
                <c:pt idx="21">
                  <c:v>1.792</c:v>
                </c:pt>
                <c:pt idx="22">
                  <c:v>1.22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779-409E-968C-E437360A48EA}"/>
            </c:ext>
          </c:extLst>
        </c:ser>
        <c:ser>
          <c:idx val="2"/>
          <c:order val="2"/>
          <c:tx>
            <c:strRef>
              <c:f>'Thermal Shutdown Limit Plot'!$D$2</c:f>
              <c:strCache>
                <c:ptCount val="1"/>
                <c:pt idx="0">
                  <c:v>TA = 85C</c:v>
                </c:pt>
              </c:strCache>
            </c:strRef>
          </c:tx>
          <c:spPr>
            <a:ln w="38100">
              <a:solidFill>
                <a:schemeClr val="accent4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'Thermal Shutdown Limit Plot'!$A$3:$A$25</c:f>
              <c:numCache>
                <c:formatCode>0.00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12</c:v>
                </c:pt>
                <c:pt idx="11">
                  <c:v>14</c:v>
                </c:pt>
                <c:pt idx="12">
                  <c:v>16</c:v>
                </c:pt>
                <c:pt idx="13">
                  <c:v>18</c:v>
                </c:pt>
                <c:pt idx="14">
                  <c:v>20</c:v>
                </c:pt>
                <c:pt idx="15">
                  <c:v>25</c:v>
                </c:pt>
                <c:pt idx="16">
                  <c:v>30</c:v>
                </c:pt>
                <c:pt idx="17">
                  <c:v>35</c:v>
                </c:pt>
                <c:pt idx="18">
                  <c:v>40</c:v>
                </c:pt>
                <c:pt idx="19">
                  <c:v>50</c:v>
                </c:pt>
                <c:pt idx="20">
                  <c:v>60</c:v>
                </c:pt>
                <c:pt idx="21">
                  <c:v>75</c:v>
                </c:pt>
                <c:pt idx="22">
                  <c:v>100</c:v>
                </c:pt>
              </c:numCache>
            </c:numRef>
          </c:xVal>
          <c:yVal>
            <c:numRef>
              <c:f>'Thermal Shutdown Limit Plot'!$D$3:$D$25</c:f>
              <c:numCache>
                <c:formatCode>0.00</c:formatCode>
                <c:ptCount val="23"/>
                <c:pt idx="0">
                  <c:v>100000</c:v>
                </c:pt>
                <c:pt idx="1">
                  <c:v>100000</c:v>
                </c:pt>
                <c:pt idx="2">
                  <c:v>34590</c:v>
                </c:pt>
                <c:pt idx="3">
                  <c:v>2810</c:v>
                </c:pt>
                <c:pt idx="4">
                  <c:v>1497</c:v>
                </c:pt>
                <c:pt idx="5">
                  <c:v>638.6</c:v>
                </c:pt>
                <c:pt idx="6">
                  <c:v>345</c:v>
                </c:pt>
                <c:pt idx="7">
                  <c:v>214</c:v>
                </c:pt>
                <c:pt idx="8">
                  <c:v>143.43</c:v>
                </c:pt>
                <c:pt idx="9">
                  <c:v>101</c:v>
                </c:pt>
                <c:pt idx="10">
                  <c:v>55.33</c:v>
                </c:pt>
                <c:pt idx="11">
                  <c:v>33.78</c:v>
                </c:pt>
                <c:pt idx="12">
                  <c:v>21.41</c:v>
                </c:pt>
                <c:pt idx="13">
                  <c:v>14.39</c:v>
                </c:pt>
                <c:pt idx="14">
                  <c:v>10.52</c:v>
                </c:pt>
                <c:pt idx="15">
                  <c:v>5.69</c:v>
                </c:pt>
                <c:pt idx="16">
                  <c:v>3.76</c:v>
                </c:pt>
                <c:pt idx="17">
                  <c:v>2.8</c:v>
                </c:pt>
                <c:pt idx="18">
                  <c:v>2.16</c:v>
                </c:pt>
                <c:pt idx="19">
                  <c:v>1.52</c:v>
                </c:pt>
                <c:pt idx="20">
                  <c:v>1.1779999999999999</c:v>
                </c:pt>
                <c:pt idx="21">
                  <c:v>0.98599999999999999</c:v>
                </c:pt>
                <c:pt idx="22">
                  <c:v>0.69399999999999995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779-409E-968C-E437360A48EA}"/>
            </c:ext>
          </c:extLst>
        </c:ser>
        <c:ser>
          <c:idx val="3"/>
          <c:order val="3"/>
          <c:tx>
            <c:strRef>
              <c:f>'Thermal Shutdown Limit Plot'!$E$2</c:f>
              <c:strCache>
                <c:ptCount val="1"/>
                <c:pt idx="0">
                  <c:v>TA = 105C</c:v>
                </c:pt>
              </c:strCache>
            </c:strRef>
          </c:tx>
          <c:spPr>
            <a:ln w="38100">
              <a:solidFill>
                <a:schemeClr val="accent2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'Thermal Shutdown Limit Plot'!$A$3:$A$25</c:f>
              <c:numCache>
                <c:formatCode>0.00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12</c:v>
                </c:pt>
                <c:pt idx="11">
                  <c:v>14</c:v>
                </c:pt>
                <c:pt idx="12">
                  <c:v>16</c:v>
                </c:pt>
                <c:pt idx="13">
                  <c:v>18</c:v>
                </c:pt>
                <c:pt idx="14">
                  <c:v>20</c:v>
                </c:pt>
                <c:pt idx="15">
                  <c:v>25</c:v>
                </c:pt>
                <c:pt idx="16">
                  <c:v>30</c:v>
                </c:pt>
                <c:pt idx="17">
                  <c:v>35</c:v>
                </c:pt>
                <c:pt idx="18">
                  <c:v>40</c:v>
                </c:pt>
                <c:pt idx="19">
                  <c:v>50</c:v>
                </c:pt>
                <c:pt idx="20">
                  <c:v>60</c:v>
                </c:pt>
                <c:pt idx="21">
                  <c:v>75</c:v>
                </c:pt>
                <c:pt idx="22">
                  <c:v>100</c:v>
                </c:pt>
              </c:numCache>
            </c:numRef>
          </c:xVal>
          <c:yVal>
            <c:numRef>
              <c:f>'Thermal Shutdown Limit Plot'!$E$3:$E$25</c:f>
              <c:numCache>
                <c:formatCode>0.00</c:formatCode>
                <c:ptCount val="23"/>
                <c:pt idx="0">
                  <c:v>100000</c:v>
                </c:pt>
                <c:pt idx="1">
                  <c:v>100000</c:v>
                </c:pt>
                <c:pt idx="2">
                  <c:v>2870</c:v>
                </c:pt>
                <c:pt idx="3">
                  <c:v>681.6</c:v>
                </c:pt>
                <c:pt idx="4">
                  <c:v>400</c:v>
                </c:pt>
                <c:pt idx="5">
                  <c:v>250</c:v>
                </c:pt>
                <c:pt idx="6">
                  <c:v>142.80000000000001</c:v>
                </c:pt>
                <c:pt idx="7">
                  <c:v>90.8</c:v>
                </c:pt>
                <c:pt idx="8">
                  <c:v>61.84</c:v>
                </c:pt>
                <c:pt idx="9">
                  <c:v>42.64</c:v>
                </c:pt>
                <c:pt idx="10">
                  <c:v>22.8</c:v>
                </c:pt>
                <c:pt idx="11">
                  <c:v>13.92</c:v>
                </c:pt>
                <c:pt idx="12">
                  <c:v>9.24</c:v>
                </c:pt>
                <c:pt idx="13">
                  <c:v>6.68</c:v>
                </c:pt>
                <c:pt idx="14">
                  <c:v>5.218</c:v>
                </c:pt>
                <c:pt idx="15">
                  <c:v>3.25</c:v>
                </c:pt>
                <c:pt idx="16">
                  <c:v>2.3380000000000001</c:v>
                </c:pt>
                <c:pt idx="17">
                  <c:v>1.81</c:v>
                </c:pt>
                <c:pt idx="18">
                  <c:v>1.49</c:v>
                </c:pt>
                <c:pt idx="19">
                  <c:v>1.0940000000000001</c:v>
                </c:pt>
                <c:pt idx="20">
                  <c:v>0.88200000000000001</c:v>
                </c:pt>
                <c:pt idx="21">
                  <c:v>0.71899999999999997</c:v>
                </c:pt>
                <c:pt idx="22">
                  <c:v>0.50670000000000004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779-409E-968C-E437360A48EA}"/>
            </c:ext>
          </c:extLst>
        </c:ser>
        <c:ser>
          <c:idx val="4"/>
          <c:order val="4"/>
          <c:tx>
            <c:strRef>
              <c:f>'Thermal Shutdown Limit Plot'!$F$2</c:f>
              <c:strCache>
                <c:ptCount val="1"/>
                <c:pt idx="0">
                  <c:v>TA = 125C</c:v>
                </c:pt>
              </c:strCache>
            </c:strRef>
          </c:tx>
          <c:spPr>
            <a:ln w="381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'Thermal Shutdown Limit Plot'!$A$3:$A$25</c:f>
              <c:numCache>
                <c:formatCode>0.00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12</c:v>
                </c:pt>
                <c:pt idx="11">
                  <c:v>14</c:v>
                </c:pt>
                <c:pt idx="12">
                  <c:v>16</c:v>
                </c:pt>
                <c:pt idx="13">
                  <c:v>18</c:v>
                </c:pt>
                <c:pt idx="14">
                  <c:v>20</c:v>
                </c:pt>
                <c:pt idx="15">
                  <c:v>25</c:v>
                </c:pt>
                <c:pt idx="16">
                  <c:v>30</c:v>
                </c:pt>
                <c:pt idx="17">
                  <c:v>35</c:v>
                </c:pt>
                <c:pt idx="18">
                  <c:v>40</c:v>
                </c:pt>
                <c:pt idx="19">
                  <c:v>50</c:v>
                </c:pt>
                <c:pt idx="20">
                  <c:v>60</c:v>
                </c:pt>
                <c:pt idx="21">
                  <c:v>75</c:v>
                </c:pt>
                <c:pt idx="22">
                  <c:v>100</c:v>
                </c:pt>
              </c:numCache>
            </c:numRef>
          </c:xVal>
          <c:yVal>
            <c:numRef>
              <c:f>'Thermal Shutdown Limit Plot'!$F$3:$F$25</c:f>
              <c:numCache>
                <c:formatCode>0.00</c:formatCode>
                <c:ptCount val="23"/>
                <c:pt idx="0">
                  <c:v>100000</c:v>
                </c:pt>
                <c:pt idx="1">
                  <c:v>3640</c:v>
                </c:pt>
                <c:pt idx="2">
                  <c:v>482</c:v>
                </c:pt>
                <c:pt idx="3">
                  <c:v>174</c:v>
                </c:pt>
                <c:pt idx="4">
                  <c:v>133.69999999999999</c:v>
                </c:pt>
                <c:pt idx="5">
                  <c:v>69.760000000000005</c:v>
                </c:pt>
                <c:pt idx="6">
                  <c:v>39.840000000000003</c:v>
                </c:pt>
                <c:pt idx="7">
                  <c:v>25.92</c:v>
                </c:pt>
                <c:pt idx="8">
                  <c:v>17.440000000000001</c:v>
                </c:pt>
                <c:pt idx="9">
                  <c:v>12.44</c:v>
                </c:pt>
                <c:pt idx="10">
                  <c:v>7.4</c:v>
                </c:pt>
                <c:pt idx="11">
                  <c:v>4.9800000000000004</c:v>
                </c:pt>
                <c:pt idx="12">
                  <c:v>3.75</c:v>
                </c:pt>
                <c:pt idx="13">
                  <c:v>2.97</c:v>
                </c:pt>
                <c:pt idx="14">
                  <c:v>2.4900000000000002</c:v>
                </c:pt>
                <c:pt idx="15">
                  <c:v>1.746</c:v>
                </c:pt>
                <c:pt idx="16">
                  <c:v>1.3460000000000001</c:v>
                </c:pt>
                <c:pt idx="17">
                  <c:v>1.0900000000000001</c:v>
                </c:pt>
                <c:pt idx="18">
                  <c:v>0.92600000000000005</c:v>
                </c:pt>
                <c:pt idx="19">
                  <c:v>0.71</c:v>
                </c:pt>
                <c:pt idx="20">
                  <c:v>0.57399999999999995</c:v>
                </c:pt>
                <c:pt idx="21">
                  <c:v>0.4748</c:v>
                </c:pt>
                <c:pt idx="22">
                  <c:v>0.35349999999999998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779-409E-968C-E437360A48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696896"/>
        <c:axId val="127698816"/>
      </c:scatterChart>
      <c:scatterChart>
        <c:scatterStyle val="lineMarker"/>
        <c:varyColors val="0"/>
        <c:ser>
          <c:idx val="5"/>
          <c:order val="5"/>
          <c:tx>
            <c:strRef>
              <c:f>'Thermal Shutdown Limit Plot'!$B$28</c:f>
              <c:strCache>
                <c:ptCount val="1"/>
                <c:pt idx="0">
                  <c:v>Maximum Point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14"/>
          </c:marker>
          <c:xVal>
            <c:numRef>
              <c:f>'Thermal Shutdown Limit Plot'!$C$28</c:f>
              <c:numCache>
                <c:formatCode>0.00</c:formatCode>
                <c:ptCount val="1"/>
                <c:pt idx="0">
                  <c:v>12</c:v>
                </c:pt>
              </c:numCache>
            </c:numRef>
          </c:xVal>
          <c:yVal>
            <c:numRef>
              <c:f>'Thermal Shutdown Limit Plot'!$D$28</c:f>
              <c:numCache>
                <c:formatCode>0.00</c:formatCode>
                <c:ptCount val="1"/>
                <c:pt idx="0">
                  <c:v>45.611216212714126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779-409E-968C-E437360A48EA}"/>
            </c:ext>
          </c:extLst>
        </c:ser>
        <c:ser>
          <c:idx val="6"/>
          <c:order val="6"/>
          <c:tx>
            <c:strRef>
              <c:f>'Thermal Shutdown Limit Plot'!$B$29</c:f>
              <c:strCache>
                <c:ptCount val="1"/>
                <c:pt idx="0">
                  <c:v>Operating Point</c:v>
                </c:pt>
              </c:strCache>
            </c:strRef>
          </c:tx>
          <c:spPr>
            <a:ln w="28575">
              <a:solidFill>
                <a:schemeClr val="tx1"/>
              </a:solidFill>
            </a:ln>
          </c:spPr>
          <c:marker>
            <c:symbol val="triangle"/>
            <c:size val="14"/>
          </c:marker>
          <c:xVal>
            <c:numRef>
              <c:f>'Thermal Shutdown Limit Plot'!$C$29</c:f>
              <c:numCache>
                <c:formatCode>0.00</c:formatCode>
                <c:ptCount val="1"/>
                <c:pt idx="0">
                  <c:v>1.9419610158730158</c:v>
                </c:pt>
              </c:numCache>
            </c:numRef>
          </c:xVal>
          <c:yVal>
            <c:numRef>
              <c:f>'Thermal Shutdown Limit Plot'!$D$29</c:f>
              <c:numCache>
                <c:formatCode>0.00</c:formatCode>
                <c:ptCount val="1"/>
                <c:pt idx="0">
                  <c:v>45.611216212714126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779-409E-968C-E437360A48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696896"/>
        <c:axId val="127698816"/>
      </c:scatterChart>
      <c:valAx>
        <c:axId val="127696896"/>
        <c:scaling>
          <c:logBase val="10"/>
          <c:orientation val="minMax"/>
          <c:max val="100"/>
          <c:min val="1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600" b="1" i="0" baseline="0">
                    <a:effectLst/>
                  </a:rPr>
                  <a:t>Power dissipation (W)</a:t>
                </a:r>
                <a:endParaRPr lang="en-US" sz="1600">
                  <a:effectLst/>
                </a:endParaRP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crossAx val="127698816"/>
        <c:crosses val="autoZero"/>
        <c:crossBetween val="midCat"/>
      </c:valAx>
      <c:valAx>
        <c:axId val="127698816"/>
        <c:scaling>
          <c:logBase val="10"/>
          <c:orientation val="minMax"/>
          <c:max val="100000"/>
          <c:min val="0.1"/>
        </c:scaling>
        <c:delete val="0"/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600" b="1" i="0" baseline="0">
                    <a:effectLst/>
                  </a:rPr>
                  <a:t>Thermal Shutdown Time (ms)</a:t>
                </a:r>
                <a:endParaRPr lang="en-US" sz="1600">
                  <a:effectLst/>
                </a:endParaRPr>
              </a:p>
            </c:rich>
          </c:tx>
          <c:overlay val="0"/>
        </c:title>
        <c:numFmt formatCode="General" sourceLinked="0"/>
        <c:majorTickMark val="in"/>
        <c:minorTickMark val="none"/>
        <c:tickLblPos val="low"/>
        <c:crossAx val="127696896"/>
        <c:crosses val="autoZero"/>
        <c:crossBetween val="midCat"/>
        <c:majorUnit val="10"/>
        <c:minorUnit val="10"/>
      </c:valAx>
      <c:spPr>
        <a:ln w="31750">
          <a:solidFill>
            <a:schemeClr val="tx1"/>
          </a:solidFill>
        </a:ln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80045</xdr:colOff>
      <xdr:row>24</xdr:row>
      <xdr:rowOff>12486</xdr:rowOff>
    </xdr:from>
    <xdr:to>
      <xdr:col>11</xdr:col>
      <xdr:colOff>1654629</xdr:colOff>
      <xdr:row>35</xdr:row>
      <xdr:rowOff>119743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92527</xdr:colOff>
      <xdr:row>13</xdr:row>
      <xdr:rowOff>152400</xdr:rowOff>
    </xdr:from>
    <xdr:to>
      <xdr:col>11</xdr:col>
      <xdr:colOff>1709056</xdr:colOff>
      <xdr:row>23</xdr:row>
      <xdr:rowOff>332015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7</xdr:col>
      <xdr:colOff>43544</xdr:colOff>
      <xdr:row>0</xdr:row>
      <xdr:rowOff>86395</xdr:rowOff>
    </xdr:from>
    <xdr:to>
      <xdr:col>11</xdr:col>
      <xdr:colOff>2667000</xdr:colOff>
      <xdr:row>12</xdr:row>
      <xdr:rowOff>206874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417630" y="86395"/>
          <a:ext cx="6466113" cy="302696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43543</xdr:colOff>
      <xdr:row>30</xdr:row>
      <xdr:rowOff>96688</xdr:rowOff>
    </xdr:from>
    <xdr:to>
      <xdr:col>19</xdr:col>
      <xdr:colOff>24332</xdr:colOff>
      <xdr:row>33</xdr:row>
      <xdr:rowOff>40659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7271657" y="5670174"/>
          <a:ext cx="7764075" cy="49914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 i="0" u="none" strike="noStrike" baseline="0">
              <a:solidFill>
                <a:srgbClr val="FF0000"/>
              </a:solidFill>
              <a:latin typeface="+mn-lt"/>
              <a:ea typeface="+mn-ea"/>
              <a:cs typeface="+mn-cs"/>
            </a:rPr>
            <a:t>Taken on 2-Layer board, 2oz.(0.08-mm thick) with RTN plane area: 1cm</a:t>
          </a:r>
          <a:r>
            <a:rPr lang="en-US" sz="1400" b="1" i="0" u="none" strike="noStrike" baseline="30000">
              <a:solidFill>
                <a:srgbClr val="FF0000"/>
              </a:solidFill>
              <a:latin typeface="+mn-lt"/>
              <a:ea typeface="+mn-ea"/>
              <a:cs typeface="+mn-cs"/>
            </a:rPr>
            <a:t>2 </a:t>
          </a:r>
          <a:r>
            <a:rPr lang="en-US" sz="1400" b="1" i="0" u="none" strike="noStrike" baseline="0">
              <a:solidFill>
                <a:srgbClr val="FF0000"/>
              </a:solidFill>
              <a:latin typeface="+mn-lt"/>
              <a:ea typeface="+mn-ea"/>
              <a:cs typeface="+mn-cs"/>
            </a:rPr>
            <a:t>(Top) and 4.6cm</a:t>
          </a:r>
          <a:r>
            <a:rPr lang="en-US" sz="1400" b="1" i="0" u="none" strike="noStrike" baseline="30000">
              <a:solidFill>
                <a:srgbClr val="FF0000"/>
              </a:solidFill>
              <a:latin typeface="+mn-lt"/>
              <a:ea typeface="+mn-ea"/>
              <a:cs typeface="+mn-cs"/>
            </a:rPr>
            <a:t>2</a:t>
          </a:r>
          <a:r>
            <a:rPr lang="en-US" sz="1400" b="1" i="0" u="none" strike="noStrike" baseline="0">
              <a:solidFill>
                <a:srgbClr val="FF0000"/>
              </a:solidFill>
              <a:latin typeface="+mn-lt"/>
              <a:ea typeface="+mn-ea"/>
              <a:cs typeface="+mn-cs"/>
            </a:rPr>
            <a:t> (bottom)</a:t>
          </a:r>
          <a:endParaRPr lang="en-US" sz="1400" b="1">
            <a:solidFill>
              <a:srgbClr val="FF0000"/>
            </a:solidFill>
          </a:endParaRPr>
        </a:p>
      </xdr:txBody>
    </xdr:sp>
    <xdr:clientData/>
  </xdr:twoCellAnchor>
  <xdr:twoCellAnchor>
    <xdr:from>
      <xdr:col>7</xdr:col>
      <xdr:colOff>43543</xdr:colOff>
      <xdr:row>4</xdr:row>
      <xdr:rowOff>168727</xdr:rowOff>
    </xdr:from>
    <xdr:to>
      <xdr:col>21</xdr:col>
      <xdr:colOff>174172</xdr:colOff>
      <xdr:row>30</xdr:row>
      <xdr:rowOff>97971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79"/>
  <sheetViews>
    <sheetView showGridLines="0" tabSelected="1" zoomScale="70" zoomScaleNormal="70" workbookViewId="0">
      <pane xSplit="2" ySplit="13" topLeftCell="C14" activePane="bottomRight" state="frozen"/>
      <selection pane="topRight" activeCell="C1" sqref="C1"/>
      <selection pane="bottomLeft" activeCell="A16" sqref="A16"/>
      <selection pane="bottomRight" activeCell="C19" sqref="C19"/>
    </sheetView>
  </sheetViews>
  <sheetFormatPr defaultColWidth="9.140625" defaultRowHeight="18" customHeight="1" x14ac:dyDescent="0.25"/>
  <cols>
    <col min="1" max="1" width="2" style="1" customWidth="1"/>
    <col min="2" max="2" width="29" style="39" customWidth="1"/>
    <col min="3" max="3" width="86.7109375" style="39" customWidth="1"/>
    <col min="4" max="4" width="14.28515625" style="77" customWidth="1"/>
    <col min="5" max="5" width="8.85546875" style="4" customWidth="1"/>
    <col min="6" max="6" width="10.28515625" style="4" customWidth="1"/>
    <col min="7" max="7" width="8.28515625" style="39" hidden="1" customWidth="1"/>
    <col min="8" max="9" width="9.140625" style="1"/>
    <col min="10" max="10" width="20.7109375" style="1" customWidth="1"/>
    <col min="11" max="11" width="17.28515625" style="1" customWidth="1"/>
    <col min="12" max="12" width="50.28515625" style="3" customWidth="1"/>
    <col min="13" max="13" width="9.140625" style="1" hidden="1" customWidth="1"/>
    <col min="14" max="14" width="26.28515625" style="1" customWidth="1"/>
    <col min="15" max="16384" width="9.140625" style="1"/>
  </cols>
  <sheetData>
    <row r="1" spans="2:13" ht="18" customHeight="1" x14ac:dyDescent="0.25">
      <c r="B1" s="12" t="s">
        <v>163</v>
      </c>
      <c r="C1" s="78"/>
      <c r="D1" s="54"/>
      <c r="E1" s="13"/>
      <c r="F1" s="13"/>
    </row>
    <row r="2" spans="2:13" ht="18" customHeight="1" x14ac:dyDescent="0.25">
      <c r="B2" s="74" t="s">
        <v>20</v>
      </c>
      <c r="C2" s="79" t="s">
        <v>118</v>
      </c>
      <c r="D2" s="55" t="s">
        <v>21</v>
      </c>
      <c r="E2" s="13"/>
      <c r="F2" s="13"/>
    </row>
    <row r="3" spans="2:13" ht="30.6" customHeight="1" x14ac:dyDescent="0.25">
      <c r="B3" s="16"/>
      <c r="C3" s="122" t="s">
        <v>119</v>
      </c>
      <c r="D3" s="54"/>
      <c r="E3" s="13"/>
      <c r="F3" s="13"/>
    </row>
    <row r="4" spans="2:13" ht="18" customHeight="1" x14ac:dyDescent="0.25">
      <c r="B4" s="113" t="s">
        <v>0</v>
      </c>
      <c r="C4" s="113" t="s">
        <v>1</v>
      </c>
      <c r="D4" s="114" t="s">
        <v>2</v>
      </c>
      <c r="E4" s="115" t="s">
        <v>3</v>
      </c>
      <c r="F4" s="116" t="s">
        <v>31</v>
      </c>
    </row>
    <row r="5" spans="2:13" ht="18" customHeight="1" x14ac:dyDescent="0.25">
      <c r="B5" s="80" t="s">
        <v>56</v>
      </c>
      <c r="C5" s="80" t="s">
        <v>53</v>
      </c>
      <c r="D5" s="58">
        <v>16</v>
      </c>
      <c r="E5" s="57" t="s">
        <v>6</v>
      </c>
      <c r="F5" s="14"/>
    </row>
    <row r="6" spans="2:13" ht="18" customHeight="1" x14ac:dyDescent="0.25">
      <c r="B6" s="80" t="s">
        <v>117</v>
      </c>
      <c r="C6" s="80" t="s">
        <v>64</v>
      </c>
      <c r="D6" s="56">
        <v>10</v>
      </c>
      <c r="E6" s="57" t="s">
        <v>6</v>
      </c>
      <c r="F6" s="14"/>
    </row>
    <row r="7" spans="2:13" ht="18" customHeight="1" x14ac:dyDescent="0.25">
      <c r="B7" s="131" t="s">
        <v>42</v>
      </c>
      <c r="C7" s="133" t="s">
        <v>154</v>
      </c>
      <c r="D7" s="132">
        <v>38</v>
      </c>
      <c r="E7" s="14" t="s">
        <v>6</v>
      </c>
      <c r="F7" s="131"/>
    </row>
    <row r="8" spans="2:13" ht="18" customHeight="1" x14ac:dyDescent="0.25">
      <c r="B8" s="80" t="s">
        <v>8</v>
      </c>
      <c r="C8" s="80" t="s">
        <v>9</v>
      </c>
      <c r="D8" s="58">
        <v>330</v>
      </c>
      <c r="E8" s="57" t="s">
        <v>54</v>
      </c>
      <c r="F8" s="92">
        <v>0.1</v>
      </c>
    </row>
    <row r="9" spans="2:13" ht="18" customHeight="1" x14ac:dyDescent="0.25">
      <c r="B9" s="80" t="s">
        <v>55</v>
      </c>
      <c r="C9" s="80" t="s">
        <v>120</v>
      </c>
      <c r="D9" s="59" t="s">
        <v>134</v>
      </c>
      <c r="E9" s="57" t="s">
        <v>57</v>
      </c>
      <c r="F9" s="14"/>
    </row>
    <row r="10" spans="2:13" ht="18" customHeight="1" x14ac:dyDescent="0.25">
      <c r="B10" s="80" t="s">
        <v>58</v>
      </c>
      <c r="C10" s="80" t="s">
        <v>139</v>
      </c>
      <c r="D10" s="58">
        <v>42</v>
      </c>
      <c r="E10" s="60" t="s">
        <v>61</v>
      </c>
      <c r="F10" s="14"/>
    </row>
    <row r="11" spans="2:13" ht="18" customHeight="1" x14ac:dyDescent="0.25">
      <c r="B11" s="80" t="s">
        <v>10</v>
      </c>
      <c r="C11" s="80" t="s">
        <v>60</v>
      </c>
      <c r="D11" s="103">
        <v>1</v>
      </c>
      <c r="E11" s="57" t="s">
        <v>4</v>
      </c>
      <c r="F11" s="14"/>
    </row>
    <row r="12" spans="2:13" ht="18" customHeight="1" x14ac:dyDescent="0.25">
      <c r="B12" s="117" t="s">
        <v>59</v>
      </c>
      <c r="C12" s="118" t="s">
        <v>162</v>
      </c>
      <c r="D12" s="127">
        <f>MIN(1.1*Imax,2.23)</f>
        <v>1.1000000000000001</v>
      </c>
      <c r="E12" s="119" t="s">
        <v>4</v>
      </c>
      <c r="F12" s="14"/>
    </row>
    <row r="13" spans="2:13" ht="18" customHeight="1" x14ac:dyDescent="0.25">
      <c r="B13" s="16"/>
      <c r="C13" s="16"/>
      <c r="D13" s="54"/>
      <c r="E13" s="13"/>
      <c r="F13" s="13"/>
    </row>
    <row r="14" spans="2:13" ht="18" customHeight="1" x14ac:dyDescent="0.25">
      <c r="B14" s="81" t="s">
        <v>86</v>
      </c>
      <c r="C14" s="82"/>
      <c r="D14" s="62"/>
      <c r="E14" s="44"/>
      <c r="F14" s="44"/>
    </row>
    <row r="15" spans="2:13" ht="22.5" x14ac:dyDescent="0.25">
      <c r="B15" s="80" t="s">
        <v>67</v>
      </c>
      <c r="C15" s="80" t="s">
        <v>123</v>
      </c>
      <c r="D15" s="58">
        <v>49.9</v>
      </c>
      <c r="E15" s="57" t="s">
        <v>62</v>
      </c>
      <c r="F15" s="135">
        <v>0.01</v>
      </c>
      <c r="J15" s="3">
        <f>D21</f>
        <v>9.3444889779559102</v>
      </c>
      <c r="K15" s="38" t="s">
        <v>157</v>
      </c>
      <c r="M15" s="1">
        <f>IF(D15&lt;10, D15*100, IF(AND(D15&gt;=10, D15&lt;100),D15*10,IF(AND(D15&gt;=100, D15&lt;1000), D15, IF(D15&gt;=1000, D15/10))))</f>
        <v>499</v>
      </c>
    </row>
    <row r="16" spans="2:13" ht="18" customHeight="1" x14ac:dyDescent="0.25">
      <c r="B16" s="83" t="s">
        <v>63</v>
      </c>
      <c r="C16" s="83" t="s">
        <v>66</v>
      </c>
      <c r="D16" s="63">
        <f>D15*((UVset/UVLOref)-1)</f>
        <v>369.427731092437</v>
      </c>
      <c r="E16" s="64" t="s">
        <v>62</v>
      </c>
      <c r="F16" s="15"/>
      <c r="J16" s="3">
        <f>D20</f>
        <v>10.109038076152304</v>
      </c>
      <c r="K16" s="38" t="s">
        <v>51</v>
      </c>
      <c r="M16" s="1">
        <f t="shared" ref="M16" si="0">IF(D16&lt;10, D16*100, IF(AND(D16&gt;=10, D16&lt;100),D16*10,IF(AND(D16&gt;=100, D16&lt;1000), D16, IF(D16&gt;=1000, D16/10))))</f>
        <v>369.427731092437</v>
      </c>
    </row>
    <row r="17" spans="2:13" ht="18" customHeight="1" x14ac:dyDescent="0.25">
      <c r="B17" s="84" t="s">
        <v>159</v>
      </c>
      <c r="C17" s="84"/>
      <c r="D17" s="65"/>
      <c r="E17" s="66"/>
      <c r="F17" s="11"/>
      <c r="J17" s="3">
        <f>OVset</f>
        <v>38</v>
      </c>
      <c r="K17" s="38" t="s">
        <v>158</v>
      </c>
    </row>
    <row r="18" spans="2:13" ht="18" customHeight="1" x14ac:dyDescent="0.25">
      <c r="B18" s="85" t="s">
        <v>67</v>
      </c>
      <c r="C18" s="85" t="s">
        <v>127</v>
      </c>
      <c r="D18" s="129">
        <f>G18</f>
        <v>49.9</v>
      </c>
      <c r="E18" s="64" t="s">
        <v>62</v>
      </c>
      <c r="F18" s="136">
        <f>F15</f>
        <v>0.01</v>
      </c>
      <c r="G18" s="39">
        <f>M18*D15/M15</f>
        <v>49.9</v>
      </c>
      <c r="M18" s="51">
        <f>INDEX('Res EIA Tables'!E$5:E$196,MATCH(M15,'Res EIA Tables'!E$5:E$196))</f>
        <v>499</v>
      </c>
    </row>
    <row r="19" spans="2:13" ht="18" customHeight="1" x14ac:dyDescent="0.25">
      <c r="B19" s="85" t="s">
        <v>68</v>
      </c>
      <c r="C19" s="85" t="s">
        <v>128</v>
      </c>
      <c r="D19" s="129">
        <f>G19</f>
        <v>374</v>
      </c>
      <c r="E19" s="64" t="s">
        <v>62</v>
      </c>
      <c r="F19" s="136">
        <f>F15</f>
        <v>0.01</v>
      </c>
      <c r="G19" s="52">
        <f>M19*D16/M16</f>
        <v>374</v>
      </c>
      <c r="M19" s="51">
        <f>INDEX('Res EIA Tables'!E$5:E$196,2+MATCH(M16,'Res EIA Tables'!E$5:E$196))</f>
        <v>374</v>
      </c>
    </row>
    <row r="20" spans="2:13" s="19" customFormat="1" ht="18" customHeight="1" x14ac:dyDescent="0.25">
      <c r="B20" s="86" t="s">
        <v>69</v>
      </c>
      <c r="C20" s="86" t="str">
        <f>C6</f>
        <v>Undervoltage Lockout Threshold</v>
      </c>
      <c r="D20" s="67">
        <f>UVLOref*(1+(RIN/RUV))</f>
        <v>10.109038076152304</v>
      </c>
      <c r="E20" s="68" t="s">
        <v>6</v>
      </c>
      <c r="F20" s="18">
        <f>SQRT(F73^2+F18^2+F19^2)</f>
        <v>3.226453160980336E-2</v>
      </c>
      <c r="G20" s="40"/>
      <c r="L20" s="20"/>
    </row>
    <row r="21" spans="2:13" s="22" customFormat="1" ht="18" customHeight="1" x14ac:dyDescent="0.25">
      <c r="B21" s="86" t="s">
        <v>70</v>
      </c>
      <c r="C21" s="86" t="s">
        <v>76</v>
      </c>
      <c r="D21" s="67">
        <f>(UVLOref-UVLOhys)*(1+(RIN/RUV))</f>
        <v>9.3444889779559102</v>
      </c>
      <c r="E21" s="68" t="s">
        <v>6</v>
      </c>
      <c r="F21" s="18">
        <f>F20</f>
        <v>3.226453160980336E-2</v>
      </c>
      <c r="G21" s="41"/>
      <c r="L21" s="23"/>
    </row>
    <row r="22" spans="2:13" ht="18" customHeight="1" x14ac:dyDescent="0.25">
      <c r="B22" s="87" t="s">
        <v>155</v>
      </c>
      <c r="C22" s="87" t="s">
        <v>156</v>
      </c>
      <c r="D22" s="69">
        <f>Vinmax*1000/(RUV+RIN)</f>
        <v>37.744751120547299</v>
      </c>
      <c r="E22" s="64" t="s">
        <v>7</v>
      </c>
      <c r="F22" s="15"/>
    </row>
    <row r="23" spans="2:13" ht="18" customHeight="1" x14ac:dyDescent="0.25">
      <c r="B23" s="16"/>
      <c r="C23" s="16"/>
      <c r="D23" s="54"/>
      <c r="E23" s="13"/>
      <c r="F23" s="13"/>
    </row>
    <row r="24" spans="2:13" ht="28.5" customHeight="1" x14ac:dyDescent="0.25">
      <c r="B24" s="145" t="s">
        <v>74</v>
      </c>
      <c r="C24" s="145"/>
      <c r="D24" s="62"/>
      <c r="E24" s="44"/>
      <c r="F24" s="44"/>
    </row>
    <row r="25" spans="2:13" ht="18" customHeight="1" x14ac:dyDescent="0.25">
      <c r="B25" s="83" t="s">
        <v>43</v>
      </c>
      <c r="C25" s="83" t="s">
        <v>143</v>
      </c>
      <c r="D25" s="69">
        <f>MAX((12/(Ilimit)),5.23)</f>
        <v>10.909090909090908</v>
      </c>
      <c r="E25" s="64" t="s">
        <v>62</v>
      </c>
      <c r="F25" s="121">
        <v>0.01</v>
      </c>
      <c r="J25" s="3">
        <f>Icharge</f>
        <v>0.115761</v>
      </c>
      <c r="K25" s="38" t="s">
        <v>52</v>
      </c>
      <c r="M25" s="1">
        <f>IF(D25&lt;10, D25*100, IF(AND(D25&gt;=10, D25&lt;100),D25*10,IF(AND(D25&gt;=100, D25&lt;1000), D25, IF(D25&gt;=1000, D25/10))))</f>
        <v>109.09090909090908</v>
      </c>
    </row>
    <row r="26" spans="2:13" ht="18" customHeight="1" x14ac:dyDescent="0.25">
      <c r="B26" s="84" t="s">
        <v>140</v>
      </c>
      <c r="C26" s="84"/>
      <c r="D26" s="70"/>
      <c r="E26" s="57"/>
      <c r="F26" s="14"/>
      <c r="J26" s="3">
        <f>Ilimit_final</f>
        <v>1.1214953271028036</v>
      </c>
      <c r="K26" s="38" t="s">
        <v>116</v>
      </c>
    </row>
    <row r="27" spans="2:13" ht="18" customHeight="1" x14ac:dyDescent="0.25">
      <c r="B27" s="85" t="s">
        <v>41</v>
      </c>
      <c r="C27" s="85" t="s">
        <v>124</v>
      </c>
      <c r="D27" s="127">
        <f>G27</f>
        <v>10.700000000000001</v>
      </c>
      <c r="E27" s="64" t="s">
        <v>62</v>
      </c>
      <c r="F27" s="136">
        <f>F25</f>
        <v>0.01</v>
      </c>
      <c r="G27" s="52">
        <f>M27*D25/M25</f>
        <v>10.700000000000001</v>
      </c>
      <c r="J27" s="3">
        <f>D29</f>
        <v>2.0336915887850466</v>
      </c>
      <c r="K27" s="38" t="s">
        <v>115</v>
      </c>
      <c r="M27" s="1">
        <f>INDEX('Res EIA Tables'!E$5:E$196,MATCH(M25,'Res EIA Tables'!E$5:E$196))</f>
        <v>107</v>
      </c>
    </row>
    <row r="28" spans="2:13" s="19" customFormat="1" ht="18" customHeight="1" x14ac:dyDescent="0.25">
      <c r="B28" s="88" t="s">
        <v>75</v>
      </c>
      <c r="C28" s="88" t="s">
        <v>114</v>
      </c>
      <c r="D28" s="67">
        <f>12/Rilim</f>
        <v>1.1214953271028036</v>
      </c>
      <c r="E28" s="71" t="s">
        <v>4</v>
      </c>
      <c r="F28" s="21">
        <f>SQRT(M28^2+F27^2)</f>
        <v>5.0990195135927854E-2</v>
      </c>
      <c r="G28" s="40"/>
      <c r="J28" s="3"/>
      <c r="K28" s="38"/>
      <c r="L28" s="20"/>
      <c r="M28" s="102">
        <f>IF(Imax&lt;0.3, 0.12,0.05)</f>
        <v>0.05</v>
      </c>
    </row>
    <row r="29" spans="2:13" ht="18" customHeight="1" x14ac:dyDescent="0.25">
      <c r="B29" s="88" t="s">
        <v>88</v>
      </c>
      <c r="C29" s="88" t="s">
        <v>85</v>
      </c>
      <c r="D29" s="67">
        <f>Ilimit_final*1.8+0.015</f>
        <v>2.0336915887850466</v>
      </c>
      <c r="E29" s="72" t="s">
        <v>4</v>
      </c>
      <c r="F29" s="21">
        <f>SQRT(F28^2+0.1^2)</f>
        <v>0.11224972160321826</v>
      </c>
    </row>
    <row r="30" spans="2:13" ht="18" customHeight="1" x14ac:dyDescent="0.25">
      <c r="B30" s="16"/>
      <c r="C30" s="16"/>
      <c r="D30" s="54"/>
      <c r="E30" s="13"/>
      <c r="F30" s="13"/>
    </row>
    <row r="31" spans="2:13" ht="9" customHeight="1" x14ac:dyDescent="0.25">
      <c r="B31" s="16"/>
      <c r="C31" s="16"/>
      <c r="D31" s="54"/>
      <c r="E31" s="13"/>
      <c r="F31" s="13"/>
    </row>
    <row r="32" spans="2:13" ht="31.15" customHeight="1" x14ac:dyDescent="0.25">
      <c r="B32" s="146" t="s">
        <v>89</v>
      </c>
      <c r="C32" s="146"/>
      <c r="D32" s="62"/>
      <c r="E32" s="44"/>
      <c r="F32" s="44"/>
    </row>
    <row r="33" spans="2:13" ht="18" customHeight="1" x14ac:dyDescent="0.25">
      <c r="B33" s="46" t="s">
        <v>0</v>
      </c>
      <c r="C33" s="46" t="s">
        <v>1</v>
      </c>
      <c r="D33" s="73" t="s">
        <v>2</v>
      </c>
      <c r="E33" s="45" t="s">
        <v>3</v>
      </c>
      <c r="F33" s="45" t="s">
        <v>31</v>
      </c>
    </row>
    <row r="34" spans="2:13" ht="18" customHeight="1" x14ac:dyDescent="0.25">
      <c r="B34" s="83" t="s">
        <v>90</v>
      </c>
      <c r="C34" s="83" t="s">
        <v>100</v>
      </c>
      <c r="D34" s="99">
        <f>1.6*Vinmax/24</f>
        <v>1.0666666666666667</v>
      </c>
      <c r="E34" s="64" t="s">
        <v>5</v>
      </c>
      <c r="F34" s="15"/>
    </row>
    <row r="35" spans="2:13" ht="18" customHeight="1" x14ac:dyDescent="0.25">
      <c r="B35" s="83" t="s">
        <v>91</v>
      </c>
      <c r="C35" s="83" t="s">
        <v>166</v>
      </c>
      <c r="D35" s="123">
        <f>(Cout*10^-3*Vinmax)/(Imax*0.1)</f>
        <v>52.8</v>
      </c>
      <c r="E35" s="64" t="s">
        <v>5</v>
      </c>
      <c r="F35" s="15"/>
    </row>
    <row r="36" spans="2:13" ht="18" customHeight="1" x14ac:dyDescent="0.25">
      <c r="B36" s="83" t="s">
        <v>121</v>
      </c>
      <c r="C36" s="83" t="s">
        <v>122</v>
      </c>
      <c r="D36" s="124">
        <f>Imax/10</f>
        <v>0.1</v>
      </c>
      <c r="E36" s="64" t="s">
        <v>4</v>
      </c>
      <c r="F36" s="15"/>
    </row>
    <row r="37" spans="2:13" ht="18" customHeight="1" x14ac:dyDescent="0.25">
      <c r="B37" s="85" t="s">
        <v>92</v>
      </c>
      <c r="C37" s="85" t="s">
        <v>93</v>
      </c>
      <c r="D37" s="129">
        <f>D35</f>
        <v>52.8</v>
      </c>
      <c r="E37" s="64" t="s">
        <v>5</v>
      </c>
      <c r="F37" s="15"/>
    </row>
    <row r="38" spans="2:13" ht="18" customHeight="1" x14ac:dyDescent="0.25">
      <c r="B38" s="85" t="s">
        <v>30</v>
      </c>
      <c r="C38" s="85" t="s">
        <v>94</v>
      </c>
      <c r="D38" s="127">
        <f>D36</f>
        <v>0.1</v>
      </c>
      <c r="E38" s="64" t="s">
        <v>4</v>
      </c>
      <c r="F38" s="15"/>
    </row>
    <row r="39" spans="2:13" ht="18" customHeight="1" x14ac:dyDescent="0.25">
      <c r="B39" s="83" t="s">
        <v>152</v>
      </c>
      <c r="C39" s="83" t="s">
        <v>95</v>
      </c>
      <c r="D39" s="93">
        <f>MAX(((Tstart_req*10^-3*Gain_dvdt*I_dvdt)/Vinmax),0.01)</f>
        <v>0.38201129999999994</v>
      </c>
      <c r="E39" s="64" t="s">
        <v>97</v>
      </c>
      <c r="F39" s="121">
        <f>M39</f>
        <v>0.1</v>
      </c>
      <c r="M39" s="120">
        <f>IF(Cdvdt_cal1&lt;=0.1,0.05,0.1)</f>
        <v>0.1</v>
      </c>
    </row>
    <row r="40" spans="2:13" ht="18" customHeight="1" x14ac:dyDescent="0.25">
      <c r="B40" s="83" t="s">
        <v>153</v>
      </c>
      <c r="C40" s="83" t="s">
        <v>96</v>
      </c>
      <c r="D40" s="93">
        <f>MAX(((I_dvdt*Gain_dvdt*Cout*10^-6)/Icharge_req),0.01)</f>
        <v>0.38201129999999989</v>
      </c>
      <c r="E40" s="64" t="s">
        <v>97</v>
      </c>
      <c r="F40" s="121">
        <v>0.05</v>
      </c>
      <c r="M40" s="120">
        <f>IF(Cdvdt_cal2&lt;=0.1,0.05,0.1)</f>
        <v>0.1</v>
      </c>
    </row>
    <row r="41" spans="2:13" ht="18" customHeight="1" x14ac:dyDescent="0.25">
      <c r="B41" s="84" t="s">
        <v>141</v>
      </c>
      <c r="C41" s="84"/>
      <c r="D41" s="65"/>
      <c r="E41" s="64"/>
      <c r="F41" s="15"/>
    </row>
    <row r="42" spans="2:13" ht="18" customHeight="1" x14ac:dyDescent="0.25">
      <c r="B42" s="85" t="s">
        <v>40</v>
      </c>
      <c r="C42" s="85" t="s">
        <v>125</v>
      </c>
      <c r="D42" s="130">
        <f>G42</f>
        <v>0.33</v>
      </c>
      <c r="E42" s="64" t="s">
        <v>97</v>
      </c>
      <c r="F42" s="128">
        <f>F39</f>
        <v>0.1</v>
      </c>
      <c r="G42" s="39">
        <f>INDEX('Cap Tables'!A3:A27,MATCH(MAX(Cdvdt_cal1,Cdvdt_cal2),'Cap Tables'!A3:A27))</f>
        <v>0.33</v>
      </c>
    </row>
    <row r="43" spans="2:13" s="19" customFormat="1" ht="18" customHeight="1" x14ac:dyDescent="0.25">
      <c r="B43" s="88" t="s">
        <v>105</v>
      </c>
      <c r="C43" s="88" t="s">
        <v>101</v>
      </c>
      <c r="D43" s="100">
        <f>((Cdvdt*10^3*Vinmax)/(I_dvdt*Gain_dvdt))</f>
        <v>45.611216212714126</v>
      </c>
      <c r="E43" s="71" t="s">
        <v>5</v>
      </c>
      <c r="F43" s="21">
        <f>SQRT(F76^2+F42^2+F77^2)</f>
        <v>0.20031225624010129</v>
      </c>
      <c r="G43" s="40"/>
      <c r="L43" s="20"/>
    </row>
    <row r="44" spans="2:13" s="19" customFormat="1" ht="18" customHeight="1" x14ac:dyDescent="0.25">
      <c r="B44" s="88" t="s">
        <v>106</v>
      </c>
      <c r="C44" s="88" t="s">
        <v>107</v>
      </c>
      <c r="D44" s="67">
        <f>(Cout*10^-6*Vinmax)/(Tdvdt*10^-3)</f>
        <v>0.115761</v>
      </c>
      <c r="E44" s="71" t="s">
        <v>4</v>
      </c>
      <c r="F44" s="15"/>
      <c r="G44" s="40"/>
      <c r="L44" s="20"/>
    </row>
    <row r="45" spans="2:13" ht="18" customHeight="1" x14ac:dyDescent="0.25">
      <c r="B45" s="16"/>
      <c r="C45" s="16"/>
      <c r="D45" s="54"/>
      <c r="E45" s="13"/>
      <c r="F45" s="13"/>
    </row>
    <row r="46" spans="2:13" ht="18" customHeight="1" x14ac:dyDescent="0.25">
      <c r="B46" s="145" t="s">
        <v>23</v>
      </c>
      <c r="C46" s="145"/>
      <c r="D46" s="145"/>
      <c r="E46" s="145"/>
      <c r="F46" s="44"/>
    </row>
    <row r="47" spans="2:13" ht="18" customHeight="1" x14ac:dyDescent="0.25">
      <c r="B47" s="83" t="s">
        <v>14</v>
      </c>
      <c r="C47" s="83" t="s">
        <v>144</v>
      </c>
      <c r="D47" s="69">
        <f>0.5*Vinmax*Icharge</f>
        <v>0.92608800000000002</v>
      </c>
      <c r="E47" s="57" t="s">
        <v>13</v>
      </c>
      <c r="F47" s="14"/>
    </row>
    <row r="48" spans="2:13" ht="18" customHeight="1" x14ac:dyDescent="0.25">
      <c r="B48" s="83" t="s">
        <v>24</v>
      </c>
      <c r="C48" s="83" t="s">
        <v>145</v>
      </c>
      <c r="D48" s="69">
        <f>(1/6)*(Vinmax^2)/RLstart</f>
        <v>1.0158730158730158</v>
      </c>
      <c r="E48" s="64" t="s">
        <v>13</v>
      </c>
      <c r="F48" s="15"/>
    </row>
    <row r="49" spans="2:13" ht="18" customHeight="1" x14ac:dyDescent="0.25">
      <c r="B49" s="83" t="s">
        <v>25</v>
      </c>
      <c r="C49" s="83" t="s">
        <v>131</v>
      </c>
      <c r="D49" s="69">
        <f>D47+D48</f>
        <v>1.9419610158730158</v>
      </c>
      <c r="E49" s="64" t="s">
        <v>13</v>
      </c>
      <c r="F49" s="15"/>
    </row>
    <row r="50" spans="2:13" ht="15.75" x14ac:dyDescent="0.25">
      <c r="B50" s="83"/>
      <c r="C50" s="83" t="s">
        <v>146</v>
      </c>
      <c r="D50" s="69">
        <f>INDEX('Thermal Shutdown Limit Plot'!A3:A25,IF(Ta="TA = 25C", (MATCH(Tdvdt,'Thermal Shutdown Limit Plot'!C3:C25,-1)), IF(Ta="TA = 85C", (MATCH(Tdvdt, 'Thermal Shutdown Limit Plot'!D3:D25,-1)), IF(Ta="TA = 105C", (MATCH(Tdvdt,'Thermal Shutdown Limit Plot'!E3:E25,-1)),IF(Ta="TA = 125C", (MATCH(Tdvdt,'Thermal Shutdown Limit Plot'!F3:F25,-1)),0)))))</f>
        <v>12</v>
      </c>
      <c r="E50" s="64" t="s">
        <v>13</v>
      </c>
      <c r="F50" s="15"/>
    </row>
    <row r="51" spans="2:13" ht="15.75" x14ac:dyDescent="0.25">
      <c r="B51" s="83"/>
      <c r="C51" s="83" t="s">
        <v>129</v>
      </c>
      <c r="D51" s="125">
        <f>(D50-D49)*100/D49</f>
        <v>517.93207494463297</v>
      </c>
      <c r="E51" s="64" t="s">
        <v>130</v>
      </c>
      <c r="F51" s="15"/>
    </row>
    <row r="52" spans="2:13" ht="15.75" x14ac:dyDescent="0.25">
      <c r="B52" s="83"/>
      <c r="C52" s="89" t="s">
        <v>147</v>
      </c>
      <c r="D52" s="75" t="str">
        <f>IF(D49&lt;D50,"YES","NO")</f>
        <v>YES</v>
      </c>
      <c r="E52" s="64"/>
      <c r="F52" s="15"/>
    </row>
    <row r="53" spans="2:13" ht="18" customHeight="1" x14ac:dyDescent="0.25">
      <c r="B53" s="16"/>
      <c r="C53" s="16"/>
      <c r="D53" s="54"/>
      <c r="E53" s="13"/>
      <c r="F53" s="13"/>
    </row>
    <row r="54" spans="2:13" ht="21.75" customHeight="1" x14ac:dyDescent="0.25">
      <c r="B54" s="145" t="s">
        <v>27</v>
      </c>
      <c r="C54" s="145"/>
      <c r="D54" s="145"/>
      <c r="E54" s="145"/>
      <c r="F54" s="47"/>
      <c r="G54" s="42"/>
    </row>
    <row r="55" spans="2:13" ht="18" customHeight="1" x14ac:dyDescent="0.25">
      <c r="B55" s="80" t="s">
        <v>87</v>
      </c>
      <c r="C55" s="80" t="s">
        <v>102</v>
      </c>
      <c r="D55" s="101">
        <v>2.2000000000000002</v>
      </c>
      <c r="E55" s="64" t="s">
        <v>6</v>
      </c>
      <c r="F55" s="14"/>
      <c r="G55" s="43"/>
    </row>
    <row r="56" spans="2:13" ht="18" customHeight="1" x14ac:dyDescent="0.25">
      <c r="B56" s="83" t="s">
        <v>103</v>
      </c>
      <c r="C56" s="83" t="s">
        <v>104</v>
      </c>
      <c r="D56" s="69">
        <f>MIN((D55*1000)/(Ilimit*Gain_IMON), (MIN(4,UVset-1.5)*1000/(Gain_IMON*Ilimit_final)))</f>
        <v>25.510204081632651</v>
      </c>
      <c r="E56" s="64" t="s">
        <v>62</v>
      </c>
      <c r="F56" s="121">
        <v>0.01</v>
      </c>
      <c r="M56" s="1">
        <f>IF(D56&lt;10, D56*100, IF(AND(D56&gt;=10, D56&lt;100),D56*10,IF(AND(D56&gt;=100, D56&lt;1000), D56, IF(D56&gt;=1000, D56/10))))</f>
        <v>255.10204081632651</v>
      </c>
    </row>
    <row r="57" spans="2:13" ht="18" customHeight="1" x14ac:dyDescent="0.25">
      <c r="B57" s="84" t="s">
        <v>142</v>
      </c>
      <c r="C57" s="84"/>
      <c r="D57" s="70"/>
      <c r="E57" s="57"/>
      <c r="F57" s="14"/>
    </row>
    <row r="58" spans="2:13" ht="18" customHeight="1" x14ac:dyDescent="0.25">
      <c r="B58" s="85" t="s">
        <v>28</v>
      </c>
      <c r="C58" s="85" t="s">
        <v>126</v>
      </c>
      <c r="D58" s="127">
        <f>G58</f>
        <v>26.099999999999998</v>
      </c>
      <c r="E58" s="64" t="s">
        <v>62</v>
      </c>
      <c r="F58" s="136">
        <f>F56</f>
        <v>0.01</v>
      </c>
      <c r="G58" s="39">
        <f>M58*D56/M56</f>
        <v>26.099999999999998</v>
      </c>
      <c r="M58" s="51">
        <f>INDEX('Res EIA Tables'!E$5:E$196,2+MATCH(M56,'Res EIA Tables'!E$5:E$196))</f>
        <v>261</v>
      </c>
    </row>
    <row r="59" spans="2:13" s="19" customFormat="1" ht="18" customHeight="1" x14ac:dyDescent="0.25">
      <c r="B59" s="86" t="s">
        <v>87</v>
      </c>
      <c r="C59" s="86" t="s">
        <v>108</v>
      </c>
      <c r="D59" s="67">
        <f>(Ilimit_final*Gain_IMON*RIMON_sel*0.001)</f>
        <v>2.2948485981308409</v>
      </c>
      <c r="E59" s="71" t="s">
        <v>6</v>
      </c>
      <c r="F59" s="21">
        <f>SQRT(M28^2+F79^2+F58^2)</f>
        <v>9.8264947972305977E-2</v>
      </c>
      <c r="G59" s="40"/>
      <c r="L59" s="20"/>
    </row>
    <row r="60" spans="2:13" ht="18" customHeight="1" x14ac:dyDescent="0.25">
      <c r="B60" s="16"/>
      <c r="C60" s="16"/>
      <c r="D60" s="54"/>
      <c r="E60" s="13"/>
      <c r="F60" s="13"/>
    </row>
    <row r="61" spans="2:13" ht="20.25" customHeight="1" x14ac:dyDescent="0.25">
      <c r="B61" s="145" t="s">
        <v>22</v>
      </c>
      <c r="C61" s="145"/>
      <c r="D61" s="145"/>
      <c r="E61" s="145"/>
      <c r="F61" s="44"/>
    </row>
    <row r="62" spans="2:13" ht="18" customHeight="1" x14ac:dyDescent="0.25">
      <c r="B62" s="46" t="s">
        <v>0</v>
      </c>
      <c r="C62" s="46" t="s">
        <v>1</v>
      </c>
      <c r="D62" s="73" t="s">
        <v>2</v>
      </c>
      <c r="E62" s="45" t="s">
        <v>3</v>
      </c>
      <c r="F62" s="45" t="s">
        <v>31</v>
      </c>
    </row>
    <row r="63" spans="2:13" ht="18" customHeight="1" x14ac:dyDescent="0.25">
      <c r="B63" s="83" t="s">
        <v>16</v>
      </c>
      <c r="C63" s="83" t="s">
        <v>148</v>
      </c>
      <c r="D63" s="69">
        <f>Imax*Rdson_25deg</f>
        <v>160</v>
      </c>
      <c r="E63" s="57" t="s">
        <v>17</v>
      </c>
      <c r="F63" s="14"/>
    </row>
    <row r="64" spans="2:13" ht="18" customHeight="1" x14ac:dyDescent="0.25">
      <c r="B64" s="83" t="s">
        <v>18</v>
      </c>
      <c r="C64" s="83" t="s">
        <v>109</v>
      </c>
      <c r="D64" s="69">
        <f>Imax^2*Rdson_25deg</f>
        <v>160</v>
      </c>
      <c r="E64" s="57" t="s">
        <v>19</v>
      </c>
      <c r="F64" s="14"/>
    </row>
    <row r="65" spans="2:6" ht="18" customHeight="1" x14ac:dyDescent="0.25">
      <c r="B65" s="16"/>
      <c r="C65" s="16"/>
      <c r="D65" s="54"/>
      <c r="E65" s="13"/>
      <c r="F65" s="13"/>
    </row>
    <row r="66" spans="2:6" ht="18" customHeight="1" x14ac:dyDescent="0.25">
      <c r="B66" s="90" t="s">
        <v>15</v>
      </c>
      <c r="C66" s="16"/>
      <c r="D66" s="54"/>
      <c r="E66" s="13"/>
      <c r="F66" s="13"/>
    </row>
    <row r="67" spans="2:6" ht="18" customHeight="1" x14ac:dyDescent="0.25">
      <c r="B67" s="50" t="s">
        <v>0</v>
      </c>
      <c r="C67" s="50" t="s">
        <v>1</v>
      </c>
      <c r="D67" s="49" t="s">
        <v>2</v>
      </c>
      <c r="E67" s="48" t="s">
        <v>3</v>
      </c>
      <c r="F67" s="48" t="s">
        <v>31</v>
      </c>
    </row>
    <row r="68" spans="2:6" ht="18" customHeight="1" x14ac:dyDescent="0.25">
      <c r="B68" s="87" t="s">
        <v>11</v>
      </c>
      <c r="C68" s="87" t="s">
        <v>149</v>
      </c>
      <c r="D68" s="76">
        <v>160</v>
      </c>
      <c r="E68" s="57" t="s">
        <v>113</v>
      </c>
      <c r="F68" s="14"/>
    </row>
    <row r="69" spans="2:6" ht="18" customHeight="1" x14ac:dyDescent="0.25">
      <c r="B69" s="87" t="s">
        <v>12</v>
      </c>
      <c r="C69" s="87" t="s">
        <v>150</v>
      </c>
      <c r="D69" s="76">
        <v>205</v>
      </c>
      <c r="E69" s="57" t="s">
        <v>113</v>
      </c>
      <c r="F69" s="14"/>
    </row>
    <row r="70" spans="2:6" ht="18" customHeight="1" x14ac:dyDescent="0.25">
      <c r="B70" s="87" t="s">
        <v>82</v>
      </c>
      <c r="C70" s="87" t="s">
        <v>151</v>
      </c>
      <c r="D70" s="76">
        <v>250</v>
      </c>
      <c r="E70" s="57" t="s">
        <v>113</v>
      </c>
      <c r="F70" s="14"/>
    </row>
    <row r="71" spans="2:6" ht="18" customHeight="1" x14ac:dyDescent="0.25">
      <c r="B71" s="16"/>
      <c r="C71" s="16"/>
      <c r="D71" s="54"/>
      <c r="E71" s="17"/>
      <c r="F71" s="17"/>
    </row>
    <row r="72" spans="2:6" ht="18" customHeight="1" thickBot="1" x14ac:dyDescent="0.3">
      <c r="B72" s="90" t="s">
        <v>26</v>
      </c>
      <c r="C72" s="16"/>
      <c r="D72" s="54"/>
      <c r="E72" s="17"/>
      <c r="F72" s="17"/>
    </row>
    <row r="73" spans="2:6" ht="18" customHeight="1" x14ac:dyDescent="0.25">
      <c r="B73" s="107" t="s">
        <v>71</v>
      </c>
      <c r="C73" s="108" t="s">
        <v>65</v>
      </c>
      <c r="D73" s="109">
        <v>1.19</v>
      </c>
      <c r="E73" s="110" t="s">
        <v>6</v>
      </c>
      <c r="F73" s="111">
        <v>2.9000000000000001E-2</v>
      </c>
    </row>
    <row r="74" spans="2:6" ht="18" customHeight="1" x14ac:dyDescent="0.25">
      <c r="B74" s="106" t="s">
        <v>73</v>
      </c>
      <c r="C74" s="87" t="s">
        <v>81</v>
      </c>
      <c r="D74" s="74">
        <v>0.09</v>
      </c>
      <c r="E74" s="57" t="s">
        <v>6</v>
      </c>
      <c r="F74" s="24"/>
    </row>
    <row r="75" spans="2:6" ht="18" customHeight="1" x14ac:dyDescent="0.25">
      <c r="B75" s="106" t="s">
        <v>72</v>
      </c>
      <c r="C75" s="91" t="s">
        <v>83</v>
      </c>
      <c r="D75" s="74">
        <v>1.19</v>
      </c>
      <c r="E75" s="57" t="s">
        <v>6</v>
      </c>
      <c r="F75" s="24">
        <v>2.9000000000000001E-2</v>
      </c>
    </row>
    <row r="76" spans="2:6" ht="18" customHeight="1" x14ac:dyDescent="0.25">
      <c r="B76" s="106" t="s">
        <v>78</v>
      </c>
      <c r="C76" s="91" t="s">
        <v>77</v>
      </c>
      <c r="D76" s="74">
        <v>4.7</v>
      </c>
      <c r="E76" s="57" t="s">
        <v>7</v>
      </c>
      <c r="F76" s="24">
        <v>0.17</v>
      </c>
    </row>
    <row r="77" spans="2:6" ht="18" customHeight="1" x14ac:dyDescent="0.25">
      <c r="B77" s="106" t="s">
        <v>79</v>
      </c>
      <c r="C77" s="91" t="s">
        <v>80</v>
      </c>
      <c r="D77" s="74">
        <v>24.63</v>
      </c>
      <c r="E77" s="57"/>
      <c r="F77" s="24">
        <v>3.5000000000000003E-2</v>
      </c>
    </row>
    <row r="78" spans="2:6" ht="18" customHeight="1" x14ac:dyDescent="0.25">
      <c r="B78" s="106" t="s">
        <v>111</v>
      </c>
      <c r="C78" s="87" t="s">
        <v>112</v>
      </c>
      <c r="D78" s="74">
        <v>1.6</v>
      </c>
      <c r="E78" s="57" t="s">
        <v>5</v>
      </c>
      <c r="F78" s="24"/>
    </row>
    <row r="79" spans="2:6" ht="18" customHeight="1" thickBot="1" x14ac:dyDescent="0.3">
      <c r="B79" s="104" t="s">
        <v>29</v>
      </c>
      <c r="C79" s="105" t="s">
        <v>84</v>
      </c>
      <c r="D79" s="112">
        <v>78.400000000000006</v>
      </c>
      <c r="E79" s="61" t="s">
        <v>110</v>
      </c>
      <c r="F79" s="25">
        <v>8.4000000000000005E-2</v>
      </c>
    </row>
  </sheetData>
  <sheetProtection password="8553" sheet="1" objects="1" scenarios="1"/>
  <protectedRanges>
    <protectedRange sqref="F8 F15 D5:D6 D8:D12 D15 D27 F27 D37:D38 D42 F42 D58 F58 D18:D19 F18:F19 D55" name="Range1"/>
  </protectedRanges>
  <dataConsolidate/>
  <mergeCells count="5">
    <mergeCell ref="B24:C24"/>
    <mergeCell ref="B61:E61"/>
    <mergeCell ref="B46:E46"/>
    <mergeCell ref="B32:C32"/>
    <mergeCell ref="B54:E54"/>
  </mergeCells>
  <conditionalFormatting sqref="D52">
    <cfRule type="cellIs" dxfId="1" priority="1" operator="equal">
      <formula>"YES"</formula>
    </cfRule>
    <cfRule type="cellIs" dxfId="0" priority="2" operator="equal">
      <formula>"NO"</formula>
    </cfRule>
  </conditionalFormatting>
  <dataValidations xWindow="818" yWindow="605" count="21">
    <dataValidation type="decimal" showErrorMessage="1" errorTitle="Error" error="Enter a value in the range from 0.01A to 2.23A" sqref="D38" xr:uid="{00000000-0002-0000-0000-000000000000}">
      <formula1>0.01</formula1>
      <formula2>2.23</formula2>
    </dataValidation>
    <dataValidation allowBlank="1" errorTitle="Error (Re-Enter)" error="Please enter a value less than RIMON_max;" promptTitle="Restriction" prompt="The resistance should be less than RIMON_max" sqref="D56" xr:uid="{00000000-0002-0000-0000-000001000000}"/>
    <dataValidation errorStyle="warning" sqref="D59" xr:uid="{00000000-0002-0000-0000-000002000000}"/>
    <dataValidation type="decimal" showErrorMessage="1" errorTitle="Error" error="Enter a value in the range from 4.2V to 55V" sqref="D6" xr:uid="{00000000-0002-0000-0000-000003000000}">
      <formula1>4.2</formula1>
      <formula2>55</formula2>
    </dataValidation>
    <dataValidation type="custom" showErrorMessage="1" errorTitle="Error" error="Enter a value greater than UVset and less than 55V" sqref="D7" xr:uid="{00000000-0002-0000-0000-000004000000}">
      <formula1>D7&gt;D6</formula1>
    </dataValidation>
    <dataValidation type="custom" allowBlank="1" showInputMessage="1" showErrorMessage="1" errorTitle="Error" error="Enter a value greater than (Vinmax / Maximum Load Current)" promptTitle="Tool Help" prompt="RLstart = Vinmax / Load Current during Start-up._x000a_If there is no load during startup, set RLstart to 1000" sqref="D10" xr:uid="{00000000-0002-0000-0000-000005000000}">
      <formula1>D10&gt;=(D5/D11)</formula1>
    </dataValidation>
    <dataValidation type="decimal" allowBlank="1" showInputMessage="1" showErrorMessage="1" error="Enter a value in the range from 1k to 511k" sqref="D58" xr:uid="{00000000-0002-0000-0000-000006000000}">
      <formula1>1</formula1>
      <formula2>511</formula2>
    </dataValidation>
    <dataValidation type="decimal" allowBlank="1" showErrorMessage="1" errorTitle="Error" error="Enter a value in the range from 4.2V to 55V" sqref="D5" xr:uid="{00000000-0002-0000-0000-000007000000}">
      <formula1>4.2</formula1>
      <formula2>55</formula2>
    </dataValidation>
    <dataValidation type="decimal" allowBlank="1" showInputMessage="1" showErrorMessage="1" errorTitle="Error" error="Enter a value in the range from 0.1A to 2.23A" sqref="D11:D12" xr:uid="{00000000-0002-0000-0000-000008000000}">
      <formula1>0.1</formula1>
      <formula2>2.23</formula2>
    </dataValidation>
    <dataValidation type="custom" showErrorMessage="1" errorTitle="Error" error="CdVdT capacitor is not required if start-up time is less than or equal to default" sqref="D37" xr:uid="{00000000-0002-0000-0000-000009000000}">
      <formula1>D37&gt;D34</formula1>
    </dataValidation>
    <dataValidation allowBlank="1" showInputMessage="1" showErrorMessage="1" promptTitle="Tool Help" prompt="Increase R3_sel value if leakage current is not in the acceptable range" sqref="D22" xr:uid="{00000000-0002-0000-0000-00000A000000}"/>
    <dataValidation type="decimal" allowBlank="1" showInputMessage="1" showErrorMessage="1" errorTitle="Error" error="Enter a value in the range from 0.1V to 4V" sqref="D55" xr:uid="{00000000-0002-0000-0000-00000B000000}">
      <formula1>0.01</formula1>
      <formula2>4</formula2>
    </dataValidation>
    <dataValidation allowBlank="1" showInputMessage="1" promptTitle="Tool Help" prompt="Increase either RLstart value or startup time (Tstart_reg) for glitch free startup" sqref="D52" xr:uid="{00000000-0002-0000-0000-00000C000000}"/>
    <dataValidation type="decimal" operator="greaterThanOrEqual" allowBlank="1" showInputMessage="1" showErrorMessage="1" errorTitle="Error" error="Minimum 0.1uF output capacitance is required" sqref="D8" xr:uid="{00000000-0002-0000-0000-00000D000000}">
      <formula1>0.1</formula1>
    </dataValidation>
    <dataValidation type="decimal" allowBlank="1" showInputMessage="1" showErrorMessage="1" errorTitle="Error" error="Enter a value in the range from 5.36k to 120k" sqref="D27" xr:uid="{00000000-0002-0000-0000-00000E000000}">
      <formula1>5.36</formula1>
      <formula2>120</formula2>
    </dataValidation>
    <dataValidation type="decimal" allowBlank="1" showInputMessage="1" showErrorMessage="1" errorTitle="Error" error="Enter a value in the range from 1k to 5M" sqref="D19" xr:uid="{00000000-0002-0000-0000-00000F000000}">
      <formula1>1</formula1>
      <formula2>5000</formula2>
    </dataValidation>
    <dataValidation type="decimal" allowBlank="1" showInputMessage="1" showErrorMessage="1" error="Enter a value in the range from 0.01uF to 100uF" sqref="D42" xr:uid="{00000000-0002-0000-0000-000010000000}">
      <formula1>0.01</formula1>
      <formula2>100</formula2>
    </dataValidation>
    <dataValidation type="decimal" allowBlank="1" showInputMessage="1" showErrorMessage="1" errorTitle="Error" error="Enter a value in the range from 1k to 249k" sqref="D15 D18" xr:uid="{00000000-0002-0000-0000-000011000000}">
      <formula1>1</formula1>
      <formula2>249</formula2>
    </dataValidation>
    <dataValidation type="decimal" allowBlank="1" showInputMessage="1" showErrorMessage="1" errorTitle="Error" error="Enter a value in the range from 5% to 30%" sqref="F8" xr:uid="{00000000-0002-0000-0000-000012000000}">
      <formula1>0.05</formula1>
      <formula2>0.3</formula2>
    </dataValidation>
    <dataValidation type="decimal" allowBlank="1" showInputMessage="1" showErrorMessage="1" errorTitle="Error" error="Enter a value in the range from 0.1% to 10%" sqref="F15 F18 F19 F27 F58" xr:uid="{00000000-0002-0000-0000-000013000000}">
      <formula1>0.001</formula1>
      <formula2>0.1</formula2>
    </dataValidation>
    <dataValidation type="decimal" allowBlank="1" showInputMessage="1" showErrorMessage="1" errorTitle="Error" error="Enter a value in the range from 2% to 20%" sqref="F42" xr:uid="{00000000-0002-0000-0000-000014000000}">
      <formula1>0.02</formula1>
      <formula2>0.2</formula2>
    </dataValidation>
  </dataValidations>
  <pageMargins left="0.7" right="0.7" top="0.75" bottom="0.75" header="0.3" footer="0.3"/>
  <pageSetup orientation="portrait" r:id="rId1"/>
  <ignoredErrors>
    <ignoredError sqref="D18 D27 D37:D38 D42 D58 D19 D12 F18:F19 F27 F42 F58" unlockedFormula="1"/>
  </ignoredErrors>
  <drawing r:id="rId2"/>
  <extLst>
    <ext xmlns:x14="http://schemas.microsoft.com/office/spreadsheetml/2009/9/main" uri="{CCE6A557-97BC-4b89-ADB6-D9C93CAAB3DF}">
      <x14:dataValidations xmlns:xm="http://schemas.microsoft.com/office/excel/2006/main" xWindow="818" yWindow="605" count="1">
        <x14:dataValidation type="list" allowBlank="1" showInputMessage="1" showErrorMessage="1" errorTitle="Error" error="Select a value in the range from 25degC to 125degC" xr:uid="{00000000-0002-0000-0000-000015000000}">
          <x14:formula1>
            <xm:f>'Thermal Shutdown Limit Plot'!$C$2:$F$2</xm:f>
          </x14:formula1>
          <xm:sqref>D9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</sheetPr>
  <dimension ref="A1:N104"/>
  <sheetViews>
    <sheetView showGridLines="0" zoomScale="70" zoomScaleNormal="70" workbookViewId="0">
      <selection activeCell="M39" sqref="M39"/>
    </sheetView>
  </sheetViews>
  <sheetFormatPr defaultColWidth="9.140625" defaultRowHeight="15" x14ac:dyDescent="0.25"/>
  <cols>
    <col min="1" max="1" width="22" style="6" customWidth="1"/>
    <col min="2" max="2" width="14.28515625" style="6" bestFit="1" customWidth="1"/>
    <col min="3" max="3" width="16.5703125" style="6" customWidth="1"/>
    <col min="4" max="5" width="15.5703125" style="6" customWidth="1"/>
    <col min="6" max="6" width="12.42578125" style="28" customWidth="1"/>
    <col min="7" max="7" width="9.140625" style="28" customWidth="1"/>
    <col min="8" max="8" width="13.85546875" style="28" customWidth="1"/>
    <col min="9" max="16384" width="9.140625" style="28"/>
  </cols>
  <sheetData>
    <row r="1" spans="1:14" ht="15.75" thickBot="1" x14ac:dyDescent="0.3">
      <c r="A1" s="134" t="s">
        <v>160</v>
      </c>
      <c r="B1" s="27"/>
      <c r="C1" s="27"/>
      <c r="D1" s="27"/>
      <c r="E1" s="53"/>
      <c r="H1" s="29" t="s">
        <v>45</v>
      </c>
      <c r="J1" s="26" t="s">
        <v>44</v>
      </c>
      <c r="K1" s="30"/>
      <c r="L1" s="30"/>
      <c r="M1" s="30"/>
      <c r="N1" s="30"/>
    </row>
    <row r="2" spans="1:14" ht="15.75" thickBot="1" x14ac:dyDescent="0.3">
      <c r="A2" s="31" t="s">
        <v>161</v>
      </c>
      <c r="B2" s="32" t="s">
        <v>132</v>
      </c>
      <c r="C2" s="32" t="s">
        <v>133</v>
      </c>
      <c r="D2" s="32" t="s">
        <v>134</v>
      </c>
      <c r="E2" s="32" t="s">
        <v>135</v>
      </c>
      <c r="F2" s="32" t="s">
        <v>136</v>
      </c>
      <c r="J2" s="33"/>
    </row>
    <row r="3" spans="1:14" x14ac:dyDescent="0.25">
      <c r="A3" s="34">
        <v>1</v>
      </c>
      <c r="B3" s="34">
        <v>100000</v>
      </c>
      <c r="C3" s="34">
        <v>100000</v>
      </c>
      <c r="D3" s="34">
        <v>100000</v>
      </c>
      <c r="E3" s="34">
        <v>100000</v>
      </c>
      <c r="F3" s="34">
        <v>100000</v>
      </c>
      <c r="H3" s="35" t="s">
        <v>46</v>
      </c>
      <c r="I3" s="28" t="s">
        <v>47</v>
      </c>
      <c r="J3" s="36" t="s">
        <v>48</v>
      </c>
    </row>
    <row r="4" spans="1:14" x14ac:dyDescent="0.25">
      <c r="A4" s="34">
        <v>2</v>
      </c>
      <c r="B4" s="34">
        <v>100000</v>
      </c>
      <c r="C4" s="34">
        <v>100000</v>
      </c>
      <c r="D4" s="34">
        <v>100000</v>
      </c>
      <c r="E4" s="34">
        <v>100000</v>
      </c>
      <c r="F4" s="34">
        <v>3640</v>
      </c>
      <c r="I4" s="28" t="s">
        <v>49</v>
      </c>
      <c r="J4" s="36" t="s">
        <v>50</v>
      </c>
    </row>
    <row r="5" spans="1:14" x14ac:dyDescent="0.25">
      <c r="A5" s="34">
        <v>3</v>
      </c>
      <c r="B5" s="34">
        <v>100000</v>
      </c>
      <c r="C5" s="34">
        <v>100000</v>
      </c>
      <c r="D5" s="34">
        <v>34590</v>
      </c>
      <c r="E5" s="34">
        <v>2870</v>
      </c>
      <c r="F5" s="34">
        <v>482</v>
      </c>
      <c r="J5" s="36"/>
    </row>
    <row r="6" spans="1:14" x14ac:dyDescent="0.25">
      <c r="A6" s="34">
        <v>4</v>
      </c>
      <c r="B6" s="34">
        <v>100000</v>
      </c>
      <c r="C6" s="34">
        <v>72350</v>
      </c>
      <c r="D6" s="34">
        <v>2810</v>
      </c>
      <c r="E6" s="34">
        <v>681.6</v>
      </c>
      <c r="F6" s="34">
        <v>174</v>
      </c>
      <c r="J6" s="33"/>
    </row>
    <row r="7" spans="1:14" x14ac:dyDescent="0.25">
      <c r="A7" s="34">
        <v>5</v>
      </c>
      <c r="B7" s="34">
        <v>100000</v>
      </c>
      <c r="C7" s="34">
        <v>13880</v>
      </c>
      <c r="D7" s="34">
        <v>1497</v>
      </c>
      <c r="E7" s="34">
        <v>400</v>
      </c>
      <c r="F7" s="34">
        <v>133.69999999999999</v>
      </c>
      <c r="J7" s="33"/>
    </row>
    <row r="8" spans="1:14" x14ac:dyDescent="0.25">
      <c r="A8" s="34">
        <v>6</v>
      </c>
      <c r="B8" s="34">
        <v>100000</v>
      </c>
      <c r="C8" s="34">
        <v>4315</v>
      </c>
      <c r="D8" s="34">
        <v>638.6</v>
      </c>
      <c r="E8" s="34">
        <v>250</v>
      </c>
      <c r="F8" s="34">
        <v>69.760000000000005</v>
      </c>
      <c r="H8" s="37"/>
      <c r="J8" s="37"/>
    </row>
    <row r="9" spans="1:14" x14ac:dyDescent="0.25">
      <c r="A9" s="34">
        <v>7</v>
      </c>
      <c r="B9" s="34">
        <v>100000</v>
      </c>
      <c r="C9" s="34">
        <v>2088</v>
      </c>
      <c r="D9" s="34">
        <v>345</v>
      </c>
      <c r="E9" s="34">
        <v>142.80000000000001</v>
      </c>
      <c r="F9" s="34">
        <v>39.840000000000003</v>
      </c>
      <c r="J9" s="37"/>
    </row>
    <row r="10" spans="1:14" x14ac:dyDescent="0.25">
      <c r="A10" s="34">
        <v>8</v>
      </c>
      <c r="B10" s="34">
        <v>59170</v>
      </c>
      <c r="C10" s="34">
        <v>1147</v>
      </c>
      <c r="D10" s="34">
        <v>214</v>
      </c>
      <c r="E10" s="34">
        <v>90.8</v>
      </c>
      <c r="F10" s="34">
        <v>25.92</v>
      </c>
    </row>
    <row r="11" spans="1:14" x14ac:dyDescent="0.25">
      <c r="A11" s="34">
        <v>9</v>
      </c>
      <c r="B11" s="34">
        <v>7000</v>
      </c>
      <c r="C11" s="34">
        <v>716</v>
      </c>
      <c r="D11" s="34">
        <v>143.43</v>
      </c>
      <c r="E11" s="34">
        <v>61.84</v>
      </c>
      <c r="F11" s="34">
        <v>17.440000000000001</v>
      </c>
    </row>
    <row r="12" spans="1:14" x14ac:dyDescent="0.25">
      <c r="A12" s="34">
        <v>10</v>
      </c>
      <c r="B12" s="34">
        <v>3275</v>
      </c>
      <c r="C12" s="34">
        <v>472.76</v>
      </c>
      <c r="D12" s="34">
        <v>101</v>
      </c>
      <c r="E12" s="34">
        <v>42.64</v>
      </c>
      <c r="F12" s="34">
        <v>12.44</v>
      </c>
    </row>
    <row r="13" spans="1:14" x14ac:dyDescent="0.25">
      <c r="A13" s="34">
        <v>12</v>
      </c>
      <c r="B13" s="34">
        <v>1172</v>
      </c>
      <c r="C13" s="34">
        <v>255.7</v>
      </c>
      <c r="D13" s="34">
        <v>55.33</v>
      </c>
      <c r="E13" s="34">
        <v>22.8</v>
      </c>
      <c r="F13" s="34">
        <v>7.4</v>
      </c>
    </row>
    <row r="14" spans="1:14" x14ac:dyDescent="0.25">
      <c r="A14" s="34">
        <v>14</v>
      </c>
      <c r="B14" s="34">
        <v>602.6</v>
      </c>
      <c r="C14" s="34">
        <v>154.30000000000001</v>
      </c>
      <c r="D14" s="34">
        <v>33.78</v>
      </c>
      <c r="E14" s="34">
        <v>13.92</v>
      </c>
      <c r="F14" s="34">
        <v>4.9800000000000004</v>
      </c>
    </row>
    <row r="15" spans="1:14" x14ac:dyDescent="0.25">
      <c r="A15" s="34">
        <v>16</v>
      </c>
      <c r="B15" s="34">
        <v>367.2</v>
      </c>
      <c r="C15" s="34">
        <v>100</v>
      </c>
      <c r="D15" s="34">
        <v>21.41</v>
      </c>
      <c r="E15" s="34">
        <v>9.24</v>
      </c>
      <c r="F15" s="34">
        <v>3.75</v>
      </c>
    </row>
    <row r="16" spans="1:14" x14ac:dyDescent="0.25">
      <c r="A16" s="34">
        <v>18</v>
      </c>
      <c r="B16" s="34">
        <v>245.9</v>
      </c>
      <c r="C16" s="34">
        <v>68.114999999999995</v>
      </c>
      <c r="D16" s="34">
        <v>14.39</v>
      </c>
      <c r="E16" s="34">
        <v>6.68</v>
      </c>
      <c r="F16" s="34">
        <v>2.97</v>
      </c>
    </row>
    <row r="17" spans="1:6" x14ac:dyDescent="0.25">
      <c r="A17" s="34">
        <v>20</v>
      </c>
      <c r="B17" s="34">
        <v>174</v>
      </c>
      <c r="C17" s="34">
        <v>49.142000000000003</v>
      </c>
      <c r="D17" s="34">
        <v>10.52</v>
      </c>
      <c r="E17" s="34">
        <v>5.218</v>
      </c>
      <c r="F17" s="34">
        <v>2.4900000000000002</v>
      </c>
    </row>
    <row r="18" spans="1:6" x14ac:dyDescent="0.25">
      <c r="A18" s="34">
        <v>25</v>
      </c>
      <c r="B18" s="34">
        <v>85.9</v>
      </c>
      <c r="C18" s="34">
        <v>24.4</v>
      </c>
      <c r="D18" s="34">
        <v>5.69</v>
      </c>
      <c r="E18" s="34">
        <v>3.25</v>
      </c>
      <c r="F18" s="34">
        <v>1.746</v>
      </c>
    </row>
    <row r="19" spans="1:6" x14ac:dyDescent="0.25">
      <c r="A19" s="34">
        <v>30</v>
      </c>
      <c r="B19" s="34">
        <v>48</v>
      </c>
      <c r="C19" s="34">
        <v>13.79</v>
      </c>
      <c r="D19" s="34">
        <v>3.76</v>
      </c>
      <c r="E19" s="34">
        <v>2.3380000000000001</v>
      </c>
      <c r="F19" s="34">
        <v>1.3460000000000001</v>
      </c>
    </row>
    <row r="20" spans="1:6" x14ac:dyDescent="0.25">
      <c r="A20" s="34">
        <v>35</v>
      </c>
      <c r="B20" s="34">
        <v>28.44</v>
      </c>
      <c r="C20" s="34">
        <v>8.6430000000000007</v>
      </c>
      <c r="D20" s="34">
        <v>2.8</v>
      </c>
      <c r="E20" s="34">
        <v>1.81</v>
      </c>
      <c r="F20" s="34">
        <v>1.0900000000000001</v>
      </c>
    </row>
    <row r="21" spans="1:6" x14ac:dyDescent="0.25">
      <c r="A21" s="34">
        <v>40</v>
      </c>
      <c r="B21" s="34">
        <v>18.940000000000001</v>
      </c>
      <c r="C21" s="34">
        <v>6.07</v>
      </c>
      <c r="D21" s="34">
        <v>2.16</v>
      </c>
      <c r="E21" s="34">
        <v>1.49</v>
      </c>
      <c r="F21" s="34">
        <v>0.92600000000000005</v>
      </c>
    </row>
    <row r="22" spans="1:6" x14ac:dyDescent="0.25">
      <c r="A22" s="34">
        <v>50</v>
      </c>
      <c r="B22" s="34">
        <v>9</v>
      </c>
      <c r="C22" s="34">
        <v>3.52</v>
      </c>
      <c r="D22" s="34">
        <v>1.52</v>
      </c>
      <c r="E22" s="34">
        <v>1.0940000000000001</v>
      </c>
      <c r="F22" s="34">
        <v>0.71</v>
      </c>
    </row>
    <row r="23" spans="1:6" x14ac:dyDescent="0.25">
      <c r="A23" s="34">
        <v>60</v>
      </c>
      <c r="B23" s="34">
        <v>6.72</v>
      </c>
      <c r="C23" s="34">
        <v>2.39</v>
      </c>
      <c r="D23" s="34">
        <v>1.1779999999999999</v>
      </c>
      <c r="E23" s="34">
        <v>0.88200000000000001</v>
      </c>
      <c r="F23" s="34">
        <v>0.57399999999999995</v>
      </c>
    </row>
    <row r="24" spans="1:6" x14ac:dyDescent="0.25">
      <c r="A24" s="34">
        <v>75</v>
      </c>
      <c r="B24" s="34">
        <v>3.73</v>
      </c>
      <c r="C24" s="34">
        <v>1.792</v>
      </c>
      <c r="D24" s="34">
        <v>0.98599999999999999</v>
      </c>
      <c r="E24" s="34">
        <v>0.71899999999999997</v>
      </c>
      <c r="F24" s="34">
        <v>0.4748</v>
      </c>
    </row>
    <row r="25" spans="1:6" x14ac:dyDescent="0.25">
      <c r="A25" s="34">
        <v>100</v>
      </c>
      <c r="B25" s="34">
        <v>2.1549999999999998</v>
      </c>
      <c r="C25" s="34">
        <v>1.22</v>
      </c>
      <c r="D25" s="34">
        <v>0.69399999999999995</v>
      </c>
      <c r="E25" s="34">
        <v>0.50670000000000004</v>
      </c>
      <c r="F25" s="34">
        <v>0.35349999999999998</v>
      </c>
    </row>
    <row r="26" spans="1:6" x14ac:dyDescent="0.25">
      <c r="B26" s="34"/>
      <c r="C26" s="34"/>
      <c r="D26" s="34"/>
      <c r="E26" s="34"/>
    </row>
    <row r="27" spans="1:6" x14ac:dyDescent="0.25">
      <c r="B27" s="137"/>
      <c r="C27" s="138" t="s">
        <v>164</v>
      </c>
      <c r="D27" s="139" t="s">
        <v>165</v>
      </c>
      <c r="E27" s="34"/>
    </row>
    <row r="28" spans="1:6" x14ac:dyDescent="0.25">
      <c r="B28" s="140" t="s">
        <v>137</v>
      </c>
      <c r="C28" s="126">
        <f>'Calculation Sheet'!D50</f>
        <v>12</v>
      </c>
      <c r="D28" s="141">
        <f>Tdvdt</f>
        <v>45.611216212714126</v>
      </c>
      <c r="E28" s="34"/>
    </row>
    <row r="29" spans="1:6" x14ac:dyDescent="0.25">
      <c r="B29" s="142" t="s">
        <v>138</v>
      </c>
      <c r="C29" s="143">
        <f>'Calculation Sheet'!D49</f>
        <v>1.9419610158730158</v>
      </c>
      <c r="D29" s="144">
        <f>D28</f>
        <v>45.611216212714126</v>
      </c>
      <c r="E29" s="34"/>
    </row>
    <row r="30" spans="1:6" x14ac:dyDescent="0.25">
      <c r="D30" s="34"/>
      <c r="E30" s="34"/>
    </row>
    <row r="31" spans="1:6" x14ac:dyDescent="0.25">
      <c r="D31" s="34"/>
      <c r="E31" s="34"/>
    </row>
    <row r="32" spans="1:6" x14ac:dyDescent="0.25">
      <c r="B32" s="34"/>
      <c r="C32" s="34"/>
      <c r="D32" s="34"/>
      <c r="E32" s="34"/>
    </row>
    <row r="33" spans="1:5" x14ac:dyDescent="0.25">
      <c r="A33" s="28"/>
      <c r="B33" s="34"/>
      <c r="C33" s="34"/>
      <c r="D33" s="34"/>
      <c r="E33" s="34"/>
    </row>
    <row r="34" spans="1:5" x14ac:dyDescent="0.25">
      <c r="A34" s="28"/>
      <c r="B34" s="34"/>
      <c r="C34" s="34"/>
      <c r="D34" s="34"/>
      <c r="E34" s="34"/>
    </row>
    <row r="35" spans="1:5" x14ac:dyDescent="0.25">
      <c r="A35" s="28"/>
      <c r="B35" s="34"/>
      <c r="C35" s="34"/>
      <c r="D35" s="34"/>
      <c r="E35" s="34"/>
    </row>
    <row r="36" spans="1:5" x14ac:dyDescent="0.25">
      <c r="A36" s="28"/>
      <c r="B36" s="34"/>
      <c r="C36" s="34"/>
      <c r="D36" s="34"/>
      <c r="E36" s="34"/>
    </row>
    <row r="37" spans="1:5" x14ac:dyDescent="0.25">
      <c r="A37" s="28"/>
      <c r="B37" s="34"/>
      <c r="C37" s="34"/>
      <c r="D37" s="34"/>
      <c r="E37" s="34"/>
    </row>
    <row r="38" spans="1:5" x14ac:dyDescent="0.25">
      <c r="A38" s="28"/>
      <c r="B38" s="34"/>
      <c r="C38" s="34"/>
      <c r="D38" s="34"/>
      <c r="E38" s="34"/>
    </row>
    <row r="39" spans="1:5" x14ac:dyDescent="0.25">
      <c r="A39" s="28"/>
      <c r="B39" s="34"/>
      <c r="C39" s="34"/>
      <c r="D39" s="34"/>
      <c r="E39" s="34"/>
    </row>
    <row r="40" spans="1:5" x14ac:dyDescent="0.25">
      <c r="A40" s="28"/>
      <c r="B40" s="34"/>
      <c r="C40" s="34"/>
      <c r="D40" s="34"/>
      <c r="E40" s="34"/>
    </row>
    <row r="41" spans="1:5" x14ac:dyDescent="0.25">
      <c r="A41" s="28"/>
      <c r="B41" s="34"/>
      <c r="C41" s="34"/>
      <c r="D41" s="34"/>
      <c r="E41" s="34"/>
    </row>
    <row r="42" spans="1:5" x14ac:dyDescent="0.25">
      <c r="A42" s="28"/>
      <c r="B42" s="34"/>
      <c r="C42" s="34"/>
      <c r="D42" s="34"/>
      <c r="E42" s="34"/>
    </row>
    <row r="43" spans="1:5" x14ac:dyDescent="0.25">
      <c r="A43" s="28"/>
      <c r="B43" s="34"/>
      <c r="C43" s="34"/>
      <c r="D43" s="34"/>
      <c r="E43" s="34"/>
    </row>
    <row r="44" spans="1:5" x14ac:dyDescent="0.25">
      <c r="A44" s="28"/>
      <c r="B44" s="34"/>
      <c r="C44" s="34"/>
      <c r="D44" s="34"/>
      <c r="E44" s="34"/>
    </row>
    <row r="45" spans="1:5" x14ac:dyDescent="0.25">
      <c r="A45" s="28"/>
      <c r="B45" s="34"/>
      <c r="C45" s="34"/>
      <c r="D45" s="34"/>
      <c r="E45" s="34"/>
    </row>
    <row r="46" spans="1:5" x14ac:dyDescent="0.25">
      <c r="A46" s="28"/>
      <c r="B46" s="34"/>
      <c r="C46" s="34"/>
      <c r="D46" s="34"/>
      <c r="E46" s="34"/>
    </row>
    <row r="47" spans="1:5" x14ac:dyDescent="0.25">
      <c r="A47" s="28"/>
      <c r="B47" s="34"/>
      <c r="C47" s="34"/>
      <c r="D47" s="34"/>
      <c r="E47" s="34"/>
    </row>
    <row r="48" spans="1:5" x14ac:dyDescent="0.25">
      <c r="A48" s="28"/>
      <c r="B48" s="34"/>
      <c r="C48" s="34"/>
      <c r="D48" s="34"/>
      <c r="E48" s="34"/>
    </row>
    <row r="49" spans="1:5" x14ac:dyDescent="0.25">
      <c r="A49" s="28"/>
      <c r="B49" s="34"/>
      <c r="C49" s="34"/>
      <c r="D49" s="34"/>
      <c r="E49" s="34"/>
    </row>
    <row r="50" spans="1:5" x14ac:dyDescent="0.25">
      <c r="A50" s="28"/>
      <c r="B50" s="34"/>
      <c r="C50" s="34"/>
      <c r="D50" s="34"/>
      <c r="E50" s="34"/>
    </row>
    <row r="51" spans="1:5" x14ac:dyDescent="0.25">
      <c r="A51" s="28"/>
      <c r="B51" s="34"/>
      <c r="C51" s="34"/>
      <c r="D51" s="34"/>
      <c r="E51" s="34"/>
    </row>
    <row r="52" spans="1:5" x14ac:dyDescent="0.25">
      <c r="A52" s="28"/>
      <c r="B52" s="34"/>
      <c r="C52" s="34"/>
      <c r="D52" s="34"/>
      <c r="E52" s="34"/>
    </row>
    <row r="53" spans="1:5" x14ac:dyDescent="0.25">
      <c r="A53" s="28"/>
      <c r="B53" s="34"/>
      <c r="C53" s="34"/>
      <c r="D53" s="34"/>
      <c r="E53" s="34"/>
    </row>
    <row r="54" spans="1:5" x14ac:dyDescent="0.25">
      <c r="A54" s="28"/>
      <c r="B54" s="34"/>
      <c r="C54" s="34"/>
      <c r="D54" s="34"/>
      <c r="E54" s="34"/>
    </row>
    <row r="55" spans="1:5" x14ac:dyDescent="0.25">
      <c r="A55" s="28"/>
      <c r="B55" s="34"/>
      <c r="C55" s="34"/>
      <c r="D55" s="34"/>
      <c r="E55" s="34"/>
    </row>
    <row r="56" spans="1:5" x14ac:dyDescent="0.25">
      <c r="A56" s="28"/>
      <c r="B56" s="34"/>
      <c r="C56" s="34"/>
      <c r="D56" s="34"/>
      <c r="E56" s="34"/>
    </row>
    <row r="57" spans="1:5" x14ac:dyDescent="0.25">
      <c r="A57" s="28"/>
      <c r="B57" s="34"/>
      <c r="C57" s="34"/>
      <c r="D57" s="34"/>
      <c r="E57" s="34"/>
    </row>
    <row r="58" spans="1:5" x14ac:dyDescent="0.25">
      <c r="A58" s="28"/>
      <c r="B58" s="34"/>
      <c r="C58" s="34"/>
      <c r="D58" s="34"/>
      <c r="E58" s="34"/>
    </row>
    <row r="59" spans="1:5" x14ac:dyDescent="0.25">
      <c r="A59" s="28"/>
      <c r="B59" s="34"/>
      <c r="C59" s="34"/>
      <c r="D59" s="34"/>
      <c r="E59" s="34"/>
    </row>
    <row r="60" spans="1:5" x14ac:dyDescent="0.25">
      <c r="A60" s="28"/>
      <c r="B60" s="34"/>
      <c r="C60" s="34"/>
      <c r="D60" s="34"/>
      <c r="E60" s="34"/>
    </row>
    <row r="61" spans="1:5" x14ac:dyDescent="0.25">
      <c r="A61" s="28"/>
      <c r="B61" s="34"/>
      <c r="C61" s="34"/>
      <c r="D61" s="34"/>
      <c r="E61" s="34"/>
    </row>
    <row r="62" spans="1:5" x14ac:dyDescent="0.25">
      <c r="A62" s="28"/>
      <c r="B62" s="34"/>
      <c r="C62" s="34"/>
      <c r="D62" s="34"/>
      <c r="E62" s="34"/>
    </row>
    <row r="63" spans="1:5" x14ac:dyDescent="0.25">
      <c r="A63" s="28"/>
      <c r="B63" s="34"/>
      <c r="C63" s="34"/>
      <c r="D63" s="34"/>
      <c r="E63" s="34"/>
    </row>
    <row r="64" spans="1:5" x14ac:dyDescent="0.25">
      <c r="A64" s="28"/>
      <c r="B64" s="34"/>
      <c r="C64" s="34"/>
      <c r="D64" s="34"/>
      <c r="E64" s="34"/>
    </row>
    <row r="65" spans="1:5" x14ac:dyDescent="0.25">
      <c r="A65" s="28"/>
      <c r="B65" s="34"/>
      <c r="C65" s="34"/>
      <c r="D65" s="34"/>
      <c r="E65" s="34"/>
    </row>
    <row r="66" spans="1:5" x14ac:dyDescent="0.25">
      <c r="A66" s="28"/>
      <c r="B66" s="34"/>
      <c r="C66" s="34"/>
      <c r="D66" s="34"/>
      <c r="E66" s="34"/>
    </row>
    <row r="67" spans="1:5" x14ac:dyDescent="0.25">
      <c r="A67" s="28"/>
      <c r="B67" s="34"/>
      <c r="C67" s="34"/>
      <c r="D67" s="34"/>
      <c r="E67" s="34"/>
    </row>
    <row r="68" spans="1:5" x14ac:dyDescent="0.25">
      <c r="A68" s="28"/>
      <c r="B68" s="34"/>
      <c r="C68" s="34"/>
      <c r="D68" s="34"/>
      <c r="E68" s="34"/>
    </row>
    <row r="69" spans="1:5" x14ac:dyDescent="0.25">
      <c r="A69" s="28"/>
      <c r="B69" s="34"/>
      <c r="C69" s="34"/>
      <c r="D69" s="34"/>
      <c r="E69" s="34"/>
    </row>
    <row r="70" spans="1:5" x14ac:dyDescent="0.25">
      <c r="A70" s="28"/>
      <c r="B70" s="34"/>
      <c r="C70" s="34"/>
      <c r="D70" s="34"/>
      <c r="E70" s="34"/>
    </row>
    <row r="71" spans="1:5" x14ac:dyDescent="0.25">
      <c r="A71" s="28"/>
      <c r="B71" s="34"/>
      <c r="C71" s="34"/>
      <c r="D71" s="34"/>
      <c r="E71" s="34"/>
    </row>
    <row r="72" spans="1:5" x14ac:dyDescent="0.25">
      <c r="A72" s="28"/>
      <c r="B72" s="34"/>
      <c r="C72" s="34"/>
      <c r="D72" s="34"/>
      <c r="E72" s="34"/>
    </row>
    <row r="73" spans="1:5" x14ac:dyDescent="0.25">
      <c r="A73" s="28"/>
      <c r="B73" s="34"/>
      <c r="C73" s="34"/>
      <c r="D73" s="34"/>
      <c r="E73" s="34"/>
    </row>
    <row r="74" spans="1:5" x14ac:dyDescent="0.25">
      <c r="A74" s="28"/>
      <c r="B74" s="34"/>
      <c r="C74" s="34"/>
      <c r="D74" s="34"/>
      <c r="E74" s="34"/>
    </row>
    <row r="75" spans="1:5" x14ac:dyDescent="0.25">
      <c r="A75" s="28"/>
      <c r="B75" s="34"/>
      <c r="C75" s="34"/>
      <c r="D75" s="34"/>
      <c r="E75" s="34"/>
    </row>
    <row r="76" spans="1:5" x14ac:dyDescent="0.25">
      <c r="A76" s="28"/>
      <c r="B76" s="34"/>
      <c r="C76" s="34"/>
      <c r="D76" s="34"/>
      <c r="E76" s="34"/>
    </row>
    <row r="77" spans="1:5" x14ac:dyDescent="0.25">
      <c r="A77" s="28"/>
      <c r="B77" s="34"/>
      <c r="C77" s="34"/>
      <c r="D77" s="34"/>
      <c r="E77" s="34"/>
    </row>
    <row r="78" spans="1:5" x14ac:dyDescent="0.25">
      <c r="A78" s="28"/>
      <c r="B78" s="34"/>
      <c r="C78" s="34"/>
      <c r="D78" s="34"/>
      <c r="E78" s="34"/>
    </row>
    <row r="79" spans="1:5" x14ac:dyDescent="0.25">
      <c r="A79" s="28"/>
      <c r="B79" s="34"/>
      <c r="C79" s="34"/>
      <c r="D79" s="34"/>
      <c r="E79" s="34"/>
    </row>
    <row r="80" spans="1:5" x14ac:dyDescent="0.25">
      <c r="A80" s="28"/>
      <c r="B80" s="34"/>
      <c r="C80" s="34"/>
      <c r="D80" s="34"/>
      <c r="E80" s="34"/>
    </row>
    <row r="81" spans="1:5" x14ac:dyDescent="0.25">
      <c r="A81" s="28"/>
      <c r="B81" s="34"/>
      <c r="C81" s="34"/>
      <c r="D81" s="34"/>
      <c r="E81" s="34"/>
    </row>
    <row r="82" spans="1:5" x14ac:dyDescent="0.25">
      <c r="A82" s="28"/>
      <c r="B82" s="34"/>
      <c r="C82" s="34"/>
      <c r="D82" s="34"/>
      <c r="E82" s="34"/>
    </row>
    <row r="83" spans="1:5" x14ac:dyDescent="0.25">
      <c r="A83" s="28"/>
      <c r="B83" s="34"/>
      <c r="C83" s="34"/>
      <c r="D83" s="34"/>
      <c r="E83" s="34"/>
    </row>
    <row r="84" spans="1:5" x14ac:dyDescent="0.25">
      <c r="A84" s="28"/>
      <c r="B84" s="34"/>
      <c r="C84" s="34"/>
      <c r="D84" s="34"/>
      <c r="E84" s="34"/>
    </row>
    <row r="85" spans="1:5" x14ac:dyDescent="0.25">
      <c r="A85" s="28"/>
      <c r="B85" s="34"/>
      <c r="C85" s="34"/>
      <c r="D85" s="34"/>
      <c r="E85" s="34"/>
    </row>
    <row r="86" spans="1:5" x14ac:dyDescent="0.25">
      <c r="A86" s="28"/>
      <c r="B86" s="34"/>
      <c r="C86" s="34"/>
      <c r="D86" s="34"/>
      <c r="E86" s="34"/>
    </row>
    <row r="87" spans="1:5" x14ac:dyDescent="0.25">
      <c r="A87" s="28"/>
      <c r="B87" s="34"/>
      <c r="C87" s="34"/>
      <c r="D87" s="34"/>
      <c r="E87" s="34"/>
    </row>
    <row r="88" spans="1:5" x14ac:dyDescent="0.25">
      <c r="A88" s="28"/>
      <c r="B88" s="34"/>
      <c r="C88" s="34"/>
      <c r="D88" s="34"/>
      <c r="E88" s="34"/>
    </row>
    <row r="89" spans="1:5" x14ac:dyDescent="0.25">
      <c r="A89" s="28"/>
      <c r="B89" s="34"/>
      <c r="C89" s="34"/>
      <c r="D89" s="34"/>
      <c r="E89" s="34"/>
    </row>
    <row r="90" spans="1:5" x14ac:dyDescent="0.25">
      <c r="A90" s="28"/>
      <c r="B90" s="34"/>
      <c r="C90" s="34"/>
      <c r="D90" s="34"/>
      <c r="E90" s="34"/>
    </row>
    <row r="91" spans="1:5" x14ac:dyDescent="0.25">
      <c r="A91" s="28"/>
      <c r="B91" s="34"/>
      <c r="C91" s="34"/>
      <c r="D91" s="34"/>
      <c r="E91" s="34"/>
    </row>
    <row r="92" spans="1:5" x14ac:dyDescent="0.25">
      <c r="A92" s="28"/>
      <c r="B92" s="34"/>
      <c r="C92" s="34"/>
      <c r="D92" s="34"/>
      <c r="E92" s="34"/>
    </row>
    <row r="93" spans="1:5" x14ac:dyDescent="0.25">
      <c r="A93" s="28"/>
      <c r="B93" s="34"/>
      <c r="C93" s="34"/>
      <c r="D93" s="34"/>
      <c r="E93" s="34"/>
    </row>
    <row r="94" spans="1:5" x14ac:dyDescent="0.25">
      <c r="A94" s="28"/>
      <c r="B94" s="34"/>
      <c r="C94" s="34"/>
      <c r="D94" s="34"/>
      <c r="E94" s="34"/>
    </row>
    <row r="95" spans="1:5" x14ac:dyDescent="0.25">
      <c r="A95" s="28"/>
      <c r="B95" s="34"/>
      <c r="C95" s="34"/>
      <c r="D95" s="34"/>
      <c r="E95" s="34"/>
    </row>
    <row r="96" spans="1:5" x14ac:dyDescent="0.25">
      <c r="A96" s="28"/>
      <c r="B96" s="34"/>
      <c r="C96" s="34"/>
      <c r="D96" s="34"/>
      <c r="E96" s="34"/>
    </row>
    <row r="97" spans="1:5" x14ac:dyDescent="0.25">
      <c r="B97" s="34"/>
      <c r="C97" s="34"/>
      <c r="D97" s="34"/>
      <c r="E97" s="34"/>
    </row>
    <row r="98" spans="1:5" x14ac:dyDescent="0.25">
      <c r="B98" s="34"/>
      <c r="C98" s="34"/>
      <c r="D98" s="34"/>
      <c r="E98" s="34"/>
    </row>
    <row r="99" spans="1:5" x14ac:dyDescent="0.25">
      <c r="B99" s="34"/>
      <c r="C99" s="34"/>
      <c r="D99" s="34"/>
      <c r="E99" s="34"/>
    </row>
    <row r="100" spans="1:5" x14ac:dyDescent="0.25">
      <c r="B100" s="34"/>
      <c r="C100" s="34"/>
      <c r="D100" s="34"/>
      <c r="E100" s="34"/>
    </row>
    <row r="101" spans="1:5" x14ac:dyDescent="0.25">
      <c r="B101" s="34"/>
      <c r="C101" s="34"/>
      <c r="D101" s="34"/>
      <c r="E101" s="34"/>
    </row>
    <row r="102" spans="1:5" x14ac:dyDescent="0.25">
      <c r="B102" s="34"/>
      <c r="C102" s="34"/>
      <c r="D102" s="34"/>
      <c r="E102" s="34"/>
    </row>
    <row r="103" spans="1:5" x14ac:dyDescent="0.25">
      <c r="A103" s="34"/>
      <c r="B103" s="34"/>
      <c r="C103" s="34"/>
      <c r="D103" s="34"/>
      <c r="E103" s="34"/>
    </row>
    <row r="104" spans="1:5" x14ac:dyDescent="0.25">
      <c r="A104" s="34"/>
      <c r="B104" s="34"/>
      <c r="C104" s="34"/>
      <c r="D104" s="34"/>
      <c r="E104" s="34"/>
    </row>
  </sheetData>
  <sheetProtection password="8553" sheet="1" objects="1" scenarios="1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>
    <tabColor rgb="FF0070C0"/>
  </sheetPr>
  <dimension ref="A1:I196"/>
  <sheetViews>
    <sheetView zoomScale="70" zoomScaleNormal="70" workbookViewId="0">
      <pane ySplit="4" topLeftCell="A80" activePane="bottomLeft" state="frozen"/>
      <selection activeCell="G170" sqref="G170"/>
      <selection pane="bottomLeft" activeCell="D109" sqref="D109:D112"/>
    </sheetView>
  </sheetViews>
  <sheetFormatPr defaultRowHeight="15" x14ac:dyDescent="0.25"/>
  <cols>
    <col min="1" max="6" width="18.7109375" customWidth="1"/>
    <col min="257" max="262" width="18.7109375" customWidth="1"/>
    <col min="513" max="518" width="18.7109375" customWidth="1"/>
    <col min="769" max="774" width="18.7109375" customWidth="1"/>
    <col min="1025" max="1030" width="18.7109375" customWidth="1"/>
    <col min="1281" max="1286" width="18.7109375" customWidth="1"/>
    <col min="1537" max="1542" width="18.7109375" customWidth="1"/>
    <col min="1793" max="1798" width="18.7109375" customWidth="1"/>
    <col min="2049" max="2054" width="18.7109375" customWidth="1"/>
    <col min="2305" max="2310" width="18.7109375" customWidth="1"/>
    <col min="2561" max="2566" width="18.7109375" customWidth="1"/>
    <col min="2817" max="2822" width="18.7109375" customWidth="1"/>
    <col min="3073" max="3078" width="18.7109375" customWidth="1"/>
    <col min="3329" max="3334" width="18.7109375" customWidth="1"/>
    <col min="3585" max="3590" width="18.7109375" customWidth="1"/>
    <col min="3841" max="3846" width="18.7109375" customWidth="1"/>
    <col min="4097" max="4102" width="18.7109375" customWidth="1"/>
    <col min="4353" max="4358" width="18.7109375" customWidth="1"/>
    <col min="4609" max="4614" width="18.7109375" customWidth="1"/>
    <col min="4865" max="4870" width="18.7109375" customWidth="1"/>
    <col min="5121" max="5126" width="18.7109375" customWidth="1"/>
    <col min="5377" max="5382" width="18.7109375" customWidth="1"/>
    <col min="5633" max="5638" width="18.7109375" customWidth="1"/>
    <col min="5889" max="5894" width="18.7109375" customWidth="1"/>
    <col min="6145" max="6150" width="18.7109375" customWidth="1"/>
    <col min="6401" max="6406" width="18.7109375" customWidth="1"/>
    <col min="6657" max="6662" width="18.7109375" customWidth="1"/>
    <col min="6913" max="6918" width="18.7109375" customWidth="1"/>
    <col min="7169" max="7174" width="18.7109375" customWidth="1"/>
    <col min="7425" max="7430" width="18.7109375" customWidth="1"/>
    <col min="7681" max="7686" width="18.7109375" customWidth="1"/>
    <col min="7937" max="7942" width="18.7109375" customWidth="1"/>
    <col min="8193" max="8198" width="18.7109375" customWidth="1"/>
    <col min="8449" max="8454" width="18.7109375" customWidth="1"/>
    <col min="8705" max="8710" width="18.7109375" customWidth="1"/>
    <col min="8961" max="8966" width="18.7109375" customWidth="1"/>
    <col min="9217" max="9222" width="18.7109375" customWidth="1"/>
    <col min="9473" max="9478" width="18.7109375" customWidth="1"/>
    <col min="9729" max="9734" width="18.7109375" customWidth="1"/>
    <col min="9985" max="9990" width="18.7109375" customWidth="1"/>
    <col min="10241" max="10246" width="18.7109375" customWidth="1"/>
    <col min="10497" max="10502" width="18.7109375" customWidth="1"/>
    <col min="10753" max="10758" width="18.7109375" customWidth="1"/>
    <col min="11009" max="11014" width="18.7109375" customWidth="1"/>
    <col min="11265" max="11270" width="18.7109375" customWidth="1"/>
    <col min="11521" max="11526" width="18.7109375" customWidth="1"/>
    <col min="11777" max="11782" width="18.7109375" customWidth="1"/>
    <col min="12033" max="12038" width="18.7109375" customWidth="1"/>
    <col min="12289" max="12294" width="18.7109375" customWidth="1"/>
    <col min="12545" max="12550" width="18.7109375" customWidth="1"/>
    <col min="12801" max="12806" width="18.7109375" customWidth="1"/>
    <col min="13057" max="13062" width="18.7109375" customWidth="1"/>
    <col min="13313" max="13318" width="18.7109375" customWidth="1"/>
    <col min="13569" max="13574" width="18.7109375" customWidth="1"/>
    <col min="13825" max="13830" width="18.7109375" customWidth="1"/>
    <col min="14081" max="14086" width="18.7109375" customWidth="1"/>
    <col min="14337" max="14342" width="18.7109375" customWidth="1"/>
    <col min="14593" max="14598" width="18.7109375" customWidth="1"/>
    <col min="14849" max="14854" width="18.7109375" customWidth="1"/>
    <col min="15105" max="15110" width="18.7109375" customWidth="1"/>
    <col min="15361" max="15366" width="18.7109375" customWidth="1"/>
    <col min="15617" max="15622" width="18.7109375" customWidth="1"/>
    <col min="15873" max="15878" width="18.7109375" customWidth="1"/>
    <col min="16129" max="16134" width="18.7109375" customWidth="1"/>
  </cols>
  <sheetData>
    <row r="1" spans="1:9" ht="21" x14ac:dyDescent="0.35">
      <c r="A1" s="152" t="s">
        <v>32</v>
      </c>
      <c r="B1" s="152"/>
      <c r="C1" s="152"/>
      <c r="D1" s="152"/>
      <c r="E1" s="152"/>
      <c r="F1" s="152"/>
    </row>
    <row r="3" spans="1:9" x14ac:dyDescent="0.25">
      <c r="A3" s="5">
        <v>0.2</v>
      </c>
      <c r="B3" s="5">
        <v>0.1</v>
      </c>
      <c r="C3" s="5">
        <v>0.05</v>
      </c>
      <c r="D3" s="5">
        <v>0.02</v>
      </c>
      <c r="E3" s="5">
        <v>0.01</v>
      </c>
      <c r="F3" s="6" t="s">
        <v>33</v>
      </c>
    </row>
    <row r="4" spans="1:9" x14ac:dyDescent="0.25">
      <c r="A4" s="7" t="s">
        <v>34</v>
      </c>
      <c r="B4" s="7" t="s">
        <v>35</v>
      </c>
      <c r="C4" s="7" t="s">
        <v>36</v>
      </c>
      <c r="D4" s="7" t="s">
        <v>37</v>
      </c>
      <c r="E4" s="7" t="s">
        <v>38</v>
      </c>
      <c r="F4" s="7" t="s">
        <v>39</v>
      </c>
    </row>
    <row r="5" spans="1:9" x14ac:dyDescent="0.25">
      <c r="A5" s="151">
        <v>100</v>
      </c>
      <c r="B5" s="149">
        <v>100</v>
      </c>
      <c r="C5" s="150">
        <v>100</v>
      </c>
      <c r="D5" s="148">
        <v>100</v>
      </c>
      <c r="E5" s="147">
        <v>100</v>
      </c>
      <c r="F5" s="8">
        <v>100</v>
      </c>
    </row>
    <row r="6" spans="1:9" x14ac:dyDescent="0.25">
      <c r="A6" s="151"/>
      <c r="B6" s="149"/>
      <c r="C6" s="150"/>
      <c r="D6" s="148"/>
      <c r="E6" s="147"/>
      <c r="F6" s="8">
        <v>101</v>
      </c>
    </row>
    <row r="7" spans="1:9" x14ac:dyDescent="0.25">
      <c r="A7" s="151"/>
      <c r="B7" s="149"/>
      <c r="C7" s="150"/>
      <c r="D7" s="148"/>
      <c r="E7" s="147">
        <v>102</v>
      </c>
      <c r="F7" s="8">
        <v>102</v>
      </c>
    </row>
    <row r="8" spans="1:9" x14ac:dyDescent="0.25">
      <c r="A8" s="151"/>
      <c r="B8" s="149"/>
      <c r="C8" s="150"/>
      <c r="D8" s="148"/>
      <c r="E8" s="147"/>
      <c r="F8" s="8">
        <v>104</v>
      </c>
    </row>
    <row r="9" spans="1:9" x14ac:dyDescent="0.25">
      <c r="A9" s="151"/>
      <c r="B9" s="149"/>
      <c r="C9" s="150"/>
      <c r="D9" s="148">
        <v>105</v>
      </c>
      <c r="E9" s="147">
        <v>105</v>
      </c>
      <c r="F9" s="8">
        <v>105</v>
      </c>
    </row>
    <row r="10" spans="1:9" x14ac:dyDescent="0.25">
      <c r="A10" s="151"/>
      <c r="B10" s="149"/>
      <c r="C10" s="150"/>
      <c r="D10" s="148"/>
      <c r="E10" s="147"/>
      <c r="F10" s="8">
        <v>106</v>
      </c>
      <c r="I10" s="2"/>
    </row>
    <row r="11" spans="1:9" x14ac:dyDescent="0.25">
      <c r="A11" s="151"/>
      <c r="B11" s="149"/>
      <c r="C11" s="150"/>
      <c r="D11" s="148"/>
      <c r="E11" s="147">
        <v>107</v>
      </c>
      <c r="F11" s="8">
        <v>107</v>
      </c>
    </row>
    <row r="12" spans="1:9" x14ac:dyDescent="0.25">
      <c r="A12" s="151"/>
      <c r="B12" s="149"/>
      <c r="C12" s="150"/>
      <c r="D12" s="148"/>
      <c r="E12" s="147"/>
      <c r="F12" s="8">
        <v>109</v>
      </c>
    </row>
    <row r="13" spans="1:9" x14ac:dyDescent="0.25">
      <c r="A13" s="151"/>
      <c r="B13" s="149"/>
      <c r="C13" s="150">
        <v>110</v>
      </c>
      <c r="D13" s="148">
        <v>110</v>
      </c>
      <c r="E13" s="147">
        <v>110</v>
      </c>
      <c r="F13" s="8">
        <v>110</v>
      </c>
    </row>
    <row r="14" spans="1:9" x14ac:dyDescent="0.25">
      <c r="A14" s="151"/>
      <c r="B14" s="149"/>
      <c r="C14" s="150"/>
      <c r="D14" s="148"/>
      <c r="E14" s="147"/>
      <c r="F14" s="8">
        <v>111</v>
      </c>
    </row>
    <row r="15" spans="1:9" x14ac:dyDescent="0.25">
      <c r="A15" s="151"/>
      <c r="B15" s="149"/>
      <c r="C15" s="150"/>
      <c r="D15" s="148"/>
      <c r="E15" s="147">
        <v>113</v>
      </c>
      <c r="F15" s="8">
        <v>113</v>
      </c>
    </row>
    <row r="16" spans="1:9" x14ac:dyDescent="0.25">
      <c r="A16" s="151"/>
      <c r="B16" s="149"/>
      <c r="C16" s="150"/>
      <c r="D16" s="148"/>
      <c r="E16" s="147"/>
      <c r="F16" s="8">
        <v>114</v>
      </c>
    </row>
    <row r="17" spans="1:6" x14ac:dyDescent="0.25">
      <c r="A17" s="151"/>
      <c r="B17" s="149"/>
      <c r="C17" s="150"/>
      <c r="D17" s="148">
        <v>115</v>
      </c>
      <c r="E17" s="147">
        <v>115</v>
      </c>
      <c r="F17" s="8">
        <v>115</v>
      </c>
    </row>
    <row r="18" spans="1:6" x14ac:dyDescent="0.25">
      <c r="A18" s="151"/>
      <c r="B18" s="149"/>
      <c r="C18" s="150"/>
      <c r="D18" s="148"/>
      <c r="E18" s="147"/>
      <c r="F18" s="8">
        <v>117</v>
      </c>
    </row>
    <row r="19" spans="1:6" x14ac:dyDescent="0.25">
      <c r="A19" s="151"/>
      <c r="B19" s="149"/>
      <c r="C19" s="150"/>
      <c r="D19" s="148"/>
      <c r="E19" s="147">
        <v>118</v>
      </c>
      <c r="F19" s="8">
        <v>118</v>
      </c>
    </row>
    <row r="20" spans="1:6" x14ac:dyDescent="0.25">
      <c r="A20" s="151"/>
      <c r="B20" s="149"/>
      <c r="C20" s="150"/>
      <c r="D20" s="148"/>
      <c r="E20" s="147"/>
      <c r="F20" s="8">
        <v>120</v>
      </c>
    </row>
    <row r="21" spans="1:6" x14ac:dyDescent="0.25">
      <c r="A21" s="151"/>
      <c r="B21" s="149">
        <v>120</v>
      </c>
      <c r="C21" s="150">
        <v>120</v>
      </c>
      <c r="D21" s="148">
        <v>121</v>
      </c>
      <c r="E21" s="147">
        <v>121</v>
      </c>
      <c r="F21" s="8">
        <v>121</v>
      </c>
    </row>
    <row r="22" spans="1:6" x14ac:dyDescent="0.25">
      <c r="A22" s="151"/>
      <c r="B22" s="149"/>
      <c r="C22" s="150"/>
      <c r="D22" s="148"/>
      <c r="E22" s="147"/>
      <c r="F22" s="8">
        <v>123</v>
      </c>
    </row>
    <row r="23" spans="1:6" x14ac:dyDescent="0.25">
      <c r="A23" s="151"/>
      <c r="B23" s="149"/>
      <c r="C23" s="150"/>
      <c r="D23" s="148"/>
      <c r="E23" s="147">
        <v>124</v>
      </c>
      <c r="F23" s="8">
        <v>124</v>
      </c>
    </row>
    <row r="24" spans="1:6" x14ac:dyDescent="0.25">
      <c r="A24" s="151"/>
      <c r="B24" s="149"/>
      <c r="C24" s="150"/>
      <c r="D24" s="148"/>
      <c r="E24" s="147"/>
      <c r="F24" s="8">
        <v>126</v>
      </c>
    </row>
    <row r="25" spans="1:6" x14ac:dyDescent="0.25">
      <c r="A25" s="151"/>
      <c r="B25" s="149"/>
      <c r="C25" s="150"/>
      <c r="D25" s="148">
        <v>127</v>
      </c>
      <c r="E25" s="147">
        <v>127</v>
      </c>
      <c r="F25" s="8">
        <v>127</v>
      </c>
    </row>
    <row r="26" spans="1:6" x14ac:dyDescent="0.25">
      <c r="A26" s="151"/>
      <c r="B26" s="149"/>
      <c r="C26" s="150"/>
      <c r="D26" s="148"/>
      <c r="E26" s="147"/>
      <c r="F26" s="8">
        <v>129</v>
      </c>
    </row>
    <row r="27" spans="1:6" x14ac:dyDescent="0.25">
      <c r="A27" s="151"/>
      <c r="B27" s="149"/>
      <c r="C27" s="150"/>
      <c r="D27" s="148"/>
      <c r="E27" s="147">
        <v>130</v>
      </c>
      <c r="F27" s="8">
        <v>130</v>
      </c>
    </row>
    <row r="28" spans="1:6" x14ac:dyDescent="0.25">
      <c r="A28" s="151"/>
      <c r="B28" s="149"/>
      <c r="C28" s="150"/>
      <c r="D28" s="148"/>
      <c r="E28" s="147"/>
      <c r="F28" s="8">
        <v>132</v>
      </c>
    </row>
    <row r="29" spans="1:6" x14ac:dyDescent="0.25">
      <c r="A29" s="151"/>
      <c r="B29" s="149"/>
      <c r="C29" s="150">
        <v>130</v>
      </c>
      <c r="D29" s="148">
        <v>133</v>
      </c>
      <c r="E29" s="147">
        <v>133</v>
      </c>
      <c r="F29" s="8">
        <v>133</v>
      </c>
    </row>
    <row r="30" spans="1:6" x14ac:dyDescent="0.25">
      <c r="A30" s="151"/>
      <c r="B30" s="149"/>
      <c r="C30" s="150"/>
      <c r="D30" s="148"/>
      <c r="E30" s="147"/>
      <c r="F30" s="8">
        <v>135</v>
      </c>
    </row>
    <row r="31" spans="1:6" x14ac:dyDescent="0.25">
      <c r="A31" s="151"/>
      <c r="B31" s="149"/>
      <c r="C31" s="150"/>
      <c r="D31" s="148"/>
      <c r="E31" s="147">
        <v>137</v>
      </c>
      <c r="F31" s="8">
        <v>137</v>
      </c>
    </row>
    <row r="32" spans="1:6" x14ac:dyDescent="0.25">
      <c r="A32" s="151"/>
      <c r="B32" s="149"/>
      <c r="C32" s="150"/>
      <c r="D32" s="148"/>
      <c r="E32" s="147"/>
      <c r="F32" s="8">
        <v>138</v>
      </c>
    </row>
    <row r="33" spans="1:6" x14ac:dyDescent="0.25">
      <c r="A33" s="151"/>
      <c r="B33" s="149"/>
      <c r="C33" s="150"/>
      <c r="D33" s="148">
        <v>140</v>
      </c>
      <c r="E33" s="147">
        <v>140</v>
      </c>
      <c r="F33" s="8">
        <v>140</v>
      </c>
    </row>
    <row r="34" spans="1:6" x14ac:dyDescent="0.25">
      <c r="A34" s="151"/>
      <c r="B34" s="149"/>
      <c r="C34" s="150"/>
      <c r="D34" s="148"/>
      <c r="E34" s="147"/>
      <c r="F34" s="8">
        <v>142</v>
      </c>
    </row>
    <row r="35" spans="1:6" x14ac:dyDescent="0.25">
      <c r="A35" s="151"/>
      <c r="B35" s="149"/>
      <c r="C35" s="150"/>
      <c r="D35" s="148"/>
      <c r="E35" s="147">
        <v>143</v>
      </c>
      <c r="F35" s="8">
        <v>143</v>
      </c>
    </row>
    <row r="36" spans="1:6" x14ac:dyDescent="0.25">
      <c r="A36" s="151"/>
      <c r="B36" s="149"/>
      <c r="C36" s="150"/>
      <c r="D36" s="148"/>
      <c r="E36" s="147"/>
      <c r="F36" s="8">
        <v>145</v>
      </c>
    </row>
    <row r="37" spans="1:6" x14ac:dyDescent="0.25">
      <c r="A37" s="151">
        <v>150</v>
      </c>
      <c r="B37" s="149">
        <v>150</v>
      </c>
      <c r="C37" s="150">
        <v>150</v>
      </c>
      <c r="D37" s="148">
        <v>147</v>
      </c>
      <c r="E37" s="147">
        <v>147</v>
      </c>
      <c r="F37" s="8">
        <v>147</v>
      </c>
    </row>
    <row r="38" spans="1:6" x14ac:dyDescent="0.25">
      <c r="A38" s="151"/>
      <c r="B38" s="149"/>
      <c r="C38" s="150"/>
      <c r="D38" s="148"/>
      <c r="E38" s="147"/>
      <c r="F38" s="8">
        <v>149</v>
      </c>
    </row>
    <row r="39" spans="1:6" x14ac:dyDescent="0.25">
      <c r="A39" s="151"/>
      <c r="B39" s="149"/>
      <c r="C39" s="150"/>
      <c r="D39" s="148"/>
      <c r="E39" s="147">
        <v>150</v>
      </c>
      <c r="F39" s="8">
        <v>150</v>
      </c>
    </row>
    <row r="40" spans="1:6" x14ac:dyDescent="0.25">
      <c r="A40" s="151"/>
      <c r="B40" s="149"/>
      <c r="C40" s="150"/>
      <c r="D40" s="148"/>
      <c r="E40" s="147"/>
      <c r="F40" s="8">
        <v>152</v>
      </c>
    </row>
    <row r="41" spans="1:6" x14ac:dyDescent="0.25">
      <c r="A41" s="151"/>
      <c r="B41" s="149"/>
      <c r="C41" s="150"/>
      <c r="D41" s="148">
        <v>154</v>
      </c>
      <c r="E41" s="147">
        <v>154</v>
      </c>
      <c r="F41" s="8">
        <v>154</v>
      </c>
    </row>
    <row r="42" spans="1:6" x14ac:dyDescent="0.25">
      <c r="A42" s="151"/>
      <c r="B42" s="149"/>
      <c r="C42" s="150"/>
      <c r="D42" s="148"/>
      <c r="E42" s="147"/>
      <c r="F42" s="8">
        <v>156</v>
      </c>
    </row>
    <row r="43" spans="1:6" x14ac:dyDescent="0.25">
      <c r="A43" s="151"/>
      <c r="B43" s="149"/>
      <c r="C43" s="150"/>
      <c r="D43" s="148"/>
      <c r="E43" s="147">
        <v>158</v>
      </c>
      <c r="F43" s="8">
        <v>158</v>
      </c>
    </row>
    <row r="44" spans="1:6" x14ac:dyDescent="0.25">
      <c r="A44" s="151"/>
      <c r="B44" s="149"/>
      <c r="C44" s="150"/>
      <c r="D44" s="148"/>
      <c r="E44" s="147"/>
      <c r="F44" s="8">
        <v>160</v>
      </c>
    </row>
    <row r="45" spans="1:6" x14ac:dyDescent="0.25">
      <c r="A45" s="151"/>
      <c r="B45" s="149"/>
      <c r="C45" s="150">
        <v>160</v>
      </c>
      <c r="D45" s="148">
        <v>162</v>
      </c>
      <c r="E45" s="147">
        <v>162</v>
      </c>
      <c r="F45" s="8">
        <v>162</v>
      </c>
    </row>
    <row r="46" spans="1:6" x14ac:dyDescent="0.25">
      <c r="A46" s="151"/>
      <c r="B46" s="149"/>
      <c r="C46" s="150"/>
      <c r="D46" s="148"/>
      <c r="E46" s="147"/>
      <c r="F46" s="8">
        <v>164</v>
      </c>
    </row>
    <row r="47" spans="1:6" x14ac:dyDescent="0.25">
      <c r="A47" s="151"/>
      <c r="B47" s="149"/>
      <c r="C47" s="150"/>
      <c r="D47" s="148"/>
      <c r="E47" s="147">
        <v>165</v>
      </c>
      <c r="F47" s="8">
        <v>165</v>
      </c>
    </row>
    <row r="48" spans="1:6" x14ac:dyDescent="0.25">
      <c r="A48" s="151"/>
      <c r="B48" s="149"/>
      <c r="C48" s="150"/>
      <c r="D48" s="148"/>
      <c r="E48" s="147"/>
      <c r="F48" s="8">
        <v>167</v>
      </c>
    </row>
    <row r="49" spans="1:6" x14ac:dyDescent="0.25">
      <c r="A49" s="151"/>
      <c r="B49" s="149"/>
      <c r="C49" s="150"/>
      <c r="D49" s="148">
        <v>169</v>
      </c>
      <c r="E49" s="147">
        <v>169</v>
      </c>
      <c r="F49" s="8">
        <v>169</v>
      </c>
    </row>
    <row r="50" spans="1:6" x14ac:dyDescent="0.25">
      <c r="A50" s="151"/>
      <c r="B50" s="149"/>
      <c r="C50" s="150"/>
      <c r="D50" s="148"/>
      <c r="E50" s="147"/>
      <c r="F50" s="8">
        <v>172</v>
      </c>
    </row>
    <row r="51" spans="1:6" x14ac:dyDescent="0.25">
      <c r="A51" s="151"/>
      <c r="B51" s="149"/>
      <c r="C51" s="150"/>
      <c r="D51" s="148"/>
      <c r="E51" s="147">
        <v>174</v>
      </c>
      <c r="F51" s="8">
        <v>174</v>
      </c>
    </row>
    <row r="52" spans="1:6" x14ac:dyDescent="0.25">
      <c r="A52" s="151"/>
      <c r="B52" s="149"/>
      <c r="C52" s="150"/>
      <c r="D52" s="148"/>
      <c r="E52" s="147"/>
      <c r="F52" s="8">
        <v>176</v>
      </c>
    </row>
    <row r="53" spans="1:6" x14ac:dyDescent="0.25">
      <c r="A53" s="151"/>
      <c r="B53" s="149">
        <v>180</v>
      </c>
      <c r="C53" s="150">
        <v>180</v>
      </c>
      <c r="D53" s="148">
        <v>178</v>
      </c>
      <c r="E53" s="147">
        <v>178</v>
      </c>
      <c r="F53" s="8">
        <v>178</v>
      </c>
    </row>
    <row r="54" spans="1:6" x14ac:dyDescent="0.25">
      <c r="A54" s="151"/>
      <c r="B54" s="149"/>
      <c r="C54" s="150"/>
      <c r="D54" s="148"/>
      <c r="E54" s="147"/>
      <c r="F54" s="8">
        <v>180</v>
      </c>
    </row>
    <row r="55" spans="1:6" x14ac:dyDescent="0.25">
      <c r="A55" s="151"/>
      <c r="B55" s="149"/>
      <c r="C55" s="150"/>
      <c r="D55" s="148"/>
      <c r="E55" s="147">
        <v>182</v>
      </c>
      <c r="F55" s="8">
        <v>182</v>
      </c>
    </row>
    <row r="56" spans="1:6" x14ac:dyDescent="0.25">
      <c r="A56" s="151"/>
      <c r="B56" s="149"/>
      <c r="C56" s="150"/>
      <c r="D56" s="148"/>
      <c r="E56" s="147"/>
      <c r="F56" s="8">
        <v>184</v>
      </c>
    </row>
    <row r="57" spans="1:6" x14ac:dyDescent="0.25">
      <c r="A57" s="151"/>
      <c r="B57" s="149"/>
      <c r="C57" s="150"/>
      <c r="D57" s="148">
        <v>187</v>
      </c>
      <c r="E57" s="147">
        <v>187</v>
      </c>
      <c r="F57" s="8">
        <v>187</v>
      </c>
    </row>
    <row r="58" spans="1:6" x14ac:dyDescent="0.25">
      <c r="A58" s="151"/>
      <c r="B58" s="149"/>
      <c r="C58" s="150"/>
      <c r="D58" s="148"/>
      <c r="E58" s="147"/>
      <c r="F58" s="8">
        <v>189</v>
      </c>
    </row>
    <row r="59" spans="1:6" x14ac:dyDescent="0.25">
      <c r="A59" s="151"/>
      <c r="B59" s="149"/>
      <c r="C59" s="150"/>
      <c r="D59" s="148"/>
      <c r="E59" s="147">
        <v>191</v>
      </c>
      <c r="F59" s="8">
        <v>191</v>
      </c>
    </row>
    <row r="60" spans="1:6" x14ac:dyDescent="0.25">
      <c r="A60" s="151"/>
      <c r="B60" s="149"/>
      <c r="C60" s="150"/>
      <c r="D60" s="148"/>
      <c r="E60" s="147"/>
      <c r="F60" s="8">
        <v>193</v>
      </c>
    </row>
    <row r="61" spans="1:6" x14ac:dyDescent="0.25">
      <c r="A61" s="151"/>
      <c r="B61" s="149"/>
      <c r="C61" s="150">
        <v>200</v>
      </c>
      <c r="D61" s="148">
        <v>196</v>
      </c>
      <c r="E61" s="147">
        <v>196</v>
      </c>
      <c r="F61" s="8">
        <v>196</v>
      </c>
    </row>
    <row r="62" spans="1:6" x14ac:dyDescent="0.25">
      <c r="A62" s="151"/>
      <c r="B62" s="149"/>
      <c r="C62" s="150"/>
      <c r="D62" s="148"/>
      <c r="E62" s="147"/>
      <c r="F62" s="8">
        <v>198</v>
      </c>
    </row>
    <row r="63" spans="1:6" x14ac:dyDescent="0.25">
      <c r="A63" s="151"/>
      <c r="B63" s="149"/>
      <c r="C63" s="150"/>
      <c r="D63" s="148"/>
      <c r="E63" s="147">
        <v>200</v>
      </c>
      <c r="F63" s="8">
        <v>200</v>
      </c>
    </row>
    <row r="64" spans="1:6" x14ac:dyDescent="0.25">
      <c r="A64" s="151"/>
      <c r="B64" s="149"/>
      <c r="C64" s="150"/>
      <c r="D64" s="148"/>
      <c r="E64" s="147"/>
      <c r="F64" s="8">
        <v>203</v>
      </c>
    </row>
    <row r="65" spans="1:6" x14ac:dyDescent="0.25">
      <c r="A65" s="151"/>
      <c r="B65" s="149"/>
      <c r="C65" s="150"/>
      <c r="D65" s="148">
        <v>205</v>
      </c>
      <c r="E65" s="147">
        <v>205</v>
      </c>
      <c r="F65" s="8">
        <v>205</v>
      </c>
    </row>
    <row r="66" spans="1:6" x14ac:dyDescent="0.25">
      <c r="A66" s="151"/>
      <c r="B66" s="149"/>
      <c r="C66" s="150"/>
      <c r="D66" s="148"/>
      <c r="E66" s="147"/>
      <c r="F66" s="8">
        <v>208</v>
      </c>
    </row>
    <row r="67" spans="1:6" x14ac:dyDescent="0.25">
      <c r="A67" s="151"/>
      <c r="B67" s="149"/>
      <c r="C67" s="150"/>
      <c r="D67" s="148"/>
      <c r="E67" s="147">
        <v>210</v>
      </c>
      <c r="F67" s="8">
        <v>210</v>
      </c>
    </row>
    <row r="68" spans="1:6" x14ac:dyDescent="0.25">
      <c r="A68" s="151"/>
      <c r="B68" s="149"/>
      <c r="C68" s="150"/>
      <c r="D68" s="148"/>
      <c r="E68" s="147"/>
      <c r="F68" s="8">
        <v>213</v>
      </c>
    </row>
    <row r="69" spans="1:6" x14ac:dyDescent="0.25">
      <c r="A69" s="151">
        <v>220</v>
      </c>
      <c r="B69" s="149">
        <v>220</v>
      </c>
      <c r="C69" s="150">
        <v>220</v>
      </c>
      <c r="D69" s="148">
        <v>215</v>
      </c>
      <c r="E69" s="147">
        <v>215</v>
      </c>
      <c r="F69" s="8">
        <v>215</v>
      </c>
    </row>
    <row r="70" spans="1:6" x14ac:dyDescent="0.25">
      <c r="A70" s="151"/>
      <c r="B70" s="149"/>
      <c r="C70" s="150"/>
      <c r="D70" s="148"/>
      <c r="E70" s="147"/>
      <c r="F70" s="8">
        <v>218</v>
      </c>
    </row>
    <row r="71" spans="1:6" x14ac:dyDescent="0.25">
      <c r="A71" s="151"/>
      <c r="B71" s="149"/>
      <c r="C71" s="150"/>
      <c r="D71" s="148"/>
      <c r="E71" s="147">
        <v>221</v>
      </c>
      <c r="F71" s="8">
        <v>221</v>
      </c>
    </row>
    <row r="72" spans="1:6" x14ac:dyDescent="0.25">
      <c r="A72" s="151"/>
      <c r="B72" s="149"/>
      <c r="C72" s="150"/>
      <c r="D72" s="148"/>
      <c r="E72" s="147"/>
      <c r="F72" s="8">
        <v>223</v>
      </c>
    </row>
    <row r="73" spans="1:6" x14ac:dyDescent="0.25">
      <c r="A73" s="151"/>
      <c r="B73" s="149"/>
      <c r="C73" s="150"/>
      <c r="D73" s="148">
        <v>226</v>
      </c>
      <c r="E73" s="147">
        <v>226</v>
      </c>
      <c r="F73" s="8">
        <v>226</v>
      </c>
    </row>
    <row r="74" spans="1:6" x14ac:dyDescent="0.25">
      <c r="A74" s="151"/>
      <c r="B74" s="149"/>
      <c r="C74" s="150"/>
      <c r="D74" s="148"/>
      <c r="E74" s="147"/>
      <c r="F74" s="8">
        <v>229</v>
      </c>
    </row>
    <row r="75" spans="1:6" x14ac:dyDescent="0.25">
      <c r="A75" s="151"/>
      <c r="B75" s="149"/>
      <c r="C75" s="150"/>
      <c r="D75" s="148"/>
      <c r="E75" s="147">
        <v>232</v>
      </c>
      <c r="F75" s="8">
        <v>232</v>
      </c>
    </row>
    <row r="76" spans="1:6" x14ac:dyDescent="0.25">
      <c r="A76" s="151"/>
      <c r="B76" s="149"/>
      <c r="C76" s="150"/>
      <c r="D76" s="148"/>
      <c r="E76" s="147"/>
      <c r="F76" s="8">
        <v>234</v>
      </c>
    </row>
    <row r="77" spans="1:6" x14ac:dyDescent="0.25">
      <c r="A77" s="151"/>
      <c r="B77" s="149"/>
      <c r="C77" s="150">
        <v>240</v>
      </c>
      <c r="D77" s="148">
        <v>237</v>
      </c>
      <c r="E77" s="147">
        <v>237</v>
      </c>
      <c r="F77" s="8">
        <v>237</v>
      </c>
    </row>
    <row r="78" spans="1:6" x14ac:dyDescent="0.25">
      <c r="A78" s="151"/>
      <c r="B78" s="149"/>
      <c r="C78" s="150"/>
      <c r="D78" s="148"/>
      <c r="E78" s="147"/>
      <c r="F78" s="8">
        <v>240</v>
      </c>
    </row>
    <row r="79" spans="1:6" x14ac:dyDescent="0.25">
      <c r="A79" s="151"/>
      <c r="B79" s="149"/>
      <c r="C79" s="150"/>
      <c r="D79" s="148"/>
      <c r="E79" s="147">
        <v>243</v>
      </c>
      <c r="F79" s="8">
        <v>243</v>
      </c>
    </row>
    <row r="80" spans="1:6" x14ac:dyDescent="0.25">
      <c r="A80" s="151"/>
      <c r="B80" s="149"/>
      <c r="C80" s="150"/>
      <c r="D80" s="148"/>
      <c r="E80" s="147"/>
      <c r="F80" s="8">
        <v>246</v>
      </c>
    </row>
    <row r="81" spans="1:6" x14ac:dyDescent="0.25">
      <c r="A81" s="151"/>
      <c r="B81" s="149"/>
      <c r="C81" s="150"/>
      <c r="D81" s="148">
        <v>249</v>
      </c>
      <c r="E81" s="147">
        <v>249</v>
      </c>
      <c r="F81" s="8">
        <v>249</v>
      </c>
    </row>
    <row r="82" spans="1:6" x14ac:dyDescent="0.25">
      <c r="A82" s="151"/>
      <c r="B82" s="149"/>
      <c r="C82" s="150"/>
      <c r="D82" s="148"/>
      <c r="E82" s="147"/>
      <c r="F82" s="8">
        <v>252</v>
      </c>
    </row>
    <row r="83" spans="1:6" x14ac:dyDescent="0.25">
      <c r="A83" s="151"/>
      <c r="B83" s="149"/>
      <c r="C83" s="150"/>
      <c r="D83" s="148"/>
      <c r="E83" s="147">
        <v>255</v>
      </c>
      <c r="F83" s="8">
        <v>255</v>
      </c>
    </row>
    <row r="84" spans="1:6" x14ac:dyDescent="0.25">
      <c r="A84" s="151"/>
      <c r="B84" s="149"/>
      <c r="C84" s="150"/>
      <c r="D84" s="148"/>
      <c r="E84" s="147"/>
      <c r="F84" s="8">
        <v>258</v>
      </c>
    </row>
    <row r="85" spans="1:6" x14ac:dyDescent="0.25">
      <c r="A85" s="151"/>
      <c r="B85" s="149">
        <v>270</v>
      </c>
      <c r="C85" s="150">
        <v>270</v>
      </c>
      <c r="D85" s="148">
        <v>261</v>
      </c>
      <c r="E85" s="147">
        <v>261</v>
      </c>
      <c r="F85" s="8">
        <v>261</v>
      </c>
    </row>
    <row r="86" spans="1:6" x14ac:dyDescent="0.25">
      <c r="A86" s="151"/>
      <c r="B86" s="149"/>
      <c r="C86" s="150"/>
      <c r="D86" s="148"/>
      <c r="E86" s="147"/>
      <c r="F86" s="8">
        <v>264</v>
      </c>
    </row>
    <row r="87" spans="1:6" x14ac:dyDescent="0.25">
      <c r="A87" s="151"/>
      <c r="B87" s="149"/>
      <c r="C87" s="150"/>
      <c r="D87" s="148"/>
      <c r="E87" s="147">
        <v>267</v>
      </c>
      <c r="F87" s="8">
        <v>267</v>
      </c>
    </row>
    <row r="88" spans="1:6" x14ac:dyDescent="0.25">
      <c r="A88" s="151"/>
      <c r="B88" s="149"/>
      <c r="C88" s="150"/>
      <c r="D88" s="148"/>
      <c r="E88" s="147"/>
      <c r="F88" s="8">
        <v>271</v>
      </c>
    </row>
    <row r="89" spans="1:6" x14ac:dyDescent="0.25">
      <c r="A89" s="151"/>
      <c r="B89" s="149"/>
      <c r="C89" s="150"/>
      <c r="D89" s="148">
        <v>274</v>
      </c>
      <c r="E89" s="147">
        <v>274</v>
      </c>
      <c r="F89" s="8">
        <v>274</v>
      </c>
    </row>
    <row r="90" spans="1:6" x14ac:dyDescent="0.25">
      <c r="A90" s="151"/>
      <c r="B90" s="149"/>
      <c r="C90" s="150"/>
      <c r="D90" s="148"/>
      <c r="E90" s="147"/>
      <c r="F90" s="8">
        <v>277</v>
      </c>
    </row>
    <row r="91" spans="1:6" x14ac:dyDescent="0.25">
      <c r="A91" s="151"/>
      <c r="B91" s="149"/>
      <c r="C91" s="150"/>
      <c r="D91" s="148"/>
      <c r="E91" s="147">
        <v>280</v>
      </c>
      <c r="F91" s="8">
        <v>280</v>
      </c>
    </row>
    <row r="92" spans="1:6" x14ac:dyDescent="0.25">
      <c r="A92" s="151"/>
      <c r="B92" s="149"/>
      <c r="C92" s="150"/>
      <c r="D92" s="148"/>
      <c r="E92" s="147"/>
      <c r="F92" s="8">
        <v>284</v>
      </c>
    </row>
    <row r="93" spans="1:6" x14ac:dyDescent="0.25">
      <c r="A93" s="151"/>
      <c r="B93" s="149"/>
      <c r="C93" s="150">
        <v>300</v>
      </c>
      <c r="D93" s="148">
        <v>287</v>
      </c>
      <c r="E93" s="147">
        <v>287</v>
      </c>
      <c r="F93" s="8">
        <v>287</v>
      </c>
    </row>
    <row r="94" spans="1:6" x14ac:dyDescent="0.25">
      <c r="A94" s="151"/>
      <c r="B94" s="149"/>
      <c r="C94" s="150"/>
      <c r="D94" s="148"/>
      <c r="E94" s="147"/>
      <c r="F94" s="8">
        <v>291</v>
      </c>
    </row>
    <row r="95" spans="1:6" x14ac:dyDescent="0.25">
      <c r="A95" s="151"/>
      <c r="B95" s="149"/>
      <c r="C95" s="150"/>
      <c r="D95" s="148"/>
      <c r="E95" s="147">
        <v>294</v>
      </c>
      <c r="F95" s="8">
        <v>294</v>
      </c>
    </row>
    <row r="96" spans="1:6" x14ac:dyDescent="0.25">
      <c r="A96" s="151"/>
      <c r="B96" s="149"/>
      <c r="C96" s="150"/>
      <c r="D96" s="148"/>
      <c r="E96" s="147"/>
      <c r="F96" s="8">
        <v>298</v>
      </c>
    </row>
    <row r="97" spans="1:6" x14ac:dyDescent="0.25">
      <c r="A97" s="151"/>
      <c r="B97" s="149"/>
      <c r="C97" s="150"/>
      <c r="D97" s="148">
        <v>301</v>
      </c>
      <c r="E97" s="147">
        <v>301</v>
      </c>
      <c r="F97" s="8">
        <v>301</v>
      </c>
    </row>
    <row r="98" spans="1:6" x14ac:dyDescent="0.25">
      <c r="A98" s="151"/>
      <c r="B98" s="149"/>
      <c r="C98" s="150"/>
      <c r="D98" s="148"/>
      <c r="E98" s="147"/>
      <c r="F98" s="8">
        <v>305</v>
      </c>
    </row>
    <row r="99" spans="1:6" x14ac:dyDescent="0.25">
      <c r="A99" s="151"/>
      <c r="B99" s="149"/>
      <c r="C99" s="150"/>
      <c r="D99" s="148"/>
      <c r="E99" s="147">
        <v>309</v>
      </c>
      <c r="F99" s="8">
        <v>309</v>
      </c>
    </row>
    <row r="100" spans="1:6" x14ac:dyDescent="0.25">
      <c r="A100" s="151"/>
      <c r="B100" s="149"/>
      <c r="C100" s="150"/>
      <c r="D100" s="148"/>
      <c r="E100" s="147"/>
      <c r="F100" s="8">
        <v>312</v>
      </c>
    </row>
    <row r="101" spans="1:6" x14ac:dyDescent="0.25">
      <c r="A101" s="151">
        <v>330</v>
      </c>
      <c r="B101" s="149">
        <v>330</v>
      </c>
      <c r="C101" s="150">
        <v>330</v>
      </c>
      <c r="D101" s="148">
        <v>316</v>
      </c>
      <c r="E101" s="147">
        <v>316</v>
      </c>
      <c r="F101" s="8">
        <v>316</v>
      </c>
    </row>
    <row r="102" spans="1:6" x14ac:dyDescent="0.25">
      <c r="A102" s="151"/>
      <c r="B102" s="149"/>
      <c r="C102" s="150"/>
      <c r="D102" s="148"/>
      <c r="E102" s="147"/>
      <c r="F102" s="8">
        <v>320</v>
      </c>
    </row>
    <row r="103" spans="1:6" x14ac:dyDescent="0.25">
      <c r="A103" s="151"/>
      <c r="B103" s="149"/>
      <c r="C103" s="150"/>
      <c r="D103" s="148"/>
      <c r="E103" s="147">
        <v>324</v>
      </c>
      <c r="F103" s="8">
        <v>324</v>
      </c>
    </row>
    <row r="104" spans="1:6" x14ac:dyDescent="0.25">
      <c r="A104" s="151"/>
      <c r="B104" s="149"/>
      <c r="C104" s="150"/>
      <c r="D104" s="148"/>
      <c r="E104" s="147"/>
      <c r="F104" s="8">
        <v>328</v>
      </c>
    </row>
    <row r="105" spans="1:6" x14ac:dyDescent="0.25">
      <c r="A105" s="151"/>
      <c r="B105" s="149"/>
      <c r="C105" s="150"/>
      <c r="D105" s="148">
        <v>332</v>
      </c>
      <c r="E105" s="147">
        <v>332</v>
      </c>
      <c r="F105" s="8">
        <v>332</v>
      </c>
    </row>
    <row r="106" spans="1:6" x14ac:dyDescent="0.25">
      <c r="A106" s="151"/>
      <c r="B106" s="149"/>
      <c r="C106" s="150"/>
      <c r="D106" s="148"/>
      <c r="E106" s="147"/>
      <c r="F106" s="8">
        <v>336</v>
      </c>
    </row>
    <row r="107" spans="1:6" x14ac:dyDescent="0.25">
      <c r="A107" s="151"/>
      <c r="B107" s="149"/>
      <c r="C107" s="150"/>
      <c r="D107" s="148"/>
      <c r="E107" s="147">
        <v>340</v>
      </c>
      <c r="F107" s="8">
        <v>340</v>
      </c>
    </row>
    <row r="108" spans="1:6" x14ac:dyDescent="0.25">
      <c r="A108" s="151"/>
      <c r="B108" s="149"/>
      <c r="C108" s="150"/>
      <c r="D108" s="148"/>
      <c r="E108" s="147"/>
      <c r="F108" s="8">
        <v>344</v>
      </c>
    </row>
    <row r="109" spans="1:6" x14ac:dyDescent="0.25">
      <c r="A109" s="151"/>
      <c r="B109" s="149"/>
      <c r="C109" s="150">
        <v>360</v>
      </c>
      <c r="D109" s="148">
        <v>348</v>
      </c>
      <c r="E109" s="147">
        <v>348</v>
      </c>
      <c r="F109" s="8">
        <v>348</v>
      </c>
    </row>
    <row r="110" spans="1:6" x14ac:dyDescent="0.25">
      <c r="A110" s="151"/>
      <c r="B110" s="149"/>
      <c r="C110" s="150"/>
      <c r="D110" s="148"/>
      <c r="E110" s="147"/>
      <c r="F110" s="8">
        <v>352</v>
      </c>
    </row>
    <row r="111" spans="1:6" x14ac:dyDescent="0.25">
      <c r="A111" s="151"/>
      <c r="B111" s="149"/>
      <c r="C111" s="150"/>
      <c r="D111" s="148"/>
      <c r="E111" s="147">
        <v>357</v>
      </c>
      <c r="F111" s="8">
        <v>357</v>
      </c>
    </row>
    <row r="112" spans="1:6" x14ac:dyDescent="0.25">
      <c r="A112" s="151"/>
      <c r="B112" s="149"/>
      <c r="C112" s="150"/>
      <c r="D112" s="148"/>
      <c r="E112" s="147"/>
      <c r="F112" s="8">
        <v>361</v>
      </c>
    </row>
    <row r="113" spans="1:6" x14ac:dyDescent="0.25">
      <c r="A113" s="151"/>
      <c r="B113" s="149"/>
      <c r="C113" s="150"/>
      <c r="D113" s="148">
        <v>365</v>
      </c>
      <c r="E113" s="147">
        <v>365</v>
      </c>
      <c r="F113" s="8">
        <v>365</v>
      </c>
    </row>
    <row r="114" spans="1:6" x14ac:dyDescent="0.25">
      <c r="A114" s="151"/>
      <c r="B114" s="149"/>
      <c r="C114" s="150"/>
      <c r="D114" s="148"/>
      <c r="E114" s="147"/>
      <c r="F114" s="8">
        <v>370</v>
      </c>
    </row>
    <row r="115" spans="1:6" x14ac:dyDescent="0.25">
      <c r="A115" s="151"/>
      <c r="B115" s="149"/>
      <c r="C115" s="150"/>
      <c r="D115" s="148"/>
      <c r="E115" s="147">
        <v>374</v>
      </c>
      <c r="F115" s="8">
        <v>374</v>
      </c>
    </row>
    <row r="116" spans="1:6" x14ac:dyDescent="0.25">
      <c r="A116" s="151"/>
      <c r="B116" s="149"/>
      <c r="C116" s="150"/>
      <c r="D116" s="148"/>
      <c r="E116" s="147"/>
      <c r="F116" s="8">
        <v>379</v>
      </c>
    </row>
    <row r="117" spans="1:6" x14ac:dyDescent="0.25">
      <c r="A117" s="151"/>
      <c r="B117" s="149">
        <v>390</v>
      </c>
      <c r="C117" s="150">
        <v>390</v>
      </c>
      <c r="D117" s="148">
        <v>383</v>
      </c>
      <c r="E117" s="147">
        <v>383</v>
      </c>
      <c r="F117" s="8">
        <v>383</v>
      </c>
    </row>
    <row r="118" spans="1:6" x14ac:dyDescent="0.25">
      <c r="A118" s="151"/>
      <c r="B118" s="149"/>
      <c r="C118" s="150"/>
      <c r="D118" s="148"/>
      <c r="E118" s="147"/>
      <c r="F118" s="8">
        <v>388</v>
      </c>
    </row>
    <row r="119" spans="1:6" x14ac:dyDescent="0.25">
      <c r="A119" s="151"/>
      <c r="B119" s="149"/>
      <c r="C119" s="150"/>
      <c r="D119" s="148"/>
      <c r="E119" s="147">
        <v>392</v>
      </c>
      <c r="F119" s="8">
        <v>392</v>
      </c>
    </row>
    <row r="120" spans="1:6" x14ac:dyDescent="0.25">
      <c r="A120" s="151"/>
      <c r="B120" s="149"/>
      <c r="C120" s="150"/>
      <c r="D120" s="148"/>
      <c r="E120" s="147"/>
      <c r="F120" s="8">
        <v>397</v>
      </c>
    </row>
    <row r="121" spans="1:6" x14ac:dyDescent="0.25">
      <c r="A121" s="151"/>
      <c r="B121" s="149"/>
      <c r="C121" s="150"/>
      <c r="D121" s="148">
        <v>402</v>
      </c>
      <c r="E121" s="147">
        <v>402</v>
      </c>
      <c r="F121" s="8">
        <v>402</v>
      </c>
    </row>
    <row r="122" spans="1:6" x14ac:dyDescent="0.25">
      <c r="A122" s="151"/>
      <c r="B122" s="149"/>
      <c r="C122" s="150"/>
      <c r="D122" s="148"/>
      <c r="E122" s="147"/>
      <c r="F122" s="8">
        <v>407</v>
      </c>
    </row>
    <row r="123" spans="1:6" x14ac:dyDescent="0.25">
      <c r="A123" s="151"/>
      <c r="B123" s="149"/>
      <c r="C123" s="150"/>
      <c r="D123" s="148"/>
      <c r="E123" s="147">
        <v>412</v>
      </c>
      <c r="F123" s="8">
        <v>412</v>
      </c>
    </row>
    <row r="124" spans="1:6" x14ac:dyDescent="0.25">
      <c r="A124" s="151"/>
      <c r="B124" s="149"/>
      <c r="C124" s="150"/>
      <c r="D124" s="148"/>
      <c r="E124" s="147"/>
      <c r="F124" s="8">
        <v>417</v>
      </c>
    </row>
    <row r="125" spans="1:6" x14ac:dyDescent="0.25">
      <c r="A125" s="151"/>
      <c r="B125" s="149"/>
      <c r="C125" s="150">
        <v>430</v>
      </c>
      <c r="D125" s="148">
        <v>422</v>
      </c>
      <c r="E125" s="147">
        <v>422</v>
      </c>
      <c r="F125" s="8">
        <v>422</v>
      </c>
    </row>
    <row r="126" spans="1:6" x14ac:dyDescent="0.25">
      <c r="A126" s="151"/>
      <c r="B126" s="149"/>
      <c r="C126" s="150"/>
      <c r="D126" s="148"/>
      <c r="E126" s="147"/>
      <c r="F126" s="8">
        <v>427</v>
      </c>
    </row>
    <row r="127" spans="1:6" x14ac:dyDescent="0.25">
      <c r="A127" s="151"/>
      <c r="B127" s="149"/>
      <c r="C127" s="150"/>
      <c r="D127" s="148"/>
      <c r="E127" s="147">
        <v>432</v>
      </c>
      <c r="F127" s="8">
        <v>432</v>
      </c>
    </row>
    <row r="128" spans="1:6" x14ac:dyDescent="0.25">
      <c r="A128" s="151"/>
      <c r="B128" s="149"/>
      <c r="C128" s="150"/>
      <c r="D128" s="148"/>
      <c r="E128" s="147"/>
      <c r="F128" s="8">
        <v>437</v>
      </c>
    </row>
    <row r="129" spans="1:6" x14ac:dyDescent="0.25">
      <c r="A129" s="151"/>
      <c r="B129" s="149"/>
      <c r="C129" s="150"/>
      <c r="D129" s="148">
        <v>442</v>
      </c>
      <c r="E129" s="147">
        <v>442</v>
      </c>
      <c r="F129" s="8">
        <v>442</v>
      </c>
    </row>
    <row r="130" spans="1:6" x14ac:dyDescent="0.25">
      <c r="A130" s="151"/>
      <c r="B130" s="149"/>
      <c r="C130" s="150"/>
      <c r="D130" s="148"/>
      <c r="E130" s="147"/>
      <c r="F130" s="8">
        <v>448</v>
      </c>
    </row>
    <row r="131" spans="1:6" x14ac:dyDescent="0.25">
      <c r="A131" s="151"/>
      <c r="B131" s="149"/>
      <c r="C131" s="150"/>
      <c r="D131" s="148"/>
      <c r="E131" s="147">
        <v>453</v>
      </c>
      <c r="F131" s="8">
        <v>453</v>
      </c>
    </row>
    <row r="132" spans="1:6" x14ac:dyDescent="0.25">
      <c r="A132" s="151"/>
      <c r="B132" s="149"/>
      <c r="C132" s="150"/>
      <c r="D132" s="148"/>
      <c r="E132" s="147"/>
      <c r="F132" s="8">
        <v>459</v>
      </c>
    </row>
    <row r="133" spans="1:6" x14ac:dyDescent="0.25">
      <c r="A133" s="151">
        <v>470</v>
      </c>
      <c r="B133" s="149">
        <v>470</v>
      </c>
      <c r="C133" s="150">
        <v>470</v>
      </c>
      <c r="D133" s="148">
        <v>464</v>
      </c>
      <c r="E133" s="147">
        <v>464</v>
      </c>
      <c r="F133" s="8">
        <v>464</v>
      </c>
    </row>
    <row r="134" spans="1:6" x14ac:dyDescent="0.25">
      <c r="A134" s="151"/>
      <c r="B134" s="149"/>
      <c r="C134" s="150"/>
      <c r="D134" s="148"/>
      <c r="E134" s="147"/>
      <c r="F134" s="8">
        <v>470</v>
      </c>
    </row>
    <row r="135" spans="1:6" x14ac:dyDescent="0.25">
      <c r="A135" s="151"/>
      <c r="B135" s="149"/>
      <c r="C135" s="150"/>
      <c r="D135" s="148"/>
      <c r="E135" s="147">
        <v>475</v>
      </c>
      <c r="F135" s="8">
        <v>475</v>
      </c>
    </row>
    <row r="136" spans="1:6" x14ac:dyDescent="0.25">
      <c r="A136" s="151"/>
      <c r="B136" s="149"/>
      <c r="C136" s="150"/>
      <c r="D136" s="148"/>
      <c r="E136" s="147"/>
      <c r="F136" s="8">
        <v>481</v>
      </c>
    </row>
    <row r="137" spans="1:6" x14ac:dyDescent="0.25">
      <c r="A137" s="151"/>
      <c r="B137" s="149"/>
      <c r="C137" s="150"/>
      <c r="D137" s="148">
        <v>487</v>
      </c>
      <c r="E137" s="147">
        <v>487</v>
      </c>
      <c r="F137" s="8">
        <v>487</v>
      </c>
    </row>
    <row r="138" spans="1:6" x14ac:dyDescent="0.25">
      <c r="A138" s="151"/>
      <c r="B138" s="149"/>
      <c r="C138" s="150"/>
      <c r="D138" s="148"/>
      <c r="E138" s="147"/>
      <c r="F138" s="8">
        <v>493</v>
      </c>
    </row>
    <row r="139" spans="1:6" x14ac:dyDescent="0.25">
      <c r="A139" s="151"/>
      <c r="B139" s="149"/>
      <c r="C139" s="150"/>
      <c r="D139" s="148"/>
      <c r="E139" s="147">
        <v>499</v>
      </c>
      <c r="F139" s="8">
        <v>499</v>
      </c>
    </row>
    <row r="140" spans="1:6" x14ac:dyDescent="0.25">
      <c r="A140" s="151"/>
      <c r="B140" s="149"/>
      <c r="C140" s="150"/>
      <c r="D140" s="148"/>
      <c r="E140" s="147"/>
      <c r="F140" s="8">
        <v>505</v>
      </c>
    </row>
    <row r="141" spans="1:6" x14ac:dyDescent="0.25">
      <c r="A141" s="151"/>
      <c r="B141" s="149"/>
      <c r="C141" s="150">
        <v>510</v>
      </c>
      <c r="D141" s="148">
        <v>511</v>
      </c>
      <c r="E141" s="147">
        <v>511</v>
      </c>
      <c r="F141" s="8">
        <v>511</v>
      </c>
    </row>
    <row r="142" spans="1:6" x14ac:dyDescent="0.25">
      <c r="A142" s="151"/>
      <c r="B142" s="149"/>
      <c r="C142" s="150"/>
      <c r="D142" s="148"/>
      <c r="E142" s="147"/>
      <c r="F142" s="8">
        <v>517</v>
      </c>
    </row>
    <row r="143" spans="1:6" x14ac:dyDescent="0.25">
      <c r="A143" s="151"/>
      <c r="B143" s="149"/>
      <c r="C143" s="150"/>
      <c r="D143" s="148"/>
      <c r="E143" s="147">
        <v>523</v>
      </c>
      <c r="F143" s="8">
        <v>523</v>
      </c>
    </row>
    <row r="144" spans="1:6" x14ac:dyDescent="0.25">
      <c r="A144" s="151"/>
      <c r="B144" s="149"/>
      <c r="C144" s="150"/>
      <c r="D144" s="148"/>
      <c r="E144" s="147"/>
      <c r="F144" s="8">
        <v>530</v>
      </c>
    </row>
    <row r="145" spans="1:6" x14ac:dyDescent="0.25">
      <c r="A145" s="151"/>
      <c r="B145" s="149"/>
      <c r="C145" s="150"/>
      <c r="D145" s="148">
        <v>536</v>
      </c>
      <c r="E145" s="147">
        <v>536</v>
      </c>
      <c r="F145" s="8">
        <v>536</v>
      </c>
    </row>
    <row r="146" spans="1:6" x14ac:dyDescent="0.25">
      <c r="A146" s="151"/>
      <c r="B146" s="149"/>
      <c r="C146" s="150"/>
      <c r="D146" s="148"/>
      <c r="E146" s="147"/>
      <c r="F146" s="8">
        <v>542</v>
      </c>
    </row>
    <row r="147" spans="1:6" x14ac:dyDescent="0.25">
      <c r="A147" s="151"/>
      <c r="B147" s="149"/>
      <c r="C147" s="150"/>
      <c r="D147" s="148"/>
      <c r="E147" s="147">
        <v>549</v>
      </c>
      <c r="F147" s="8">
        <v>549</v>
      </c>
    </row>
    <row r="148" spans="1:6" x14ac:dyDescent="0.25">
      <c r="A148" s="151"/>
      <c r="B148" s="149"/>
      <c r="C148" s="150"/>
      <c r="D148" s="148"/>
      <c r="E148" s="147"/>
      <c r="F148" s="8">
        <v>556</v>
      </c>
    </row>
    <row r="149" spans="1:6" x14ac:dyDescent="0.25">
      <c r="A149" s="151"/>
      <c r="B149" s="149">
        <v>560</v>
      </c>
      <c r="C149" s="150">
        <v>560</v>
      </c>
      <c r="D149" s="148">
        <v>562</v>
      </c>
      <c r="E149" s="147">
        <v>562</v>
      </c>
      <c r="F149" s="8">
        <v>562</v>
      </c>
    </row>
    <row r="150" spans="1:6" x14ac:dyDescent="0.25">
      <c r="A150" s="151"/>
      <c r="B150" s="149"/>
      <c r="C150" s="150"/>
      <c r="D150" s="148"/>
      <c r="E150" s="147"/>
      <c r="F150" s="8">
        <v>569</v>
      </c>
    </row>
    <row r="151" spans="1:6" x14ac:dyDescent="0.25">
      <c r="A151" s="151"/>
      <c r="B151" s="149"/>
      <c r="C151" s="150"/>
      <c r="D151" s="148"/>
      <c r="E151" s="147">
        <v>576</v>
      </c>
      <c r="F151" s="8">
        <v>576</v>
      </c>
    </row>
    <row r="152" spans="1:6" x14ac:dyDescent="0.25">
      <c r="A152" s="151"/>
      <c r="B152" s="149"/>
      <c r="C152" s="150"/>
      <c r="D152" s="148"/>
      <c r="E152" s="147"/>
      <c r="F152" s="8">
        <v>583</v>
      </c>
    </row>
    <row r="153" spans="1:6" x14ac:dyDescent="0.25">
      <c r="A153" s="151"/>
      <c r="B153" s="149"/>
      <c r="C153" s="150"/>
      <c r="D153" s="148">
        <v>590</v>
      </c>
      <c r="E153" s="147">
        <v>590</v>
      </c>
      <c r="F153" s="8">
        <v>590</v>
      </c>
    </row>
    <row r="154" spans="1:6" x14ac:dyDescent="0.25">
      <c r="A154" s="151"/>
      <c r="B154" s="149"/>
      <c r="C154" s="150"/>
      <c r="D154" s="148"/>
      <c r="E154" s="147"/>
      <c r="F154" s="8">
        <v>597</v>
      </c>
    </row>
    <row r="155" spans="1:6" x14ac:dyDescent="0.25">
      <c r="A155" s="151"/>
      <c r="B155" s="149"/>
      <c r="C155" s="150"/>
      <c r="D155" s="148"/>
      <c r="E155" s="147">
        <v>604</v>
      </c>
      <c r="F155" s="8">
        <v>604</v>
      </c>
    </row>
    <row r="156" spans="1:6" x14ac:dyDescent="0.25">
      <c r="A156" s="151"/>
      <c r="B156" s="149"/>
      <c r="C156" s="150"/>
      <c r="D156" s="148"/>
      <c r="E156" s="147"/>
      <c r="F156" s="8">
        <v>612</v>
      </c>
    </row>
    <row r="157" spans="1:6" x14ac:dyDescent="0.25">
      <c r="A157" s="151"/>
      <c r="B157" s="149"/>
      <c r="C157" s="150">
        <v>620</v>
      </c>
      <c r="D157" s="148">
        <v>619</v>
      </c>
      <c r="E157" s="147">
        <v>619</v>
      </c>
      <c r="F157" s="8">
        <v>619</v>
      </c>
    </row>
    <row r="158" spans="1:6" x14ac:dyDescent="0.25">
      <c r="A158" s="151"/>
      <c r="B158" s="149"/>
      <c r="C158" s="150"/>
      <c r="D158" s="148"/>
      <c r="E158" s="147"/>
      <c r="F158" s="8">
        <v>626</v>
      </c>
    </row>
    <row r="159" spans="1:6" x14ac:dyDescent="0.25">
      <c r="A159" s="151"/>
      <c r="B159" s="149"/>
      <c r="C159" s="150"/>
      <c r="D159" s="148"/>
      <c r="E159" s="147">
        <v>634</v>
      </c>
      <c r="F159" s="8">
        <v>634</v>
      </c>
    </row>
    <row r="160" spans="1:6" x14ac:dyDescent="0.25">
      <c r="A160" s="151"/>
      <c r="B160" s="149"/>
      <c r="C160" s="150"/>
      <c r="D160" s="148"/>
      <c r="E160" s="147"/>
      <c r="F160" s="8">
        <v>642</v>
      </c>
    </row>
    <row r="161" spans="1:6" x14ac:dyDescent="0.25">
      <c r="A161" s="151"/>
      <c r="B161" s="149"/>
      <c r="C161" s="150"/>
      <c r="D161" s="148">
        <v>649</v>
      </c>
      <c r="E161" s="147">
        <v>649</v>
      </c>
      <c r="F161" s="8">
        <v>649</v>
      </c>
    </row>
    <row r="162" spans="1:6" x14ac:dyDescent="0.25">
      <c r="A162" s="151"/>
      <c r="B162" s="149"/>
      <c r="C162" s="150"/>
      <c r="D162" s="148"/>
      <c r="E162" s="147"/>
      <c r="F162" s="8">
        <v>657</v>
      </c>
    </row>
    <row r="163" spans="1:6" x14ac:dyDescent="0.25">
      <c r="A163" s="151"/>
      <c r="B163" s="149"/>
      <c r="C163" s="150"/>
      <c r="D163" s="148"/>
      <c r="E163" s="147">
        <v>665</v>
      </c>
      <c r="F163" s="8">
        <v>665</v>
      </c>
    </row>
    <row r="164" spans="1:6" x14ac:dyDescent="0.25">
      <c r="A164" s="151"/>
      <c r="B164" s="149"/>
      <c r="C164" s="150"/>
      <c r="D164" s="148"/>
      <c r="E164" s="147"/>
      <c r="F164" s="8">
        <v>673</v>
      </c>
    </row>
    <row r="165" spans="1:6" x14ac:dyDescent="0.25">
      <c r="A165" s="151">
        <v>680</v>
      </c>
      <c r="B165" s="149">
        <v>680</v>
      </c>
      <c r="C165" s="150">
        <v>680</v>
      </c>
      <c r="D165" s="148">
        <v>681</v>
      </c>
      <c r="E165" s="147">
        <v>681</v>
      </c>
      <c r="F165" s="8">
        <v>681</v>
      </c>
    </row>
    <row r="166" spans="1:6" x14ac:dyDescent="0.25">
      <c r="A166" s="151"/>
      <c r="B166" s="149"/>
      <c r="C166" s="150"/>
      <c r="D166" s="148"/>
      <c r="E166" s="147"/>
      <c r="F166" s="8">
        <v>690</v>
      </c>
    </row>
    <row r="167" spans="1:6" x14ac:dyDescent="0.25">
      <c r="A167" s="151"/>
      <c r="B167" s="149"/>
      <c r="C167" s="150"/>
      <c r="D167" s="148"/>
      <c r="E167" s="147">
        <v>698</v>
      </c>
      <c r="F167" s="8">
        <v>698</v>
      </c>
    </row>
    <row r="168" spans="1:6" x14ac:dyDescent="0.25">
      <c r="A168" s="151"/>
      <c r="B168" s="149"/>
      <c r="C168" s="150"/>
      <c r="D168" s="148"/>
      <c r="E168" s="147"/>
      <c r="F168" s="8">
        <v>706</v>
      </c>
    </row>
    <row r="169" spans="1:6" x14ac:dyDescent="0.25">
      <c r="A169" s="151"/>
      <c r="B169" s="149"/>
      <c r="C169" s="150"/>
      <c r="D169" s="148">
        <v>715</v>
      </c>
      <c r="E169" s="147">
        <v>715</v>
      </c>
      <c r="F169" s="8">
        <v>715</v>
      </c>
    </row>
    <row r="170" spans="1:6" x14ac:dyDescent="0.25">
      <c r="A170" s="151"/>
      <c r="B170" s="149"/>
      <c r="C170" s="150"/>
      <c r="D170" s="148"/>
      <c r="E170" s="147"/>
      <c r="F170" s="8">
        <v>723</v>
      </c>
    </row>
    <row r="171" spans="1:6" x14ac:dyDescent="0.25">
      <c r="A171" s="151"/>
      <c r="B171" s="149"/>
      <c r="C171" s="150"/>
      <c r="D171" s="148"/>
      <c r="E171" s="147">
        <v>732</v>
      </c>
      <c r="F171" s="8">
        <v>732</v>
      </c>
    </row>
    <row r="172" spans="1:6" x14ac:dyDescent="0.25">
      <c r="A172" s="151"/>
      <c r="B172" s="149"/>
      <c r="C172" s="150"/>
      <c r="D172" s="148"/>
      <c r="E172" s="147"/>
      <c r="F172" s="8">
        <v>741</v>
      </c>
    </row>
    <row r="173" spans="1:6" x14ac:dyDescent="0.25">
      <c r="A173" s="151"/>
      <c r="B173" s="149"/>
      <c r="C173" s="150">
        <v>750</v>
      </c>
      <c r="D173" s="148">
        <v>750</v>
      </c>
      <c r="E173" s="147">
        <v>750</v>
      </c>
      <c r="F173" s="8">
        <v>750</v>
      </c>
    </row>
    <row r="174" spans="1:6" x14ac:dyDescent="0.25">
      <c r="A174" s="151"/>
      <c r="B174" s="149"/>
      <c r="C174" s="150"/>
      <c r="D174" s="148"/>
      <c r="E174" s="147"/>
      <c r="F174" s="8">
        <v>759</v>
      </c>
    </row>
    <row r="175" spans="1:6" x14ac:dyDescent="0.25">
      <c r="A175" s="151"/>
      <c r="B175" s="149"/>
      <c r="C175" s="150"/>
      <c r="D175" s="148"/>
      <c r="E175" s="147">
        <v>768</v>
      </c>
      <c r="F175" s="8">
        <v>768</v>
      </c>
    </row>
    <row r="176" spans="1:6" x14ac:dyDescent="0.25">
      <c r="A176" s="151"/>
      <c r="B176" s="149"/>
      <c r="C176" s="150"/>
      <c r="D176" s="148"/>
      <c r="E176" s="147"/>
      <c r="F176" s="8">
        <v>777</v>
      </c>
    </row>
    <row r="177" spans="1:6" x14ac:dyDescent="0.25">
      <c r="A177" s="151"/>
      <c r="B177" s="149"/>
      <c r="C177" s="150"/>
      <c r="D177" s="148">
        <v>787</v>
      </c>
      <c r="E177" s="147">
        <v>787</v>
      </c>
      <c r="F177" s="8">
        <v>787</v>
      </c>
    </row>
    <row r="178" spans="1:6" x14ac:dyDescent="0.25">
      <c r="A178" s="151"/>
      <c r="B178" s="149"/>
      <c r="C178" s="150"/>
      <c r="D178" s="148"/>
      <c r="E178" s="147"/>
      <c r="F178" s="8">
        <v>796</v>
      </c>
    </row>
    <row r="179" spans="1:6" x14ac:dyDescent="0.25">
      <c r="A179" s="151"/>
      <c r="B179" s="149"/>
      <c r="C179" s="150"/>
      <c r="D179" s="148"/>
      <c r="E179" s="147">
        <v>806</v>
      </c>
      <c r="F179" s="8">
        <v>806</v>
      </c>
    </row>
    <row r="180" spans="1:6" x14ac:dyDescent="0.25">
      <c r="A180" s="151"/>
      <c r="B180" s="149"/>
      <c r="C180" s="150"/>
      <c r="D180" s="148"/>
      <c r="E180" s="147"/>
      <c r="F180" s="8">
        <v>816</v>
      </c>
    </row>
    <row r="181" spans="1:6" x14ac:dyDescent="0.25">
      <c r="A181" s="151"/>
      <c r="B181" s="149">
        <v>820</v>
      </c>
      <c r="C181" s="150">
        <v>820</v>
      </c>
      <c r="D181" s="148">
        <v>825</v>
      </c>
      <c r="E181" s="147">
        <v>825</v>
      </c>
      <c r="F181" s="8">
        <v>825</v>
      </c>
    </row>
    <row r="182" spans="1:6" x14ac:dyDescent="0.25">
      <c r="A182" s="151"/>
      <c r="B182" s="149"/>
      <c r="C182" s="150"/>
      <c r="D182" s="148"/>
      <c r="E182" s="147"/>
      <c r="F182" s="8">
        <v>835</v>
      </c>
    </row>
    <row r="183" spans="1:6" x14ac:dyDescent="0.25">
      <c r="A183" s="151"/>
      <c r="B183" s="149"/>
      <c r="C183" s="150"/>
      <c r="D183" s="148"/>
      <c r="E183" s="147">
        <v>845</v>
      </c>
      <c r="F183" s="8">
        <v>845</v>
      </c>
    </row>
    <row r="184" spans="1:6" x14ac:dyDescent="0.25">
      <c r="A184" s="151"/>
      <c r="B184" s="149"/>
      <c r="C184" s="150"/>
      <c r="D184" s="148"/>
      <c r="E184" s="147"/>
      <c r="F184" s="8">
        <v>856</v>
      </c>
    </row>
    <row r="185" spans="1:6" x14ac:dyDescent="0.25">
      <c r="A185" s="151"/>
      <c r="B185" s="149"/>
      <c r="C185" s="150"/>
      <c r="D185" s="148">
        <v>866</v>
      </c>
      <c r="E185" s="147">
        <v>866</v>
      </c>
      <c r="F185" s="8">
        <v>866</v>
      </c>
    </row>
    <row r="186" spans="1:6" x14ac:dyDescent="0.25">
      <c r="A186" s="151"/>
      <c r="B186" s="149"/>
      <c r="C186" s="150"/>
      <c r="D186" s="148"/>
      <c r="E186" s="147"/>
      <c r="F186" s="8">
        <v>876</v>
      </c>
    </row>
    <row r="187" spans="1:6" x14ac:dyDescent="0.25">
      <c r="A187" s="151"/>
      <c r="B187" s="149"/>
      <c r="C187" s="150"/>
      <c r="D187" s="148"/>
      <c r="E187" s="147">
        <v>887</v>
      </c>
      <c r="F187" s="8">
        <v>887</v>
      </c>
    </row>
    <row r="188" spans="1:6" x14ac:dyDescent="0.25">
      <c r="A188" s="151"/>
      <c r="B188" s="149"/>
      <c r="C188" s="150"/>
      <c r="D188" s="148"/>
      <c r="E188" s="147"/>
      <c r="F188" s="8">
        <v>898</v>
      </c>
    </row>
    <row r="189" spans="1:6" x14ac:dyDescent="0.25">
      <c r="A189" s="151"/>
      <c r="B189" s="149"/>
      <c r="C189" s="150">
        <v>910</v>
      </c>
      <c r="D189" s="148">
        <v>909</v>
      </c>
      <c r="E189" s="147">
        <v>909</v>
      </c>
      <c r="F189" s="8">
        <v>909</v>
      </c>
    </row>
    <row r="190" spans="1:6" x14ac:dyDescent="0.25">
      <c r="A190" s="151"/>
      <c r="B190" s="149"/>
      <c r="C190" s="150"/>
      <c r="D190" s="148"/>
      <c r="E190" s="147"/>
      <c r="F190" s="8">
        <v>920</v>
      </c>
    </row>
    <row r="191" spans="1:6" x14ac:dyDescent="0.25">
      <c r="A191" s="151"/>
      <c r="B191" s="149"/>
      <c r="C191" s="150"/>
      <c r="D191" s="148"/>
      <c r="E191" s="147">
        <v>931</v>
      </c>
      <c r="F191" s="8">
        <v>931</v>
      </c>
    </row>
    <row r="192" spans="1:6" x14ac:dyDescent="0.25">
      <c r="A192" s="151"/>
      <c r="B192" s="149"/>
      <c r="C192" s="150"/>
      <c r="D192" s="148"/>
      <c r="E192" s="147"/>
      <c r="F192" s="8">
        <v>942</v>
      </c>
    </row>
    <row r="193" spans="1:6" x14ac:dyDescent="0.25">
      <c r="A193" s="151"/>
      <c r="B193" s="149"/>
      <c r="C193" s="150"/>
      <c r="D193" s="148">
        <v>953</v>
      </c>
      <c r="E193" s="147">
        <v>953</v>
      </c>
      <c r="F193" s="8">
        <v>953</v>
      </c>
    </row>
    <row r="194" spans="1:6" x14ac:dyDescent="0.25">
      <c r="A194" s="151"/>
      <c r="B194" s="149"/>
      <c r="C194" s="150"/>
      <c r="D194" s="148"/>
      <c r="E194" s="147"/>
      <c r="F194" s="8">
        <v>965</v>
      </c>
    </row>
    <row r="195" spans="1:6" x14ac:dyDescent="0.25">
      <c r="A195" s="151"/>
      <c r="B195" s="149"/>
      <c r="C195" s="150"/>
      <c r="D195" s="148"/>
      <c r="E195" s="147">
        <v>976</v>
      </c>
      <c r="F195" s="8">
        <v>976</v>
      </c>
    </row>
    <row r="196" spans="1:6" x14ac:dyDescent="0.25">
      <c r="A196" s="151"/>
      <c r="B196" s="149"/>
      <c r="C196" s="150"/>
      <c r="D196" s="148"/>
      <c r="E196" s="147"/>
      <c r="F196" s="8">
        <v>988</v>
      </c>
    </row>
  </sheetData>
  <sheetProtection password="8553" sheet="1" objects="1" scenarios="1"/>
  <mergeCells count="187">
    <mergeCell ref="C13:C20"/>
    <mergeCell ref="D13:D16"/>
    <mergeCell ref="E13:E14"/>
    <mergeCell ref="E15:E16"/>
    <mergeCell ref="D17:D20"/>
    <mergeCell ref="E17:E18"/>
    <mergeCell ref="E19:E20"/>
    <mergeCell ref="A1:F1"/>
    <mergeCell ref="A5:A36"/>
    <mergeCell ref="B5:B20"/>
    <mergeCell ref="C5:C12"/>
    <mergeCell ref="D5:D8"/>
    <mergeCell ref="E5:E6"/>
    <mergeCell ref="E7:E8"/>
    <mergeCell ref="D9:D12"/>
    <mergeCell ref="E9:E10"/>
    <mergeCell ref="E11:E12"/>
    <mergeCell ref="E29:E30"/>
    <mergeCell ref="E31:E32"/>
    <mergeCell ref="D33:D36"/>
    <mergeCell ref="E33:E34"/>
    <mergeCell ref="E35:E36"/>
    <mergeCell ref="A37:A68"/>
    <mergeCell ref="B37:B52"/>
    <mergeCell ref="C37:C44"/>
    <mergeCell ref="D37:D40"/>
    <mergeCell ref="E37:E38"/>
    <mergeCell ref="B21:B36"/>
    <mergeCell ref="C21:C28"/>
    <mergeCell ref="D21:D24"/>
    <mergeCell ref="E21:E22"/>
    <mergeCell ref="E23:E24"/>
    <mergeCell ref="D25:D28"/>
    <mergeCell ref="E25:E26"/>
    <mergeCell ref="E27:E28"/>
    <mergeCell ref="C29:C36"/>
    <mergeCell ref="D29:D32"/>
    <mergeCell ref="E39:E40"/>
    <mergeCell ref="D41:D44"/>
    <mergeCell ref="E41:E42"/>
    <mergeCell ref="E43:E44"/>
    <mergeCell ref="C45:C52"/>
    <mergeCell ref="D45:D48"/>
    <mergeCell ref="E45:E46"/>
    <mergeCell ref="E47:E48"/>
    <mergeCell ref="D49:D52"/>
    <mergeCell ref="E49:E50"/>
    <mergeCell ref="D61:D64"/>
    <mergeCell ref="E61:E62"/>
    <mergeCell ref="E63:E64"/>
    <mergeCell ref="D65:D68"/>
    <mergeCell ref="E65:E66"/>
    <mergeCell ref="E67:E68"/>
    <mergeCell ref="E51:E52"/>
    <mergeCell ref="B53:B68"/>
    <mergeCell ref="C53:C60"/>
    <mergeCell ref="D53:D56"/>
    <mergeCell ref="E53:E54"/>
    <mergeCell ref="E55:E56"/>
    <mergeCell ref="D57:D60"/>
    <mergeCell ref="E57:E58"/>
    <mergeCell ref="E59:E60"/>
    <mergeCell ref="C61:C68"/>
    <mergeCell ref="D77:D80"/>
    <mergeCell ref="E77:E78"/>
    <mergeCell ref="E79:E80"/>
    <mergeCell ref="D81:D84"/>
    <mergeCell ref="E81:E82"/>
    <mergeCell ref="E83:E84"/>
    <mergeCell ref="A69:A100"/>
    <mergeCell ref="B69:B84"/>
    <mergeCell ref="C69:C76"/>
    <mergeCell ref="D69:D72"/>
    <mergeCell ref="E69:E70"/>
    <mergeCell ref="E71:E72"/>
    <mergeCell ref="D73:D76"/>
    <mergeCell ref="E73:E74"/>
    <mergeCell ref="E75:E76"/>
    <mergeCell ref="C77:C84"/>
    <mergeCell ref="E93:E94"/>
    <mergeCell ref="E95:E96"/>
    <mergeCell ref="D97:D100"/>
    <mergeCell ref="E97:E98"/>
    <mergeCell ref="E99:E100"/>
    <mergeCell ref="A101:A132"/>
    <mergeCell ref="B101:B116"/>
    <mergeCell ref="C101:C108"/>
    <mergeCell ref="D101:D104"/>
    <mergeCell ref="E101:E102"/>
    <mergeCell ref="B85:B100"/>
    <mergeCell ref="C85:C92"/>
    <mergeCell ref="D85:D88"/>
    <mergeCell ref="E85:E86"/>
    <mergeCell ref="E87:E88"/>
    <mergeCell ref="D89:D92"/>
    <mergeCell ref="E89:E90"/>
    <mergeCell ref="E91:E92"/>
    <mergeCell ref="C93:C100"/>
    <mergeCell ref="D93:D96"/>
    <mergeCell ref="E103:E104"/>
    <mergeCell ref="D105:D108"/>
    <mergeCell ref="E105:E106"/>
    <mergeCell ref="E107:E108"/>
    <mergeCell ref="C109:C116"/>
    <mergeCell ref="D109:D112"/>
    <mergeCell ref="E109:E110"/>
    <mergeCell ref="E111:E112"/>
    <mergeCell ref="D113:D116"/>
    <mergeCell ref="E113:E114"/>
    <mergeCell ref="D125:D128"/>
    <mergeCell ref="E125:E126"/>
    <mergeCell ref="E127:E128"/>
    <mergeCell ref="D129:D132"/>
    <mergeCell ref="E129:E130"/>
    <mergeCell ref="E131:E132"/>
    <mergeCell ref="E115:E116"/>
    <mergeCell ref="B117:B132"/>
    <mergeCell ref="C117:C124"/>
    <mergeCell ref="D117:D120"/>
    <mergeCell ref="E117:E118"/>
    <mergeCell ref="E119:E120"/>
    <mergeCell ref="D121:D124"/>
    <mergeCell ref="E121:E122"/>
    <mergeCell ref="E123:E124"/>
    <mergeCell ref="C125:C132"/>
    <mergeCell ref="D141:D144"/>
    <mergeCell ref="E141:E142"/>
    <mergeCell ref="E143:E144"/>
    <mergeCell ref="D145:D148"/>
    <mergeCell ref="E145:E146"/>
    <mergeCell ref="E147:E148"/>
    <mergeCell ref="A133:A164"/>
    <mergeCell ref="B133:B148"/>
    <mergeCell ref="C133:C140"/>
    <mergeCell ref="D133:D136"/>
    <mergeCell ref="E133:E134"/>
    <mergeCell ref="E135:E136"/>
    <mergeCell ref="D137:D140"/>
    <mergeCell ref="E137:E138"/>
    <mergeCell ref="E139:E140"/>
    <mergeCell ref="C141:C148"/>
    <mergeCell ref="E157:E158"/>
    <mergeCell ref="E159:E160"/>
    <mergeCell ref="D161:D164"/>
    <mergeCell ref="E161:E162"/>
    <mergeCell ref="E163:E164"/>
    <mergeCell ref="A165:A196"/>
    <mergeCell ref="B165:B180"/>
    <mergeCell ref="C165:C172"/>
    <mergeCell ref="D165:D168"/>
    <mergeCell ref="E165:E166"/>
    <mergeCell ref="B149:B164"/>
    <mergeCell ref="C149:C156"/>
    <mergeCell ref="D149:D152"/>
    <mergeCell ref="E149:E150"/>
    <mergeCell ref="E151:E152"/>
    <mergeCell ref="D153:D156"/>
    <mergeCell ref="E153:E154"/>
    <mergeCell ref="E155:E156"/>
    <mergeCell ref="C157:C164"/>
    <mergeCell ref="D157:D160"/>
    <mergeCell ref="E167:E168"/>
    <mergeCell ref="D169:D172"/>
    <mergeCell ref="E169:E170"/>
    <mergeCell ref="E171:E172"/>
    <mergeCell ref="C173:C180"/>
    <mergeCell ref="D173:D176"/>
    <mergeCell ref="E173:E174"/>
    <mergeCell ref="E175:E176"/>
    <mergeCell ref="D177:D180"/>
    <mergeCell ref="E177:E178"/>
    <mergeCell ref="D189:D192"/>
    <mergeCell ref="E189:E190"/>
    <mergeCell ref="E191:E192"/>
    <mergeCell ref="D193:D196"/>
    <mergeCell ref="E193:E194"/>
    <mergeCell ref="E195:E196"/>
    <mergeCell ref="E179:E180"/>
    <mergeCell ref="B181:B196"/>
    <mergeCell ref="C181:C188"/>
    <mergeCell ref="D181:D184"/>
    <mergeCell ref="E181:E182"/>
    <mergeCell ref="E183:E184"/>
    <mergeCell ref="D185:D188"/>
    <mergeCell ref="E185:E186"/>
    <mergeCell ref="E187:E188"/>
    <mergeCell ref="C189:C196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2060"/>
  </sheetPr>
  <dimension ref="A1:A27"/>
  <sheetViews>
    <sheetView zoomScale="90" zoomScaleNormal="90" workbookViewId="0">
      <pane ySplit="2" topLeftCell="A3" activePane="bottomLeft" state="frozen"/>
      <selection pane="bottomLeft" activeCell="G26" sqref="G26"/>
    </sheetView>
  </sheetViews>
  <sheetFormatPr defaultRowHeight="15" x14ac:dyDescent="0.25"/>
  <cols>
    <col min="1" max="4" width="9.28515625" bestFit="1" customWidth="1"/>
  </cols>
  <sheetData>
    <row r="1" spans="1:1" ht="31.5" x14ac:dyDescent="0.5">
      <c r="A1" s="96" t="s">
        <v>99</v>
      </c>
    </row>
    <row r="2" spans="1:1" x14ac:dyDescent="0.25">
      <c r="A2" s="9" t="s">
        <v>98</v>
      </c>
    </row>
    <row r="3" spans="1:1" x14ac:dyDescent="0.25">
      <c r="A3" s="94">
        <v>0.01</v>
      </c>
    </row>
    <row r="4" spans="1:1" x14ac:dyDescent="0.25">
      <c r="A4" s="94">
        <v>1.4999999999999999E-2</v>
      </c>
    </row>
    <row r="5" spans="1:1" x14ac:dyDescent="0.25">
      <c r="A5" s="94">
        <v>2.1999999999999999E-2</v>
      </c>
    </row>
    <row r="6" spans="1:1" x14ac:dyDescent="0.25">
      <c r="A6" s="94">
        <v>3.3000000000000002E-2</v>
      </c>
    </row>
    <row r="7" spans="1:1" x14ac:dyDescent="0.25">
      <c r="A7" s="94">
        <v>4.7E-2</v>
      </c>
    </row>
    <row r="8" spans="1:1" x14ac:dyDescent="0.25">
      <c r="A8" s="94">
        <v>6.8000000000000005E-2</v>
      </c>
    </row>
    <row r="9" spans="1:1" x14ac:dyDescent="0.25">
      <c r="A9" s="95">
        <v>0.1</v>
      </c>
    </row>
    <row r="10" spans="1:1" x14ac:dyDescent="0.25">
      <c r="A10" s="95">
        <v>0.15</v>
      </c>
    </row>
    <row r="11" spans="1:1" x14ac:dyDescent="0.25">
      <c r="A11" s="95">
        <v>0.22</v>
      </c>
    </row>
    <row r="12" spans="1:1" x14ac:dyDescent="0.25">
      <c r="A12" s="95">
        <v>0.33</v>
      </c>
    </row>
    <row r="13" spans="1:1" x14ac:dyDescent="0.25">
      <c r="A13" s="95">
        <v>0.47</v>
      </c>
    </row>
    <row r="14" spans="1:1" x14ac:dyDescent="0.25">
      <c r="A14" s="95">
        <v>0.68</v>
      </c>
    </row>
    <row r="15" spans="1:1" x14ac:dyDescent="0.25">
      <c r="A15" s="95">
        <v>1</v>
      </c>
    </row>
    <row r="16" spans="1:1" x14ac:dyDescent="0.25">
      <c r="A16" s="95">
        <v>1.5</v>
      </c>
    </row>
    <row r="17" spans="1:1" x14ac:dyDescent="0.25">
      <c r="A17" s="95">
        <v>2.2000000000000002</v>
      </c>
    </row>
    <row r="18" spans="1:1" x14ac:dyDescent="0.25">
      <c r="A18" s="95">
        <v>3.3</v>
      </c>
    </row>
    <row r="19" spans="1:1" x14ac:dyDescent="0.25">
      <c r="A19" s="95">
        <v>4.7</v>
      </c>
    </row>
    <row r="20" spans="1:1" x14ac:dyDescent="0.25">
      <c r="A20" s="10">
        <v>6.8</v>
      </c>
    </row>
    <row r="21" spans="1:1" x14ac:dyDescent="0.25">
      <c r="A21" s="10">
        <v>10</v>
      </c>
    </row>
    <row r="22" spans="1:1" x14ac:dyDescent="0.25">
      <c r="A22" s="10">
        <v>15</v>
      </c>
    </row>
    <row r="23" spans="1:1" x14ac:dyDescent="0.25">
      <c r="A23" s="10">
        <v>22</v>
      </c>
    </row>
    <row r="24" spans="1:1" x14ac:dyDescent="0.25">
      <c r="A24" s="97">
        <v>33</v>
      </c>
    </row>
    <row r="25" spans="1:1" x14ac:dyDescent="0.25">
      <c r="A25" s="98">
        <v>47</v>
      </c>
    </row>
    <row r="26" spans="1:1" x14ac:dyDescent="0.25">
      <c r="A26" s="98">
        <v>68</v>
      </c>
    </row>
    <row r="27" spans="1:1" x14ac:dyDescent="0.25">
      <c r="A27" s="98">
        <v>100</v>
      </c>
    </row>
  </sheetData>
  <sheetProtection password="8553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31</vt:i4>
      </vt:variant>
    </vt:vector>
  </HeadingPairs>
  <TitlesOfParts>
    <vt:vector size="35" baseType="lpstr">
      <vt:lpstr>Calculation Sheet</vt:lpstr>
      <vt:lpstr>Thermal Shutdown Limit Plot</vt:lpstr>
      <vt:lpstr>Res EIA Tables</vt:lpstr>
      <vt:lpstr>Cap Tables</vt:lpstr>
      <vt:lpstr>Cdvdt</vt:lpstr>
      <vt:lpstr>Cdvdt_cal1</vt:lpstr>
      <vt:lpstr>Cdvdt_cal2</vt:lpstr>
      <vt:lpstr>Cout</vt:lpstr>
      <vt:lpstr>Gain_dvdt</vt:lpstr>
      <vt:lpstr>Gain_IMON</vt:lpstr>
      <vt:lpstr>I_dvdt</vt:lpstr>
      <vt:lpstr>Icharge</vt:lpstr>
      <vt:lpstr>Icharge_req</vt:lpstr>
      <vt:lpstr>Ilimit</vt:lpstr>
      <vt:lpstr>Ilimit_final</vt:lpstr>
      <vt:lpstr>Imax</vt:lpstr>
      <vt:lpstr>OVPref</vt:lpstr>
      <vt:lpstr>OVset</vt:lpstr>
      <vt:lpstr>Rdson_125deg</vt:lpstr>
      <vt:lpstr>Rdson_25deg</vt:lpstr>
      <vt:lpstr>Rdson_85deg</vt:lpstr>
      <vt:lpstr>Rilim</vt:lpstr>
      <vt:lpstr>RIMON_sel</vt:lpstr>
      <vt:lpstr>RIN</vt:lpstr>
      <vt:lpstr>Rlimit</vt:lpstr>
      <vt:lpstr>RLstart</vt:lpstr>
      <vt:lpstr>RUV</vt:lpstr>
      <vt:lpstr>Ta</vt:lpstr>
      <vt:lpstr>Tdvdt</vt:lpstr>
      <vt:lpstr>Tdvdt_default</vt:lpstr>
      <vt:lpstr>Tstart_req</vt:lpstr>
      <vt:lpstr>UVLOhys</vt:lpstr>
      <vt:lpstr>UVLOref</vt:lpstr>
      <vt:lpstr>UVset</vt:lpstr>
      <vt:lpstr>Vinmax</vt:lpstr>
    </vt:vector>
  </TitlesOfParts>
  <Company>Texas Instruments Incorporated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a0393740</dc:creator>
  <cp:lastModifiedBy>lucas</cp:lastModifiedBy>
  <cp:lastPrinted>2013-06-05T10:58:25Z</cp:lastPrinted>
  <dcterms:created xsi:type="dcterms:W3CDTF">2013-05-30T14:28:05Z</dcterms:created>
  <dcterms:modified xsi:type="dcterms:W3CDTF">2019-07-15T20:19:13Z</dcterms:modified>
</cp:coreProperties>
</file>