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defaultThemeVersion="124226"/>
  <mc:AlternateContent xmlns:mc="http://schemas.openxmlformats.org/markup-compatibility/2006">
    <mc:Choice Requires="x15">
      <x15ac:absPath xmlns:x15ac="http://schemas.microsoft.com/office/spreadsheetml/2010/11/ac" url="C:\Sandbox\github\foxbms\hardware\datasheets\"/>
    </mc:Choice>
  </mc:AlternateContent>
  <xr:revisionPtr revIDLastSave="0" documentId="13_ncr:1_{E786925D-3151-4882-B989-C322AAE7D6AE}" xr6:coauthVersionLast="43" xr6:coauthVersionMax="43" xr10:uidLastSave="{00000000-0000-0000-0000-000000000000}"/>
  <bookViews>
    <workbookView xWindow="-120" yWindow="-120" windowWidth="38640" windowHeight="21240" tabRatio="682" activeTab="2" xr2:uid="{00000000-000D-0000-FFFF-FFFF00000000}"/>
  </bookViews>
  <sheets>
    <sheet name="Instructions" sheetId="16" r:id="rId1"/>
    <sheet name="Typical_App_Circuit" sheetId="17" r:id="rId2"/>
    <sheet name="Calculation Sheet" sheetId="1" r:id="rId3"/>
    <sheet name="Thermal Shutdown Limit Plot" sheetId="14" r:id="rId4"/>
    <sheet name="Res EIA Tables" sheetId="11" r:id="rId5"/>
    <sheet name="Cap Tables" sheetId="13" r:id="rId6"/>
    <sheet name="Max_Cap_charging" sheetId="18" r:id="rId7"/>
  </sheets>
  <definedNames>
    <definedName name="Cdvdt">'Calculation Sheet'!$D$44</definedName>
    <definedName name="Cdvdt_cal1">'Calculation Sheet'!$D$41</definedName>
    <definedName name="Cdvdt_cal2">'Calculation Sheet'!$D$42</definedName>
    <definedName name="Cout">'Calculation Sheet'!$D$10</definedName>
    <definedName name="Gain_dvdt">'Calculation Sheet'!$D$91</definedName>
    <definedName name="Gain_IMON">'Calculation Sheet'!$D$95</definedName>
    <definedName name="I_dvdt">'Calculation Sheet'!$D$90</definedName>
    <definedName name="Icharge">'Calculation Sheet'!$D$46</definedName>
    <definedName name="Icharge_req">'Calculation Sheet'!#REF!</definedName>
    <definedName name="Ilimit">'Calculation Sheet'!$D$15</definedName>
    <definedName name="Ilimit_final">'Calculation Sheet'!$D$34</definedName>
    <definedName name="Imax">'Calculation Sheet'!$D$13</definedName>
    <definedName name="INRUSH">'Calculation Sheet'!$D$14</definedName>
    <definedName name="OVPref">'Calculation Sheet'!$D$89</definedName>
    <definedName name="OVset">'Calculation Sheet'!$D$9</definedName>
    <definedName name="PGSET">'Calculation Sheet'!$D$57</definedName>
    <definedName name="PGTHF">'Calculation Sheet'!$D$94</definedName>
    <definedName name="PGTHR">'Calculation Sheet'!$D$93</definedName>
    <definedName name="PLIM">'Calculation Sheet'!$D$64</definedName>
    <definedName name="Pload">'Calculation Sheet'!$D$111</definedName>
    <definedName name="Rdson_125deg">'Calculation Sheet'!$D$84</definedName>
    <definedName name="Rdson_25deg">'Calculation Sheet'!$D$82</definedName>
    <definedName name="Rdson_85deg">'Calculation Sheet'!$D$83</definedName>
    <definedName name="Rilim">'Calculation Sheet'!$D$33</definedName>
    <definedName name="RIMON_sel">'Calculation Sheet'!$D$72</definedName>
    <definedName name="RIN">'Calculation Sheet'!$D$24</definedName>
    <definedName name="Rlimit">'Calculation Sheet'!$D$33</definedName>
    <definedName name="RLstart">'Calculation Sheet'!$D$12</definedName>
    <definedName name="ROVP">'Calculation Sheet'!$D$22</definedName>
    <definedName name="RUVLO">'Calculation Sheet'!$D$23</definedName>
    <definedName name="Ta">'Calculation Sheet'!$D$11</definedName>
    <definedName name="Tdvdt">'Calculation Sheet'!$D$45</definedName>
    <definedName name="Tdvdt_default">'Calculation Sheet'!$D$92</definedName>
    <definedName name="Tdvdt_req">'Calculation Sheet'!$D$40</definedName>
    <definedName name="UVLOhys">'Calculation Sheet'!$D$88</definedName>
    <definedName name="UVLOref">'Calculation Sheet'!$D$87</definedName>
    <definedName name="UVset">'Calculation Sheet'!$D$8</definedName>
    <definedName name="Vinmax">'Calculation Sheet'!$D$6</definedName>
    <definedName name="VINmin">'Calculation Sheet'!$D$5</definedName>
    <definedName name="VINnom">'Calculation Sheet'!$D$7</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5" i="1" l="1"/>
  <c r="D112" i="1" l="1"/>
  <c r="D65" i="1" l="1"/>
  <c r="D59" i="1"/>
  <c r="D60" i="1" s="1"/>
  <c r="D98" i="1"/>
  <c r="D38" i="1"/>
  <c r="D61" i="1" l="1"/>
  <c r="D42" i="1"/>
  <c r="D41" i="1"/>
  <c r="D44" i="1" s="1"/>
  <c r="D45" i="1" s="1"/>
  <c r="D51" i="1" l="1"/>
  <c r="D39" i="1" l="1"/>
  <c r="N18" i="1"/>
  <c r="M18" i="1" s="1"/>
  <c r="N22" i="1" s="1"/>
  <c r="F33" i="1" l="1"/>
  <c r="C26" i="1" l="1"/>
  <c r="D19" i="1" l="1"/>
  <c r="N19" i="1" s="1"/>
  <c r="M19" i="1" s="1"/>
  <c r="N23" i="1" s="1"/>
  <c r="F72" i="1" l="1"/>
  <c r="M34" i="1"/>
  <c r="F24" i="1"/>
  <c r="F23" i="1"/>
  <c r="F73" i="1" l="1"/>
  <c r="F34" i="1"/>
  <c r="M42" i="1" l="1"/>
  <c r="M23" i="1"/>
  <c r="G23" i="1" s="1"/>
  <c r="D23" i="1" s="1"/>
  <c r="M22" i="1"/>
  <c r="G22" i="1" s="1"/>
  <c r="D22" i="1" s="1"/>
  <c r="D20" i="1" l="1"/>
  <c r="N20" i="1" l="1"/>
  <c r="M20" i="1" s="1"/>
  <c r="M24" i="1" l="1"/>
  <c r="N24" i="1"/>
  <c r="C25" i="1"/>
  <c r="F22" i="1"/>
  <c r="G24" i="1" l="1"/>
  <c r="D24" i="1" s="1"/>
  <c r="F25" i="1"/>
  <c r="F27" i="1" s="1"/>
  <c r="F26" i="1"/>
  <c r="D28" i="1" l="1"/>
  <c r="M41" i="1" l="1"/>
  <c r="F41" i="1" s="1"/>
  <c r="D26" i="1"/>
  <c r="J21" i="1" s="1"/>
  <c r="F44" i="1" l="1"/>
  <c r="F45" i="1" s="1"/>
  <c r="D25" i="1"/>
  <c r="J20" i="1" s="1"/>
  <c r="D27" i="1"/>
  <c r="J19" i="1" s="1"/>
  <c r="D53" i="1" l="1"/>
  <c r="D77" i="1"/>
  <c r="D78" i="1"/>
  <c r="D47" i="1" l="1"/>
  <c r="D46" i="1"/>
  <c r="D34" i="14"/>
  <c r="D35" i="14" s="1"/>
  <c r="D50" i="1" l="1"/>
  <c r="D52" i="1" s="1"/>
  <c r="J31" i="1"/>
  <c r="C34" i="14"/>
  <c r="C35" i="14" l="1"/>
  <c r="D54" i="1"/>
  <c r="D31" i="1"/>
  <c r="M31" i="1" s="1"/>
  <c r="M33" i="1" s="1"/>
  <c r="G33" i="1" s="1"/>
  <c r="D33" i="1" s="1"/>
  <c r="D34" i="1" s="1"/>
  <c r="D66" i="1" s="1"/>
  <c r="D70" i="1" l="1"/>
  <c r="M70" i="1" s="1"/>
  <c r="M72" i="1" s="1"/>
  <c r="G72" i="1" s="1"/>
  <c r="D100" i="1"/>
  <c r="J33" i="1"/>
  <c r="J32" i="1"/>
  <c r="D72" i="1" l="1"/>
  <c r="D73" i="1" s="1"/>
</calcChain>
</file>

<file path=xl/sharedStrings.xml><?xml version="1.0" encoding="utf-8"?>
<sst xmlns="http://schemas.openxmlformats.org/spreadsheetml/2006/main" count="321" uniqueCount="235">
  <si>
    <t>Parameter</t>
  </si>
  <si>
    <t>Description</t>
  </si>
  <si>
    <t xml:space="preserve">Value </t>
  </si>
  <si>
    <t xml:space="preserve"> Units</t>
  </si>
  <si>
    <t>A</t>
  </si>
  <si>
    <t>ms</t>
  </si>
  <si>
    <t>V</t>
  </si>
  <si>
    <t>uA</t>
  </si>
  <si>
    <t>Cout</t>
  </si>
  <si>
    <t>Load Capacitance</t>
  </si>
  <si>
    <t>Imax</t>
  </si>
  <si>
    <t>Rds(on)</t>
  </si>
  <si>
    <t>Rds(on)_85degC</t>
  </si>
  <si>
    <t>W</t>
  </si>
  <si>
    <t>Pd_dvdt</t>
  </si>
  <si>
    <t>Internal FET Parameters</t>
  </si>
  <si>
    <t>Vdrop</t>
  </si>
  <si>
    <t>mV</t>
  </si>
  <si>
    <t>Pdiss_ss</t>
  </si>
  <si>
    <t>mW</t>
  </si>
  <si>
    <t>Constants Cells</t>
  </si>
  <si>
    <t>Calculation Cells</t>
  </si>
  <si>
    <t>Steady state Voltage drop &amp; Power dissipation</t>
  </si>
  <si>
    <t>Pd_Rlstart</t>
  </si>
  <si>
    <t>Pd_startup</t>
  </si>
  <si>
    <t>Internal References</t>
  </si>
  <si>
    <t>Calculations for CURRENT MONITOR</t>
  </si>
  <si>
    <t>RIMON_sel</t>
  </si>
  <si>
    <t>Imon_Gain</t>
  </si>
  <si>
    <t>I_R123</t>
  </si>
  <si>
    <t>Tolerance</t>
  </si>
  <si>
    <t>Standard EIA Decade Resistor Values</t>
  </si>
  <si>
    <t>0.5%, 0.25%, 0.1%</t>
  </si>
  <si>
    <t>E6</t>
  </si>
  <si>
    <t>E12</t>
  </si>
  <si>
    <t>E24</t>
  </si>
  <si>
    <t>E48</t>
  </si>
  <si>
    <t>E96</t>
  </si>
  <si>
    <t>E192</t>
  </si>
  <si>
    <t>R2_cal</t>
  </si>
  <si>
    <t>Cdvdt</t>
  </si>
  <si>
    <t>OVset</t>
  </si>
  <si>
    <t>Thermal Shutdown Time Vs. Power Dissipation</t>
  </si>
  <si>
    <t>Title of Graph</t>
  </si>
  <si>
    <t>Lable</t>
  </si>
  <si>
    <t xml:space="preserve">X-Axis </t>
  </si>
  <si>
    <t xml:space="preserve"> Power Dissipation (W)</t>
  </si>
  <si>
    <t>Y-Axis</t>
  </si>
  <si>
    <t>Thermal Shutdown time (ms)</t>
  </si>
  <si>
    <t>Power Fail 
(VIN Falling)</t>
  </si>
  <si>
    <t>UVLO 
(VIN Rising)</t>
  </si>
  <si>
    <t>Inrush Charging 
Current</t>
  </si>
  <si>
    <t>RLstart</t>
  </si>
  <si>
    <t>ILimit</t>
  </si>
  <si>
    <t>Maximum continuous load current</t>
  </si>
  <si>
    <t>Ω</t>
  </si>
  <si>
    <t>R3_sel</t>
  </si>
  <si>
    <t>kΩ</t>
  </si>
  <si>
    <t>R1_cal</t>
  </si>
  <si>
    <t>UVLO Threshold Voltage, Rising</t>
  </si>
  <si>
    <t>R2_sel</t>
  </si>
  <si>
    <t>R1_sel</t>
  </si>
  <si>
    <t>UV_Final</t>
  </si>
  <si>
    <t>OV_Final</t>
  </si>
  <si>
    <t>Power Fail Detection</t>
  </si>
  <si>
    <t>V(UVLOR)</t>
  </si>
  <si>
    <t>V(OVPR)</t>
  </si>
  <si>
    <t>V(UVLOHys)</t>
  </si>
  <si>
    <t>Current Limit Calculations</t>
  </si>
  <si>
    <t>ILimit_Final</t>
  </si>
  <si>
    <t>dVdT Charging Current</t>
  </si>
  <si>
    <t>I(dVdT)</t>
  </si>
  <si>
    <t>GAIN(dVdT)</t>
  </si>
  <si>
    <t>dVdT to OUT Gain</t>
  </si>
  <si>
    <t>UVLO Hysteresis</t>
  </si>
  <si>
    <t>Rds(on)_125degC</t>
  </si>
  <si>
    <t>Over-Voltage Threshold Voltage, Rising</t>
  </si>
  <si>
    <t>Gain Factor I(IMON):I(OUT)</t>
  </si>
  <si>
    <t>UVLO, OVP Calculations</t>
  </si>
  <si>
    <t>VMON_Max</t>
  </si>
  <si>
    <r>
      <rPr>
        <b/>
        <sz val="8"/>
        <color rgb="FF333333"/>
        <rFont val="Calibri"/>
        <family val="2"/>
      </rPr>
      <t>µ</t>
    </r>
    <r>
      <rPr>
        <b/>
        <sz val="8"/>
        <color rgb="FF333333"/>
        <rFont val="Arial"/>
        <family val="2"/>
      </rPr>
      <t>F</t>
    </r>
  </si>
  <si>
    <t>Capacitors Lookup Table</t>
  </si>
  <si>
    <t>RIMON_cal</t>
  </si>
  <si>
    <t>Calculated IMON resistor value</t>
  </si>
  <si>
    <t>Steady state power dissipation with maximum current  at TA = 25°C</t>
  </si>
  <si>
    <t>uA/A</t>
  </si>
  <si>
    <t>TdVdT</t>
  </si>
  <si>
    <t>Default Start-up Time with dVdT = Open</t>
  </si>
  <si>
    <t>Final Current Limit Set Point</t>
  </si>
  <si>
    <t>Fastrip Current
Limit</t>
  </si>
  <si>
    <t>Overload Current
Limit</t>
  </si>
  <si>
    <t>UVset</t>
  </si>
  <si>
    <t>Input / Select Cells</t>
  </si>
  <si>
    <t xml:space="preserve">Maximum Ambient Temperature </t>
  </si>
  <si>
    <t>Selected closest possible value for RLIM resistor</t>
  </si>
  <si>
    <t>Selected closest possible value for IMON resistor</t>
  </si>
  <si>
    <t>Selected closest possible value for R3 resistor</t>
  </si>
  <si>
    <t>Selected closest possible value for R2 resistor</t>
  </si>
  <si>
    <t>Selected closest possible value for R1 resistor</t>
  </si>
  <si>
    <t>Total power dissipation during start-up</t>
  </si>
  <si>
    <t>TA = -40C</t>
  </si>
  <si>
    <t>TA = 25C</t>
  </si>
  <si>
    <t>TA = 85C</t>
  </si>
  <si>
    <t>TA = 125C</t>
  </si>
  <si>
    <t>Maximum Point</t>
  </si>
  <si>
    <t>Operating Point</t>
  </si>
  <si>
    <t>Load during start-up (Assumed to be resistive)</t>
  </si>
  <si>
    <t>SELECT THE CLOSEST POSSIBLE RESISTANCE VALUE FOR R1, R2, R3</t>
  </si>
  <si>
    <t>SELECT THE CLOSEST POSSIBLE RESISTANCE VALUE FOR RLIM</t>
  </si>
  <si>
    <t>SELECT THE CLOSEST POSSIBLE RESISTANCE VALUE FOR RIMON</t>
  </si>
  <si>
    <t>Calculated current limit resistor value</t>
  </si>
  <si>
    <t>Power dissipation due to load resistance during start-up</t>
  </si>
  <si>
    <t>FET maximum Rds(on) at 25°C</t>
  </si>
  <si>
    <t>FET maximum Rds(on) at 85°C</t>
  </si>
  <si>
    <t>FET maximum Rds(on) at 125°C</t>
  </si>
  <si>
    <t>Thermal Shutdown Time (ms) Vs. Power Dissipation (W)</t>
  </si>
  <si>
    <t>Power Dissipation (W)</t>
  </si>
  <si>
    <t>OVP
(VIN Rising)</t>
  </si>
  <si>
    <t>Pd (W)</t>
  </si>
  <si>
    <t>Tstart-up (ms)</t>
  </si>
  <si>
    <t>Calculated dVdT capacitor value based on permissible Inrush current</t>
  </si>
  <si>
    <t>Enter Selected value for CdV/dT capacitor</t>
  </si>
  <si>
    <t>Verify Voltage at IMON for Maximum Load Current</t>
  </si>
  <si>
    <t>Will Device go into thermal regulation at start-up?</t>
  </si>
  <si>
    <t>Verification Cells</t>
  </si>
  <si>
    <t>Final Inrush current for charging Cout</t>
  </si>
  <si>
    <t>µF</t>
  </si>
  <si>
    <t>°C</t>
  </si>
  <si>
    <r>
      <t>I</t>
    </r>
    <r>
      <rPr>
        <vertAlign val="subscript"/>
        <sz val="14"/>
        <color theme="1"/>
        <rFont val="Arial"/>
        <family val="2"/>
      </rPr>
      <t>INRUSH_permissible</t>
    </r>
  </si>
  <si>
    <r>
      <t>I</t>
    </r>
    <r>
      <rPr>
        <vertAlign val="subscript"/>
        <sz val="14"/>
        <color theme="1"/>
        <rFont val="Arial"/>
        <family val="2"/>
      </rPr>
      <t>INRUSH</t>
    </r>
    <r>
      <rPr>
        <sz val="14"/>
        <color theme="1"/>
        <rFont val="Arial"/>
        <family val="2"/>
      </rPr>
      <t>_Final</t>
    </r>
  </si>
  <si>
    <t>mΩ</t>
  </si>
  <si>
    <t>RLIM_cal</t>
  </si>
  <si>
    <t>RLIM</t>
  </si>
  <si>
    <r>
      <t xml:space="preserve">Calculated, but can be over-ridden by the user. 
</t>
    </r>
    <r>
      <rPr>
        <sz val="14"/>
        <rFont val="Arial"/>
        <family val="2"/>
      </rPr>
      <t>Note: Once cells are over-ridden, new calculation sheet should be used for the next design</t>
    </r>
  </si>
  <si>
    <r>
      <t>V</t>
    </r>
    <r>
      <rPr>
        <vertAlign val="subscript"/>
        <sz val="14"/>
        <color theme="1"/>
        <rFont val="Arial"/>
        <family val="2"/>
      </rPr>
      <t xml:space="preserve">IN </t>
    </r>
    <r>
      <rPr>
        <sz val="14"/>
        <color theme="1"/>
        <rFont val="Arial"/>
        <family val="2"/>
      </rPr>
      <t>(max)</t>
    </r>
  </si>
  <si>
    <r>
      <t>T</t>
    </r>
    <r>
      <rPr>
        <vertAlign val="subscript"/>
        <sz val="14"/>
        <color theme="1"/>
        <rFont val="Arial"/>
        <family val="2"/>
      </rPr>
      <t xml:space="preserve">A </t>
    </r>
    <r>
      <rPr>
        <sz val="14"/>
        <color theme="1"/>
        <rFont val="Arial"/>
        <family val="2"/>
      </rPr>
      <t>(max)</t>
    </r>
  </si>
  <si>
    <r>
      <t>Cdvdt_for_permissible_I</t>
    </r>
    <r>
      <rPr>
        <vertAlign val="subscript"/>
        <sz val="14"/>
        <color theme="1"/>
        <rFont val="Arial"/>
        <family val="2"/>
      </rPr>
      <t>INRUSH</t>
    </r>
  </si>
  <si>
    <r>
      <t>Maximum voltage drop across the device at T</t>
    </r>
    <r>
      <rPr>
        <vertAlign val="subscript"/>
        <sz val="14"/>
        <color theme="1"/>
        <rFont val="Arial"/>
        <family val="2"/>
      </rPr>
      <t>A</t>
    </r>
    <r>
      <rPr>
        <sz val="14"/>
        <color theme="1"/>
        <rFont val="Arial"/>
        <family val="2"/>
      </rPr>
      <t xml:space="preserve"> = 25°C</t>
    </r>
  </si>
  <si>
    <r>
      <t>I</t>
    </r>
    <r>
      <rPr>
        <vertAlign val="subscript"/>
        <sz val="14"/>
        <color theme="1"/>
        <rFont val="Arial"/>
        <family val="2"/>
      </rPr>
      <t>INRUSH_Final</t>
    </r>
    <r>
      <rPr>
        <sz val="14"/>
        <color theme="1"/>
        <rFont val="Arial"/>
        <family val="2"/>
      </rPr>
      <t xml:space="preserve"> + I</t>
    </r>
    <r>
      <rPr>
        <vertAlign val="subscript"/>
        <sz val="14"/>
        <color theme="1"/>
        <rFont val="Arial"/>
        <family val="2"/>
      </rPr>
      <t>Load_startup</t>
    </r>
  </si>
  <si>
    <r>
      <t>Is I</t>
    </r>
    <r>
      <rPr>
        <vertAlign val="subscript"/>
        <sz val="14"/>
        <color theme="1"/>
        <rFont val="Arial"/>
        <family val="2"/>
      </rPr>
      <t>INRUSH_Final</t>
    </r>
    <r>
      <rPr>
        <sz val="14"/>
        <color theme="1"/>
        <rFont val="Arial"/>
        <family val="2"/>
      </rPr>
      <t xml:space="preserve"> + I</t>
    </r>
    <r>
      <rPr>
        <vertAlign val="subscript"/>
        <sz val="14"/>
        <color theme="1"/>
        <rFont val="Arial"/>
        <family val="2"/>
      </rPr>
      <t xml:space="preserve">Load_startup </t>
    </r>
    <r>
      <rPr>
        <sz val="14"/>
        <color theme="1"/>
        <rFont val="Arial"/>
        <family val="2"/>
      </rPr>
      <t>less than ILimit_Final?</t>
    </r>
  </si>
  <si>
    <t>TA = 0C</t>
  </si>
  <si>
    <t>Maximum power dissipation allowed before thermal regulation</t>
  </si>
  <si>
    <t>Total Power dissipation at Start-up and Thermal Regulation</t>
  </si>
  <si>
    <t xml:space="preserve">Power dissipation due to output capacitance at start-up </t>
  </si>
  <si>
    <t>Permissible inrush current from power supply or system for charging Cout on Start-up</t>
  </si>
  <si>
    <t>Select a value of resistor between OVP and GND pins [1k to 249k]</t>
  </si>
  <si>
    <t>Calculated value of Resistor between UVLO and OVP pins</t>
  </si>
  <si>
    <t>Verify value of Resistor at IN_SYS and UVLO pins [&gt; 300k]</t>
  </si>
  <si>
    <t>Maximum allowable voltage at IMON for Maximum Load Current (Max ADC input voltage for IMON)</t>
  </si>
  <si>
    <r>
      <t>Current Limit, 5% higher than [Imax + I</t>
    </r>
    <r>
      <rPr>
        <vertAlign val="subscript"/>
        <sz val="14"/>
        <color theme="1"/>
        <rFont val="Arial"/>
        <family val="2"/>
      </rPr>
      <t xml:space="preserve">INRUSH_permissible </t>
    </r>
    <r>
      <rPr>
        <sz val="14"/>
        <color theme="1"/>
        <rFont val="Arial"/>
        <family val="2"/>
      </rPr>
      <t>]</t>
    </r>
  </si>
  <si>
    <t>Tdvdt_default</t>
  </si>
  <si>
    <t>Default Tdvdt with no external capacitor connected at dVdT pin</t>
  </si>
  <si>
    <r>
      <t>Tdvdt_with_I</t>
    </r>
    <r>
      <rPr>
        <vertAlign val="subscript"/>
        <sz val="14"/>
        <color theme="1"/>
        <rFont val="Arial"/>
        <family val="2"/>
      </rPr>
      <t>INRUSH_permissible</t>
    </r>
  </si>
  <si>
    <t>Tdvdt required</t>
  </si>
  <si>
    <r>
      <t>Tdvdt with I</t>
    </r>
    <r>
      <rPr>
        <vertAlign val="subscript"/>
        <sz val="14"/>
        <color theme="1"/>
        <rFont val="Arial"/>
        <family val="2"/>
      </rPr>
      <t>INRUSH_permissible</t>
    </r>
  </si>
  <si>
    <t>Cdvdt_for_required_Tdvdt</t>
  </si>
  <si>
    <t>Calculated dVdT capacitor value based on required Tdvdt</t>
  </si>
  <si>
    <r>
      <t>SELECT Cdvdt either for required Tdvdt or for Permissible I</t>
    </r>
    <r>
      <rPr>
        <vertAlign val="subscript"/>
        <sz val="14"/>
        <color theme="1"/>
        <rFont val="Arial"/>
        <family val="2"/>
      </rPr>
      <t>INRUSH</t>
    </r>
  </si>
  <si>
    <t>Tdvdt_Final</t>
  </si>
  <si>
    <t xml:space="preserve">Final Output Voltage ramp time (Tdvdt) </t>
  </si>
  <si>
    <r>
      <t>V</t>
    </r>
    <r>
      <rPr>
        <vertAlign val="subscript"/>
        <sz val="14"/>
        <rFont val="Arial"/>
        <family val="2"/>
      </rPr>
      <t>IN</t>
    </r>
    <r>
      <rPr>
        <sz val="14"/>
        <rFont val="Arial"/>
        <family val="2"/>
      </rPr>
      <t xml:space="preserve"> (min)</t>
    </r>
  </si>
  <si>
    <t>Maximum Operating Input Voltage</t>
  </si>
  <si>
    <t>Minimum Operating Input Voltage</t>
  </si>
  <si>
    <r>
      <t>Enter Tdvdt if lower Tdvdt than the Tdvdt with I</t>
    </r>
    <r>
      <rPr>
        <vertAlign val="subscript"/>
        <sz val="16"/>
        <color theme="1"/>
        <rFont val="Arial"/>
        <family val="2"/>
      </rPr>
      <t>INRUSH_premissible</t>
    </r>
    <r>
      <rPr>
        <sz val="14"/>
        <color theme="1"/>
        <rFont val="Arial"/>
        <family val="2"/>
      </rPr>
      <t xml:space="preserve"> is required  </t>
    </r>
  </si>
  <si>
    <t>Selection of External FET for Reverse Current Blocking and Reverse Polarity Protection</t>
  </si>
  <si>
    <r>
      <t>V</t>
    </r>
    <r>
      <rPr>
        <vertAlign val="subscript"/>
        <sz val="14"/>
        <color theme="1"/>
        <rFont val="Arial"/>
        <family val="2"/>
      </rPr>
      <t>DS</t>
    </r>
  </si>
  <si>
    <r>
      <t>V</t>
    </r>
    <r>
      <rPr>
        <vertAlign val="subscript"/>
        <sz val="14"/>
        <color theme="1"/>
        <rFont val="Arial"/>
        <family val="2"/>
      </rPr>
      <t>GS</t>
    </r>
  </si>
  <si>
    <t>Recommended minimum Drain to Source Voltage</t>
  </si>
  <si>
    <t>Recommended minimum Gate to Source voltage</t>
  </si>
  <si>
    <r>
      <t>I</t>
    </r>
    <r>
      <rPr>
        <vertAlign val="subscript"/>
        <sz val="14"/>
        <color theme="1"/>
        <rFont val="Arial"/>
        <family val="2"/>
      </rPr>
      <t>D</t>
    </r>
  </si>
  <si>
    <t>Recommended minimum continuous Drain to Source current</t>
  </si>
  <si>
    <t>CSD19537Q3</t>
  </si>
  <si>
    <t>Recommended FET for Input upto 60V and 6A continuous current</t>
  </si>
  <si>
    <t xml:space="preserve">Selection of Pull Down Switch for External FET </t>
  </si>
  <si>
    <r>
      <t>V</t>
    </r>
    <r>
      <rPr>
        <vertAlign val="subscript"/>
        <sz val="14"/>
        <color theme="1"/>
        <rFont val="Arial"/>
        <family val="2"/>
      </rPr>
      <t xml:space="preserve">GS(th) </t>
    </r>
  </si>
  <si>
    <t>Recommended maximum Gate to Source threshold</t>
  </si>
  <si>
    <r>
      <t>C</t>
    </r>
    <r>
      <rPr>
        <vertAlign val="subscript"/>
        <sz val="14"/>
        <color theme="1"/>
        <rFont val="Arial"/>
        <family val="2"/>
      </rPr>
      <t>iss</t>
    </r>
  </si>
  <si>
    <t>Recommended maximum Input capacitance</t>
  </si>
  <si>
    <t>pF</t>
  </si>
  <si>
    <t>BSS138 or 2N7002</t>
  </si>
  <si>
    <t>Recommended FET for Pull Down Switch</t>
  </si>
  <si>
    <t>Calculations for Power Good threshold</t>
  </si>
  <si>
    <t>Design Inputs</t>
  </si>
  <si>
    <t>TPS2663x and TPS1663x  Design Calculator Tool</t>
  </si>
  <si>
    <t xml:space="preserve">OVP Calculations are only for TPS26630,TPS26631 and TPS16630. </t>
  </si>
  <si>
    <t>PGTHF</t>
  </si>
  <si>
    <t>PGTHR</t>
  </si>
  <si>
    <t>Rising power good threshold</t>
  </si>
  <si>
    <t>Falling power good threshold</t>
  </si>
  <si>
    <t>PGSET</t>
  </si>
  <si>
    <t>Undervoltage Lockout Set point</t>
  </si>
  <si>
    <t>Over Voltage Cut-Off Set point</t>
  </si>
  <si>
    <t>Power good setpoint [Enter this values as minimum operating voltage of downstream DC-DC converter]</t>
  </si>
  <si>
    <t>R4</t>
  </si>
  <si>
    <t>R5</t>
  </si>
  <si>
    <t>Caclulated value of R5 resistor</t>
  </si>
  <si>
    <t>I_R45</t>
  </si>
  <si>
    <t>PGDEASSERT</t>
  </si>
  <si>
    <t>Calculated value of Power good deassertion voltage [Power good going low]</t>
  </si>
  <si>
    <t>Calculations for Power Limit</t>
  </si>
  <si>
    <t>Only for TPS2663x devices</t>
  </si>
  <si>
    <t>Only for TPS26632, TPS26633, TPS26635 and TPS16632 devices</t>
  </si>
  <si>
    <t>Plimit</t>
  </si>
  <si>
    <t>Power Limit Set point</t>
  </si>
  <si>
    <r>
      <t>R</t>
    </r>
    <r>
      <rPr>
        <vertAlign val="subscript"/>
        <sz val="14"/>
        <color theme="1"/>
        <rFont val="Arial"/>
        <family val="2"/>
      </rPr>
      <t>PLIM</t>
    </r>
  </si>
  <si>
    <t>Caclulated value of resistor for PLIM</t>
  </si>
  <si>
    <t>Verify minimum Current in R4, R5 at UVsetVoltage [&gt; 2uA]</t>
  </si>
  <si>
    <t>Verify minimum Current in R1, R2, R3 Branch at Input voltage of Uvset [&gt; 2uA]</t>
  </si>
  <si>
    <t>Verify if Plimit will be effective over current limit</t>
  </si>
  <si>
    <t>Power Fail Detection Set Point</t>
  </si>
  <si>
    <t>Selection of Components for IEC 61000-4-5 (Surge)</t>
  </si>
  <si>
    <r>
      <t>P</t>
    </r>
    <r>
      <rPr>
        <vertAlign val="subscript"/>
        <sz val="14"/>
        <color theme="1"/>
        <rFont val="Arial"/>
        <family val="2"/>
      </rPr>
      <t>LOAD</t>
    </r>
  </si>
  <si>
    <r>
      <t>V</t>
    </r>
    <r>
      <rPr>
        <vertAlign val="subscript"/>
        <sz val="14"/>
        <color theme="1"/>
        <rFont val="Arial"/>
        <family val="2"/>
      </rPr>
      <t>IN</t>
    </r>
    <r>
      <rPr>
        <sz val="14"/>
        <color theme="1"/>
        <rFont val="Arial"/>
        <family val="2"/>
      </rPr>
      <t xml:space="preserve"> (nom)</t>
    </r>
  </si>
  <si>
    <t>uF</t>
  </si>
  <si>
    <t>Recommended minimum Cin  to Source Voltage</t>
  </si>
  <si>
    <t>SMCJ33CA</t>
  </si>
  <si>
    <t>5.0SMDJ33CA</t>
  </si>
  <si>
    <t>Enter the output load power</t>
  </si>
  <si>
    <t>Recommended Input TVS Diode for Level 1 (500V) with Vin(max)&lt; 33V</t>
  </si>
  <si>
    <t>Recommended Input TVS Diode for Level 2 (1000V) with Vin(max) &lt; 33V</t>
  </si>
  <si>
    <t>Nominal operating Input voltage</t>
  </si>
  <si>
    <t>Instructions for using the TPS2663x/TPS1663x Design Calculator</t>
  </si>
  <si>
    <r>
      <t>dV/dT Capacitor and Output ramp Time(T</t>
    </r>
    <r>
      <rPr>
        <b/>
        <i/>
        <vertAlign val="subscript"/>
        <sz val="14"/>
        <rFont val="Arial"/>
        <family val="2"/>
      </rPr>
      <t>dvdt</t>
    </r>
    <r>
      <rPr>
        <b/>
        <i/>
        <sz val="14"/>
        <rFont val="Arial"/>
        <family val="2"/>
      </rPr>
      <t>) Calculation</t>
    </r>
  </si>
  <si>
    <t>Recommended minumum Cout for Class-A operation, enter this value in D10 for Class-A operation during Surge</t>
  </si>
  <si>
    <r>
      <rPr>
        <b/>
        <sz val="11"/>
        <color theme="1"/>
        <rFont val="Calibri"/>
        <family val="2"/>
        <scheme val="minor"/>
      </rPr>
      <t>Instructions for using the TPS2663x/TPS1663x Design Calculator</t>
    </r>
    <r>
      <rPr>
        <sz val="11"/>
        <color theme="1"/>
        <rFont val="Calibri"/>
        <family val="2"/>
        <scheme val="minor"/>
      </rPr>
      <t xml:space="preserve">
</t>
    </r>
    <r>
      <rPr>
        <b/>
        <u/>
        <sz val="11"/>
        <color theme="1"/>
        <rFont val="Calibri"/>
        <family val="2"/>
        <scheme val="minor"/>
      </rPr>
      <t>Design Inputs</t>
    </r>
    <r>
      <rPr>
        <sz val="11"/>
        <color theme="1"/>
        <rFont val="Calibri"/>
        <family val="2"/>
        <scheme val="minor"/>
      </rPr>
      <t xml:space="preserve">
• Enter the design inputs for operating input voltage, under voltage, overvoltage set points, output capacitance, ambient temperature, load at start-up, maximum continuous load current, and permissible inrush current at start up for charging output capacitance in cells D5 to D14 in Calculation Sheet.
• Select the current limit for device (ILimit) at-least 5% more than (Imax + IINRUSH_Permissible) in Cell D15 in Calculation Sheet.
</t>
    </r>
    <r>
      <rPr>
        <b/>
        <u/>
        <sz val="11"/>
        <color theme="1"/>
        <rFont val="Calibri"/>
        <family val="2"/>
        <scheme val="minor"/>
      </rPr>
      <t xml:space="preserve">UVLO, OVP Calculations </t>
    </r>
    <r>
      <rPr>
        <sz val="11"/>
        <color theme="1"/>
        <rFont val="Calibri"/>
        <family val="2"/>
        <scheme val="minor"/>
      </rPr>
      <t xml:space="preserve">
• Enter the value of resistor (R3) between UVLO and OVP pins in Cell D17 in Calculation in Calculation Sheet
• Design Calculator provides the calculated value of R2, R3
• Select the value of R1, R2 and R3 resistors in cells D22 to D24 close to the calculated values.
• Design calculator provides the final under voltage, overvoltage and power fail set points based on selected values of R1 to R3 in cells D22 to D24.
• Verify the value of current through resistors R1 to R3. The color of cell D28 changes based on value of current. If Current &lt; 2uA, the cell turns </t>
    </r>
    <r>
      <rPr>
        <sz val="11"/>
        <color rgb="FFFF0000"/>
        <rFont val="Calibri"/>
        <family val="2"/>
        <scheme val="minor"/>
      </rPr>
      <t>RED</t>
    </r>
    <r>
      <rPr>
        <sz val="11"/>
        <color theme="1"/>
        <rFont val="Calibri"/>
        <family val="2"/>
        <scheme val="minor"/>
      </rPr>
      <t xml:space="preserve"> and value of R3 needs to be reduced.
</t>
    </r>
    <r>
      <rPr>
        <b/>
        <u/>
        <sz val="11"/>
        <color theme="1"/>
        <rFont val="Calibri"/>
        <family val="2"/>
        <scheme val="minor"/>
      </rPr>
      <t>Current Limit Calculations</t>
    </r>
    <r>
      <rPr>
        <sz val="11"/>
        <color theme="1"/>
        <rFont val="Calibri"/>
        <family val="2"/>
        <scheme val="minor"/>
      </rPr>
      <t xml:space="preserve">
• Design Calculator provides the calculated value of resistor for ILIM
• Select the value of resistor for ILIM close to the calculated value.
• Design Calculator provides the value of ILIM based on selected value if ILIM resistor in Cell D33.
</t>
    </r>
    <r>
      <rPr>
        <b/>
        <u/>
        <sz val="11"/>
        <color theme="1"/>
        <rFont val="Calibri"/>
        <family val="2"/>
        <scheme val="minor"/>
      </rPr>
      <t>dVdT resistor and Output ramp time Calculations</t>
    </r>
    <r>
      <rPr>
        <sz val="11"/>
        <color theme="1"/>
        <rFont val="Calibri"/>
        <family val="2"/>
        <scheme val="minor"/>
      </rPr>
      <t xml:space="preserve">
• Design Calculator provides the  Tdvdt with permissible inrush current .
• Design Calculator provides calculated value of  Cdvdt for permissible inrush current in Cell D41
• Verify that sum of final inrush current and load current during startup is less than final ILimit. If sum of final inrush current and load current during startup is more than ILimit, Cell D47 turns </t>
    </r>
    <r>
      <rPr>
        <sz val="11"/>
        <color rgb="FFFF0000"/>
        <rFont val="Calibri"/>
        <family val="2"/>
        <scheme val="minor"/>
      </rPr>
      <t>RED</t>
    </r>
    <r>
      <rPr>
        <sz val="11"/>
        <color theme="1"/>
        <rFont val="Calibri"/>
        <family val="2"/>
        <scheme val="minor"/>
      </rPr>
      <t xml:space="preserve"> and value of Cdvdt needs to be increased. 
</t>
    </r>
    <r>
      <rPr>
        <b/>
        <u/>
        <sz val="11"/>
        <color theme="1"/>
        <rFont val="Calibri"/>
        <family val="2"/>
        <scheme val="minor"/>
      </rPr>
      <t>Power Dissipation and thermal regulation at start up.</t>
    </r>
    <r>
      <rPr>
        <sz val="11"/>
        <color theme="1"/>
        <rFont val="Calibri"/>
        <family val="2"/>
        <scheme val="minor"/>
      </rPr>
      <t xml:space="preserve">
• Design calculator provides the calculated values of power dissipation at start-up 
• Design calculator checks the power dissipated with thermal shutdown limit data in the adjacent sheet.
• If the device goes in to thermal regulation at startup, the device will reduce the current and regulate the junction temperature to TJ_reg value for a maximum  duration of t(Treg_timeout). Refer to </t>
    </r>
    <r>
      <rPr>
        <b/>
        <u/>
        <sz val="11"/>
        <color theme="1"/>
        <rFont val="Calibri"/>
        <family val="2"/>
        <scheme val="minor"/>
      </rPr>
      <t>Max_Cap_charging</t>
    </r>
    <r>
      <rPr>
        <sz val="11"/>
        <color theme="1"/>
        <rFont val="Calibri"/>
        <family val="2"/>
        <scheme val="minor"/>
      </rPr>
      <t xml:space="preserve"> sheet for maximum value of capacitance charged by device in thermal regulation at start-up. 
• If thermal regulation is not desirable at start up, reduce the value of permissible inrush current in Cell D14
</t>
    </r>
    <r>
      <rPr>
        <b/>
        <u/>
        <sz val="11"/>
        <color theme="1"/>
        <rFont val="Calibri"/>
        <family val="2"/>
        <scheme val="minor"/>
      </rPr>
      <t>Calculations for Power Good</t>
    </r>
    <r>
      <rPr>
        <sz val="11"/>
        <color theme="1"/>
        <rFont val="Calibri"/>
        <family val="2"/>
        <scheme val="minor"/>
      </rPr>
      <t xml:space="preserve">.
• Enter the value of power good set point in Cell D57. This value needs to be greater than or equal to UVLO set point of the DC – DC converter connected on the output of the device.
• Enter the value of R4 resistor (&gt; 100k)
• Design calculator provides the value of R5 and the voltage at which Power good will de-assert (go low).
• Verify the value of current through R4, R5 resistor. If current is less than 2uA, cell D61 turns RED and value of R4 needs to be reduced.
</t>
    </r>
    <r>
      <rPr>
        <b/>
        <u/>
        <sz val="11"/>
        <color theme="1"/>
        <rFont val="Calibri"/>
        <family val="2"/>
        <scheme val="minor"/>
      </rPr>
      <t>Calculations for Power Limit (PLIM).</t>
    </r>
    <r>
      <rPr>
        <sz val="11"/>
        <color theme="1"/>
        <rFont val="Calibri"/>
        <family val="2"/>
        <scheme val="minor"/>
      </rPr>
      <t xml:space="preserve">
• Enter the desired value of power limit based output power.
• Design calculator provides the value of PLIM resistor.
• Verify the power limit with maximum power at nominal input voltage [=VIN(nom) x ILimit]. If power limit is more than maximum power at nominal input voltage, Cell D66 turns RED.  To make power limiting effective, it is recommend to reduce the power limit. 
</t>
    </r>
    <r>
      <rPr>
        <b/>
        <u/>
        <sz val="11"/>
        <color theme="1"/>
        <rFont val="Calibri"/>
        <family val="2"/>
        <scheme val="minor"/>
      </rPr>
      <t xml:space="preserve">
Calculations for Current Monitor output</t>
    </r>
    <r>
      <rPr>
        <sz val="11"/>
        <color theme="1"/>
        <rFont val="Calibri"/>
        <family val="2"/>
        <scheme val="minor"/>
      </rPr>
      <t xml:space="preserve">
• Enter the value for maximum IMON pin voltage based on input range of the ADC connected on IMON pin
• Design calculator provides the calculated value of resistor for IMON pin
• Select the value of resistor on IMON pin in cell D72 close to calculated value.
• Verify that value of voltage is less than 4V. if value is more than 4V, Cell D73 turns RED and then reduce the resistor value in Cell D72.
</t>
    </r>
    <r>
      <rPr>
        <b/>
        <u/>
        <sz val="11"/>
        <color theme="1"/>
        <rFont val="Calibri"/>
        <family val="2"/>
        <scheme val="minor"/>
      </rPr>
      <t>Internal FET parameters and References</t>
    </r>
    <r>
      <rPr>
        <sz val="11"/>
        <color theme="1"/>
        <rFont val="Calibri"/>
        <family val="2"/>
        <scheme val="minor"/>
      </rPr>
      <t xml:space="preserve">
• Do not change the values and parameters in Internal FET parameters and References.
Selection of External FET for reverses current blocking (RCB) and Reverse polarity protection (RPP).
• Design calculator provides specifications of external FET for RCB and RPP.
</t>
    </r>
    <r>
      <rPr>
        <b/>
        <u/>
        <sz val="11"/>
        <color theme="1"/>
        <rFont val="Calibri"/>
        <family val="2"/>
        <scheme val="minor"/>
      </rPr>
      <t>Selection of Pull Down switche for External FET.</t>
    </r>
    <r>
      <rPr>
        <sz val="11"/>
        <color theme="1"/>
        <rFont val="Calibri"/>
        <family val="2"/>
        <scheme val="minor"/>
      </rPr>
      <t xml:space="preserve">
• Design calculator provides specifications for pull down switch for external FET.
</t>
    </r>
    <r>
      <rPr>
        <b/>
        <u/>
        <sz val="11"/>
        <color theme="1"/>
        <rFont val="Calibri"/>
        <family val="2"/>
        <scheme val="minor"/>
      </rPr>
      <t>Selection of components for IEC61000-4-5 (Surge)</t>
    </r>
    <r>
      <rPr>
        <sz val="11"/>
        <color theme="1"/>
        <rFont val="Calibri"/>
        <family val="2"/>
        <scheme val="minor"/>
      </rPr>
      <t xml:space="preserve">
• Enter the output load power 
• Design calculator provides the recommended value of Cout for Class-A operation based on output load power, nominal input voltage and power good set point.
</t>
    </r>
  </si>
  <si>
    <t>-40 C</t>
  </si>
  <si>
    <t>0 C</t>
  </si>
  <si>
    <t>25 C</t>
  </si>
  <si>
    <t>105 C</t>
  </si>
  <si>
    <t>32mF</t>
  </si>
  <si>
    <t>16mF</t>
  </si>
  <si>
    <t>VIN (V)</t>
  </si>
  <si>
    <t>Temperture</t>
  </si>
  <si>
    <t xml:space="preserve">Enter a value of R4 resistor [&gt; 100k] </t>
  </si>
  <si>
    <t>Recommended minimum Gate to Source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</si>
</sst>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9"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b/>
      <sz val="8"/>
      <color rgb="FF333333"/>
      <name val="Arial"/>
      <family val="2"/>
    </font>
    <font>
      <sz val="9"/>
      <color rgb="FF000000"/>
      <name val="Verdana"/>
      <family val="2"/>
    </font>
    <font>
      <b/>
      <sz val="10"/>
      <name val="Arial"/>
      <family val="2"/>
    </font>
    <font>
      <b/>
      <sz val="8"/>
      <color rgb="FF333333"/>
      <name val="Calibri"/>
      <family val="2"/>
    </font>
    <font>
      <b/>
      <sz val="24"/>
      <color rgb="FF333333"/>
      <name val="Calibri"/>
      <family val="2"/>
    </font>
    <font>
      <sz val="14"/>
      <color theme="1"/>
      <name val="Arial"/>
      <family val="2"/>
    </font>
    <font>
      <vertAlign val="subscript"/>
      <sz val="14"/>
      <color theme="1"/>
      <name val="Arial"/>
      <family val="2"/>
    </font>
    <font>
      <sz val="14"/>
      <name val="Arial"/>
      <family val="2"/>
    </font>
    <font>
      <i/>
      <sz val="14"/>
      <name val="Arial"/>
      <family val="2"/>
    </font>
    <font>
      <vertAlign val="subscript"/>
      <sz val="14"/>
      <name val="Arial"/>
      <family val="2"/>
    </font>
    <font>
      <sz val="14"/>
      <color theme="0"/>
      <name val="Arial"/>
      <family val="2"/>
    </font>
    <font>
      <i/>
      <sz val="14"/>
      <color theme="1"/>
      <name val="Arial"/>
      <family val="2"/>
    </font>
    <font>
      <vertAlign val="subscript"/>
      <sz val="16"/>
      <color theme="1"/>
      <name val="Arial"/>
      <family val="2"/>
    </font>
    <font>
      <b/>
      <sz val="14"/>
      <color theme="1"/>
      <name val="Arial"/>
      <family val="2"/>
    </font>
    <font>
      <u/>
      <sz val="11"/>
      <color theme="10"/>
      <name val="Calibri"/>
      <family val="2"/>
      <scheme val="minor"/>
    </font>
    <font>
      <u/>
      <sz val="16"/>
      <color theme="10"/>
      <name val="Calibri"/>
      <family val="2"/>
      <scheme val="minor"/>
    </font>
    <font>
      <sz val="16"/>
      <name val="Calibri"/>
      <family val="2"/>
      <scheme val="minor"/>
    </font>
    <font>
      <b/>
      <sz val="14"/>
      <name val="Arial"/>
      <family val="2"/>
    </font>
    <font>
      <b/>
      <i/>
      <sz val="14"/>
      <name val="Arial"/>
      <family val="2"/>
    </font>
    <font>
      <b/>
      <i/>
      <vertAlign val="subscript"/>
      <sz val="14"/>
      <name val="Arial"/>
      <family val="2"/>
    </font>
    <font>
      <sz val="11"/>
      <color rgb="FFFF0000"/>
      <name val="Calibri"/>
      <family val="2"/>
      <scheme val="minor"/>
    </font>
    <font>
      <b/>
      <u/>
      <sz val="11"/>
      <color theme="1"/>
      <name val="Calibri"/>
      <family val="2"/>
      <scheme val="minor"/>
    </font>
    <font>
      <b/>
      <sz val="20"/>
      <color theme="1"/>
      <name val="Calibri"/>
      <family val="2"/>
      <scheme val="minor"/>
    </font>
    <font>
      <b/>
      <sz val="11"/>
      <color rgb="FF000000"/>
      <name val="Calibri"/>
      <family val="2"/>
    </font>
    <font>
      <sz val="11"/>
      <color rgb="FF000000"/>
      <name val="Calibri"/>
      <family val="2"/>
    </font>
  </fonts>
  <fills count="26">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3" tint="0.39997558519241921"/>
        <bgColor indexed="64"/>
      </patternFill>
    </fill>
    <fill>
      <patternFill patternType="solid">
        <fgColor rgb="FFDAE7F6"/>
        <bgColor indexed="64"/>
      </patternFill>
    </fill>
    <fill>
      <patternFill patternType="solid">
        <fgColor theme="2" tint="-9.9978637043366805E-2"/>
        <bgColor indexed="64"/>
      </patternFill>
    </fill>
    <fill>
      <patternFill patternType="solid">
        <fgColor indexed="15"/>
        <bgColor indexed="64"/>
      </patternFill>
    </fill>
    <fill>
      <patternFill patternType="solid">
        <fgColor rgb="FFFFFFCC"/>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gradientFill type="path">
        <stop position="0">
          <color rgb="FF00FFFF"/>
        </stop>
        <stop position="1">
          <color rgb="FFFFFF00"/>
        </stop>
      </gradientFill>
    </fill>
    <fill>
      <patternFill patternType="solid">
        <fgColor rgb="FFFFFF99"/>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FF99"/>
        <bgColor auto="1"/>
      </patternFill>
    </fill>
    <fill>
      <patternFill patternType="solid">
        <fgColor theme="7" tint="0.39997558519241921"/>
        <bgColor indexed="64"/>
      </patternFill>
    </fill>
    <fill>
      <patternFill patternType="solid">
        <fgColor rgb="FFB1A0C7"/>
        <bgColor indexed="64"/>
      </patternFill>
    </fill>
    <fill>
      <patternFill patternType="solid">
        <fgColor theme="0" tint="-4.9989318521683403E-2"/>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rgb="FF000000"/>
      </bottom>
      <diagonal/>
    </border>
  </borders>
  <cellStyleXfs count="3">
    <xf numFmtId="0" fontId="0" fillId="0" borderId="0"/>
    <xf numFmtId="9" fontId="2" fillId="0" borderId="0" applyFont="0" applyFill="0" applyBorder="0" applyAlignment="0" applyProtection="0"/>
    <xf numFmtId="0" fontId="18" fillId="0" borderId="0" applyNumberFormat="0" applyFill="0" applyBorder="0" applyAlignment="0" applyProtection="0"/>
  </cellStyleXfs>
  <cellXfs count="181">
    <xf numFmtId="0" fontId="0" fillId="0" borderId="0" xfId="0"/>
    <xf numFmtId="2" fontId="0" fillId="0" borderId="0" xfId="0" applyNumberFormat="1"/>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0" fontId="0" fillId="2" borderId="1" xfId="0" applyFill="1" applyBorder="1" applyAlignment="1">
      <alignment horizontal="center" vertical="center"/>
    </xf>
    <xf numFmtId="0" fontId="4" fillId="10" borderId="7" xfId="0" applyFont="1" applyFill="1" applyBorder="1" applyAlignment="1">
      <alignment horizontal="center" vertical="center" wrapText="1"/>
    </xf>
    <xf numFmtId="164" fontId="5" fillId="0" borderId="7" xfId="0" applyNumberFormat="1" applyFont="1" applyBorder="1" applyAlignment="1">
      <alignment vertical="center" wrapText="1"/>
    </xf>
    <xf numFmtId="166" fontId="5" fillId="0" borderId="7" xfId="0" applyNumberFormat="1" applyFont="1" applyBorder="1" applyAlignment="1">
      <alignment vertical="center" wrapText="1"/>
    </xf>
    <xf numFmtId="2" fontId="5" fillId="0" borderId="7" xfId="0" applyNumberFormat="1" applyFont="1" applyBorder="1" applyAlignment="1">
      <alignment vertical="center" wrapText="1"/>
    </xf>
    <xf numFmtId="0" fontId="8" fillId="0" borderId="0" xfId="0" applyFont="1"/>
    <xf numFmtId="164" fontId="5" fillId="0" borderId="12" xfId="0" applyNumberFormat="1" applyFont="1" applyBorder="1" applyAlignment="1">
      <alignment vertical="center" wrapText="1"/>
    </xf>
    <xf numFmtId="164" fontId="5" fillId="0" borderId="1" xfId="0" applyNumberFormat="1" applyFont="1" applyFill="1" applyBorder="1" applyAlignment="1">
      <alignment vertical="center" wrapText="1"/>
    </xf>
    <xf numFmtId="0" fontId="9" fillId="17" borderId="16" xfId="0" applyFont="1" applyFill="1" applyBorder="1" applyAlignment="1" applyProtection="1">
      <alignment horizontal="left" vertical="center"/>
    </xf>
    <xf numFmtId="9" fontId="9" fillId="5" borderId="1" xfId="1" applyNumberFormat="1" applyFont="1" applyFill="1" applyBorder="1" applyAlignment="1" applyProtection="1">
      <alignment horizontal="center" vertical="center"/>
    </xf>
    <xf numFmtId="0" fontId="9" fillId="7" borderId="1" xfId="0" applyFont="1" applyFill="1" applyBorder="1" applyAlignment="1" applyProtection="1">
      <alignment horizontal="left" vertical="center"/>
    </xf>
    <xf numFmtId="0" fontId="9" fillId="15" borderId="1" xfId="0" applyFont="1" applyFill="1" applyBorder="1" applyAlignment="1" applyProtection="1">
      <alignment horizontal="left" vertical="center"/>
    </xf>
    <xf numFmtId="0" fontId="11" fillId="0" borderId="0" xfId="0" applyFont="1" applyFill="1" applyAlignment="1" applyProtection="1">
      <alignment horizontal="left" vertical="center"/>
    </xf>
    <xf numFmtId="0" fontId="9" fillId="0" borderId="0" xfId="0" applyFont="1" applyFill="1" applyAlignment="1" applyProtection="1">
      <alignment horizontal="left" vertical="center"/>
    </xf>
    <xf numFmtId="2" fontId="9" fillId="0" borderId="0" xfId="0" applyNumberFormat="1" applyFont="1" applyAlignment="1" applyProtection="1">
      <alignment horizontal="center" vertical="center"/>
    </xf>
    <xf numFmtId="0" fontId="9" fillId="0" borderId="0" xfId="0" applyFont="1" applyAlignment="1" applyProtection="1">
      <alignment horizontal="center" vertical="center"/>
    </xf>
    <xf numFmtId="0" fontId="9" fillId="0" borderId="0" xfId="0" applyFont="1" applyAlignment="1">
      <alignment horizontal="left" vertical="center"/>
    </xf>
    <xf numFmtId="0" fontId="9" fillId="0" borderId="0" xfId="0" applyFont="1" applyAlignment="1">
      <alignment vertical="center"/>
    </xf>
    <xf numFmtId="2" fontId="9" fillId="0" borderId="0" xfId="0" applyNumberFormat="1" applyFont="1" applyAlignment="1">
      <alignment vertical="center"/>
    </xf>
    <xf numFmtId="2" fontId="11" fillId="8" borderId="1" xfId="0" applyNumberFormat="1" applyFont="1" applyFill="1" applyBorder="1" applyAlignment="1" applyProtection="1">
      <alignment horizontal="center" vertical="center"/>
    </xf>
    <xf numFmtId="0" fontId="9" fillId="17" borderId="0" xfId="0" applyFont="1" applyFill="1" applyBorder="1" applyAlignment="1" applyProtection="1">
      <alignment horizontal="left" vertical="center"/>
    </xf>
    <xf numFmtId="2" fontId="11" fillId="9" borderId="1" xfId="0" applyNumberFormat="1" applyFont="1" applyFill="1" applyBorder="1" applyAlignment="1" applyProtection="1">
      <alignment horizontal="center" vertical="center"/>
    </xf>
    <xf numFmtId="0" fontId="9" fillId="0" borderId="0" xfId="0" applyFont="1" applyAlignment="1" applyProtection="1">
      <alignment horizontal="left" vertical="center"/>
    </xf>
    <xf numFmtId="0" fontId="9" fillId="16" borderId="0" xfId="0" applyFont="1" applyFill="1" applyBorder="1" applyAlignment="1" applyProtection="1">
      <alignment horizontal="left" vertical="center" wrapText="1"/>
    </xf>
    <xf numFmtId="0" fontId="9" fillId="17" borderId="1" xfId="0" applyFont="1" applyFill="1" applyBorder="1" applyAlignment="1" applyProtection="1">
      <alignment horizontal="left" vertical="center"/>
    </xf>
    <xf numFmtId="164" fontId="11" fillId="17" borderId="1" xfId="0" applyNumberFormat="1" applyFont="1" applyFill="1" applyBorder="1" applyAlignment="1" applyProtection="1">
      <alignment horizontal="center" vertical="center"/>
    </xf>
    <xf numFmtId="0" fontId="9" fillId="15" borderId="1" xfId="0" applyFont="1" applyFill="1" applyBorder="1" applyAlignment="1" applyProtection="1">
      <alignment horizontal="center" vertical="center"/>
    </xf>
    <xf numFmtId="165" fontId="9" fillId="15" borderId="1" xfId="1" applyNumberFormat="1" applyFont="1" applyFill="1" applyBorder="1" applyAlignment="1" applyProtection="1">
      <alignment horizontal="center" vertical="center"/>
    </xf>
    <xf numFmtId="9" fontId="9" fillId="17" borderId="1" xfId="1" applyNumberFormat="1" applyFont="1" applyFill="1" applyBorder="1" applyAlignment="1" applyProtection="1">
      <alignment horizontal="center" vertical="center"/>
    </xf>
    <xf numFmtId="0" fontId="9" fillId="17" borderId="20" xfId="0" applyFont="1" applyFill="1" applyBorder="1" applyAlignment="1" applyProtection="1">
      <alignment horizontal="left" vertical="center"/>
    </xf>
    <xf numFmtId="0" fontId="9" fillId="15" borderId="18" xfId="0" applyFont="1" applyFill="1" applyBorder="1" applyAlignment="1" applyProtection="1">
      <alignment horizontal="center" vertical="center"/>
    </xf>
    <xf numFmtId="0" fontId="9" fillId="16" borderId="16" xfId="0" applyFont="1" applyFill="1" applyBorder="1" applyAlignment="1" applyProtection="1">
      <alignment horizontal="left" vertical="center"/>
    </xf>
    <xf numFmtId="0" fontId="9" fillId="16" borderId="17" xfId="0" applyFont="1" applyFill="1" applyBorder="1" applyAlignment="1" applyProtection="1">
      <alignment horizontal="left" vertical="center"/>
    </xf>
    <xf numFmtId="2" fontId="11" fillId="16" borderId="1" xfId="0" applyNumberFormat="1" applyFont="1" applyFill="1" applyBorder="1" applyAlignment="1" applyProtection="1">
      <alignment horizontal="center" vertical="center"/>
      <protection locked="0"/>
    </xf>
    <xf numFmtId="0" fontId="12" fillId="18" borderId="1" xfId="0" applyFont="1" applyFill="1" applyBorder="1" applyAlignment="1" applyProtection="1">
      <alignment horizontal="center" vertical="center" wrapText="1"/>
    </xf>
    <xf numFmtId="165" fontId="9" fillId="17" borderId="1" xfId="1" applyNumberFormat="1" applyFont="1" applyFill="1" applyBorder="1" applyAlignment="1" applyProtection="1">
      <alignment horizontal="center" vertical="center"/>
    </xf>
    <xf numFmtId="164" fontId="11" fillId="5" borderId="1" xfId="0" applyNumberFormat="1" applyFont="1" applyFill="1" applyBorder="1" applyAlignment="1" applyProtection="1">
      <alignment horizontal="center" vertical="center"/>
    </xf>
    <xf numFmtId="0" fontId="11" fillId="15" borderId="1" xfId="0" applyFont="1" applyFill="1" applyBorder="1" applyAlignment="1" applyProtection="1">
      <alignment horizontal="center" vertical="center"/>
    </xf>
    <xf numFmtId="165" fontId="11" fillId="15" borderId="1" xfId="1" applyNumberFormat="1" applyFont="1" applyFill="1" applyBorder="1" applyAlignment="1" applyProtection="1">
      <alignment horizontal="center" vertical="center"/>
    </xf>
    <xf numFmtId="2" fontId="9" fillId="0" borderId="0" xfId="0" applyNumberFormat="1" applyFont="1" applyAlignment="1">
      <alignment vertical="center" wrapText="1"/>
    </xf>
    <xf numFmtId="2" fontId="11" fillId="2" borderId="1" xfId="0" applyNumberFormat="1" applyFont="1" applyFill="1" applyBorder="1" applyAlignment="1" applyProtection="1">
      <alignment horizontal="center" vertical="center"/>
    </xf>
    <xf numFmtId="2" fontId="11" fillId="15" borderId="1" xfId="0" applyNumberFormat="1" applyFont="1" applyFill="1" applyBorder="1" applyAlignment="1" applyProtection="1">
      <alignment horizontal="center" vertical="center"/>
    </xf>
    <xf numFmtId="0" fontId="9" fillId="16" borderId="1" xfId="0" applyFont="1" applyFill="1" applyBorder="1" applyAlignment="1" applyProtection="1">
      <alignment horizontal="left" vertical="center"/>
    </xf>
    <xf numFmtId="165" fontId="11" fillId="16" borderId="1" xfId="1" applyNumberFormat="1" applyFont="1" applyFill="1" applyBorder="1" applyAlignment="1" applyProtection="1">
      <alignment horizontal="center" vertical="center"/>
      <protection locked="0"/>
    </xf>
    <xf numFmtId="0" fontId="9" fillId="0" borderId="0" xfId="0" applyFont="1" applyAlignment="1">
      <alignment horizontal="right" vertical="center"/>
    </xf>
    <xf numFmtId="2" fontId="9" fillId="0" borderId="0" xfId="0" applyNumberFormat="1" applyFont="1" applyAlignment="1">
      <alignment horizontal="left" vertical="center"/>
    </xf>
    <xf numFmtId="0" fontId="9" fillId="22" borderId="1" xfId="0" applyFont="1" applyFill="1" applyBorder="1" applyAlignment="1" applyProtection="1">
      <alignment horizontal="left" vertical="center"/>
    </xf>
    <xf numFmtId="2" fontId="11" fillId="5" borderId="1" xfId="0" applyNumberFormat="1" applyFont="1" applyFill="1" applyBorder="1" applyAlignment="1" applyProtection="1">
      <alignment horizontal="center" vertical="center"/>
    </xf>
    <xf numFmtId="2" fontId="9" fillId="2" borderId="1" xfId="0" applyNumberFormat="1" applyFont="1" applyFill="1" applyBorder="1" applyAlignment="1" applyProtection="1">
      <alignment horizontal="center" vertical="center"/>
    </xf>
    <xf numFmtId="9" fontId="9" fillId="0" borderId="0" xfId="0" applyNumberFormat="1" applyFont="1" applyAlignment="1">
      <alignment vertical="center"/>
    </xf>
    <xf numFmtId="0" fontId="14" fillId="6" borderId="1" xfId="0" applyFont="1" applyFill="1" applyBorder="1" applyAlignment="1" applyProtection="1">
      <alignment horizontal="left" vertical="center"/>
    </xf>
    <xf numFmtId="2" fontId="14" fillId="6" borderId="1" xfId="0" applyNumberFormat="1" applyFont="1" applyFill="1" applyBorder="1" applyAlignment="1" applyProtection="1">
      <alignment horizontal="center" vertical="center"/>
    </xf>
    <xf numFmtId="0" fontId="14" fillId="6" borderId="1" xfId="0"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9" fillId="21" borderId="1" xfId="0" applyFont="1" applyFill="1" applyBorder="1" applyAlignment="1" applyProtection="1">
      <alignment horizontal="left" vertical="center"/>
    </xf>
    <xf numFmtId="164" fontId="11" fillId="21" borderId="1" xfId="0" applyNumberFormat="1" applyFont="1" applyFill="1" applyBorder="1" applyAlignment="1" applyProtection="1">
      <alignment horizontal="center" vertical="center"/>
      <protection locked="0"/>
    </xf>
    <xf numFmtId="10" fontId="9" fillId="0" borderId="0" xfId="0" applyNumberFormat="1" applyFont="1" applyAlignment="1">
      <alignment vertical="center"/>
    </xf>
    <xf numFmtId="166" fontId="11" fillId="21" borderId="1" xfId="0" applyNumberFormat="1" applyFont="1" applyFill="1" applyBorder="1" applyAlignment="1" applyProtection="1">
      <alignment horizontal="center" vertical="center"/>
      <protection locked="0"/>
    </xf>
    <xf numFmtId="9" fontId="11" fillId="21" borderId="1" xfId="1" applyNumberFormat="1" applyFont="1" applyFill="1" applyBorder="1" applyAlignment="1" applyProtection="1">
      <alignment horizontal="center" vertical="center"/>
      <protection locked="0"/>
    </xf>
    <xf numFmtId="0" fontId="9" fillId="18" borderId="1" xfId="0" applyFont="1" applyFill="1" applyBorder="1" applyAlignment="1" applyProtection="1">
      <alignment horizontal="center" vertical="center"/>
    </xf>
    <xf numFmtId="0" fontId="15" fillId="0" borderId="0" xfId="0" applyFont="1" applyAlignment="1" applyProtection="1">
      <alignment horizontal="left" vertical="center"/>
    </xf>
    <xf numFmtId="0" fontId="11" fillId="3" borderId="1" xfId="0" applyFont="1" applyFill="1" applyBorder="1" applyAlignment="1" applyProtection="1">
      <alignment horizontal="left" vertical="center"/>
    </xf>
    <xf numFmtId="2" fontId="11" fillId="3" borderId="1" xfId="0" applyNumberFormat="1" applyFont="1" applyFill="1" applyBorder="1" applyAlignment="1" applyProtection="1">
      <alignment horizontal="center" vertical="center"/>
    </xf>
    <xf numFmtId="0" fontId="11" fillId="3" borderId="1" xfId="0" applyFont="1" applyFill="1" applyBorder="1" applyAlignment="1" applyProtection="1">
      <alignment horizontal="center" vertical="center"/>
    </xf>
    <xf numFmtId="0" fontId="9" fillId="4" borderId="1" xfId="0" applyFont="1" applyFill="1" applyBorder="1" applyAlignment="1" applyProtection="1">
      <alignment horizontal="left" vertical="center"/>
    </xf>
    <xf numFmtId="1" fontId="11" fillId="8" borderId="1" xfId="0" applyNumberFormat="1" applyFont="1" applyFill="1" applyBorder="1" applyAlignment="1" applyProtection="1">
      <alignment horizontal="center" vertical="center"/>
    </xf>
    <xf numFmtId="0" fontId="9" fillId="0" borderId="0" xfId="0" applyFont="1" applyFill="1" applyAlignment="1" applyProtection="1">
      <alignment horizontal="center" vertical="center"/>
    </xf>
    <xf numFmtId="0" fontId="9" fillId="4" borderId="2" xfId="0" applyFont="1" applyFill="1" applyBorder="1" applyAlignment="1" applyProtection="1">
      <alignment horizontal="left" vertical="center"/>
    </xf>
    <xf numFmtId="0" fontId="9" fillId="4" borderId="3" xfId="0" applyFont="1" applyFill="1" applyBorder="1" applyAlignment="1" applyProtection="1">
      <alignment horizontal="left" vertical="center"/>
    </xf>
    <xf numFmtId="2" fontId="11" fillId="8" borderId="3" xfId="0" applyNumberFormat="1" applyFont="1" applyFill="1" applyBorder="1" applyAlignment="1" applyProtection="1">
      <alignment horizontal="center" vertical="center"/>
    </xf>
    <xf numFmtId="0" fontId="9" fillId="15" borderId="3" xfId="0" applyFont="1" applyFill="1" applyBorder="1" applyAlignment="1" applyProtection="1">
      <alignment horizontal="center" vertical="center"/>
    </xf>
    <xf numFmtId="165" fontId="9" fillId="15" borderId="4" xfId="1" quotePrefix="1" applyNumberFormat="1" applyFont="1" applyFill="1" applyBorder="1" applyAlignment="1" applyProtection="1">
      <alignment horizontal="center" vertical="center"/>
    </xf>
    <xf numFmtId="0" fontId="9" fillId="4" borderId="14" xfId="0" applyFont="1" applyFill="1" applyBorder="1" applyAlignment="1" applyProtection="1">
      <alignment horizontal="left" vertical="center"/>
    </xf>
    <xf numFmtId="165" fontId="9" fillId="15" borderId="8" xfId="1" applyNumberFormat="1" applyFont="1" applyFill="1" applyBorder="1" applyAlignment="1" applyProtection="1">
      <alignment horizontal="center" vertical="center"/>
    </xf>
    <xf numFmtId="0" fontId="9" fillId="4" borderId="1" xfId="0" applyFont="1" applyFill="1" applyBorder="1" applyAlignment="1" applyProtection="1">
      <alignment horizontal="left" vertical="center" wrapText="1"/>
    </xf>
    <xf numFmtId="0" fontId="9" fillId="0" borderId="0" xfId="0" applyFont="1" applyFill="1" applyAlignment="1">
      <alignment vertical="center"/>
    </xf>
    <xf numFmtId="0" fontId="9" fillId="4" borderId="15" xfId="0" applyFont="1" applyFill="1" applyBorder="1" applyAlignment="1" applyProtection="1">
      <alignment horizontal="left" vertical="center"/>
    </xf>
    <xf numFmtId="0" fontId="9" fillId="4" borderId="6" xfId="0" applyFont="1" applyFill="1" applyBorder="1" applyAlignment="1" applyProtection="1">
      <alignment horizontal="left" vertical="center"/>
    </xf>
    <xf numFmtId="2" fontId="11" fillId="8" borderId="6" xfId="0" applyNumberFormat="1" applyFont="1" applyFill="1" applyBorder="1" applyAlignment="1" applyProtection="1">
      <alignment horizontal="center" vertical="center"/>
    </xf>
    <xf numFmtId="0" fontId="9" fillId="15" borderId="6" xfId="0" applyFont="1" applyFill="1" applyBorder="1" applyAlignment="1" applyProtection="1">
      <alignment horizontal="center" vertical="center"/>
    </xf>
    <xf numFmtId="165" fontId="9" fillId="15" borderId="9" xfId="1" applyNumberFormat="1" applyFont="1" applyFill="1" applyBorder="1" applyAlignment="1" applyProtection="1">
      <alignment horizontal="center" vertical="center"/>
    </xf>
    <xf numFmtId="2" fontId="9" fillId="0" borderId="0" xfId="0" applyNumberFormat="1" applyFont="1" applyAlignment="1">
      <alignment horizontal="center" vertical="center"/>
    </xf>
    <xf numFmtId="0" fontId="9" fillId="0" borderId="0" xfId="0" applyFont="1" applyAlignment="1">
      <alignment horizontal="center" vertical="center"/>
    </xf>
    <xf numFmtId="0" fontId="9" fillId="2" borderId="1" xfId="0" applyFont="1" applyFill="1" applyBorder="1" applyAlignment="1" applyProtection="1">
      <alignment horizontal="left" vertical="center"/>
    </xf>
    <xf numFmtId="165" fontId="11" fillId="5" borderId="1" xfId="1" applyNumberFormat="1" applyFont="1" applyFill="1" applyBorder="1" applyAlignment="1" applyProtection="1">
      <alignment horizontal="center" vertical="center"/>
    </xf>
    <xf numFmtId="165" fontId="9" fillId="5" borderId="1" xfId="1" applyNumberFormat="1" applyFont="1" applyFill="1" applyBorder="1" applyAlignment="1" applyProtection="1">
      <alignment horizontal="center" vertical="center"/>
    </xf>
    <xf numFmtId="2" fontId="11" fillId="0" borderId="1" xfId="0" applyNumberFormat="1" applyFont="1" applyFill="1" applyBorder="1" applyAlignment="1" applyProtection="1">
      <alignment horizontal="center" vertical="center"/>
    </xf>
    <xf numFmtId="0" fontId="9" fillId="23" borderId="1" xfId="0" applyFont="1" applyFill="1" applyBorder="1" applyAlignment="1" applyProtection="1">
      <alignment horizontal="left" vertical="center"/>
    </xf>
    <xf numFmtId="0" fontId="12" fillId="18" borderId="1" xfId="0" applyFont="1" applyFill="1" applyBorder="1" applyAlignment="1" applyProtection="1">
      <alignment horizontal="left" vertical="center" wrapText="1"/>
    </xf>
    <xf numFmtId="164" fontId="11" fillId="17" borderId="1" xfId="0" applyNumberFormat="1" applyFont="1" applyFill="1" applyBorder="1" applyAlignment="1" applyProtection="1">
      <alignment horizontal="center" vertical="center"/>
      <protection locked="0"/>
    </xf>
    <xf numFmtId="2" fontId="11" fillId="17" borderId="1" xfId="0" applyNumberFormat="1" applyFont="1" applyFill="1" applyBorder="1" applyAlignment="1" applyProtection="1">
      <alignment horizontal="center" vertical="center"/>
      <protection locked="0"/>
    </xf>
    <xf numFmtId="1" fontId="11" fillId="17" borderId="1" xfId="0" applyNumberFormat="1" applyFont="1" applyFill="1" applyBorder="1" applyAlignment="1" applyProtection="1">
      <alignment horizontal="center" vertical="center"/>
      <protection locked="0"/>
    </xf>
    <xf numFmtId="164" fontId="11" fillId="17" borderId="13" xfId="0" applyNumberFormat="1" applyFont="1" applyFill="1" applyBorder="1" applyAlignment="1" applyProtection="1">
      <alignment horizontal="center" vertical="center"/>
      <protection locked="0"/>
    </xf>
    <xf numFmtId="0" fontId="6" fillId="0" borderId="5" xfId="0" applyFont="1" applyBorder="1" applyAlignment="1" applyProtection="1">
      <alignment horizontal="left"/>
    </xf>
    <xf numFmtId="0" fontId="6" fillId="0" borderId="5" xfId="0" applyFont="1" applyBorder="1" applyAlignment="1" applyProtection="1">
      <alignment horizontal="center"/>
    </xf>
    <xf numFmtId="0" fontId="6" fillId="0" borderId="0" xfId="0" applyFont="1" applyBorder="1" applyAlignment="1" applyProtection="1">
      <alignment horizontal="center"/>
    </xf>
    <xf numFmtId="0" fontId="0" fillId="0" borderId="0" xfId="0" applyAlignment="1" applyProtection="1"/>
    <xf numFmtId="0" fontId="0" fillId="19" borderId="0" xfId="0" applyFill="1" applyAlignment="1" applyProtection="1"/>
    <xf numFmtId="0" fontId="6" fillId="0" borderId="5" xfId="0" applyFont="1" applyBorder="1" applyAlignment="1" applyProtection="1">
      <alignment horizontal="left" indent="1"/>
    </xf>
    <xf numFmtId="0" fontId="0" fillId="0" borderId="5" xfId="0" applyBorder="1" applyAlignment="1" applyProtection="1"/>
    <xf numFmtId="0" fontId="6" fillId="0" borderId="10" xfId="0" applyFont="1" applyBorder="1" applyAlignment="1" applyProtection="1">
      <alignment horizontal="center" vertical="center"/>
    </xf>
    <xf numFmtId="0" fontId="6" fillId="0" borderId="11" xfId="0" applyFont="1" applyBorder="1" applyAlignment="1" applyProtection="1">
      <alignment horizontal="center" vertical="center"/>
    </xf>
    <xf numFmtId="0" fontId="0" fillId="0" borderId="0" xfId="0" applyAlignment="1" applyProtection="1">
      <alignment horizontal="left" indent="1"/>
    </xf>
    <xf numFmtId="2" fontId="0" fillId="0" borderId="0" xfId="0" applyNumberFormat="1" applyAlignment="1" applyProtection="1">
      <alignment horizontal="center"/>
    </xf>
    <xf numFmtId="0" fontId="0" fillId="20" borderId="0" xfId="0" applyFill="1" applyAlignment="1" applyProtection="1"/>
    <xf numFmtId="0" fontId="1" fillId="0" borderId="0" xfId="0" applyFont="1" applyAlignment="1" applyProtection="1">
      <alignment horizontal="left" indent="1"/>
    </xf>
    <xf numFmtId="0" fontId="1" fillId="0" borderId="0" xfId="0" applyFont="1" applyAlignment="1" applyProtection="1">
      <alignment horizontal="left"/>
    </xf>
    <xf numFmtId="0" fontId="0" fillId="0" borderId="0" xfId="0" applyAlignment="1" applyProtection="1">
      <alignment horizontal="center"/>
    </xf>
    <xf numFmtId="2" fontId="0" fillId="0" borderId="21" xfId="0" applyNumberFormat="1" applyBorder="1" applyAlignment="1" applyProtection="1">
      <alignment horizontal="center"/>
    </xf>
    <xf numFmtId="2" fontId="0" fillId="0" borderId="19" xfId="0" applyNumberFormat="1" applyBorder="1" applyAlignment="1" applyProtection="1">
      <alignment horizontal="center"/>
    </xf>
    <xf numFmtId="2" fontId="0" fillId="0" borderId="23" xfId="0" applyNumberFormat="1" applyBorder="1" applyAlignment="1" applyProtection="1">
      <alignment horizontal="center"/>
    </xf>
    <xf numFmtId="2" fontId="0" fillId="0" borderId="22" xfId="0" applyNumberFormat="1" applyBorder="1" applyAlignment="1" applyProtection="1">
      <alignment horizontal="center"/>
    </xf>
    <xf numFmtId="2" fontId="0" fillId="0" borderId="0" xfId="0" applyNumberFormat="1" applyBorder="1" applyAlignment="1" applyProtection="1">
      <alignment horizontal="center"/>
    </xf>
    <xf numFmtId="2" fontId="0" fillId="0" borderId="24" xfId="0" applyNumberFormat="1" applyBorder="1" applyAlignment="1" applyProtection="1">
      <alignment horizontal="center"/>
    </xf>
    <xf numFmtId="2" fontId="0" fillId="0" borderId="16" xfId="0" applyNumberFormat="1" applyBorder="1" applyAlignment="1" applyProtection="1">
      <alignment horizontal="center"/>
    </xf>
    <xf numFmtId="2" fontId="0" fillId="0" borderId="20" xfId="0" applyNumberFormat="1" applyBorder="1" applyAlignment="1" applyProtection="1">
      <alignment horizontal="center"/>
    </xf>
    <xf numFmtId="2" fontId="0" fillId="0" borderId="25" xfId="0" applyNumberFormat="1" applyBorder="1" applyAlignment="1" applyProtection="1">
      <alignment horizontal="center"/>
    </xf>
    <xf numFmtId="0" fontId="11" fillId="17" borderId="1" xfId="0" applyFont="1" applyFill="1" applyBorder="1" applyAlignment="1" applyProtection="1">
      <alignment horizontal="left" vertical="center"/>
    </xf>
    <xf numFmtId="0" fontId="11" fillId="15" borderId="26" xfId="0" applyFont="1" applyFill="1" applyBorder="1" applyAlignment="1" applyProtection="1">
      <alignment horizontal="center" vertical="center"/>
    </xf>
    <xf numFmtId="0" fontId="17" fillId="25" borderId="14" xfId="0" applyFont="1" applyFill="1" applyBorder="1" applyAlignment="1" applyProtection="1">
      <alignment horizontal="left" vertical="center"/>
    </xf>
    <xf numFmtId="0" fontId="9" fillId="25" borderId="1" xfId="0" applyFont="1" applyFill="1" applyBorder="1" applyAlignment="1" applyProtection="1">
      <alignment horizontal="left" vertical="center" wrapText="1"/>
    </xf>
    <xf numFmtId="2" fontId="19" fillId="25" borderId="1" xfId="2" applyNumberFormat="1" applyFont="1" applyFill="1" applyBorder="1" applyAlignment="1" applyProtection="1">
      <alignment horizontal="center" vertical="center"/>
    </xf>
    <xf numFmtId="0" fontId="9" fillId="25" borderId="1" xfId="0" applyFont="1" applyFill="1" applyBorder="1" applyAlignment="1" applyProtection="1">
      <alignment horizontal="center" vertical="center"/>
    </xf>
    <xf numFmtId="165" fontId="9" fillId="25" borderId="8" xfId="1" applyNumberFormat="1" applyFont="1" applyFill="1" applyBorder="1" applyAlignment="1" applyProtection="1">
      <alignment horizontal="center" vertical="center"/>
    </xf>
    <xf numFmtId="2" fontId="20" fillId="25" borderId="1" xfId="2" applyNumberFormat="1" applyFont="1" applyFill="1" applyBorder="1" applyAlignment="1" applyProtection="1">
      <alignment horizontal="center" vertical="center"/>
    </xf>
    <xf numFmtId="0" fontId="21" fillId="24" borderId="1" xfId="0" applyFont="1" applyFill="1" applyBorder="1" applyAlignment="1" applyProtection="1">
      <alignment horizontal="left" vertical="center"/>
    </xf>
    <xf numFmtId="2" fontId="21" fillId="24" borderId="1" xfId="0" applyNumberFormat="1" applyFont="1" applyFill="1" applyBorder="1" applyAlignment="1" applyProtection="1">
      <alignment horizontal="center" vertical="center"/>
    </xf>
    <xf numFmtId="0" fontId="21" fillId="24" borderId="8" xfId="0" applyFont="1" applyFill="1" applyBorder="1" applyAlignment="1" applyProtection="1">
      <alignment horizontal="center" vertical="center"/>
    </xf>
    <xf numFmtId="0" fontId="21" fillId="24" borderId="1" xfId="0" applyFont="1" applyFill="1" applyBorder="1" applyAlignment="1" applyProtection="1">
      <alignment horizontal="center" vertical="center"/>
    </xf>
    <xf numFmtId="0" fontId="22" fillId="24" borderId="1" xfId="0" applyFont="1" applyFill="1" applyBorder="1" applyAlignment="1" applyProtection="1">
      <alignment horizontal="left" vertical="center"/>
    </xf>
    <xf numFmtId="0" fontId="22" fillId="24" borderId="1" xfId="0" applyFont="1" applyFill="1" applyBorder="1" applyAlignment="1" applyProtection="1">
      <alignment horizontal="left" vertical="center" wrapText="1"/>
    </xf>
    <xf numFmtId="2" fontId="22" fillId="24" borderId="1" xfId="0" applyNumberFormat="1" applyFont="1" applyFill="1" applyBorder="1" applyAlignment="1" applyProtection="1">
      <alignment horizontal="center" vertical="center" wrapText="1"/>
    </xf>
    <xf numFmtId="0" fontId="22" fillId="24" borderId="1" xfId="0" applyFont="1" applyFill="1" applyBorder="1" applyAlignment="1" applyProtection="1">
      <alignment horizontal="center" vertical="center" wrapText="1"/>
    </xf>
    <xf numFmtId="0" fontId="9" fillId="4" borderId="27" xfId="0" applyFont="1" applyFill="1" applyBorder="1" applyAlignment="1" applyProtection="1">
      <alignment horizontal="left" vertical="center"/>
    </xf>
    <xf numFmtId="0" fontId="9" fillId="4" borderId="13" xfId="0" applyFont="1" applyFill="1" applyBorder="1" applyAlignment="1" applyProtection="1">
      <alignment horizontal="left" vertical="center"/>
    </xf>
    <xf numFmtId="2" fontId="11" fillId="8" borderId="13" xfId="0" applyNumberFormat="1" applyFont="1" applyFill="1" applyBorder="1" applyAlignment="1" applyProtection="1">
      <alignment horizontal="center" vertical="center"/>
    </xf>
    <xf numFmtId="0" fontId="9" fillId="15" borderId="13" xfId="0" applyFont="1" applyFill="1" applyBorder="1" applyAlignment="1" applyProtection="1">
      <alignment horizontal="center" vertical="center"/>
    </xf>
    <xf numFmtId="165" fontId="9" fillId="15" borderId="28" xfId="1" applyNumberFormat="1" applyFont="1" applyFill="1" applyBorder="1" applyAlignment="1" applyProtection="1">
      <alignment horizontal="center" vertical="center"/>
    </xf>
    <xf numFmtId="0" fontId="17" fillId="15" borderId="1" xfId="0" applyFont="1" applyFill="1" applyBorder="1" applyAlignment="1" applyProtection="1">
      <alignment horizontal="center" vertical="center"/>
    </xf>
    <xf numFmtId="0" fontId="9" fillId="24" borderId="1" xfId="0" applyFont="1" applyFill="1" applyBorder="1" applyAlignment="1">
      <alignment horizontal="center" vertical="center"/>
    </xf>
    <xf numFmtId="0" fontId="9" fillId="0" borderId="0" xfId="0" applyFont="1" applyFill="1" applyBorder="1" applyAlignment="1" applyProtection="1">
      <alignment horizontal="left" vertical="center"/>
    </xf>
    <xf numFmtId="2" fontId="11" fillId="0" borderId="0" xfId="0" applyNumberFormat="1" applyFont="1" applyFill="1" applyBorder="1" applyAlignment="1" applyProtection="1">
      <alignment horizontal="center" vertical="center"/>
    </xf>
    <xf numFmtId="0" fontId="11" fillId="0" borderId="0" xfId="0" applyFont="1" applyFill="1" applyBorder="1" applyAlignment="1" applyProtection="1">
      <alignment horizontal="center" vertical="center"/>
    </xf>
    <xf numFmtId="165" fontId="11" fillId="0" borderId="0" xfId="1" applyNumberFormat="1" applyFont="1" applyFill="1" applyBorder="1" applyAlignment="1" applyProtection="1">
      <alignment horizontal="center" vertical="center"/>
    </xf>
    <xf numFmtId="0" fontId="9" fillId="0" borderId="0" xfId="0" applyFont="1" applyFill="1" applyAlignment="1">
      <alignment horizontal="left" vertical="center"/>
    </xf>
    <xf numFmtId="2" fontId="9" fillId="0" borderId="0" xfId="0" applyNumberFormat="1" applyFont="1" applyFill="1" applyAlignment="1">
      <alignment vertical="center"/>
    </xf>
    <xf numFmtId="0" fontId="11" fillId="5" borderId="1" xfId="0" applyNumberFormat="1" applyFont="1" applyFill="1" applyBorder="1" applyAlignment="1" applyProtection="1">
      <alignment horizontal="center" vertical="center"/>
    </xf>
    <xf numFmtId="0" fontId="22" fillId="24" borderId="1" xfId="0" applyFont="1" applyFill="1" applyBorder="1" applyAlignment="1" applyProtection="1">
      <alignment horizontal="left" vertical="center" wrapText="1"/>
    </xf>
    <xf numFmtId="0" fontId="9" fillId="2" borderId="26" xfId="0" applyFont="1" applyFill="1" applyBorder="1" applyAlignment="1" applyProtection="1">
      <alignment horizontal="left" vertical="center"/>
    </xf>
    <xf numFmtId="0" fontId="9" fillId="2" borderId="18" xfId="0" applyFont="1" applyFill="1" applyBorder="1" applyAlignment="1" applyProtection="1">
      <alignment horizontal="left" vertical="center"/>
    </xf>
    <xf numFmtId="0" fontId="9" fillId="17" borderId="2" xfId="0" applyFont="1" applyFill="1" applyBorder="1" applyAlignment="1" applyProtection="1">
      <alignment horizontal="left" vertical="center"/>
    </xf>
    <xf numFmtId="0" fontId="9" fillId="17" borderId="3" xfId="0" applyFont="1" applyFill="1" applyBorder="1" applyAlignment="1" applyProtection="1">
      <alignment horizontal="left" vertical="center"/>
    </xf>
    <xf numFmtId="164" fontId="9" fillId="5" borderId="1" xfId="0" applyNumberFormat="1" applyFont="1" applyFill="1" applyBorder="1" applyAlignment="1" applyProtection="1">
      <alignment horizontal="center" vertical="center"/>
    </xf>
    <xf numFmtId="166" fontId="9" fillId="5" borderId="1" xfId="0" applyNumberFormat="1" applyFont="1" applyFill="1" applyBorder="1" applyAlignment="1" applyProtection="1">
      <alignment horizontal="center" vertical="center"/>
    </xf>
    <xf numFmtId="1" fontId="11" fillId="5" borderId="1" xfId="0" applyNumberFormat="1" applyFont="1" applyFill="1" applyBorder="1" applyAlignment="1" applyProtection="1">
      <alignment horizontal="center" vertical="center"/>
    </xf>
    <xf numFmtId="0" fontId="0" fillId="0" borderId="0" xfId="0" applyAlignment="1">
      <alignment horizontal="left" vertical="top" wrapText="1"/>
    </xf>
    <xf numFmtId="0" fontId="0" fillId="0" borderId="0" xfId="0" applyFill="1" applyAlignment="1" applyProtection="1">
      <alignment horizontal="left" vertical="top" wrapText="1"/>
    </xf>
    <xf numFmtId="0" fontId="0" fillId="0" borderId="0" xfId="0" applyProtection="1"/>
    <xf numFmtId="0" fontId="17" fillId="0" borderId="0" xfId="0" applyFont="1" applyAlignment="1" applyProtection="1">
      <alignment horizontal="left" vertical="center"/>
    </xf>
    <xf numFmtId="0" fontId="27" fillId="0" borderId="29" xfId="0" applyFont="1" applyBorder="1" applyAlignment="1" applyProtection="1">
      <alignment horizontal="center" vertical="center" wrapText="1"/>
    </xf>
    <xf numFmtId="0" fontId="27" fillId="0" borderId="29" xfId="0" applyFont="1" applyBorder="1" applyAlignment="1" applyProtection="1">
      <alignment vertical="center" wrapText="1"/>
    </xf>
    <xf numFmtId="0" fontId="27" fillId="0" borderId="10" xfId="0" applyFont="1" applyBorder="1" applyAlignment="1" applyProtection="1">
      <alignment vertical="center" wrapText="1"/>
    </xf>
    <xf numFmtId="0" fontId="27" fillId="0" borderId="30" xfId="0" applyFont="1" applyBorder="1" applyAlignment="1" applyProtection="1">
      <alignment horizontal="right" vertical="center" wrapText="1"/>
    </xf>
    <xf numFmtId="0" fontId="28" fillId="0" borderId="29" xfId="0" applyFont="1" applyBorder="1" applyAlignment="1" applyProtection="1">
      <alignment vertical="center" wrapText="1"/>
    </xf>
    <xf numFmtId="0" fontId="9" fillId="17" borderId="1" xfId="0" applyFont="1" applyFill="1" applyBorder="1" applyAlignment="1" applyProtection="1">
      <alignment horizontal="center" vertical="center"/>
      <protection locked="0"/>
    </xf>
    <xf numFmtId="2" fontId="11" fillId="17" borderId="3" xfId="0" applyNumberFormat="1" applyFont="1" applyFill="1" applyBorder="1" applyAlignment="1" applyProtection="1">
      <alignment horizontal="center" vertical="center"/>
      <protection locked="0"/>
    </xf>
    <xf numFmtId="0" fontId="26" fillId="17" borderId="0" xfId="0" applyFont="1" applyFill="1" applyAlignment="1" applyProtection="1">
      <alignment horizontal="center"/>
    </xf>
    <xf numFmtId="0" fontId="0" fillId="24" borderId="0" xfId="0" applyFill="1" applyAlignment="1" applyProtection="1">
      <alignment horizontal="left" vertical="top" wrapText="1"/>
    </xf>
    <xf numFmtId="0" fontId="9" fillId="22" borderId="22" xfId="0" applyFont="1" applyFill="1" applyBorder="1" applyAlignment="1" applyProtection="1">
      <alignment horizontal="center" vertical="center"/>
    </xf>
    <xf numFmtId="0" fontId="9" fillId="22" borderId="0" xfId="0" applyFont="1" applyFill="1" applyAlignment="1" applyProtection="1">
      <alignment horizontal="center" vertical="center"/>
    </xf>
    <xf numFmtId="0" fontId="0" fillId="13" borderId="1" xfId="0" applyFill="1" applyBorder="1" applyAlignment="1">
      <alignment horizontal="center" vertical="center"/>
    </xf>
    <xf numFmtId="0" fontId="0" fillId="3" borderId="1" xfId="0" applyFill="1" applyBorder="1" applyAlignment="1">
      <alignment horizontal="center" vertical="center"/>
    </xf>
    <xf numFmtId="0" fontId="0" fillId="14" borderId="1" xfId="0" applyFill="1" applyBorder="1" applyAlignment="1">
      <alignment horizontal="center" vertical="center"/>
    </xf>
    <xf numFmtId="0" fontId="3" fillId="0" borderId="0" xfId="0" applyFont="1" applyAlignment="1">
      <alignment horizontal="center"/>
    </xf>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3">
    <cellStyle name="Hyperlink" xfId="2" builtinId="8"/>
    <cellStyle name="Normal" xfId="0" builtinId="0"/>
    <cellStyle name="Percent" xfId="1" builtinId="5"/>
  </cellStyles>
  <dxfs count="15">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colors>
    <mruColors>
      <color rgb="FFFFFFCC"/>
      <color rgb="FFFFFF99"/>
      <color rgb="FFB1A0C7"/>
      <color rgb="FF00FFFF"/>
      <color rgb="FFFF3300"/>
      <color rgb="FF0000FF"/>
      <color rgb="FF969696"/>
      <color rgb="FF33CC33"/>
      <color rgb="FF003366"/>
      <color rgb="FFFF6A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VIN</a:t>
            </a:r>
            <a:r>
              <a:rPr lang="en-US" baseline="0"/>
              <a:t> Thresholds Programmed</a:t>
            </a:r>
            <a:endParaRPr lang="en-US"/>
          </a:p>
        </c:rich>
      </c:tx>
      <c:overlay val="0"/>
    </c:title>
    <c:autoTitleDeleted val="0"/>
    <c:plotArea>
      <c:layout/>
      <c:lineChart>
        <c:grouping val="standard"/>
        <c:varyColors val="0"/>
        <c:ser>
          <c:idx val="0"/>
          <c:order val="0"/>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 Sheet'!$K$19:$K$21</c:f>
              <c:strCache>
                <c:ptCount val="3"/>
                <c:pt idx="0">
                  <c:v>Power Fail 
(VIN Falling)</c:v>
                </c:pt>
                <c:pt idx="1">
                  <c:v>UVLO 
(VIN Rising)</c:v>
                </c:pt>
                <c:pt idx="2">
                  <c:v>OVP
(VIN Rising)</c:v>
                </c:pt>
              </c:strCache>
            </c:strRef>
          </c:cat>
          <c:val>
            <c:numRef>
              <c:f>'Calculation Sheet'!$J$19:$J$21</c:f>
              <c:numCache>
                <c:formatCode>0.00</c:formatCode>
                <c:ptCount val="3"/>
                <c:pt idx="0">
                  <c:v>8.4479878665318484</c:v>
                </c:pt>
                <c:pt idx="1">
                  <c:v>8.89261880687563</c:v>
                </c:pt>
                <c:pt idx="2">
                  <c:v>25.867058823529408</c:v>
                </c:pt>
              </c:numCache>
            </c:numRef>
          </c:val>
          <c:smooth val="0"/>
          <c:extLst>
            <c:ext xmlns:c16="http://schemas.microsoft.com/office/drawing/2014/chart" uri="{C3380CC4-5D6E-409C-BE32-E72D297353CC}">
              <c16:uniqueId val="{00000000-2814-4D91-893E-DA1A71A5E9EA}"/>
            </c:ext>
          </c:extLst>
        </c:ser>
        <c:dLbls>
          <c:showLegendKey val="0"/>
          <c:showVal val="0"/>
          <c:showCatName val="0"/>
          <c:showSerName val="0"/>
          <c:showPercent val="0"/>
          <c:showBubbleSize val="0"/>
        </c:dLbls>
        <c:marker val="1"/>
        <c:smooth val="0"/>
        <c:axId val="455367296"/>
        <c:axId val="455373184"/>
      </c:lineChart>
      <c:catAx>
        <c:axId val="455367296"/>
        <c:scaling>
          <c:orientation val="minMax"/>
        </c:scaling>
        <c:delete val="0"/>
        <c:axPos val="b"/>
        <c:majorGridlines/>
        <c:minorGridlines/>
        <c:numFmt formatCode="General" sourceLinked="1"/>
        <c:majorTickMark val="out"/>
        <c:minorTickMark val="none"/>
        <c:tickLblPos val="nextTo"/>
        <c:txPr>
          <a:bodyPr/>
          <a:lstStyle/>
          <a:p>
            <a:pPr>
              <a:defRPr sz="900" b="1"/>
            </a:pPr>
            <a:endParaRPr lang="en-US"/>
          </a:p>
        </c:txPr>
        <c:crossAx val="455373184"/>
        <c:crosses val="autoZero"/>
        <c:auto val="0"/>
        <c:lblAlgn val="ctr"/>
        <c:lblOffset val="100"/>
        <c:noMultiLvlLbl val="0"/>
      </c:catAx>
      <c:valAx>
        <c:axId val="455373184"/>
        <c:scaling>
          <c:orientation val="minMax"/>
        </c:scaling>
        <c:delete val="0"/>
        <c:axPos val="l"/>
        <c:majorGridlines/>
        <c:numFmt formatCode="0.00" sourceLinked="1"/>
        <c:majorTickMark val="out"/>
        <c:minorTickMark val="none"/>
        <c:tickLblPos val="nextTo"/>
        <c:crossAx val="45536729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Limits Programmed</a:t>
            </a:r>
          </a:p>
        </c:rich>
      </c:tx>
      <c:overlay val="0"/>
    </c:title>
    <c:autoTitleDeleted val="0"/>
    <c:plotArea>
      <c:layout/>
      <c:lineChart>
        <c:grouping val="standard"/>
        <c:varyColors val="0"/>
        <c:ser>
          <c:idx val="0"/>
          <c:order val="0"/>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 Sheet'!$K$31:$K$33</c:f>
              <c:strCache>
                <c:ptCount val="3"/>
                <c:pt idx="0">
                  <c:v>Inrush Charging 
Current</c:v>
                </c:pt>
                <c:pt idx="1">
                  <c:v>Overload Current
Limit</c:v>
                </c:pt>
                <c:pt idx="2">
                  <c:v>Fastrip Current
Limit</c:v>
                </c:pt>
              </c:strCache>
            </c:strRef>
          </c:cat>
          <c:val>
            <c:numRef>
              <c:f>'Calculation Sheet'!$J$31:$J$32</c:f>
              <c:numCache>
                <c:formatCode>0.00</c:formatCode>
                <c:ptCount val="2"/>
                <c:pt idx="0">
                  <c:v>0.5</c:v>
                </c:pt>
                <c:pt idx="1">
                  <c:v>5.825242718446602</c:v>
                </c:pt>
              </c:numCache>
            </c:numRef>
          </c:val>
          <c:smooth val="0"/>
          <c:extLst>
            <c:ext xmlns:c16="http://schemas.microsoft.com/office/drawing/2014/chart" uri="{C3380CC4-5D6E-409C-BE32-E72D297353CC}">
              <c16:uniqueId val="{00000000-8311-44CA-B4C2-F00ABE3225BB}"/>
            </c:ext>
          </c:extLst>
        </c:ser>
        <c:dLbls>
          <c:showLegendKey val="0"/>
          <c:showVal val="0"/>
          <c:showCatName val="0"/>
          <c:showSerName val="0"/>
          <c:showPercent val="0"/>
          <c:showBubbleSize val="0"/>
        </c:dLbls>
        <c:marker val="1"/>
        <c:smooth val="0"/>
        <c:axId val="455391104"/>
        <c:axId val="455392640"/>
      </c:lineChart>
      <c:catAx>
        <c:axId val="455391104"/>
        <c:scaling>
          <c:orientation val="minMax"/>
        </c:scaling>
        <c:delete val="0"/>
        <c:axPos val="b"/>
        <c:majorGridlines/>
        <c:minorGridlines/>
        <c:numFmt formatCode="General" sourceLinked="0"/>
        <c:majorTickMark val="out"/>
        <c:minorTickMark val="none"/>
        <c:tickLblPos val="nextTo"/>
        <c:txPr>
          <a:bodyPr/>
          <a:lstStyle/>
          <a:p>
            <a:pPr>
              <a:defRPr sz="900" b="1"/>
            </a:pPr>
            <a:endParaRPr lang="en-US"/>
          </a:p>
        </c:txPr>
        <c:crossAx val="455392640"/>
        <c:crosses val="autoZero"/>
        <c:auto val="0"/>
        <c:lblAlgn val="ctr"/>
        <c:lblOffset val="100"/>
        <c:noMultiLvlLbl val="0"/>
      </c:catAx>
      <c:valAx>
        <c:axId val="455392640"/>
        <c:scaling>
          <c:orientation val="minMax"/>
        </c:scaling>
        <c:delete val="0"/>
        <c:axPos val="l"/>
        <c:majorGridlines/>
        <c:numFmt formatCode="0.00" sourceLinked="1"/>
        <c:majorTickMark val="out"/>
        <c:minorTickMark val="none"/>
        <c:tickLblPos val="nextTo"/>
        <c:crossAx val="45539110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Thermal Shutdown Time Vs. Power Dissipation</a:t>
            </a:r>
          </a:p>
        </c:rich>
      </c:tx>
      <c:overlay val="0"/>
    </c:title>
    <c:autoTitleDeleted val="0"/>
    <c:plotArea>
      <c:layout/>
      <c:scatterChart>
        <c:scatterStyle val="smoothMarker"/>
        <c:varyColors val="0"/>
        <c:ser>
          <c:idx val="0"/>
          <c:order val="0"/>
          <c:tx>
            <c:strRef>
              <c:f>'Thermal Shutdown Limit Plot'!$B$2</c:f>
              <c:strCache>
                <c:ptCount val="1"/>
                <c:pt idx="0">
                  <c:v>TA = -40C</c:v>
                </c:pt>
              </c:strCache>
            </c:strRef>
          </c:tx>
          <c:spPr>
            <a:ln w="38100">
              <a:solidFill>
                <a:srgbClr val="0070C0"/>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Plot'!$B$3:$B$26</c:f>
              <c:numCache>
                <c:formatCode>0.00</c:formatCode>
                <c:ptCount val="24"/>
                <c:pt idx="0">
                  <c:v>2740</c:v>
                </c:pt>
                <c:pt idx="1">
                  <c:v>2740</c:v>
                </c:pt>
                <c:pt idx="2">
                  <c:v>2700</c:v>
                </c:pt>
                <c:pt idx="3">
                  <c:v>1050</c:v>
                </c:pt>
                <c:pt idx="4">
                  <c:v>590</c:v>
                </c:pt>
                <c:pt idx="5">
                  <c:v>282</c:v>
                </c:pt>
                <c:pt idx="6">
                  <c:v>155</c:v>
                </c:pt>
                <c:pt idx="7">
                  <c:v>80</c:v>
                </c:pt>
                <c:pt idx="8">
                  <c:v>58</c:v>
                </c:pt>
                <c:pt idx="9">
                  <c:v>44</c:v>
                </c:pt>
                <c:pt idx="10">
                  <c:v>34</c:v>
                </c:pt>
                <c:pt idx="11">
                  <c:v>26</c:v>
                </c:pt>
                <c:pt idx="12">
                  <c:v>21</c:v>
                </c:pt>
                <c:pt idx="13">
                  <c:v>18</c:v>
                </c:pt>
                <c:pt idx="14">
                  <c:v>7</c:v>
                </c:pt>
                <c:pt idx="15">
                  <c:v>4.3</c:v>
                </c:pt>
                <c:pt idx="16">
                  <c:v>3.3</c:v>
                </c:pt>
                <c:pt idx="17">
                  <c:v>2.4</c:v>
                </c:pt>
                <c:pt idx="18">
                  <c:v>1.9</c:v>
                </c:pt>
                <c:pt idx="19">
                  <c:v>1.6</c:v>
                </c:pt>
                <c:pt idx="20">
                  <c:v>1.35</c:v>
                </c:pt>
                <c:pt idx="21">
                  <c:v>1.2</c:v>
                </c:pt>
                <c:pt idx="22">
                  <c:v>1.05</c:v>
                </c:pt>
                <c:pt idx="23">
                  <c:v>0.94</c:v>
                </c:pt>
              </c:numCache>
            </c:numRef>
          </c:yVal>
          <c:smooth val="1"/>
          <c:extLst>
            <c:ext xmlns:c16="http://schemas.microsoft.com/office/drawing/2014/chart" uri="{C3380CC4-5D6E-409C-BE32-E72D297353CC}">
              <c16:uniqueId val="{00000000-2F40-4888-98C8-D874249CB6E2}"/>
            </c:ext>
          </c:extLst>
        </c:ser>
        <c:ser>
          <c:idx val="1"/>
          <c:order val="1"/>
          <c:tx>
            <c:strRef>
              <c:f>'Thermal Shutdown Limit Plot'!$C$2</c:f>
              <c:strCache>
                <c:ptCount val="1"/>
                <c:pt idx="0">
                  <c:v>TA = 0C</c:v>
                </c:pt>
              </c:strCache>
            </c:strRef>
          </c:tx>
          <c:spPr>
            <a:ln w="38100">
              <a:solidFill>
                <a:srgbClr val="00B050"/>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Plot'!$C$3:$C$26</c:f>
              <c:numCache>
                <c:formatCode>0.00</c:formatCode>
                <c:ptCount val="24"/>
                <c:pt idx="0">
                  <c:v>2740</c:v>
                </c:pt>
                <c:pt idx="1">
                  <c:v>2740</c:v>
                </c:pt>
                <c:pt idx="2">
                  <c:v>960</c:v>
                </c:pt>
                <c:pt idx="3">
                  <c:v>520</c:v>
                </c:pt>
                <c:pt idx="4">
                  <c:v>333</c:v>
                </c:pt>
                <c:pt idx="5">
                  <c:v>160</c:v>
                </c:pt>
                <c:pt idx="6">
                  <c:v>73</c:v>
                </c:pt>
                <c:pt idx="7">
                  <c:v>51</c:v>
                </c:pt>
                <c:pt idx="8">
                  <c:v>37</c:v>
                </c:pt>
                <c:pt idx="9">
                  <c:v>28</c:v>
                </c:pt>
                <c:pt idx="10">
                  <c:v>22</c:v>
                </c:pt>
                <c:pt idx="11">
                  <c:v>17</c:v>
                </c:pt>
                <c:pt idx="12">
                  <c:v>14</c:v>
                </c:pt>
                <c:pt idx="13">
                  <c:v>11.4</c:v>
                </c:pt>
                <c:pt idx="14">
                  <c:v>5</c:v>
                </c:pt>
                <c:pt idx="15">
                  <c:v>3.3</c:v>
                </c:pt>
                <c:pt idx="16">
                  <c:v>2.4</c:v>
                </c:pt>
                <c:pt idx="17">
                  <c:v>1.8</c:v>
                </c:pt>
                <c:pt idx="18">
                  <c:v>1.5</c:v>
                </c:pt>
                <c:pt idx="19">
                  <c:v>1.3</c:v>
                </c:pt>
                <c:pt idx="20">
                  <c:v>1.1000000000000001</c:v>
                </c:pt>
                <c:pt idx="21">
                  <c:v>0.95</c:v>
                </c:pt>
                <c:pt idx="22">
                  <c:v>0.85</c:v>
                </c:pt>
                <c:pt idx="23">
                  <c:v>0.75</c:v>
                </c:pt>
              </c:numCache>
            </c:numRef>
          </c:yVal>
          <c:smooth val="1"/>
          <c:extLst>
            <c:ext xmlns:c16="http://schemas.microsoft.com/office/drawing/2014/chart" uri="{C3380CC4-5D6E-409C-BE32-E72D297353CC}">
              <c16:uniqueId val="{00000001-2F40-4888-98C8-D874249CB6E2}"/>
            </c:ext>
          </c:extLst>
        </c:ser>
        <c:ser>
          <c:idx val="2"/>
          <c:order val="2"/>
          <c:tx>
            <c:strRef>
              <c:f>'Thermal Shutdown Limit Plot'!$D$2</c:f>
              <c:strCache>
                <c:ptCount val="1"/>
                <c:pt idx="0">
                  <c:v>TA = 25C</c:v>
                </c:pt>
              </c:strCache>
            </c:strRef>
          </c:tx>
          <c:spPr>
            <a:ln w="38100">
              <a:solidFill>
                <a:schemeClr val="accent4">
                  <a:lumMod val="75000"/>
                </a:schemeClr>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Plot'!$D$3:$D$26</c:f>
              <c:numCache>
                <c:formatCode>0.00</c:formatCode>
                <c:ptCount val="24"/>
                <c:pt idx="0">
                  <c:v>2740</c:v>
                </c:pt>
                <c:pt idx="1">
                  <c:v>1920</c:v>
                </c:pt>
                <c:pt idx="2">
                  <c:v>450</c:v>
                </c:pt>
                <c:pt idx="3">
                  <c:v>128</c:v>
                </c:pt>
                <c:pt idx="4">
                  <c:v>93</c:v>
                </c:pt>
                <c:pt idx="5">
                  <c:v>56</c:v>
                </c:pt>
                <c:pt idx="6">
                  <c:v>40</c:v>
                </c:pt>
                <c:pt idx="7">
                  <c:v>27.5</c:v>
                </c:pt>
                <c:pt idx="8">
                  <c:v>23</c:v>
                </c:pt>
                <c:pt idx="9">
                  <c:v>15.4</c:v>
                </c:pt>
                <c:pt idx="10">
                  <c:v>11.5</c:v>
                </c:pt>
                <c:pt idx="11">
                  <c:v>10</c:v>
                </c:pt>
                <c:pt idx="12">
                  <c:v>8</c:v>
                </c:pt>
                <c:pt idx="13">
                  <c:v>7</c:v>
                </c:pt>
                <c:pt idx="14">
                  <c:v>3.4</c:v>
                </c:pt>
                <c:pt idx="15">
                  <c:v>2.2000000000000002</c:v>
                </c:pt>
                <c:pt idx="16">
                  <c:v>1.8</c:v>
                </c:pt>
                <c:pt idx="17">
                  <c:v>1.4</c:v>
                </c:pt>
                <c:pt idx="18">
                  <c:v>1.1000000000000001</c:v>
                </c:pt>
                <c:pt idx="19">
                  <c:v>0.9</c:v>
                </c:pt>
                <c:pt idx="20">
                  <c:v>0.8</c:v>
                </c:pt>
                <c:pt idx="21">
                  <c:v>0.76</c:v>
                </c:pt>
                <c:pt idx="22">
                  <c:v>0.67</c:v>
                </c:pt>
                <c:pt idx="23">
                  <c:v>0.59</c:v>
                </c:pt>
              </c:numCache>
            </c:numRef>
          </c:yVal>
          <c:smooth val="1"/>
          <c:extLst>
            <c:ext xmlns:c16="http://schemas.microsoft.com/office/drawing/2014/chart" uri="{C3380CC4-5D6E-409C-BE32-E72D297353CC}">
              <c16:uniqueId val="{00000002-2F40-4888-98C8-D874249CB6E2}"/>
            </c:ext>
          </c:extLst>
        </c:ser>
        <c:ser>
          <c:idx val="3"/>
          <c:order val="3"/>
          <c:tx>
            <c:strRef>
              <c:f>'Thermal Shutdown Limit Plot'!$E$2</c:f>
              <c:strCache>
                <c:ptCount val="1"/>
                <c:pt idx="0">
                  <c:v>TA = 85C</c:v>
                </c:pt>
              </c:strCache>
            </c:strRef>
          </c:tx>
          <c:spPr>
            <a:ln w="38100">
              <a:solidFill>
                <a:schemeClr val="accent2">
                  <a:lumMod val="75000"/>
                </a:schemeClr>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Plot'!$E$3:$E$26</c:f>
              <c:numCache>
                <c:formatCode>0.00</c:formatCode>
                <c:ptCount val="24"/>
                <c:pt idx="0">
                  <c:v>2740</c:v>
                </c:pt>
                <c:pt idx="1">
                  <c:v>460</c:v>
                </c:pt>
                <c:pt idx="2">
                  <c:v>95</c:v>
                </c:pt>
                <c:pt idx="3">
                  <c:v>63</c:v>
                </c:pt>
                <c:pt idx="4">
                  <c:v>42</c:v>
                </c:pt>
                <c:pt idx="5">
                  <c:v>22</c:v>
                </c:pt>
                <c:pt idx="6">
                  <c:v>15</c:v>
                </c:pt>
                <c:pt idx="7">
                  <c:v>9.4</c:v>
                </c:pt>
                <c:pt idx="8">
                  <c:v>7</c:v>
                </c:pt>
                <c:pt idx="9">
                  <c:v>5.5</c:v>
                </c:pt>
                <c:pt idx="10">
                  <c:v>4.5</c:v>
                </c:pt>
                <c:pt idx="11">
                  <c:v>3.8</c:v>
                </c:pt>
                <c:pt idx="12">
                  <c:v>3.3</c:v>
                </c:pt>
                <c:pt idx="13">
                  <c:v>2.9</c:v>
                </c:pt>
                <c:pt idx="14">
                  <c:v>2</c:v>
                </c:pt>
                <c:pt idx="15">
                  <c:v>1.4</c:v>
                </c:pt>
                <c:pt idx="16">
                  <c:v>1</c:v>
                </c:pt>
                <c:pt idx="17">
                  <c:v>0.82</c:v>
                </c:pt>
                <c:pt idx="18">
                  <c:v>0.67</c:v>
                </c:pt>
                <c:pt idx="19">
                  <c:v>0.56000000000000005</c:v>
                </c:pt>
                <c:pt idx="20">
                  <c:v>0.48</c:v>
                </c:pt>
                <c:pt idx="21">
                  <c:v>0.42</c:v>
                </c:pt>
                <c:pt idx="22">
                  <c:v>0.37</c:v>
                </c:pt>
                <c:pt idx="23">
                  <c:v>0.33</c:v>
                </c:pt>
              </c:numCache>
            </c:numRef>
          </c:yVal>
          <c:smooth val="1"/>
          <c:extLst>
            <c:ext xmlns:c16="http://schemas.microsoft.com/office/drawing/2014/chart" uri="{C3380CC4-5D6E-409C-BE32-E72D297353CC}">
              <c16:uniqueId val="{00000003-2F40-4888-98C8-D874249CB6E2}"/>
            </c:ext>
          </c:extLst>
        </c:ser>
        <c:ser>
          <c:idx val="4"/>
          <c:order val="4"/>
          <c:tx>
            <c:strRef>
              <c:f>'Thermal Shutdown Limit Plot'!$F$2</c:f>
              <c:strCache>
                <c:ptCount val="1"/>
                <c:pt idx="0">
                  <c:v>TA = 125C</c:v>
                </c:pt>
              </c:strCache>
            </c:strRef>
          </c:tx>
          <c:spPr>
            <a:ln w="38100">
              <a:solidFill>
                <a:srgbClr val="FF0000"/>
              </a:solidFill>
            </a:ln>
          </c:spPr>
          <c:marker>
            <c:symbol val="none"/>
          </c:marker>
          <c:xVal>
            <c:numRef>
              <c:f>'Thermal Shutdown Limit Plot'!$A$3:$A$26</c:f>
              <c:numCache>
                <c:formatCode>0.00</c:formatCode>
                <c:ptCount val="24"/>
                <c:pt idx="0">
                  <c:v>3</c:v>
                </c:pt>
                <c:pt idx="1">
                  <c:v>6</c:v>
                </c:pt>
                <c:pt idx="2">
                  <c:v>10</c:v>
                </c:pt>
                <c:pt idx="3">
                  <c:v>12.5</c:v>
                </c:pt>
                <c:pt idx="4">
                  <c:v>15</c:v>
                </c:pt>
                <c:pt idx="5">
                  <c:v>20</c:v>
                </c:pt>
                <c:pt idx="6">
                  <c:v>25</c:v>
                </c:pt>
                <c:pt idx="7">
                  <c:v>30</c:v>
                </c:pt>
                <c:pt idx="8">
                  <c:v>35</c:v>
                </c:pt>
                <c:pt idx="9">
                  <c:v>40</c:v>
                </c:pt>
                <c:pt idx="10">
                  <c:v>45</c:v>
                </c:pt>
                <c:pt idx="11">
                  <c:v>50</c:v>
                </c:pt>
                <c:pt idx="12">
                  <c:v>55</c:v>
                </c:pt>
                <c:pt idx="13">
                  <c:v>60</c:v>
                </c:pt>
                <c:pt idx="14">
                  <c:v>90</c:v>
                </c:pt>
                <c:pt idx="15">
                  <c:v>120</c:v>
                </c:pt>
                <c:pt idx="16">
                  <c:v>150</c:v>
                </c:pt>
                <c:pt idx="17">
                  <c:v>180</c:v>
                </c:pt>
                <c:pt idx="18">
                  <c:v>210</c:v>
                </c:pt>
                <c:pt idx="19">
                  <c:v>240</c:v>
                </c:pt>
                <c:pt idx="20">
                  <c:v>270</c:v>
                </c:pt>
                <c:pt idx="21">
                  <c:v>300</c:v>
                </c:pt>
                <c:pt idx="22">
                  <c:v>330</c:v>
                </c:pt>
                <c:pt idx="23" formatCode="General">
                  <c:v>360</c:v>
                </c:pt>
              </c:numCache>
            </c:numRef>
          </c:xVal>
          <c:yVal>
            <c:numRef>
              <c:f>'Thermal Shutdown Limit Plot'!$F$3:$F$26</c:f>
              <c:numCache>
                <c:formatCode>0.00</c:formatCode>
                <c:ptCount val="24"/>
                <c:pt idx="0">
                  <c:v>590</c:v>
                </c:pt>
                <c:pt idx="1">
                  <c:v>77</c:v>
                </c:pt>
                <c:pt idx="2">
                  <c:v>25</c:v>
                </c:pt>
                <c:pt idx="3">
                  <c:v>16</c:v>
                </c:pt>
                <c:pt idx="4">
                  <c:v>8</c:v>
                </c:pt>
                <c:pt idx="5">
                  <c:v>6.5</c:v>
                </c:pt>
                <c:pt idx="6">
                  <c:v>4.5</c:v>
                </c:pt>
                <c:pt idx="7">
                  <c:v>3.5</c:v>
                </c:pt>
                <c:pt idx="8">
                  <c:v>2.8</c:v>
                </c:pt>
                <c:pt idx="9">
                  <c:v>2.2999999999999998</c:v>
                </c:pt>
                <c:pt idx="10">
                  <c:v>2</c:v>
                </c:pt>
                <c:pt idx="11">
                  <c:v>1.7</c:v>
                </c:pt>
                <c:pt idx="12">
                  <c:v>1.5</c:v>
                </c:pt>
                <c:pt idx="13">
                  <c:v>1.3</c:v>
                </c:pt>
                <c:pt idx="14">
                  <c:v>0.96</c:v>
                </c:pt>
                <c:pt idx="15">
                  <c:v>0.65</c:v>
                </c:pt>
                <c:pt idx="16">
                  <c:v>0.54</c:v>
                </c:pt>
                <c:pt idx="17">
                  <c:v>0.39</c:v>
                </c:pt>
                <c:pt idx="18">
                  <c:v>0.32</c:v>
                </c:pt>
                <c:pt idx="19">
                  <c:v>0.27</c:v>
                </c:pt>
                <c:pt idx="20">
                  <c:v>0.24</c:v>
                </c:pt>
                <c:pt idx="21">
                  <c:v>0.21</c:v>
                </c:pt>
                <c:pt idx="22">
                  <c:v>0.18</c:v>
                </c:pt>
                <c:pt idx="23">
                  <c:v>0.17</c:v>
                </c:pt>
              </c:numCache>
            </c:numRef>
          </c:yVal>
          <c:smooth val="1"/>
          <c:extLst>
            <c:ext xmlns:c16="http://schemas.microsoft.com/office/drawing/2014/chart" uri="{C3380CC4-5D6E-409C-BE32-E72D297353CC}">
              <c16:uniqueId val="{00000004-2F40-4888-98C8-D874249CB6E2}"/>
            </c:ext>
          </c:extLst>
        </c:ser>
        <c:dLbls>
          <c:showLegendKey val="0"/>
          <c:showVal val="0"/>
          <c:showCatName val="0"/>
          <c:showSerName val="0"/>
          <c:showPercent val="0"/>
          <c:showBubbleSize val="0"/>
        </c:dLbls>
        <c:axId val="456168576"/>
        <c:axId val="456170496"/>
      </c:scatterChart>
      <c:scatterChart>
        <c:scatterStyle val="lineMarker"/>
        <c:varyColors val="0"/>
        <c:ser>
          <c:idx val="5"/>
          <c:order val="5"/>
          <c:tx>
            <c:strRef>
              <c:f>'Thermal Shutdown Limit Plot'!$B$34</c:f>
              <c:strCache>
                <c:ptCount val="1"/>
                <c:pt idx="0">
                  <c:v>Maximum Point</c:v>
                </c:pt>
              </c:strCache>
            </c:strRef>
          </c:tx>
          <c:spPr>
            <a:ln w="28575">
              <a:noFill/>
            </a:ln>
          </c:spPr>
          <c:marker>
            <c:symbol val="diamond"/>
            <c:size val="14"/>
          </c:marker>
          <c:xVal>
            <c:numRef>
              <c:f>'Thermal Shutdown Limit Plot'!$C$34</c:f>
              <c:numCache>
                <c:formatCode>0.00</c:formatCode>
                <c:ptCount val="1"/>
                <c:pt idx="0">
                  <c:v>20</c:v>
                </c:pt>
              </c:numCache>
            </c:numRef>
          </c:xVal>
          <c:yVal>
            <c:numRef>
              <c:f>'Thermal Shutdown Limit Plot'!$D$34</c:f>
              <c:numCache>
                <c:formatCode>0.00</c:formatCode>
                <c:ptCount val="1"/>
                <c:pt idx="0">
                  <c:v>52</c:v>
                </c:pt>
              </c:numCache>
            </c:numRef>
          </c:yVal>
          <c:smooth val="0"/>
          <c:extLst>
            <c:ext xmlns:c16="http://schemas.microsoft.com/office/drawing/2014/chart" uri="{C3380CC4-5D6E-409C-BE32-E72D297353CC}">
              <c16:uniqueId val="{00000005-2F40-4888-98C8-D874249CB6E2}"/>
            </c:ext>
          </c:extLst>
        </c:ser>
        <c:ser>
          <c:idx val="6"/>
          <c:order val="6"/>
          <c:tx>
            <c:strRef>
              <c:f>'Thermal Shutdown Limit Plot'!$B$35</c:f>
              <c:strCache>
                <c:ptCount val="1"/>
                <c:pt idx="0">
                  <c:v>Operating Point</c:v>
                </c:pt>
              </c:strCache>
            </c:strRef>
          </c:tx>
          <c:spPr>
            <a:ln w="28575">
              <a:solidFill>
                <a:schemeClr val="tx1"/>
              </a:solidFill>
            </a:ln>
          </c:spPr>
          <c:marker>
            <c:symbol val="triangle"/>
            <c:size val="14"/>
          </c:marker>
          <c:xVal>
            <c:numRef>
              <c:f>'Thermal Shutdown Limit Plot'!$C$35</c:f>
              <c:numCache>
                <c:formatCode>0.00</c:formatCode>
                <c:ptCount val="1"/>
                <c:pt idx="0">
                  <c:v>8.7533333333333339</c:v>
                </c:pt>
              </c:numCache>
            </c:numRef>
          </c:xVal>
          <c:yVal>
            <c:numRef>
              <c:f>'Thermal Shutdown Limit Plot'!$D$35</c:f>
              <c:numCache>
                <c:formatCode>0.00</c:formatCode>
                <c:ptCount val="1"/>
                <c:pt idx="0">
                  <c:v>52</c:v>
                </c:pt>
              </c:numCache>
            </c:numRef>
          </c:yVal>
          <c:smooth val="0"/>
          <c:extLst>
            <c:ext xmlns:c16="http://schemas.microsoft.com/office/drawing/2014/chart" uri="{C3380CC4-5D6E-409C-BE32-E72D297353CC}">
              <c16:uniqueId val="{00000006-2F40-4888-98C8-D874249CB6E2}"/>
            </c:ext>
          </c:extLst>
        </c:ser>
        <c:dLbls>
          <c:showLegendKey val="0"/>
          <c:showVal val="0"/>
          <c:showCatName val="0"/>
          <c:showSerName val="0"/>
          <c:showPercent val="0"/>
          <c:showBubbleSize val="0"/>
        </c:dLbls>
        <c:axId val="456168576"/>
        <c:axId val="456170496"/>
      </c:scatterChart>
      <c:valAx>
        <c:axId val="456168576"/>
        <c:scaling>
          <c:logBase val="10"/>
          <c:orientation val="minMax"/>
          <c:max val="400"/>
          <c:min val="3"/>
        </c:scaling>
        <c:delete val="0"/>
        <c:axPos val="b"/>
        <c:majorGridlines/>
        <c:minorGridlines/>
        <c:title>
          <c:tx>
            <c:rich>
              <a:bodyPr/>
              <a:lstStyle/>
              <a:p>
                <a:pPr>
                  <a:defRPr/>
                </a:pPr>
                <a:r>
                  <a:rPr lang="en-US" sz="1600" b="1" i="0" baseline="0">
                    <a:effectLst/>
                  </a:rPr>
                  <a:t>Power dissipation (W)</a:t>
                </a:r>
                <a:endParaRPr lang="en-US" sz="1600">
                  <a:effectLst/>
                </a:endParaRPr>
              </a:p>
            </c:rich>
          </c:tx>
          <c:overlay val="0"/>
        </c:title>
        <c:numFmt formatCode="General" sourceLinked="0"/>
        <c:majorTickMark val="out"/>
        <c:minorTickMark val="none"/>
        <c:tickLblPos val="low"/>
        <c:crossAx val="456170496"/>
        <c:crosses val="autoZero"/>
        <c:crossBetween val="midCat"/>
      </c:valAx>
      <c:valAx>
        <c:axId val="456170496"/>
        <c:scaling>
          <c:logBase val="10"/>
          <c:orientation val="minMax"/>
          <c:max val="3000"/>
          <c:min val="0.1"/>
        </c:scaling>
        <c:delete val="0"/>
        <c:axPos val="l"/>
        <c:majorGridlines/>
        <c:minorGridlines/>
        <c:title>
          <c:tx>
            <c:rich>
              <a:bodyPr rot="-5400000" vert="horz"/>
              <a:lstStyle/>
              <a:p>
                <a:pPr>
                  <a:defRPr/>
                </a:pPr>
                <a:r>
                  <a:rPr lang="en-US" sz="1600" b="1" i="0" baseline="0">
                    <a:effectLst/>
                  </a:rPr>
                  <a:t>Thermal Shutdown Time (ms)</a:t>
                </a:r>
                <a:endParaRPr lang="en-US" sz="1600">
                  <a:effectLst/>
                </a:endParaRPr>
              </a:p>
            </c:rich>
          </c:tx>
          <c:overlay val="0"/>
        </c:title>
        <c:numFmt formatCode="General" sourceLinked="0"/>
        <c:majorTickMark val="in"/>
        <c:minorTickMark val="none"/>
        <c:tickLblPos val="low"/>
        <c:crossAx val="456168576"/>
        <c:crosses val="autoZero"/>
        <c:crossBetween val="midCat"/>
        <c:majorUnit val="10"/>
        <c:minorUnit val="10"/>
      </c:valAx>
      <c:spPr>
        <a:ln w="31750">
          <a:solidFill>
            <a:schemeClr val="tx1"/>
          </a:solidFill>
        </a:ln>
      </c:spPr>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56029</xdr:colOff>
      <xdr:row>0</xdr:row>
      <xdr:rowOff>44824</xdr:rowOff>
    </xdr:from>
    <xdr:to>
      <xdr:col>19</xdr:col>
      <xdr:colOff>537817</xdr:colOff>
      <xdr:row>28</xdr:row>
      <xdr:rowOff>63874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029" y="44824"/>
          <a:ext cx="11979023" cy="5353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73479</xdr:colOff>
      <xdr:row>17</xdr:row>
      <xdr:rowOff>84841</xdr:rowOff>
    </xdr:from>
    <xdr:to>
      <xdr:col>11</xdr:col>
      <xdr:colOff>1698172</xdr:colOff>
      <xdr:row>28</xdr:row>
      <xdr:rowOff>206827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107259</xdr:colOff>
      <xdr:row>29</xdr:row>
      <xdr:rowOff>72358</xdr:rowOff>
    </xdr:from>
    <xdr:to>
      <xdr:col>11</xdr:col>
      <xdr:colOff>1681843</xdr:colOff>
      <xdr:row>38</xdr:row>
      <xdr:rowOff>48987</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43543</xdr:colOff>
      <xdr:row>30</xdr:row>
      <xdr:rowOff>118460</xdr:rowOff>
    </xdr:from>
    <xdr:to>
      <xdr:col>19</xdr:col>
      <xdr:colOff>24332</xdr:colOff>
      <xdr:row>33</xdr:row>
      <xdr:rowOff>62431</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293429" y="5691946"/>
          <a:ext cx="7764074" cy="4991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rgbClr val="FF0000"/>
              </a:solidFill>
              <a:latin typeface="+mn-lt"/>
              <a:ea typeface="+mn-ea"/>
              <a:cs typeface="+mn-cs"/>
            </a:rPr>
            <a:t>Taken on 2-Layer board, 2oz.(0.08-mm thick) with GND plane area: 35cm</a:t>
          </a:r>
          <a:r>
            <a:rPr lang="en-US" sz="1400" b="1" i="0" u="none" strike="noStrike" baseline="30000">
              <a:solidFill>
                <a:srgbClr val="FF0000"/>
              </a:solidFill>
              <a:latin typeface="+mn-lt"/>
              <a:ea typeface="+mn-ea"/>
              <a:cs typeface="+mn-cs"/>
            </a:rPr>
            <a:t>2 </a:t>
          </a:r>
          <a:r>
            <a:rPr lang="en-US" sz="1400" b="1" i="0" u="none" strike="noStrike" baseline="0">
              <a:solidFill>
                <a:srgbClr val="FF0000"/>
              </a:solidFill>
              <a:latin typeface="+mn-lt"/>
              <a:ea typeface="+mn-ea"/>
              <a:cs typeface="+mn-cs"/>
            </a:rPr>
            <a:t>(Top) and 35cm</a:t>
          </a:r>
          <a:r>
            <a:rPr lang="en-US" sz="1400" b="1" i="0" u="none" strike="noStrike" baseline="30000">
              <a:solidFill>
                <a:srgbClr val="FF0000"/>
              </a:solidFill>
              <a:latin typeface="+mn-lt"/>
              <a:ea typeface="+mn-ea"/>
              <a:cs typeface="+mn-cs"/>
            </a:rPr>
            <a:t>2</a:t>
          </a:r>
          <a:r>
            <a:rPr lang="en-US" sz="1400" b="1" i="0" u="none" strike="noStrike" baseline="0">
              <a:solidFill>
                <a:srgbClr val="FF0000"/>
              </a:solidFill>
              <a:latin typeface="+mn-lt"/>
              <a:ea typeface="+mn-ea"/>
              <a:cs typeface="+mn-cs"/>
            </a:rPr>
            <a:t> (bottom)</a:t>
          </a:r>
          <a:endParaRPr lang="en-US" sz="1400" b="1">
            <a:solidFill>
              <a:srgbClr val="FF0000"/>
            </a:solidFill>
          </a:endParaRPr>
        </a:p>
      </xdr:txBody>
    </xdr:sp>
    <xdr:clientData/>
  </xdr:twoCellAnchor>
  <xdr:twoCellAnchor>
    <xdr:from>
      <xdr:col>7</xdr:col>
      <xdr:colOff>43543</xdr:colOff>
      <xdr:row>5</xdr:row>
      <xdr:rowOff>5442</xdr:rowOff>
    </xdr:from>
    <xdr:to>
      <xdr:col>21</xdr:col>
      <xdr:colOff>174172</xdr:colOff>
      <xdr:row>30</xdr:row>
      <xdr:rowOff>119743</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ti.com/product/CSD19537Q3"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
  <sheetViews>
    <sheetView zoomScale="90" zoomScaleNormal="90" workbookViewId="0">
      <selection activeCell="A2" sqref="A2:U65"/>
    </sheetView>
  </sheetViews>
  <sheetFormatPr defaultRowHeight="15" x14ac:dyDescent="0.25"/>
  <sheetData>
    <row r="1" spans="1:21" ht="43.5" customHeight="1" x14ac:dyDescent="0.4">
      <c r="A1" s="171" t="s">
        <v>221</v>
      </c>
      <c r="B1" s="171"/>
      <c r="C1" s="171"/>
      <c r="D1" s="171"/>
      <c r="E1" s="171"/>
      <c r="F1" s="171"/>
      <c r="G1" s="171"/>
      <c r="H1" s="171"/>
      <c r="I1" s="171"/>
      <c r="J1" s="171"/>
      <c r="K1" s="171"/>
      <c r="L1" s="171"/>
      <c r="M1" s="171"/>
      <c r="N1" s="171"/>
      <c r="O1" s="171"/>
      <c r="P1" s="171"/>
      <c r="Q1" s="171"/>
      <c r="R1" s="171"/>
      <c r="S1" s="171"/>
      <c r="T1" s="171"/>
      <c r="U1" s="171"/>
    </row>
    <row r="2" spans="1:21" ht="15" customHeight="1" x14ac:dyDescent="0.25">
      <c r="A2" s="172" t="s">
        <v>224</v>
      </c>
      <c r="B2" s="172"/>
      <c r="C2" s="172"/>
      <c r="D2" s="172"/>
      <c r="E2" s="172"/>
      <c r="F2" s="172"/>
      <c r="G2" s="172"/>
      <c r="H2" s="172"/>
      <c r="I2" s="172"/>
      <c r="J2" s="172"/>
      <c r="K2" s="172"/>
      <c r="L2" s="172"/>
      <c r="M2" s="172"/>
      <c r="N2" s="172"/>
      <c r="O2" s="172"/>
      <c r="P2" s="172"/>
      <c r="Q2" s="172"/>
      <c r="R2" s="172"/>
      <c r="S2" s="172"/>
      <c r="T2" s="172"/>
      <c r="U2" s="172"/>
    </row>
    <row r="3" spans="1:21" x14ac:dyDescent="0.25">
      <c r="A3" s="172"/>
      <c r="B3" s="172"/>
      <c r="C3" s="172"/>
      <c r="D3" s="172"/>
      <c r="E3" s="172"/>
      <c r="F3" s="172"/>
      <c r="G3" s="172"/>
      <c r="H3" s="172"/>
      <c r="I3" s="172"/>
      <c r="J3" s="172"/>
      <c r="K3" s="172"/>
      <c r="L3" s="172"/>
      <c r="M3" s="172"/>
      <c r="N3" s="172"/>
      <c r="O3" s="172"/>
      <c r="P3" s="172"/>
      <c r="Q3" s="172"/>
      <c r="R3" s="172"/>
      <c r="S3" s="172"/>
      <c r="T3" s="172"/>
      <c r="U3" s="172"/>
    </row>
    <row r="4" spans="1:21" x14ac:dyDescent="0.25">
      <c r="A4" s="172"/>
      <c r="B4" s="172"/>
      <c r="C4" s="172"/>
      <c r="D4" s="172"/>
      <c r="E4" s="172"/>
      <c r="F4" s="172"/>
      <c r="G4" s="172"/>
      <c r="H4" s="172"/>
      <c r="I4" s="172"/>
      <c r="J4" s="172"/>
      <c r="K4" s="172"/>
      <c r="L4" s="172"/>
      <c r="M4" s="172"/>
      <c r="N4" s="172"/>
      <c r="O4" s="172"/>
      <c r="P4" s="172"/>
      <c r="Q4" s="172"/>
      <c r="R4" s="172"/>
      <c r="S4" s="172"/>
      <c r="T4" s="172"/>
      <c r="U4" s="172"/>
    </row>
    <row r="5" spans="1:21" x14ac:dyDescent="0.25">
      <c r="A5" s="172"/>
      <c r="B5" s="172"/>
      <c r="C5" s="172"/>
      <c r="D5" s="172"/>
      <c r="E5" s="172"/>
      <c r="F5" s="172"/>
      <c r="G5" s="172"/>
      <c r="H5" s="172"/>
      <c r="I5" s="172"/>
      <c r="J5" s="172"/>
      <c r="K5" s="172"/>
      <c r="L5" s="172"/>
      <c r="M5" s="172"/>
      <c r="N5" s="172"/>
      <c r="O5" s="172"/>
      <c r="P5" s="172"/>
      <c r="Q5" s="172"/>
      <c r="R5" s="172"/>
      <c r="S5" s="172"/>
      <c r="T5" s="172"/>
      <c r="U5" s="172"/>
    </row>
    <row r="6" spans="1:21" x14ac:dyDescent="0.25">
      <c r="A6" s="172"/>
      <c r="B6" s="172"/>
      <c r="C6" s="172"/>
      <c r="D6" s="172"/>
      <c r="E6" s="172"/>
      <c r="F6" s="172"/>
      <c r="G6" s="172"/>
      <c r="H6" s="172"/>
      <c r="I6" s="172"/>
      <c r="J6" s="172"/>
      <c r="K6" s="172"/>
      <c r="L6" s="172"/>
      <c r="M6" s="172"/>
      <c r="N6" s="172"/>
      <c r="O6" s="172"/>
      <c r="P6" s="172"/>
      <c r="Q6" s="172"/>
      <c r="R6" s="172"/>
      <c r="S6" s="172"/>
      <c r="T6" s="172"/>
      <c r="U6" s="172"/>
    </row>
    <row r="7" spans="1:21" x14ac:dyDescent="0.25">
      <c r="A7" s="172"/>
      <c r="B7" s="172"/>
      <c r="C7" s="172"/>
      <c r="D7" s="172"/>
      <c r="E7" s="172"/>
      <c r="F7" s="172"/>
      <c r="G7" s="172"/>
      <c r="H7" s="172"/>
      <c r="I7" s="172"/>
      <c r="J7" s="172"/>
      <c r="K7" s="172"/>
      <c r="L7" s="172"/>
      <c r="M7" s="172"/>
      <c r="N7" s="172"/>
      <c r="O7" s="172"/>
      <c r="P7" s="172"/>
      <c r="Q7" s="172"/>
      <c r="R7" s="172"/>
      <c r="S7" s="172"/>
      <c r="T7" s="172"/>
      <c r="U7" s="172"/>
    </row>
    <row r="8" spans="1:21" x14ac:dyDescent="0.25">
      <c r="A8" s="172"/>
      <c r="B8" s="172"/>
      <c r="C8" s="172"/>
      <c r="D8" s="172"/>
      <c r="E8" s="172"/>
      <c r="F8" s="172"/>
      <c r="G8" s="172"/>
      <c r="H8" s="172"/>
      <c r="I8" s="172"/>
      <c r="J8" s="172"/>
      <c r="K8" s="172"/>
      <c r="L8" s="172"/>
      <c r="M8" s="172"/>
      <c r="N8" s="172"/>
      <c r="O8" s="172"/>
      <c r="P8" s="172"/>
      <c r="Q8" s="172"/>
      <c r="R8" s="172"/>
      <c r="S8" s="172"/>
      <c r="T8" s="172"/>
      <c r="U8" s="172"/>
    </row>
    <row r="9" spans="1:21" x14ac:dyDescent="0.25">
      <c r="A9" s="172"/>
      <c r="B9" s="172"/>
      <c r="C9" s="172"/>
      <c r="D9" s="172"/>
      <c r="E9" s="172"/>
      <c r="F9" s="172"/>
      <c r="G9" s="172"/>
      <c r="H9" s="172"/>
      <c r="I9" s="172"/>
      <c r="J9" s="172"/>
      <c r="K9" s="172"/>
      <c r="L9" s="172"/>
      <c r="M9" s="172"/>
      <c r="N9" s="172"/>
      <c r="O9" s="172"/>
      <c r="P9" s="172"/>
      <c r="Q9" s="172"/>
      <c r="R9" s="172"/>
      <c r="S9" s="172"/>
      <c r="T9" s="172"/>
      <c r="U9" s="172"/>
    </row>
    <row r="10" spans="1:21" x14ac:dyDescent="0.25">
      <c r="A10" s="172"/>
      <c r="B10" s="172"/>
      <c r="C10" s="172"/>
      <c r="D10" s="172"/>
      <c r="E10" s="172"/>
      <c r="F10" s="172"/>
      <c r="G10" s="172"/>
      <c r="H10" s="172"/>
      <c r="I10" s="172"/>
      <c r="J10" s="172"/>
      <c r="K10" s="172"/>
      <c r="L10" s="172"/>
      <c r="M10" s="172"/>
      <c r="N10" s="172"/>
      <c r="O10" s="172"/>
      <c r="P10" s="172"/>
      <c r="Q10" s="172"/>
      <c r="R10" s="172"/>
      <c r="S10" s="172"/>
      <c r="T10" s="172"/>
      <c r="U10" s="172"/>
    </row>
    <row r="11" spans="1:21" x14ac:dyDescent="0.25">
      <c r="A11" s="172"/>
      <c r="B11" s="172"/>
      <c r="C11" s="172"/>
      <c r="D11" s="172"/>
      <c r="E11" s="172"/>
      <c r="F11" s="172"/>
      <c r="G11" s="172"/>
      <c r="H11" s="172"/>
      <c r="I11" s="172"/>
      <c r="J11" s="172"/>
      <c r="K11" s="172"/>
      <c r="L11" s="172"/>
      <c r="M11" s="172"/>
      <c r="N11" s="172"/>
      <c r="O11" s="172"/>
      <c r="P11" s="172"/>
      <c r="Q11" s="172"/>
      <c r="R11" s="172"/>
      <c r="S11" s="172"/>
      <c r="T11" s="172"/>
      <c r="U11" s="172"/>
    </row>
    <row r="12" spans="1:21" x14ac:dyDescent="0.25">
      <c r="A12" s="172"/>
      <c r="B12" s="172"/>
      <c r="C12" s="172"/>
      <c r="D12" s="172"/>
      <c r="E12" s="172"/>
      <c r="F12" s="172"/>
      <c r="G12" s="172"/>
      <c r="H12" s="172"/>
      <c r="I12" s="172"/>
      <c r="J12" s="172"/>
      <c r="K12" s="172"/>
      <c r="L12" s="172"/>
      <c r="M12" s="172"/>
      <c r="N12" s="172"/>
      <c r="O12" s="172"/>
      <c r="P12" s="172"/>
      <c r="Q12" s="172"/>
      <c r="R12" s="172"/>
      <c r="S12" s="172"/>
      <c r="T12" s="172"/>
      <c r="U12" s="172"/>
    </row>
    <row r="13" spans="1:21" x14ac:dyDescent="0.25">
      <c r="A13" s="172"/>
      <c r="B13" s="172"/>
      <c r="C13" s="172"/>
      <c r="D13" s="172"/>
      <c r="E13" s="172"/>
      <c r="F13" s="172"/>
      <c r="G13" s="172"/>
      <c r="H13" s="172"/>
      <c r="I13" s="172"/>
      <c r="J13" s="172"/>
      <c r="K13" s="172"/>
      <c r="L13" s="172"/>
      <c r="M13" s="172"/>
      <c r="N13" s="172"/>
      <c r="O13" s="172"/>
      <c r="P13" s="172"/>
      <c r="Q13" s="172"/>
      <c r="R13" s="172"/>
      <c r="S13" s="172"/>
      <c r="T13" s="172"/>
      <c r="U13" s="172"/>
    </row>
    <row r="14" spans="1:21" x14ac:dyDescent="0.25">
      <c r="A14" s="172"/>
      <c r="B14" s="172"/>
      <c r="C14" s="172"/>
      <c r="D14" s="172"/>
      <c r="E14" s="172"/>
      <c r="F14" s="172"/>
      <c r="G14" s="172"/>
      <c r="H14" s="172"/>
      <c r="I14" s="172"/>
      <c r="J14" s="172"/>
      <c r="K14" s="172"/>
      <c r="L14" s="172"/>
      <c r="M14" s="172"/>
      <c r="N14" s="172"/>
      <c r="O14" s="172"/>
      <c r="P14" s="172"/>
      <c r="Q14" s="172"/>
      <c r="R14" s="172"/>
      <c r="S14" s="172"/>
      <c r="T14" s="172"/>
      <c r="U14" s="172"/>
    </row>
    <row r="15" spans="1:21" x14ac:dyDescent="0.25">
      <c r="A15" s="172"/>
      <c r="B15" s="172"/>
      <c r="C15" s="172"/>
      <c r="D15" s="172"/>
      <c r="E15" s="172"/>
      <c r="F15" s="172"/>
      <c r="G15" s="172"/>
      <c r="H15" s="172"/>
      <c r="I15" s="172"/>
      <c r="J15" s="172"/>
      <c r="K15" s="172"/>
      <c r="L15" s="172"/>
      <c r="M15" s="172"/>
      <c r="N15" s="172"/>
      <c r="O15" s="172"/>
      <c r="P15" s="172"/>
      <c r="Q15" s="172"/>
      <c r="R15" s="172"/>
      <c r="S15" s="172"/>
      <c r="T15" s="172"/>
      <c r="U15" s="172"/>
    </row>
    <row r="16" spans="1:21" x14ac:dyDescent="0.25">
      <c r="A16" s="172"/>
      <c r="B16" s="172"/>
      <c r="C16" s="172"/>
      <c r="D16" s="172"/>
      <c r="E16" s="172"/>
      <c r="F16" s="172"/>
      <c r="G16" s="172"/>
      <c r="H16" s="172"/>
      <c r="I16" s="172"/>
      <c r="J16" s="172"/>
      <c r="K16" s="172"/>
      <c r="L16" s="172"/>
      <c r="M16" s="172"/>
      <c r="N16" s="172"/>
      <c r="O16" s="172"/>
      <c r="P16" s="172"/>
      <c r="Q16" s="172"/>
      <c r="R16" s="172"/>
      <c r="S16" s="172"/>
      <c r="T16" s="172"/>
      <c r="U16" s="172"/>
    </row>
    <row r="17" spans="1:21" x14ac:dyDescent="0.25">
      <c r="A17" s="172"/>
      <c r="B17" s="172"/>
      <c r="C17" s="172"/>
      <c r="D17" s="172"/>
      <c r="E17" s="172"/>
      <c r="F17" s="172"/>
      <c r="G17" s="172"/>
      <c r="H17" s="172"/>
      <c r="I17" s="172"/>
      <c r="J17" s="172"/>
      <c r="K17" s="172"/>
      <c r="L17" s="172"/>
      <c r="M17" s="172"/>
      <c r="N17" s="172"/>
      <c r="O17" s="172"/>
      <c r="P17" s="172"/>
      <c r="Q17" s="172"/>
      <c r="R17" s="172"/>
      <c r="S17" s="172"/>
      <c r="T17" s="172"/>
      <c r="U17" s="172"/>
    </row>
    <row r="18" spans="1:21" x14ac:dyDescent="0.25">
      <c r="A18" s="172"/>
      <c r="B18" s="172"/>
      <c r="C18" s="172"/>
      <c r="D18" s="172"/>
      <c r="E18" s="172"/>
      <c r="F18" s="172"/>
      <c r="G18" s="172"/>
      <c r="H18" s="172"/>
      <c r="I18" s="172"/>
      <c r="J18" s="172"/>
      <c r="K18" s="172"/>
      <c r="L18" s="172"/>
      <c r="M18" s="172"/>
      <c r="N18" s="172"/>
      <c r="O18" s="172"/>
      <c r="P18" s="172"/>
      <c r="Q18" s="172"/>
      <c r="R18" s="172"/>
      <c r="S18" s="172"/>
      <c r="T18" s="172"/>
      <c r="U18" s="172"/>
    </row>
    <row r="19" spans="1:21" x14ac:dyDescent="0.25">
      <c r="A19" s="172"/>
      <c r="B19" s="172"/>
      <c r="C19" s="172"/>
      <c r="D19" s="172"/>
      <c r="E19" s="172"/>
      <c r="F19" s="172"/>
      <c r="G19" s="172"/>
      <c r="H19" s="172"/>
      <c r="I19" s="172"/>
      <c r="J19" s="172"/>
      <c r="K19" s="172"/>
      <c r="L19" s="172"/>
      <c r="M19" s="172"/>
      <c r="N19" s="172"/>
      <c r="O19" s="172"/>
      <c r="P19" s="172"/>
      <c r="Q19" s="172"/>
      <c r="R19" s="172"/>
      <c r="S19" s="172"/>
      <c r="T19" s="172"/>
      <c r="U19" s="172"/>
    </row>
    <row r="20" spans="1:21" x14ac:dyDescent="0.25">
      <c r="A20" s="172"/>
      <c r="B20" s="172"/>
      <c r="C20" s="172"/>
      <c r="D20" s="172"/>
      <c r="E20" s="172"/>
      <c r="F20" s="172"/>
      <c r="G20" s="172"/>
      <c r="H20" s="172"/>
      <c r="I20" s="172"/>
      <c r="J20" s="172"/>
      <c r="K20" s="172"/>
      <c r="L20" s="172"/>
      <c r="M20" s="172"/>
      <c r="N20" s="172"/>
      <c r="O20" s="172"/>
      <c r="P20" s="172"/>
      <c r="Q20" s="172"/>
      <c r="R20" s="172"/>
      <c r="S20" s="172"/>
      <c r="T20" s="172"/>
      <c r="U20" s="172"/>
    </row>
    <row r="21" spans="1:21" x14ac:dyDescent="0.25">
      <c r="A21" s="172"/>
      <c r="B21" s="172"/>
      <c r="C21" s="172"/>
      <c r="D21" s="172"/>
      <c r="E21" s="172"/>
      <c r="F21" s="172"/>
      <c r="G21" s="172"/>
      <c r="H21" s="172"/>
      <c r="I21" s="172"/>
      <c r="J21" s="172"/>
      <c r="K21" s="172"/>
      <c r="L21" s="172"/>
      <c r="M21" s="172"/>
      <c r="N21" s="172"/>
      <c r="O21" s="172"/>
      <c r="P21" s="172"/>
      <c r="Q21" s="172"/>
      <c r="R21" s="172"/>
      <c r="S21" s="172"/>
      <c r="T21" s="172"/>
      <c r="U21" s="172"/>
    </row>
    <row r="22" spans="1:21" x14ac:dyDescent="0.25">
      <c r="A22" s="172"/>
      <c r="B22" s="172"/>
      <c r="C22" s="172"/>
      <c r="D22" s="172"/>
      <c r="E22" s="172"/>
      <c r="F22" s="172"/>
      <c r="G22" s="172"/>
      <c r="H22" s="172"/>
      <c r="I22" s="172"/>
      <c r="J22" s="172"/>
      <c r="K22" s="172"/>
      <c r="L22" s="172"/>
      <c r="M22" s="172"/>
      <c r="N22" s="172"/>
      <c r="O22" s="172"/>
      <c r="P22" s="172"/>
      <c r="Q22" s="172"/>
      <c r="R22" s="172"/>
      <c r="S22" s="172"/>
      <c r="T22" s="172"/>
      <c r="U22" s="172"/>
    </row>
    <row r="23" spans="1:21" x14ac:dyDescent="0.25">
      <c r="A23" s="172"/>
      <c r="B23" s="172"/>
      <c r="C23" s="172"/>
      <c r="D23" s="172"/>
      <c r="E23" s="172"/>
      <c r="F23" s="172"/>
      <c r="G23" s="172"/>
      <c r="H23" s="172"/>
      <c r="I23" s="172"/>
      <c r="J23" s="172"/>
      <c r="K23" s="172"/>
      <c r="L23" s="172"/>
      <c r="M23" s="172"/>
      <c r="N23" s="172"/>
      <c r="O23" s="172"/>
      <c r="P23" s="172"/>
      <c r="Q23" s="172"/>
      <c r="R23" s="172"/>
      <c r="S23" s="172"/>
      <c r="T23" s="172"/>
      <c r="U23" s="172"/>
    </row>
    <row r="24" spans="1:21" x14ac:dyDescent="0.25">
      <c r="A24" s="172"/>
      <c r="B24" s="172"/>
      <c r="C24" s="172"/>
      <c r="D24" s="172"/>
      <c r="E24" s="172"/>
      <c r="F24" s="172"/>
      <c r="G24" s="172"/>
      <c r="H24" s="172"/>
      <c r="I24" s="172"/>
      <c r="J24" s="172"/>
      <c r="K24" s="172"/>
      <c r="L24" s="172"/>
      <c r="M24" s="172"/>
      <c r="N24" s="172"/>
      <c r="O24" s="172"/>
      <c r="P24" s="172"/>
      <c r="Q24" s="172"/>
      <c r="R24" s="172"/>
      <c r="S24" s="172"/>
      <c r="T24" s="172"/>
      <c r="U24" s="172"/>
    </row>
    <row r="25" spans="1:21" x14ac:dyDescent="0.25">
      <c r="A25" s="172"/>
      <c r="B25" s="172"/>
      <c r="C25" s="172"/>
      <c r="D25" s="172"/>
      <c r="E25" s="172"/>
      <c r="F25" s="172"/>
      <c r="G25" s="172"/>
      <c r="H25" s="172"/>
      <c r="I25" s="172"/>
      <c r="J25" s="172"/>
      <c r="K25" s="172"/>
      <c r="L25" s="172"/>
      <c r="M25" s="172"/>
      <c r="N25" s="172"/>
      <c r="O25" s="172"/>
      <c r="P25" s="172"/>
      <c r="Q25" s="172"/>
      <c r="R25" s="172"/>
      <c r="S25" s="172"/>
      <c r="T25" s="172"/>
      <c r="U25" s="172"/>
    </row>
    <row r="26" spans="1:21" x14ac:dyDescent="0.25">
      <c r="A26" s="172"/>
      <c r="B26" s="172"/>
      <c r="C26" s="172"/>
      <c r="D26" s="172"/>
      <c r="E26" s="172"/>
      <c r="F26" s="172"/>
      <c r="G26" s="172"/>
      <c r="H26" s="172"/>
      <c r="I26" s="172"/>
      <c r="J26" s="172"/>
      <c r="K26" s="172"/>
      <c r="L26" s="172"/>
      <c r="M26" s="172"/>
      <c r="N26" s="172"/>
      <c r="O26" s="172"/>
      <c r="P26" s="172"/>
      <c r="Q26" s="172"/>
      <c r="R26" s="172"/>
      <c r="S26" s="172"/>
      <c r="T26" s="172"/>
      <c r="U26" s="172"/>
    </row>
    <row r="27" spans="1:21" x14ac:dyDescent="0.25">
      <c r="A27" s="172"/>
      <c r="B27" s="172"/>
      <c r="C27" s="172"/>
      <c r="D27" s="172"/>
      <c r="E27" s="172"/>
      <c r="F27" s="172"/>
      <c r="G27" s="172"/>
      <c r="H27" s="172"/>
      <c r="I27" s="172"/>
      <c r="J27" s="172"/>
      <c r="K27" s="172"/>
      <c r="L27" s="172"/>
      <c r="M27" s="172"/>
      <c r="N27" s="172"/>
      <c r="O27" s="172"/>
      <c r="P27" s="172"/>
      <c r="Q27" s="172"/>
      <c r="R27" s="172"/>
      <c r="S27" s="172"/>
      <c r="T27" s="172"/>
      <c r="U27" s="172"/>
    </row>
    <row r="28" spans="1:21" x14ac:dyDescent="0.25">
      <c r="A28" s="172"/>
      <c r="B28" s="172"/>
      <c r="C28" s="172"/>
      <c r="D28" s="172"/>
      <c r="E28" s="172"/>
      <c r="F28" s="172"/>
      <c r="G28" s="172"/>
      <c r="H28" s="172"/>
      <c r="I28" s="172"/>
      <c r="J28" s="172"/>
      <c r="K28" s="172"/>
      <c r="L28" s="172"/>
      <c r="M28" s="172"/>
      <c r="N28" s="172"/>
      <c r="O28" s="172"/>
      <c r="P28" s="172"/>
      <c r="Q28" s="172"/>
      <c r="R28" s="172"/>
      <c r="S28" s="172"/>
      <c r="T28" s="172"/>
      <c r="U28" s="172"/>
    </row>
    <row r="29" spans="1:21" x14ac:dyDescent="0.25">
      <c r="A29" s="172"/>
      <c r="B29" s="172"/>
      <c r="C29" s="172"/>
      <c r="D29" s="172"/>
      <c r="E29" s="172"/>
      <c r="F29" s="172"/>
      <c r="G29" s="172"/>
      <c r="H29" s="172"/>
      <c r="I29" s="172"/>
      <c r="J29" s="172"/>
      <c r="K29" s="172"/>
      <c r="L29" s="172"/>
      <c r="M29" s="172"/>
      <c r="N29" s="172"/>
      <c r="O29" s="172"/>
      <c r="P29" s="172"/>
      <c r="Q29" s="172"/>
      <c r="R29" s="172"/>
      <c r="S29" s="172"/>
      <c r="T29" s="172"/>
      <c r="U29" s="172"/>
    </row>
    <row r="30" spans="1:21" x14ac:dyDescent="0.25">
      <c r="A30" s="172"/>
      <c r="B30" s="172"/>
      <c r="C30" s="172"/>
      <c r="D30" s="172"/>
      <c r="E30" s="172"/>
      <c r="F30" s="172"/>
      <c r="G30" s="172"/>
      <c r="H30" s="172"/>
      <c r="I30" s="172"/>
      <c r="J30" s="172"/>
      <c r="K30" s="172"/>
      <c r="L30" s="172"/>
      <c r="M30" s="172"/>
      <c r="N30" s="172"/>
      <c r="O30" s="172"/>
      <c r="P30" s="172"/>
      <c r="Q30" s="172"/>
      <c r="R30" s="172"/>
      <c r="S30" s="172"/>
      <c r="T30" s="172"/>
      <c r="U30" s="172"/>
    </row>
    <row r="31" spans="1:21" x14ac:dyDescent="0.25">
      <c r="A31" s="172"/>
      <c r="B31" s="172"/>
      <c r="C31" s="172"/>
      <c r="D31" s="172"/>
      <c r="E31" s="172"/>
      <c r="F31" s="172"/>
      <c r="G31" s="172"/>
      <c r="H31" s="172"/>
      <c r="I31" s="172"/>
      <c r="J31" s="172"/>
      <c r="K31" s="172"/>
      <c r="L31" s="172"/>
      <c r="M31" s="172"/>
      <c r="N31" s="172"/>
      <c r="O31" s="172"/>
      <c r="P31" s="172"/>
      <c r="Q31" s="172"/>
      <c r="R31" s="172"/>
      <c r="S31" s="172"/>
      <c r="T31" s="172"/>
      <c r="U31" s="172"/>
    </row>
    <row r="32" spans="1:21" x14ac:dyDescent="0.25">
      <c r="A32" s="172"/>
      <c r="B32" s="172"/>
      <c r="C32" s="172"/>
      <c r="D32" s="172"/>
      <c r="E32" s="172"/>
      <c r="F32" s="172"/>
      <c r="G32" s="172"/>
      <c r="H32" s="172"/>
      <c r="I32" s="172"/>
      <c r="J32" s="172"/>
      <c r="K32" s="172"/>
      <c r="L32" s="172"/>
      <c r="M32" s="172"/>
      <c r="N32" s="172"/>
      <c r="O32" s="172"/>
      <c r="P32" s="172"/>
      <c r="Q32" s="172"/>
      <c r="R32" s="172"/>
      <c r="S32" s="172"/>
      <c r="T32" s="172"/>
      <c r="U32" s="172"/>
    </row>
    <row r="33" spans="1:21" x14ac:dyDescent="0.25">
      <c r="A33" s="172"/>
      <c r="B33" s="172"/>
      <c r="C33" s="172"/>
      <c r="D33" s="172"/>
      <c r="E33" s="172"/>
      <c r="F33" s="172"/>
      <c r="G33" s="172"/>
      <c r="H33" s="172"/>
      <c r="I33" s="172"/>
      <c r="J33" s="172"/>
      <c r="K33" s="172"/>
      <c r="L33" s="172"/>
      <c r="M33" s="172"/>
      <c r="N33" s="172"/>
      <c r="O33" s="172"/>
      <c r="P33" s="172"/>
      <c r="Q33" s="172"/>
      <c r="R33" s="172"/>
      <c r="S33" s="172"/>
      <c r="T33" s="172"/>
      <c r="U33" s="172"/>
    </row>
    <row r="34" spans="1:21" x14ac:dyDescent="0.25">
      <c r="A34" s="172"/>
      <c r="B34" s="172"/>
      <c r="C34" s="172"/>
      <c r="D34" s="172"/>
      <c r="E34" s="172"/>
      <c r="F34" s="172"/>
      <c r="G34" s="172"/>
      <c r="H34" s="172"/>
      <c r="I34" s="172"/>
      <c r="J34" s="172"/>
      <c r="K34" s="172"/>
      <c r="L34" s="172"/>
      <c r="M34" s="172"/>
      <c r="N34" s="172"/>
      <c r="O34" s="172"/>
      <c r="P34" s="172"/>
      <c r="Q34" s="172"/>
      <c r="R34" s="172"/>
      <c r="S34" s="172"/>
      <c r="T34" s="172"/>
      <c r="U34" s="172"/>
    </row>
    <row r="35" spans="1:21" x14ac:dyDescent="0.25">
      <c r="A35" s="172"/>
      <c r="B35" s="172"/>
      <c r="C35" s="172"/>
      <c r="D35" s="172"/>
      <c r="E35" s="172"/>
      <c r="F35" s="172"/>
      <c r="G35" s="172"/>
      <c r="H35" s="172"/>
      <c r="I35" s="172"/>
      <c r="J35" s="172"/>
      <c r="K35" s="172"/>
      <c r="L35" s="172"/>
      <c r="M35" s="172"/>
      <c r="N35" s="172"/>
      <c r="O35" s="172"/>
      <c r="P35" s="172"/>
      <c r="Q35" s="172"/>
      <c r="R35" s="172"/>
      <c r="S35" s="172"/>
      <c r="T35" s="172"/>
      <c r="U35" s="172"/>
    </row>
    <row r="36" spans="1:21" x14ac:dyDescent="0.25">
      <c r="A36" s="172"/>
      <c r="B36" s="172"/>
      <c r="C36" s="172"/>
      <c r="D36" s="172"/>
      <c r="E36" s="172"/>
      <c r="F36" s="172"/>
      <c r="G36" s="172"/>
      <c r="H36" s="172"/>
      <c r="I36" s="172"/>
      <c r="J36" s="172"/>
      <c r="K36" s="172"/>
      <c r="L36" s="172"/>
      <c r="M36" s="172"/>
      <c r="N36" s="172"/>
      <c r="O36" s="172"/>
      <c r="P36" s="172"/>
      <c r="Q36" s="172"/>
      <c r="R36" s="172"/>
      <c r="S36" s="172"/>
      <c r="T36" s="172"/>
      <c r="U36" s="172"/>
    </row>
    <row r="37" spans="1:21" x14ac:dyDescent="0.25">
      <c r="A37" s="172"/>
      <c r="B37" s="172"/>
      <c r="C37" s="172"/>
      <c r="D37" s="172"/>
      <c r="E37" s="172"/>
      <c r="F37" s="172"/>
      <c r="G37" s="172"/>
      <c r="H37" s="172"/>
      <c r="I37" s="172"/>
      <c r="J37" s="172"/>
      <c r="K37" s="172"/>
      <c r="L37" s="172"/>
      <c r="M37" s="172"/>
      <c r="N37" s="172"/>
      <c r="O37" s="172"/>
      <c r="P37" s="172"/>
      <c r="Q37" s="172"/>
      <c r="R37" s="172"/>
      <c r="S37" s="172"/>
      <c r="T37" s="172"/>
      <c r="U37" s="172"/>
    </row>
    <row r="38" spans="1:21" x14ac:dyDescent="0.25">
      <c r="A38" s="172"/>
      <c r="B38" s="172"/>
      <c r="C38" s="172"/>
      <c r="D38" s="172"/>
      <c r="E38" s="172"/>
      <c r="F38" s="172"/>
      <c r="G38" s="172"/>
      <c r="H38" s="172"/>
      <c r="I38" s="172"/>
      <c r="J38" s="172"/>
      <c r="K38" s="172"/>
      <c r="L38" s="172"/>
      <c r="M38" s="172"/>
      <c r="N38" s="172"/>
      <c r="O38" s="172"/>
      <c r="P38" s="172"/>
      <c r="Q38" s="172"/>
      <c r="R38" s="172"/>
      <c r="S38" s="172"/>
      <c r="T38" s="172"/>
      <c r="U38" s="172"/>
    </row>
    <row r="39" spans="1:21" x14ac:dyDescent="0.25">
      <c r="A39" s="172"/>
      <c r="B39" s="172"/>
      <c r="C39" s="172"/>
      <c r="D39" s="172"/>
      <c r="E39" s="172"/>
      <c r="F39" s="172"/>
      <c r="G39" s="172"/>
      <c r="H39" s="172"/>
      <c r="I39" s="172"/>
      <c r="J39" s="172"/>
      <c r="K39" s="172"/>
      <c r="L39" s="172"/>
      <c r="M39" s="172"/>
      <c r="N39" s="172"/>
      <c r="O39" s="172"/>
      <c r="P39" s="172"/>
      <c r="Q39" s="172"/>
      <c r="R39" s="172"/>
      <c r="S39" s="172"/>
      <c r="T39" s="172"/>
      <c r="U39" s="172"/>
    </row>
    <row r="40" spans="1:21" x14ac:dyDescent="0.25">
      <c r="A40" s="172"/>
      <c r="B40" s="172"/>
      <c r="C40" s="172"/>
      <c r="D40" s="172"/>
      <c r="E40" s="172"/>
      <c r="F40" s="172"/>
      <c r="G40" s="172"/>
      <c r="H40" s="172"/>
      <c r="I40" s="172"/>
      <c r="J40" s="172"/>
      <c r="K40" s="172"/>
      <c r="L40" s="172"/>
      <c r="M40" s="172"/>
      <c r="N40" s="172"/>
      <c r="O40" s="172"/>
      <c r="P40" s="172"/>
      <c r="Q40" s="172"/>
      <c r="R40" s="172"/>
      <c r="S40" s="172"/>
      <c r="T40" s="172"/>
      <c r="U40" s="172"/>
    </row>
    <row r="41" spans="1:21" x14ac:dyDescent="0.25">
      <c r="A41" s="172"/>
      <c r="B41" s="172"/>
      <c r="C41" s="172"/>
      <c r="D41" s="172"/>
      <c r="E41" s="172"/>
      <c r="F41" s="172"/>
      <c r="G41" s="172"/>
      <c r="H41" s="172"/>
      <c r="I41" s="172"/>
      <c r="J41" s="172"/>
      <c r="K41" s="172"/>
      <c r="L41" s="172"/>
      <c r="M41" s="172"/>
      <c r="N41" s="172"/>
      <c r="O41" s="172"/>
      <c r="P41" s="172"/>
      <c r="Q41" s="172"/>
      <c r="R41" s="172"/>
      <c r="S41" s="172"/>
      <c r="T41" s="172"/>
      <c r="U41" s="172"/>
    </row>
    <row r="42" spans="1:21" x14ac:dyDescent="0.25">
      <c r="A42" s="172"/>
      <c r="B42" s="172"/>
      <c r="C42" s="172"/>
      <c r="D42" s="172"/>
      <c r="E42" s="172"/>
      <c r="F42" s="172"/>
      <c r="G42" s="172"/>
      <c r="H42" s="172"/>
      <c r="I42" s="172"/>
      <c r="J42" s="172"/>
      <c r="K42" s="172"/>
      <c r="L42" s="172"/>
      <c r="M42" s="172"/>
      <c r="N42" s="172"/>
      <c r="O42" s="172"/>
      <c r="P42" s="172"/>
      <c r="Q42" s="172"/>
      <c r="R42" s="172"/>
      <c r="S42" s="172"/>
      <c r="T42" s="172"/>
      <c r="U42" s="172"/>
    </row>
    <row r="43" spans="1:21" x14ac:dyDescent="0.25">
      <c r="A43" s="172"/>
      <c r="B43" s="172"/>
      <c r="C43" s="172"/>
      <c r="D43" s="172"/>
      <c r="E43" s="172"/>
      <c r="F43" s="172"/>
      <c r="G43" s="172"/>
      <c r="H43" s="172"/>
      <c r="I43" s="172"/>
      <c r="J43" s="172"/>
      <c r="K43" s="172"/>
      <c r="L43" s="172"/>
      <c r="M43" s="172"/>
      <c r="N43" s="172"/>
      <c r="O43" s="172"/>
      <c r="P43" s="172"/>
      <c r="Q43" s="172"/>
      <c r="R43" s="172"/>
      <c r="S43" s="172"/>
      <c r="T43" s="172"/>
      <c r="U43" s="172"/>
    </row>
    <row r="44" spans="1:21" x14ac:dyDescent="0.25">
      <c r="A44" s="172"/>
      <c r="B44" s="172"/>
      <c r="C44" s="172"/>
      <c r="D44" s="172"/>
      <c r="E44" s="172"/>
      <c r="F44" s="172"/>
      <c r="G44" s="172"/>
      <c r="H44" s="172"/>
      <c r="I44" s="172"/>
      <c r="J44" s="172"/>
      <c r="K44" s="172"/>
      <c r="L44" s="172"/>
      <c r="M44" s="172"/>
      <c r="N44" s="172"/>
      <c r="O44" s="172"/>
      <c r="P44" s="172"/>
      <c r="Q44" s="172"/>
      <c r="R44" s="172"/>
      <c r="S44" s="172"/>
      <c r="T44" s="172"/>
      <c r="U44" s="172"/>
    </row>
    <row r="45" spans="1:21" x14ac:dyDescent="0.25">
      <c r="A45" s="172"/>
      <c r="B45" s="172"/>
      <c r="C45" s="172"/>
      <c r="D45" s="172"/>
      <c r="E45" s="172"/>
      <c r="F45" s="172"/>
      <c r="G45" s="172"/>
      <c r="H45" s="172"/>
      <c r="I45" s="172"/>
      <c r="J45" s="172"/>
      <c r="K45" s="172"/>
      <c r="L45" s="172"/>
      <c r="M45" s="172"/>
      <c r="N45" s="172"/>
      <c r="O45" s="172"/>
      <c r="P45" s="172"/>
      <c r="Q45" s="172"/>
      <c r="R45" s="172"/>
      <c r="S45" s="172"/>
      <c r="T45" s="172"/>
      <c r="U45" s="172"/>
    </row>
    <row r="46" spans="1:21" x14ac:dyDescent="0.25">
      <c r="A46" s="172"/>
      <c r="B46" s="172"/>
      <c r="C46" s="172"/>
      <c r="D46" s="172"/>
      <c r="E46" s="172"/>
      <c r="F46" s="172"/>
      <c r="G46" s="172"/>
      <c r="H46" s="172"/>
      <c r="I46" s="172"/>
      <c r="J46" s="172"/>
      <c r="K46" s="172"/>
      <c r="L46" s="172"/>
      <c r="M46" s="172"/>
      <c r="N46" s="172"/>
      <c r="O46" s="172"/>
      <c r="P46" s="172"/>
      <c r="Q46" s="172"/>
      <c r="R46" s="172"/>
      <c r="S46" s="172"/>
      <c r="T46" s="172"/>
      <c r="U46" s="172"/>
    </row>
    <row r="47" spans="1:21" x14ac:dyDescent="0.25">
      <c r="A47" s="172"/>
      <c r="B47" s="172"/>
      <c r="C47" s="172"/>
      <c r="D47" s="172"/>
      <c r="E47" s="172"/>
      <c r="F47" s="172"/>
      <c r="G47" s="172"/>
      <c r="H47" s="172"/>
      <c r="I47" s="172"/>
      <c r="J47" s="172"/>
      <c r="K47" s="172"/>
      <c r="L47" s="172"/>
      <c r="M47" s="172"/>
      <c r="N47" s="172"/>
      <c r="O47" s="172"/>
      <c r="P47" s="172"/>
      <c r="Q47" s="172"/>
      <c r="R47" s="172"/>
      <c r="S47" s="172"/>
      <c r="T47" s="172"/>
      <c r="U47" s="172"/>
    </row>
    <row r="48" spans="1:21" x14ac:dyDescent="0.25">
      <c r="A48" s="172"/>
      <c r="B48" s="172"/>
      <c r="C48" s="172"/>
      <c r="D48" s="172"/>
      <c r="E48" s="172"/>
      <c r="F48" s="172"/>
      <c r="G48" s="172"/>
      <c r="H48" s="172"/>
      <c r="I48" s="172"/>
      <c r="J48" s="172"/>
      <c r="K48" s="172"/>
      <c r="L48" s="172"/>
      <c r="M48" s="172"/>
      <c r="N48" s="172"/>
      <c r="O48" s="172"/>
      <c r="P48" s="172"/>
      <c r="Q48" s="172"/>
      <c r="R48" s="172"/>
      <c r="S48" s="172"/>
      <c r="T48" s="172"/>
      <c r="U48" s="172"/>
    </row>
    <row r="49" spans="1:21" x14ac:dyDescent="0.25">
      <c r="A49" s="172"/>
      <c r="B49" s="172"/>
      <c r="C49" s="172"/>
      <c r="D49" s="172"/>
      <c r="E49" s="172"/>
      <c r="F49" s="172"/>
      <c r="G49" s="172"/>
      <c r="H49" s="172"/>
      <c r="I49" s="172"/>
      <c r="J49" s="172"/>
      <c r="K49" s="172"/>
      <c r="L49" s="172"/>
      <c r="M49" s="172"/>
      <c r="N49" s="172"/>
      <c r="O49" s="172"/>
      <c r="P49" s="172"/>
      <c r="Q49" s="172"/>
      <c r="R49" s="172"/>
      <c r="S49" s="172"/>
      <c r="T49" s="172"/>
      <c r="U49" s="172"/>
    </row>
    <row r="50" spans="1:21" x14ac:dyDescent="0.25">
      <c r="A50" s="172"/>
      <c r="B50" s="172"/>
      <c r="C50" s="172"/>
      <c r="D50" s="172"/>
      <c r="E50" s="172"/>
      <c r="F50" s="172"/>
      <c r="G50" s="172"/>
      <c r="H50" s="172"/>
      <c r="I50" s="172"/>
      <c r="J50" s="172"/>
      <c r="K50" s="172"/>
      <c r="L50" s="172"/>
      <c r="M50" s="172"/>
      <c r="N50" s="172"/>
      <c r="O50" s="172"/>
      <c r="P50" s="172"/>
      <c r="Q50" s="172"/>
      <c r="R50" s="172"/>
      <c r="S50" s="172"/>
      <c r="T50" s="172"/>
      <c r="U50" s="172"/>
    </row>
    <row r="51" spans="1:21" x14ac:dyDescent="0.25">
      <c r="A51" s="172"/>
      <c r="B51" s="172"/>
      <c r="C51" s="172"/>
      <c r="D51" s="172"/>
      <c r="E51" s="172"/>
      <c r="F51" s="172"/>
      <c r="G51" s="172"/>
      <c r="H51" s="172"/>
      <c r="I51" s="172"/>
      <c r="J51" s="172"/>
      <c r="K51" s="172"/>
      <c r="L51" s="172"/>
      <c r="M51" s="172"/>
      <c r="N51" s="172"/>
      <c r="O51" s="172"/>
      <c r="P51" s="172"/>
      <c r="Q51" s="172"/>
      <c r="R51" s="172"/>
      <c r="S51" s="172"/>
      <c r="T51" s="172"/>
      <c r="U51" s="172"/>
    </row>
    <row r="52" spans="1:21" x14ac:dyDescent="0.25">
      <c r="A52" s="172"/>
      <c r="B52" s="172"/>
      <c r="C52" s="172"/>
      <c r="D52" s="172"/>
      <c r="E52" s="172"/>
      <c r="F52" s="172"/>
      <c r="G52" s="172"/>
      <c r="H52" s="172"/>
      <c r="I52" s="172"/>
      <c r="J52" s="172"/>
      <c r="K52" s="172"/>
      <c r="L52" s="172"/>
      <c r="M52" s="172"/>
      <c r="N52" s="172"/>
      <c r="O52" s="172"/>
      <c r="P52" s="172"/>
      <c r="Q52" s="172"/>
      <c r="R52" s="172"/>
      <c r="S52" s="172"/>
      <c r="T52" s="172"/>
      <c r="U52" s="172"/>
    </row>
    <row r="53" spans="1:21" x14ac:dyDescent="0.25">
      <c r="A53" s="172"/>
      <c r="B53" s="172"/>
      <c r="C53" s="172"/>
      <c r="D53" s="172"/>
      <c r="E53" s="172"/>
      <c r="F53" s="172"/>
      <c r="G53" s="172"/>
      <c r="H53" s="172"/>
      <c r="I53" s="172"/>
      <c r="J53" s="172"/>
      <c r="K53" s="172"/>
      <c r="L53" s="172"/>
      <c r="M53" s="172"/>
      <c r="N53" s="172"/>
      <c r="O53" s="172"/>
      <c r="P53" s="172"/>
      <c r="Q53" s="172"/>
      <c r="R53" s="172"/>
      <c r="S53" s="172"/>
      <c r="T53" s="172"/>
      <c r="U53" s="172"/>
    </row>
    <row r="54" spans="1:21" x14ac:dyDescent="0.25">
      <c r="A54" s="172"/>
      <c r="B54" s="172"/>
      <c r="C54" s="172"/>
      <c r="D54" s="172"/>
      <c r="E54" s="172"/>
      <c r="F54" s="172"/>
      <c r="G54" s="172"/>
      <c r="H54" s="172"/>
      <c r="I54" s="172"/>
      <c r="J54" s="172"/>
      <c r="K54" s="172"/>
      <c r="L54" s="172"/>
      <c r="M54" s="172"/>
      <c r="N54" s="172"/>
      <c r="O54" s="172"/>
      <c r="P54" s="172"/>
      <c r="Q54" s="172"/>
      <c r="R54" s="172"/>
      <c r="S54" s="172"/>
      <c r="T54" s="172"/>
      <c r="U54" s="172"/>
    </row>
    <row r="55" spans="1:21" x14ac:dyDescent="0.25">
      <c r="A55" s="172"/>
      <c r="B55" s="172"/>
      <c r="C55" s="172"/>
      <c r="D55" s="172"/>
      <c r="E55" s="172"/>
      <c r="F55" s="172"/>
      <c r="G55" s="172"/>
      <c r="H55" s="172"/>
      <c r="I55" s="172"/>
      <c r="J55" s="172"/>
      <c r="K55" s="172"/>
      <c r="L55" s="172"/>
      <c r="M55" s="172"/>
      <c r="N55" s="172"/>
      <c r="O55" s="172"/>
      <c r="P55" s="172"/>
      <c r="Q55" s="172"/>
      <c r="R55" s="172"/>
      <c r="S55" s="172"/>
      <c r="T55" s="172"/>
      <c r="U55" s="172"/>
    </row>
    <row r="56" spans="1:21" x14ac:dyDescent="0.25">
      <c r="A56" s="172"/>
      <c r="B56" s="172"/>
      <c r="C56" s="172"/>
      <c r="D56" s="172"/>
      <c r="E56" s="172"/>
      <c r="F56" s="172"/>
      <c r="G56" s="172"/>
      <c r="H56" s="172"/>
      <c r="I56" s="172"/>
      <c r="J56" s="172"/>
      <c r="K56" s="172"/>
      <c r="L56" s="172"/>
      <c r="M56" s="172"/>
      <c r="N56" s="172"/>
      <c r="O56" s="172"/>
      <c r="P56" s="172"/>
      <c r="Q56" s="172"/>
      <c r="R56" s="172"/>
      <c r="S56" s="172"/>
      <c r="T56" s="172"/>
      <c r="U56" s="172"/>
    </row>
    <row r="57" spans="1:21" x14ac:dyDescent="0.25">
      <c r="A57" s="172"/>
      <c r="B57" s="172"/>
      <c r="C57" s="172"/>
      <c r="D57" s="172"/>
      <c r="E57" s="172"/>
      <c r="F57" s="172"/>
      <c r="G57" s="172"/>
      <c r="H57" s="172"/>
      <c r="I57" s="172"/>
      <c r="J57" s="172"/>
      <c r="K57" s="172"/>
      <c r="L57" s="172"/>
      <c r="M57" s="172"/>
      <c r="N57" s="172"/>
      <c r="O57" s="172"/>
      <c r="P57" s="172"/>
      <c r="Q57" s="172"/>
      <c r="R57" s="172"/>
      <c r="S57" s="172"/>
      <c r="T57" s="172"/>
      <c r="U57" s="172"/>
    </row>
    <row r="58" spans="1:21" x14ac:dyDescent="0.25">
      <c r="A58" s="172"/>
      <c r="B58" s="172"/>
      <c r="C58" s="172"/>
      <c r="D58" s="172"/>
      <c r="E58" s="172"/>
      <c r="F58" s="172"/>
      <c r="G58" s="172"/>
      <c r="H58" s="172"/>
      <c r="I58" s="172"/>
      <c r="J58" s="172"/>
      <c r="K58" s="172"/>
      <c r="L58" s="172"/>
      <c r="M58" s="172"/>
      <c r="N58" s="172"/>
      <c r="O58" s="172"/>
      <c r="P58" s="172"/>
      <c r="Q58" s="172"/>
      <c r="R58" s="172"/>
      <c r="S58" s="172"/>
      <c r="T58" s="172"/>
      <c r="U58" s="172"/>
    </row>
    <row r="59" spans="1:21" x14ac:dyDescent="0.25">
      <c r="A59" s="172"/>
      <c r="B59" s="172"/>
      <c r="C59" s="172"/>
      <c r="D59" s="172"/>
      <c r="E59" s="172"/>
      <c r="F59" s="172"/>
      <c r="G59" s="172"/>
      <c r="H59" s="172"/>
      <c r="I59" s="172"/>
      <c r="J59" s="172"/>
      <c r="K59" s="172"/>
      <c r="L59" s="172"/>
      <c r="M59" s="172"/>
      <c r="N59" s="172"/>
      <c r="O59" s="172"/>
      <c r="P59" s="172"/>
      <c r="Q59" s="172"/>
      <c r="R59" s="172"/>
      <c r="S59" s="172"/>
      <c r="T59" s="172"/>
      <c r="U59" s="172"/>
    </row>
    <row r="60" spans="1:21" x14ac:dyDescent="0.25">
      <c r="A60" s="172"/>
      <c r="B60" s="172"/>
      <c r="C60" s="172"/>
      <c r="D60" s="172"/>
      <c r="E60" s="172"/>
      <c r="F60" s="172"/>
      <c r="G60" s="172"/>
      <c r="H60" s="172"/>
      <c r="I60" s="172"/>
      <c r="J60" s="172"/>
      <c r="K60" s="172"/>
      <c r="L60" s="172"/>
      <c r="M60" s="172"/>
      <c r="N60" s="172"/>
      <c r="O60" s="172"/>
      <c r="P60" s="172"/>
      <c r="Q60" s="172"/>
      <c r="R60" s="172"/>
      <c r="S60" s="172"/>
      <c r="T60" s="172"/>
      <c r="U60" s="172"/>
    </row>
    <row r="61" spans="1:21" x14ac:dyDescent="0.25">
      <c r="A61" s="172"/>
      <c r="B61" s="172"/>
      <c r="C61" s="172"/>
      <c r="D61" s="172"/>
      <c r="E61" s="172"/>
      <c r="F61" s="172"/>
      <c r="G61" s="172"/>
      <c r="H61" s="172"/>
      <c r="I61" s="172"/>
      <c r="J61" s="172"/>
      <c r="K61" s="172"/>
      <c r="L61" s="172"/>
      <c r="M61" s="172"/>
      <c r="N61" s="172"/>
      <c r="O61" s="172"/>
      <c r="P61" s="172"/>
      <c r="Q61" s="172"/>
      <c r="R61" s="172"/>
      <c r="S61" s="172"/>
      <c r="T61" s="172"/>
      <c r="U61" s="172"/>
    </row>
    <row r="62" spans="1:21" x14ac:dyDescent="0.25">
      <c r="A62" s="172"/>
      <c r="B62" s="172"/>
      <c r="C62" s="172"/>
      <c r="D62" s="172"/>
      <c r="E62" s="172"/>
      <c r="F62" s="172"/>
      <c r="G62" s="172"/>
      <c r="H62" s="172"/>
      <c r="I62" s="172"/>
      <c r="J62" s="172"/>
      <c r="K62" s="172"/>
      <c r="L62" s="172"/>
      <c r="M62" s="172"/>
      <c r="N62" s="172"/>
      <c r="O62" s="172"/>
      <c r="P62" s="172"/>
      <c r="Q62" s="172"/>
      <c r="R62" s="172"/>
      <c r="S62" s="172"/>
      <c r="T62" s="172"/>
      <c r="U62" s="172"/>
    </row>
    <row r="63" spans="1:21" x14ac:dyDescent="0.25">
      <c r="A63" s="172"/>
      <c r="B63" s="172"/>
      <c r="C63" s="172"/>
      <c r="D63" s="172"/>
      <c r="E63" s="172"/>
      <c r="F63" s="172"/>
      <c r="G63" s="172"/>
      <c r="H63" s="172"/>
      <c r="I63" s="172"/>
      <c r="J63" s="172"/>
      <c r="K63" s="172"/>
      <c r="L63" s="172"/>
      <c r="M63" s="172"/>
      <c r="N63" s="172"/>
      <c r="O63" s="172"/>
      <c r="P63" s="172"/>
      <c r="Q63" s="172"/>
      <c r="R63" s="172"/>
      <c r="S63" s="172"/>
      <c r="T63" s="172"/>
      <c r="U63" s="172"/>
    </row>
    <row r="64" spans="1:21" x14ac:dyDescent="0.25">
      <c r="A64" s="172"/>
      <c r="B64" s="172"/>
      <c r="C64" s="172"/>
      <c r="D64" s="172"/>
      <c r="E64" s="172"/>
      <c r="F64" s="172"/>
      <c r="G64" s="172"/>
      <c r="H64" s="172"/>
      <c r="I64" s="172"/>
      <c r="J64" s="172"/>
      <c r="K64" s="172"/>
      <c r="L64" s="172"/>
      <c r="M64" s="172"/>
      <c r="N64" s="172"/>
      <c r="O64" s="172"/>
      <c r="P64" s="172"/>
      <c r="Q64" s="172"/>
      <c r="R64" s="172"/>
      <c r="S64" s="172"/>
      <c r="T64" s="172"/>
      <c r="U64" s="172"/>
    </row>
    <row r="65" spans="1:21" x14ac:dyDescent="0.25">
      <c r="A65" s="172"/>
      <c r="B65" s="172"/>
      <c r="C65" s="172"/>
      <c r="D65" s="172"/>
      <c r="E65" s="172"/>
      <c r="F65" s="172"/>
      <c r="G65" s="172"/>
      <c r="H65" s="172"/>
      <c r="I65" s="172"/>
      <c r="J65" s="172"/>
      <c r="K65" s="172"/>
      <c r="L65" s="172"/>
      <c r="M65" s="172"/>
      <c r="N65" s="172"/>
      <c r="O65" s="172"/>
      <c r="P65" s="172"/>
      <c r="Q65" s="172"/>
      <c r="R65" s="172"/>
      <c r="S65" s="172"/>
      <c r="T65" s="172"/>
      <c r="U65" s="172"/>
    </row>
    <row r="66" spans="1:21" x14ac:dyDescent="0.25">
      <c r="A66" s="161"/>
      <c r="B66" s="161"/>
      <c r="C66" s="161"/>
      <c r="D66" s="161"/>
      <c r="E66" s="161"/>
      <c r="F66" s="161"/>
      <c r="G66" s="161"/>
      <c r="H66" s="161"/>
      <c r="I66" s="161"/>
      <c r="J66" s="161"/>
      <c r="K66" s="161"/>
      <c r="L66" s="161"/>
      <c r="M66" s="161"/>
      <c r="N66" s="161"/>
      <c r="O66" s="161"/>
      <c r="P66" s="161"/>
      <c r="Q66" s="161"/>
      <c r="R66" s="161"/>
      <c r="S66" s="161"/>
      <c r="T66" s="161"/>
      <c r="U66" s="161"/>
    </row>
    <row r="67" spans="1:21" x14ac:dyDescent="0.25">
      <c r="A67" s="161"/>
      <c r="B67" s="161"/>
      <c r="C67" s="161"/>
      <c r="D67" s="161"/>
      <c r="E67" s="161"/>
      <c r="F67" s="161"/>
      <c r="G67" s="161"/>
      <c r="H67" s="161"/>
      <c r="I67" s="161"/>
      <c r="J67" s="161"/>
      <c r="K67" s="161"/>
      <c r="L67" s="161"/>
      <c r="M67" s="161"/>
      <c r="N67" s="161"/>
      <c r="O67" s="161"/>
      <c r="P67" s="161"/>
      <c r="Q67" s="161"/>
      <c r="R67" s="161"/>
      <c r="S67" s="161"/>
      <c r="T67" s="161"/>
      <c r="U67" s="161"/>
    </row>
    <row r="68" spans="1:21" x14ac:dyDescent="0.25">
      <c r="A68" s="161"/>
      <c r="B68" s="161"/>
      <c r="C68" s="161"/>
      <c r="D68" s="161"/>
      <c r="E68" s="161"/>
      <c r="F68" s="161"/>
      <c r="G68" s="161"/>
      <c r="H68" s="161"/>
      <c r="I68" s="161"/>
      <c r="J68" s="161"/>
      <c r="K68" s="161"/>
      <c r="L68" s="161"/>
      <c r="M68" s="161"/>
      <c r="N68" s="161"/>
      <c r="O68" s="161"/>
      <c r="P68" s="161"/>
      <c r="Q68" s="161"/>
      <c r="R68" s="161"/>
      <c r="S68" s="161"/>
      <c r="T68" s="161"/>
      <c r="U68" s="161"/>
    </row>
    <row r="69" spans="1:21" x14ac:dyDescent="0.25">
      <c r="A69" s="161"/>
      <c r="B69" s="161"/>
      <c r="C69" s="161"/>
      <c r="D69" s="161"/>
      <c r="E69" s="161"/>
      <c r="F69" s="161"/>
      <c r="G69" s="161"/>
      <c r="H69" s="161"/>
      <c r="I69" s="161"/>
      <c r="J69" s="161"/>
      <c r="K69" s="161"/>
      <c r="L69" s="161"/>
      <c r="M69" s="161"/>
      <c r="N69" s="161"/>
      <c r="O69" s="161"/>
      <c r="P69" s="161"/>
      <c r="Q69" s="161"/>
      <c r="R69" s="161"/>
      <c r="S69" s="161"/>
      <c r="T69" s="161"/>
      <c r="U69" s="161"/>
    </row>
    <row r="70" spans="1:21" x14ac:dyDescent="0.25">
      <c r="A70" s="161"/>
      <c r="B70" s="161"/>
      <c r="C70" s="161"/>
      <c r="D70" s="161"/>
      <c r="E70" s="161"/>
      <c r="F70" s="161"/>
      <c r="G70" s="161"/>
      <c r="H70" s="161"/>
      <c r="I70" s="161"/>
      <c r="J70" s="161"/>
      <c r="K70" s="161"/>
      <c r="L70" s="161"/>
      <c r="M70" s="161"/>
      <c r="N70" s="161"/>
      <c r="O70" s="161"/>
      <c r="P70" s="161"/>
      <c r="Q70" s="161"/>
      <c r="R70" s="161"/>
      <c r="S70" s="161"/>
      <c r="T70" s="161"/>
      <c r="U70" s="161"/>
    </row>
    <row r="71" spans="1:21" x14ac:dyDescent="0.25">
      <c r="A71" s="161"/>
      <c r="B71" s="161"/>
      <c r="C71" s="161"/>
      <c r="D71" s="161"/>
      <c r="E71" s="161"/>
      <c r="F71" s="161"/>
      <c r="G71" s="161"/>
      <c r="H71" s="161"/>
      <c r="I71" s="161"/>
      <c r="J71" s="161"/>
      <c r="K71" s="161"/>
      <c r="L71" s="161"/>
      <c r="M71" s="161"/>
      <c r="N71" s="161"/>
      <c r="O71" s="161"/>
      <c r="P71" s="161"/>
      <c r="Q71" s="161"/>
      <c r="R71" s="161"/>
      <c r="S71" s="161"/>
      <c r="T71" s="161"/>
      <c r="U71" s="161"/>
    </row>
    <row r="72" spans="1:21" x14ac:dyDescent="0.25">
      <c r="A72" s="161"/>
      <c r="B72" s="161"/>
      <c r="C72" s="161"/>
      <c r="D72" s="161"/>
      <c r="E72" s="161"/>
      <c r="F72" s="161"/>
      <c r="G72" s="161"/>
      <c r="H72" s="161"/>
      <c r="I72" s="161"/>
      <c r="J72" s="161"/>
      <c r="K72" s="161"/>
      <c r="L72" s="161"/>
      <c r="M72" s="161"/>
      <c r="N72" s="161"/>
      <c r="O72" s="161"/>
      <c r="P72" s="161"/>
      <c r="Q72" s="161"/>
      <c r="R72" s="161"/>
      <c r="S72" s="161"/>
      <c r="T72" s="161"/>
      <c r="U72" s="161"/>
    </row>
    <row r="73" spans="1:21" x14ac:dyDescent="0.25">
      <c r="A73" s="161"/>
      <c r="B73" s="161"/>
      <c r="C73" s="161"/>
      <c r="D73" s="161"/>
      <c r="E73" s="161"/>
      <c r="F73" s="161"/>
      <c r="G73" s="161"/>
      <c r="H73" s="161"/>
      <c r="I73" s="161"/>
      <c r="J73" s="161"/>
      <c r="K73" s="161"/>
      <c r="L73" s="161"/>
      <c r="M73" s="161"/>
      <c r="N73" s="161"/>
      <c r="O73" s="161"/>
      <c r="P73" s="161"/>
      <c r="Q73" s="161"/>
      <c r="R73" s="161"/>
      <c r="S73" s="161"/>
      <c r="T73" s="161"/>
      <c r="U73" s="161"/>
    </row>
    <row r="74" spans="1:21" x14ac:dyDescent="0.25">
      <c r="A74" s="161"/>
      <c r="B74" s="161"/>
      <c r="C74" s="161"/>
      <c r="D74" s="161"/>
      <c r="E74" s="161"/>
      <c r="F74" s="161"/>
      <c r="G74" s="161"/>
      <c r="H74" s="161"/>
      <c r="I74" s="161"/>
      <c r="J74" s="161"/>
      <c r="K74" s="161"/>
      <c r="L74" s="161"/>
      <c r="M74" s="161"/>
      <c r="N74" s="161"/>
      <c r="O74" s="161"/>
      <c r="P74" s="161"/>
      <c r="Q74" s="161"/>
      <c r="R74" s="161"/>
      <c r="S74" s="161"/>
      <c r="T74" s="161"/>
      <c r="U74" s="161"/>
    </row>
    <row r="75" spans="1:21" x14ac:dyDescent="0.25">
      <c r="A75" s="161"/>
      <c r="B75" s="161"/>
      <c r="C75" s="161"/>
      <c r="D75" s="161"/>
      <c r="E75" s="161"/>
      <c r="F75" s="161"/>
      <c r="G75" s="161"/>
      <c r="H75" s="161"/>
      <c r="I75" s="161"/>
      <c r="J75" s="161"/>
      <c r="K75" s="161"/>
      <c r="L75" s="161"/>
      <c r="M75" s="161"/>
      <c r="N75" s="161"/>
      <c r="O75" s="161"/>
      <c r="P75" s="161"/>
      <c r="Q75" s="161"/>
      <c r="R75" s="161"/>
      <c r="S75" s="161"/>
      <c r="T75" s="161"/>
      <c r="U75" s="161"/>
    </row>
    <row r="76" spans="1:21" x14ac:dyDescent="0.25">
      <c r="A76" s="161"/>
      <c r="B76" s="161"/>
      <c r="C76" s="161"/>
      <c r="D76" s="161"/>
      <c r="E76" s="161"/>
      <c r="F76" s="161"/>
      <c r="G76" s="161"/>
      <c r="H76" s="161"/>
      <c r="I76" s="161"/>
      <c r="J76" s="161"/>
      <c r="K76" s="161"/>
      <c r="L76" s="161"/>
      <c r="M76" s="161"/>
      <c r="N76" s="161"/>
      <c r="O76" s="161"/>
      <c r="P76" s="161"/>
      <c r="Q76" s="161"/>
      <c r="R76" s="161"/>
      <c r="S76" s="161"/>
      <c r="T76" s="161"/>
      <c r="U76" s="161"/>
    </row>
    <row r="77" spans="1:21" x14ac:dyDescent="0.25">
      <c r="A77" s="161"/>
      <c r="B77" s="161"/>
      <c r="C77" s="161"/>
      <c r="D77" s="161"/>
      <c r="E77" s="161"/>
      <c r="F77" s="161"/>
      <c r="G77" s="161"/>
      <c r="H77" s="161"/>
      <c r="I77" s="161"/>
      <c r="J77" s="161"/>
      <c r="K77" s="161"/>
      <c r="L77" s="161"/>
      <c r="M77" s="161"/>
      <c r="N77" s="161"/>
      <c r="O77" s="161"/>
      <c r="P77" s="161"/>
      <c r="Q77" s="161"/>
      <c r="R77" s="161"/>
      <c r="S77" s="161"/>
      <c r="T77" s="161"/>
      <c r="U77" s="161"/>
    </row>
    <row r="78" spans="1:21" x14ac:dyDescent="0.25">
      <c r="A78" s="161"/>
      <c r="B78" s="161"/>
      <c r="C78" s="161"/>
      <c r="D78" s="161"/>
      <c r="E78" s="161"/>
      <c r="F78" s="161"/>
      <c r="G78" s="161"/>
      <c r="H78" s="161"/>
      <c r="I78" s="161"/>
      <c r="J78" s="161"/>
      <c r="K78" s="161"/>
      <c r="L78" s="161"/>
      <c r="M78" s="161"/>
      <c r="N78" s="161"/>
      <c r="O78" s="161"/>
      <c r="P78" s="161"/>
      <c r="Q78" s="161"/>
      <c r="R78" s="161"/>
      <c r="S78" s="161"/>
      <c r="T78" s="161"/>
      <c r="U78" s="161"/>
    </row>
    <row r="79" spans="1:21" x14ac:dyDescent="0.25">
      <c r="A79" s="161"/>
      <c r="B79" s="161"/>
      <c r="C79" s="161"/>
      <c r="D79" s="161"/>
      <c r="E79" s="161"/>
      <c r="F79" s="161"/>
      <c r="G79" s="161"/>
      <c r="H79" s="161"/>
      <c r="I79" s="161"/>
      <c r="J79" s="161"/>
      <c r="K79" s="161"/>
      <c r="L79" s="161"/>
      <c r="M79" s="161"/>
      <c r="N79" s="161"/>
      <c r="O79" s="161"/>
      <c r="P79" s="161"/>
      <c r="Q79" s="161"/>
      <c r="R79" s="161"/>
      <c r="S79" s="161"/>
      <c r="T79" s="161"/>
      <c r="U79" s="161"/>
    </row>
    <row r="80" spans="1:21" x14ac:dyDescent="0.25">
      <c r="A80" s="161"/>
      <c r="B80" s="161"/>
      <c r="C80" s="161"/>
      <c r="D80" s="161"/>
      <c r="E80" s="161"/>
      <c r="F80" s="161"/>
      <c r="G80" s="161"/>
      <c r="H80" s="161"/>
      <c r="I80" s="161"/>
      <c r="J80" s="161"/>
      <c r="K80" s="161"/>
      <c r="L80" s="161"/>
      <c r="M80" s="161"/>
      <c r="N80" s="161"/>
      <c r="O80" s="161"/>
      <c r="P80" s="161"/>
      <c r="Q80" s="161"/>
      <c r="R80" s="161"/>
      <c r="S80" s="161"/>
      <c r="T80" s="161"/>
      <c r="U80" s="161"/>
    </row>
    <row r="81" spans="1:21" x14ac:dyDescent="0.25">
      <c r="A81" s="160"/>
      <c r="B81" s="160"/>
      <c r="C81" s="160"/>
      <c r="D81" s="160"/>
      <c r="E81" s="160"/>
      <c r="F81" s="160"/>
      <c r="G81" s="160"/>
      <c r="H81" s="160"/>
      <c r="I81" s="160"/>
      <c r="J81" s="160"/>
      <c r="K81" s="160"/>
      <c r="L81" s="160"/>
      <c r="M81" s="160"/>
      <c r="N81" s="160"/>
      <c r="O81" s="160"/>
      <c r="P81" s="160"/>
      <c r="Q81" s="160"/>
      <c r="R81" s="160"/>
      <c r="S81" s="160"/>
      <c r="T81" s="160"/>
      <c r="U81" s="160"/>
    </row>
    <row r="82" spans="1:21" x14ac:dyDescent="0.25">
      <c r="A82" s="160"/>
      <c r="B82" s="160"/>
      <c r="C82" s="160"/>
      <c r="D82" s="160"/>
      <c r="E82" s="160"/>
      <c r="F82" s="160"/>
      <c r="G82" s="160"/>
      <c r="H82" s="160"/>
      <c r="I82" s="160"/>
      <c r="J82" s="160"/>
      <c r="K82" s="160"/>
      <c r="L82" s="160"/>
      <c r="M82" s="160"/>
      <c r="N82" s="160"/>
      <c r="O82" s="160"/>
      <c r="P82" s="160"/>
      <c r="Q82" s="160"/>
      <c r="R82" s="160"/>
      <c r="S82" s="160"/>
      <c r="T82" s="160"/>
      <c r="U82" s="160"/>
    </row>
    <row r="83" spans="1:21" x14ac:dyDescent="0.25">
      <c r="A83" s="160"/>
      <c r="B83" s="160"/>
      <c r="C83" s="160"/>
      <c r="D83" s="160"/>
      <c r="E83" s="160"/>
      <c r="F83" s="160"/>
      <c r="G83" s="160"/>
      <c r="H83" s="160"/>
      <c r="I83" s="160"/>
      <c r="J83" s="160"/>
      <c r="K83" s="160"/>
      <c r="L83" s="160"/>
      <c r="M83" s="160"/>
      <c r="N83" s="160"/>
      <c r="O83" s="160"/>
      <c r="P83" s="160"/>
      <c r="Q83" s="160"/>
      <c r="R83" s="160"/>
      <c r="S83" s="160"/>
      <c r="T83" s="160"/>
      <c r="U83" s="160"/>
    </row>
    <row r="84" spans="1:21" x14ac:dyDescent="0.25">
      <c r="A84" s="160"/>
      <c r="B84" s="160"/>
      <c r="C84" s="160"/>
      <c r="D84" s="160"/>
      <c r="E84" s="160"/>
      <c r="F84" s="160"/>
      <c r="G84" s="160"/>
      <c r="H84" s="160"/>
      <c r="I84" s="160"/>
      <c r="J84" s="160"/>
      <c r="K84" s="160"/>
      <c r="L84" s="160"/>
      <c r="M84" s="160"/>
      <c r="N84" s="160"/>
      <c r="O84" s="160"/>
      <c r="P84" s="160"/>
      <c r="Q84" s="160"/>
      <c r="R84" s="160"/>
      <c r="S84" s="160"/>
      <c r="T84" s="160"/>
      <c r="U84" s="160"/>
    </row>
    <row r="85" spans="1:21" x14ac:dyDescent="0.25">
      <c r="A85" s="160"/>
      <c r="B85" s="160"/>
      <c r="C85" s="160"/>
      <c r="D85" s="160"/>
      <c r="E85" s="160"/>
      <c r="F85" s="160"/>
      <c r="G85" s="160"/>
      <c r="H85" s="160"/>
      <c r="I85" s="160"/>
      <c r="J85" s="160"/>
      <c r="K85" s="160"/>
      <c r="L85" s="160"/>
      <c r="M85" s="160"/>
      <c r="N85" s="160"/>
      <c r="O85" s="160"/>
      <c r="P85" s="160"/>
      <c r="Q85" s="160"/>
      <c r="R85" s="160"/>
      <c r="S85" s="160"/>
      <c r="T85" s="160"/>
      <c r="U85" s="160"/>
    </row>
    <row r="86" spans="1:21" x14ac:dyDescent="0.25">
      <c r="A86" s="160"/>
      <c r="B86" s="160"/>
      <c r="C86" s="160"/>
      <c r="D86" s="160"/>
      <c r="E86" s="160"/>
      <c r="F86" s="160"/>
      <c r="G86" s="160"/>
      <c r="H86" s="160"/>
      <c r="I86" s="160"/>
      <c r="J86" s="160"/>
      <c r="K86" s="160"/>
      <c r="L86" s="160"/>
      <c r="M86" s="160"/>
      <c r="N86" s="160"/>
      <c r="O86" s="160"/>
      <c r="P86" s="160"/>
      <c r="Q86" s="160"/>
      <c r="R86" s="160"/>
      <c r="S86" s="160"/>
      <c r="T86" s="160"/>
      <c r="U86" s="160"/>
    </row>
    <row r="87" spans="1:21" x14ac:dyDescent="0.25">
      <c r="A87" s="160"/>
      <c r="B87" s="160"/>
      <c r="C87" s="160"/>
      <c r="D87" s="160"/>
      <c r="E87" s="160"/>
      <c r="F87" s="160"/>
      <c r="G87" s="160"/>
      <c r="H87" s="160"/>
      <c r="I87" s="160"/>
      <c r="J87" s="160"/>
      <c r="K87" s="160"/>
      <c r="L87" s="160"/>
      <c r="M87" s="160"/>
      <c r="N87" s="160"/>
      <c r="O87" s="160"/>
      <c r="P87" s="160"/>
      <c r="Q87" s="160"/>
      <c r="R87" s="160"/>
      <c r="S87" s="160"/>
      <c r="T87" s="160"/>
      <c r="U87" s="160"/>
    </row>
    <row r="88" spans="1:21" x14ac:dyDescent="0.25">
      <c r="A88" s="160"/>
      <c r="B88" s="160"/>
      <c r="C88" s="160"/>
      <c r="D88" s="160"/>
      <c r="E88" s="160"/>
      <c r="F88" s="160"/>
      <c r="G88" s="160"/>
      <c r="H88" s="160"/>
      <c r="I88" s="160"/>
      <c r="J88" s="160"/>
      <c r="K88" s="160"/>
      <c r="L88" s="160"/>
      <c r="M88" s="160"/>
      <c r="N88" s="160"/>
      <c r="O88" s="160"/>
      <c r="P88" s="160"/>
      <c r="Q88" s="160"/>
      <c r="R88" s="160"/>
      <c r="S88" s="160"/>
      <c r="T88" s="160"/>
      <c r="U88" s="160"/>
    </row>
    <row r="89" spans="1:21" x14ac:dyDescent="0.25">
      <c r="A89" s="160"/>
      <c r="B89" s="160"/>
      <c r="C89" s="160"/>
      <c r="D89" s="160"/>
      <c r="E89" s="160"/>
      <c r="F89" s="160"/>
      <c r="G89" s="160"/>
      <c r="H89" s="160"/>
      <c r="I89" s="160"/>
      <c r="J89" s="160"/>
      <c r="K89" s="160"/>
      <c r="L89" s="160"/>
      <c r="M89" s="160"/>
      <c r="N89" s="160"/>
      <c r="O89" s="160"/>
      <c r="P89" s="160"/>
      <c r="Q89" s="160"/>
      <c r="R89" s="160"/>
      <c r="S89" s="160"/>
      <c r="T89" s="160"/>
      <c r="U89" s="160"/>
    </row>
    <row r="90" spans="1:21" x14ac:dyDescent="0.25">
      <c r="A90" s="160"/>
      <c r="B90" s="160"/>
      <c r="C90" s="160"/>
      <c r="D90" s="160"/>
      <c r="E90" s="160"/>
      <c r="F90" s="160"/>
      <c r="G90" s="160"/>
      <c r="H90" s="160"/>
      <c r="I90" s="160"/>
      <c r="J90" s="160"/>
      <c r="K90" s="160"/>
      <c r="L90" s="160"/>
      <c r="M90" s="160"/>
      <c r="N90" s="160"/>
      <c r="O90" s="160"/>
      <c r="P90" s="160"/>
      <c r="Q90" s="160"/>
      <c r="R90" s="160"/>
      <c r="S90" s="160"/>
      <c r="T90" s="160"/>
      <c r="U90" s="160"/>
    </row>
    <row r="91" spans="1:21" x14ac:dyDescent="0.25">
      <c r="A91" s="160"/>
      <c r="B91" s="160"/>
      <c r="C91" s="160"/>
      <c r="D91" s="160"/>
      <c r="E91" s="160"/>
      <c r="F91" s="160"/>
      <c r="G91" s="160"/>
      <c r="H91" s="160"/>
      <c r="I91" s="160"/>
      <c r="J91" s="160"/>
      <c r="K91" s="160"/>
      <c r="L91" s="160"/>
      <c r="M91" s="160"/>
      <c r="N91" s="160"/>
      <c r="O91" s="160"/>
      <c r="P91" s="160"/>
      <c r="Q91" s="160"/>
      <c r="R91" s="160"/>
      <c r="S91" s="160"/>
      <c r="T91" s="160"/>
      <c r="U91" s="160"/>
    </row>
    <row r="92" spans="1:21" x14ac:dyDescent="0.25">
      <c r="A92" s="160"/>
      <c r="B92" s="160"/>
      <c r="C92" s="160"/>
      <c r="D92" s="160"/>
      <c r="E92" s="160"/>
      <c r="F92" s="160"/>
      <c r="G92" s="160"/>
      <c r="H92" s="160"/>
      <c r="I92" s="160"/>
      <c r="J92" s="160"/>
      <c r="K92" s="160"/>
      <c r="L92" s="160"/>
      <c r="M92" s="160"/>
      <c r="N92" s="160"/>
      <c r="O92" s="160"/>
      <c r="P92" s="160"/>
      <c r="Q92" s="160"/>
      <c r="R92" s="160"/>
      <c r="S92" s="160"/>
      <c r="T92" s="160"/>
      <c r="U92" s="160"/>
    </row>
    <row r="93" spans="1:21" x14ac:dyDescent="0.25">
      <c r="A93" s="160"/>
      <c r="B93" s="160"/>
      <c r="C93" s="160"/>
      <c r="D93" s="160"/>
      <c r="E93" s="160"/>
      <c r="F93" s="160"/>
      <c r="G93" s="160"/>
      <c r="H93" s="160"/>
      <c r="I93" s="160"/>
      <c r="J93" s="160"/>
      <c r="K93" s="160"/>
      <c r="L93" s="160"/>
      <c r="M93" s="160"/>
      <c r="N93" s="160"/>
      <c r="O93" s="160"/>
      <c r="P93" s="160"/>
      <c r="Q93" s="160"/>
      <c r="R93" s="160"/>
      <c r="S93" s="160"/>
      <c r="T93" s="160"/>
      <c r="U93" s="160"/>
    </row>
    <row r="94" spans="1:21" x14ac:dyDescent="0.25">
      <c r="A94" s="160"/>
      <c r="B94" s="160"/>
      <c r="C94" s="160"/>
      <c r="D94" s="160"/>
      <c r="E94" s="160"/>
      <c r="F94" s="160"/>
      <c r="G94" s="160"/>
      <c r="H94" s="160"/>
      <c r="I94" s="160"/>
      <c r="J94" s="160"/>
      <c r="K94" s="160"/>
      <c r="L94" s="160"/>
      <c r="M94" s="160"/>
      <c r="N94" s="160"/>
      <c r="O94" s="160"/>
      <c r="P94" s="160"/>
      <c r="Q94" s="160"/>
      <c r="R94" s="160"/>
      <c r="S94" s="160"/>
      <c r="T94" s="160"/>
      <c r="U94" s="160"/>
    </row>
    <row r="95" spans="1:21" x14ac:dyDescent="0.25">
      <c r="A95" s="160"/>
      <c r="B95" s="160"/>
      <c r="C95" s="160"/>
      <c r="D95" s="160"/>
      <c r="E95" s="160"/>
      <c r="F95" s="160"/>
      <c r="G95" s="160"/>
      <c r="H95" s="160"/>
      <c r="I95" s="160"/>
      <c r="J95" s="160"/>
      <c r="K95" s="160"/>
      <c r="L95" s="160"/>
      <c r="M95" s="160"/>
      <c r="N95" s="160"/>
      <c r="O95" s="160"/>
      <c r="P95" s="160"/>
      <c r="Q95" s="160"/>
      <c r="R95" s="160"/>
      <c r="S95" s="160"/>
      <c r="T95" s="160"/>
      <c r="U95" s="160"/>
    </row>
    <row r="96" spans="1:21" x14ac:dyDescent="0.25">
      <c r="A96" s="160"/>
      <c r="B96" s="160"/>
      <c r="C96" s="160"/>
      <c r="D96" s="160"/>
      <c r="E96" s="160"/>
      <c r="F96" s="160"/>
      <c r="G96" s="160"/>
      <c r="H96" s="160"/>
      <c r="I96" s="160"/>
      <c r="J96" s="160"/>
      <c r="K96" s="160"/>
      <c r="L96" s="160"/>
      <c r="M96" s="160"/>
      <c r="N96" s="160"/>
      <c r="O96" s="160"/>
      <c r="P96" s="160"/>
      <c r="Q96" s="160"/>
      <c r="R96" s="160"/>
      <c r="S96" s="160"/>
      <c r="T96" s="160"/>
      <c r="U96" s="160"/>
    </row>
    <row r="97" spans="1:21" x14ac:dyDescent="0.25">
      <c r="A97" s="160"/>
      <c r="B97" s="160"/>
      <c r="C97" s="160"/>
      <c r="D97" s="160"/>
      <c r="E97" s="160"/>
      <c r="F97" s="160"/>
      <c r="G97" s="160"/>
      <c r="H97" s="160"/>
      <c r="I97" s="160"/>
      <c r="J97" s="160"/>
      <c r="K97" s="160"/>
      <c r="L97" s="160"/>
      <c r="M97" s="160"/>
      <c r="N97" s="160"/>
      <c r="O97" s="160"/>
      <c r="P97" s="160"/>
      <c r="Q97" s="160"/>
      <c r="R97" s="160"/>
      <c r="S97" s="160"/>
      <c r="T97" s="160"/>
      <c r="U97" s="160"/>
    </row>
    <row r="98" spans="1:21" x14ac:dyDescent="0.25">
      <c r="A98" s="160"/>
      <c r="B98" s="160"/>
      <c r="C98" s="160"/>
      <c r="D98" s="160"/>
      <c r="E98" s="160"/>
      <c r="F98" s="160"/>
      <c r="G98" s="160"/>
      <c r="H98" s="160"/>
      <c r="I98" s="160"/>
      <c r="J98" s="160"/>
      <c r="K98" s="160"/>
      <c r="L98" s="160"/>
      <c r="M98" s="160"/>
      <c r="N98" s="160"/>
      <c r="O98" s="160"/>
      <c r="P98" s="160"/>
      <c r="Q98" s="160"/>
      <c r="R98" s="160"/>
      <c r="S98" s="160"/>
      <c r="T98" s="160"/>
      <c r="U98" s="160"/>
    </row>
    <row r="99" spans="1:21" x14ac:dyDescent="0.25">
      <c r="A99" s="160"/>
      <c r="B99" s="160"/>
      <c r="C99" s="160"/>
      <c r="D99" s="160"/>
      <c r="E99" s="160"/>
      <c r="F99" s="160"/>
      <c r="G99" s="160"/>
      <c r="H99" s="160"/>
      <c r="I99" s="160"/>
      <c r="J99" s="160"/>
      <c r="K99" s="160"/>
      <c r="L99" s="160"/>
      <c r="M99" s="160"/>
      <c r="N99" s="160"/>
      <c r="O99" s="160"/>
      <c r="P99" s="160"/>
      <c r="Q99" s="160"/>
      <c r="R99" s="160"/>
      <c r="S99" s="160"/>
      <c r="T99" s="160"/>
      <c r="U99" s="160"/>
    </row>
    <row r="100" spans="1:21" x14ac:dyDescent="0.25">
      <c r="A100" s="160"/>
      <c r="B100" s="160"/>
      <c r="C100" s="160"/>
      <c r="D100" s="160"/>
      <c r="E100" s="160"/>
      <c r="F100" s="160"/>
      <c r="G100" s="160"/>
      <c r="H100" s="160"/>
      <c r="I100" s="160"/>
      <c r="J100" s="160"/>
      <c r="K100" s="160"/>
      <c r="L100" s="160"/>
      <c r="M100" s="160"/>
      <c r="N100" s="160"/>
      <c r="O100" s="160"/>
      <c r="P100" s="160"/>
      <c r="Q100" s="160"/>
      <c r="R100" s="160"/>
      <c r="S100" s="160"/>
      <c r="T100" s="160"/>
      <c r="U100" s="160"/>
    </row>
  </sheetData>
  <sheetProtection password="DD1C" sheet="1" objects="1" scenarios="1"/>
  <mergeCells count="2">
    <mergeCell ref="A1:U1"/>
    <mergeCell ref="A2:U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5" zoomScaleNormal="85" workbookViewId="0">
      <selection activeCell="C38" sqref="C38"/>
    </sheetView>
  </sheetViews>
  <sheetFormatPr defaultRowHeight="15" x14ac:dyDescent="0.25"/>
  <cols>
    <col min="1" max="16384" width="9.140625" style="162"/>
  </cols>
  <sheetData/>
  <sheetProtection password="DD1C"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N115"/>
  <sheetViews>
    <sheetView showGridLines="0" tabSelected="1" zoomScale="70" zoomScaleNormal="70" workbookViewId="0">
      <pane xSplit="2" ySplit="16" topLeftCell="D32" activePane="bottomRight" state="frozen"/>
      <selection pane="topRight" activeCell="C1" sqref="C1"/>
      <selection pane="bottomLeft" activeCell="A16" sqref="A16"/>
      <selection pane="bottomRight" activeCell="K66" sqref="K66"/>
    </sheetView>
  </sheetViews>
  <sheetFormatPr defaultColWidth="9.140625" defaultRowHeight="18" customHeight="1" x14ac:dyDescent="0.25"/>
  <cols>
    <col min="1" max="1" width="2" style="22" customWidth="1"/>
    <col min="2" max="2" width="113.85546875" style="21" bestFit="1" customWidth="1"/>
    <col min="3" max="3" width="145" style="27" bestFit="1" customWidth="1"/>
    <col min="4" max="4" width="27.28515625" style="86" customWidth="1"/>
    <col min="5" max="5" width="8.28515625" style="87" bestFit="1" customWidth="1"/>
    <col min="6" max="6" width="13.5703125" style="87" bestFit="1" customWidth="1"/>
    <col min="7" max="7" width="17.85546875" style="21" hidden="1" customWidth="1"/>
    <col min="8" max="8" width="24.7109375" style="22" customWidth="1"/>
    <col min="9" max="9" width="9.140625" style="22"/>
    <col min="10" max="10" width="20.7109375" style="22" customWidth="1"/>
    <col min="11" max="11" width="17.28515625" style="22" customWidth="1"/>
    <col min="12" max="12" width="50.28515625" style="23" customWidth="1"/>
    <col min="13" max="13" width="16.5703125" style="22" hidden="1" customWidth="1"/>
    <col min="14" max="14" width="26.28515625" style="22" hidden="1" customWidth="1"/>
    <col min="15" max="16384" width="9.140625" style="22"/>
  </cols>
  <sheetData>
    <row r="1" spans="2:6" ht="18" customHeight="1" x14ac:dyDescent="0.25">
      <c r="B1" s="17" t="s">
        <v>183</v>
      </c>
      <c r="C1" s="18"/>
      <c r="D1" s="19"/>
      <c r="E1" s="20"/>
      <c r="F1" s="20"/>
    </row>
    <row r="2" spans="2:6" ht="18" customHeight="1" x14ac:dyDescent="0.25">
      <c r="B2" s="24" t="s">
        <v>20</v>
      </c>
      <c r="C2" s="25" t="s">
        <v>92</v>
      </c>
      <c r="D2" s="26" t="s">
        <v>21</v>
      </c>
      <c r="E2" s="173" t="s">
        <v>124</v>
      </c>
      <c r="F2" s="174"/>
    </row>
    <row r="3" spans="2:6" ht="30.6" customHeight="1" x14ac:dyDescent="0.25">
      <c r="B3" s="27"/>
      <c r="C3" s="28" t="s">
        <v>133</v>
      </c>
      <c r="D3" s="19"/>
      <c r="E3" s="20"/>
      <c r="F3" s="20"/>
    </row>
    <row r="4" spans="2:6" ht="18" customHeight="1" x14ac:dyDescent="0.25">
      <c r="B4" s="130" t="s">
        <v>182</v>
      </c>
      <c r="C4" s="130" t="s">
        <v>1</v>
      </c>
      <c r="D4" s="131" t="s">
        <v>2</v>
      </c>
      <c r="E4" s="132" t="s">
        <v>3</v>
      </c>
      <c r="F4" s="133" t="s">
        <v>30</v>
      </c>
    </row>
    <row r="5" spans="2:6" ht="18" customHeight="1" x14ac:dyDescent="0.25">
      <c r="B5" s="122" t="s">
        <v>160</v>
      </c>
      <c r="C5" s="122" t="s">
        <v>162</v>
      </c>
      <c r="D5" s="95">
        <v>11</v>
      </c>
      <c r="E5" s="123" t="s">
        <v>6</v>
      </c>
      <c r="F5" s="42"/>
    </row>
    <row r="6" spans="2:6" ht="18" customHeight="1" x14ac:dyDescent="0.25">
      <c r="B6" s="29" t="s">
        <v>134</v>
      </c>
      <c r="C6" s="29" t="s">
        <v>161</v>
      </c>
      <c r="D6" s="94">
        <v>26</v>
      </c>
      <c r="E6" s="31" t="s">
        <v>6</v>
      </c>
      <c r="F6" s="32"/>
    </row>
    <row r="7" spans="2:6" ht="18" customHeight="1" x14ac:dyDescent="0.25">
      <c r="B7" s="29" t="s">
        <v>212</v>
      </c>
      <c r="C7" s="29" t="s">
        <v>220</v>
      </c>
      <c r="D7" s="94">
        <v>12</v>
      </c>
      <c r="E7" s="31" t="s">
        <v>6</v>
      </c>
      <c r="F7" s="32"/>
    </row>
    <row r="8" spans="2:6" ht="18" customHeight="1" x14ac:dyDescent="0.25">
      <c r="B8" s="29" t="s">
        <v>91</v>
      </c>
      <c r="C8" s="29" t="s">
        <v>190</v>
      </c>
      <c r="D8" s="95">
        <v>9</v>
      </c>
      <c r="E8" s="31" t="s">
        <v>6</v>
      </c>
      <c r="F8" s="32"/>
    </row>
    <row r="9" spans="2:6" ht="18" customHeight="1" x14ac:dyDescent="0.25">
      <c r="B9" s="29" t="s">
        <v>41</v>
      </c>
      <c r="C9" s="29" t="s">
        <v>191</v>
      </c>
      <c r="D9" s="95">
        <v>26</v>
      </c>
      <c r="E9" s="31" t="s">
        <v>6</v>
      </c>
      <c r="F9" s="32"/>
    </row>
    <row r="10" spans="2:6" ht="18" customHeight="1" x14ac:dyDescent="0.25">
      <c r="B10" s="29" t="s">
        <v>8</v>
      </c>
      <c r="C10" s="29" t="s">
        <v>9</v>
      </c>
      <c r="D10" s="94">
        <v>1000</v>
      </c>
      <c r="E10" s="31" t="s">
        <v>126</v>
      </c>
      <c r="F10" s="33">
        <v>0.1</v>
      </c>
    </row>
    <row r="11" spans="2:6" ht="18" customHeight="1" x14ac:dyDescent="0.25">
      <c r="B11" s="29" t="s">
        <v>135</v>
      </c>
      <c r="C11" s="29" t="s">
        <v>93</v>
      </c>
      <c r="D11" s="96" t="s">
        <v>101</v>
      </c>
      <c r="E11" s="31" t="s">
        <v>127</v>
      </c>
      <c r="F11" s="32"/>
    </row>
    <row r="12" spans="2:6" ht="18" customHeight="1" x14ac:dyDescent="0.25">
      <c r="B12" s="29" t="s">
        <v>52</v>
      </c>
      <c r="C12" s="29" t="s">
        <v>106</v>
      </c>
      <c r="D12" s="94">
        <v>50</v>
      </c>
      <c r="E12" s="31" t="s">
        <v>55</v>
      </c>
      <c r="F12" s="32"/>
    </row>
    <row r="13" spans="2:6" ht="18" customHeight="1" x14ac:dyDescent="0.25">
      <c r="B13" s="29" t="s">
        <v>10</v>
      </c>
      <c r="C13" s="29" t="s">
        <v>54</v>
      </c>
      <c r="D13" s="97">
        <v>5</v>
      </c>
      <c r="E13" s="31" t="s">
        <v>4</v>
      </c>
      <c r="F13" s="32"/>
    </row>
    <row r="14" spans="2:6" ht="18" customHeight="1" x14ac:dyDescent="0.25">
      <c r="B14" s="13" t="s">
        <v>128</v>
      </c>
      <c r="C14" s="34" t="s">
        <v>144</v>
      </c>
      <c r="D14" s="97">
        <v>0.5</v>
      </c>
      <c r="E14" s="35" t="s">
        <v>4</v>
      </c>
      <c r="F14" s="32"/>
    </row>
    <row r="15" spans="2:6" ht="18" customHeight="1" x14ac:dyDescent="0.25">
      <c r="B15" s="36" t="s">
        <v>53</v>
      </c>
      <c r="C15" s="37" t="s">
        <v>149</v>
      </c>
      <c r="D15" s="38">
        <f>1.05*(D13+D14)</f>
        <v>5.7750000000000004</v>
      </c>
      <c r="E15" s="35" t="s">
        <v>4</v>
      </c>
      <c r="F15" s="32"/>
    </row>
    <row r="16" spans="2:6" ht="18" customHeight="1" x14ac:dyDescent="0.25">
      <c r="B16" s="27"/>
      <c r="D16" s="19"/>
      <c r="E16" s="20"/>
      <c r="F16" s="20"/>
    </row>
    <row r="17" spans="2:14" ht="18" customHeight="1" x14ac:dyDescent="0.25">
      <c r="B17" s="134" t="s">
        <v>78</v>
      </c>
      <c r="C17" s="152" t="s">
        <v>184</v>
      </c>
      <c r="D17" s="136"/>
      <c r="E17" s="137"/>
      <c r="F17" s="137"/>
    </row>
    <row r="18" spans="2:14" x14ac:dyDescent="0.25">
      <c r="B18" s="29" t="s">
        <v>56</v>
      </c>
      <c r="C18" s="29" t="s">
        <v>145</v>
      </c>
      <c r="D18" s="30">
        <v>34</v>
      </c>
      <c r="E18" s="31" t="s">
        <v>57</v>
      </c>
      <c r="F18" s="40">
        <v>0.01</v>
      </c>
      <c r="M18" s="22">
        <f>IF(N18&gt;976,976,IF(N18&lt;100, 100, N18))</f>
        <v>340</v>
      </c>
      <c r="N18" s="22">
        <f>IF(D18&lt;=9.88, D18*100, IF(AND(D18&gt;9.88, D18&lt;=98.8),D18*10,IF(AND(D18&gt;98.8, D18&lt;=988), D18, IF(AND(D18&gt;988, D18&lt;=9880), D18/10, IF(AND(D18&gt;9880, D18&lt;=98800), D18/100)))))</f>
        <v>340</v>
      </c>
    </row>
    <row r="19" spans="2:14" ht="18" customHeight="1" x14ac:dyDescent="0.25">
      <c r="B19" s="15" t="s">
        <v>39</v>
      </c>
      <c r="C19" s="15" t="s">
        <v>146</v>
      </c>
      <c r="D19" s="41">
        <f>D18*((UVLOref*OVset/(UVset*OVPref))-1)</f>
        <v>64.222222222222229</v>
      </c>
      <c r="E19" s="42" t="s">
        <v>57</v>
      </c>
      <c r="F19" s="43"/>
      <c r="J19" s="23">
        <f>D27</f>
        <v>8.4479878665318484</v>
      </c>
      <c r="K19" s="44" t="s">
        <v>49</v>
      </c>
      <c r="M19" s="22">
        <f>IF(N19&gt;976,976,IF(N19&lt;100, 100, N19))</f>
        <v>642.22222222222229</v>
      </c>
      <c r="N19" s="22">
        <f>IF(D19&lt;=9.88, D19*100, IF(AND(D19&gt;9.88, D19&lt;=98.8),D19*10,IF(AND(D19&gt;98.8, D19&lt;=988), D19, IF(AND(D19&gt;988, D19&lt;=9880), D19/10, IF(AND(D19&gt;9880, D19&lt;=98800), D19/100)))))</f>
        <v>642.22222222222229</v>
      </c>
    </row>
    <row r="20" spans="2:14" ht="18" customHeight="1" x14ac:dyDescent="0.25">
      <c r="B20" s="92" t="s">
        <v>58</v>
      </c>
      <c r="C20" s="92" t="s">
        <v>147</v>
      </c>
      <c r="D20" s="41">
        <f>D18*(OVset/OVPref)*(1-(UVLOref/UVset))</f>
        <v>638.44444444444457</v>
      </c>
      <c r="E20" s="42" t="s">
        <v>57</v>
      </c>
      <c r="F20" s="43"/>
      <c r="J20" s="23">
        <f>D25</f>
        <v>8.89261880687563</v>
      </c>
      <c r="K20" s="44" t="s">
        <v>50</v>
      </c>
      <c r="M20" s="22">
        <f>IF(N20&gt;976,976,IF(N20&lt;100, 100, N20))</f>
        <v>638.44444444444457</v>
      </c>
      <c r="N20" s="22">
        <f>IF(D20&lt;=9.88, D20*100, IF(AND(D20&gt;9.88, D20&lt;=98.8),D20*10,IF(AND(D20&gt;98.8, D20&lt;=988), D20, IF(AND(D20&gt;988, D20&lt;=9880), D20/10, IF(AND(D20&gt;9880, D20&lt;=98800), D20/100)))))</f>
        <v>638.44444444444457</v>
      </c>
    </row>
    <row r="21" spans="2:14" ht="18" customHeight="1" x14ac:dyDescent="0.25">
      <c r="B21" s="88" t="s">
        <v>107</v>
      </c>
      <c r="C21" s="88"/>
      <c r="D21" s="45"/>
      <c r="E21" s="46"/>
      <c r="F21" s="43"/>
      <c r="J21" s="23">
        <f>D26</f>
        <v>25.867058823529408</v>
      </c>
      <c r="K21" s="44" t="s">
        <v>117</v>
      </c>
    </row>
    <row r="22" spans="2:14" ht="18" customHeight="1" x14ac:dyDescent="0.25">
      <c r="B22" s="47" t="s">
        <v>56</v>
      </c>
      <c r="C22" s="47" t="s">
        <v>96</v>
      </c>
      <c r="D22" s="38">
        <f>G22</f>
        <v>34</v>
      </c>
      <c r="E22" s="42" t="s">
        <v>57</v>
      </c>
      <c r="F22" s="48">
        <f>F18</f>
        <v>0.01</v>
      </c>
      <c r="G22" s="21">
        <f>M22/POWER(10,ROUND(LOG10(M18/D18),1))</f>
        <v>34</v>
      </c>
      <c r="M22" s="49">
        <f>INDEX('Res EIA Tables'!E$5:E$196,MATCH(M18,'Res EIA Tables'!E$5:E$196))</f>
        <v>340</v>
      </c>
      <c r="N22" s="22">
        <f>POWER(10,ROUND(LOG10(M18/D18),1))</f>
        <v>10</v>
      </c>
    </row>
    <row r="23" spans="2:14" ht="18" customHeight="1" x14ac:dyDescent="0.25">
      <c r="B23" s="47" t="s">
        <v>60</v>
      </c>
      <c r="C23" s="47" t="s">
        <v>97</v>
      </c>
      <c r="D23" s="38">
        <f t="shared" ref="D23:D24" si="0">G23</f>
        <v>64.900000000000006</v>
      </c>
      <c r="E23" s="42" t="s">
        <v>57</v>
      </c>
      <c r="F23" s="48">
        <f>F18</f>
        <v>0.01</v>
      </c>
      <c r="G23" s="21">
        <f>M23/POWER(10,ROUND(LOG10(M19/D19),1))</f>
        <v>64.900000000000006</v>
      </c>
      <c r="M23" s="49">
        <f>INDEX('Res EIA Tables'!E$5:E$196,2+MATCH(M19,'Res EIA Tables'!E$5:E$196))</f>
        <v>649</v>
      </c>
      <c r="N23" s="22">
        <f>POWER(10,ROUND(LOG10(M19/D19),1))</f>
        <v>10</v>
      </c>
    </row>
    <row r="24" spans="2:14" ht="18" customHeight="1" x14ac:dyDescent="0.25">
      <c r="B24" s="47" t="s">
        <v>61</v>
      </c>
      <c r="C24" s="47" t="s">
        <v>98</v>
      </c>
      <c r="D24" s="38">
        <f t="shared" si="0"/>
        <v>634</v>
      </c>
      <c r="E24" s="42" t="s">
        <v>57</v>
      </c>
      <c r="F24" s="48">
        <f>F18</f>
        <v>0.01</v>
      </c>
      <c r="G24" s="50">
        <f>M24/POWER(10,ROUND(LOG10(M20/D20),1))</f>
        <v>634</v>
      </c>
      <c r="M24" s="49">
        <f>INDEX('Res EIA Tables'!E$5:E$196,MATCH(M20,'Res EIA Tables'!E$5:E$196))</f>
        <v>634</v>
      </c>
      <c r="N24" s="22">
        <f>POWER(10,ROUND(LOG10(M20/D20),1))</f>
        <v>1</v>
      </c>
    </row>
    <row r="25" spans="2:14" ht="18" customHeight="1" x14ac:dyDescent="0.25">
      <c r="B25" s="69" t="s">
        <v>62</v>
      </c>
      <c r="C25" s="69" t="str">
        <f>C8</f>
        <v>Undervoltage Lockout Set point</v>
      </c>
      <c r="D25" s="52">
        <f>UVLOref*((ROVP+RUVLO+RIN)/(ROVP+RUVLO))</f>
        <v>8.89261880687563</v>
      </c>
      <c r="E25" s="42" t="s">
        <v>6</v>
      </c>
      <c r="F25" s="89">
        <f>SQRT(F87^2+F22^2+F23^2+F24^2)</f>
        <v>2.6457513110645908E-2</v>
      </c>
    </row>
    <row r="26" spans="2:14" ht="18" customHeight="1" x14ac:dyDescent="0.25">
      <c r="B26" s="69" t="s">
        <v>63</v>
      </c>
      <c r="C26" s="69" t="str">
        <f>C9</f>
        <v>Over Voltage Cut-Off Set point</v>
      </c>
      <c r="D26" s="52">
        <f>OVPref*((ROVP+RUVLO+RIN)/ROVP)</f>
        <v>25.867058823529408</v>
      </c>
      <c r="E26" s="42" t="s">
        <v>6</v>
      </c>
      <c r="F26" s="89">
        <f>SQRT(F89^2+F22^2+F23^2+F24^2)</f>
        <v>2.6457513110645908E-2</v>
      </c>
    </row>
    <row r="27" spans="2:14" ht="18" customHeight="1" x14ac:dyDescent="0.25">
      <c r="B27" s="69" t="s">
        <v>64</v>
      </c>
      <c r="C27" s="69" t="s">
        <v>209</v>
      </c>
      <c r="D27" s="52">
        <f>(UVLOref-UVLOhys)*((ROVP+RUVLO+RIN)/(ROVP+RUVLO))</f>
        <v>8.4479878665318484</v>
      </c>
      <c r="E27" s="42" t="s">
        <v>6</v>
      </c>
      <c r="F27" s="89">
        <f>F25</f>
        <v>2.6457513110645908E-2</v>
      </c>
    </row>
    <row r="28" spans="2:14" ht="18" customHeight="1" x14ac:dyDescent="0.25">
      <c r="B28" s="51" t="s">
        <v>29</v>
      </c>
      <c r="C28" s="51" t="s">
        <v>207</v>
      </c>
      <c r="D28" s="52">
        <f>UVset*1000/(ROVP+RUVLO+RIN)</f>
        <v>12.279983626688498</v>
      </c>
      <c r="E28" s="42" t="s">
        <v>7</v>
      </c>
      <c r="F28" s="43"/>
    </row>
    <row r="29" spans="2:14" ht="18" customHeight="1" x14ac:dyDescent="0.25">
      <c r="B29" s="27"/>
      <c r="D29" s="19"/>
      <c r="E29" s="20"/>
      <c r="F29" s="20"/>
    </row>
    <row r="30" spans="2:14" ht="28.5" customHeight="1" x14ac:dyDescent="0.25">
      <c r="B30" s="152" t="s">
        <v>68</v>
      </c>
      <c r="C30" s="152"/>
      <c r="D30" s="136"/>
      <c r="E30" s="137"/>
      <c r="F30" s="137"/>
    </row>
    <row r="31" spans="2:14" ht="18" customHeight="1" x14ac:dyDescent="0.25">
      <c r="B31" s="15" t="s">
        <v>131</v>
      </c>
      <c r="C31" s="15" t="s">
        <v>110</v>
      </c>
      <c r="D31" s="52">
        <f>MAX((18/(Ilimit)),3)</f>
        <v>3.1168831168831166</v>
      </c>
      <c r="E31" s="42" t="s">
        <v>57</v>
      </c>
      <c r="F31" s="14">
        <v>0.01</v>
      </c>
      <c r="J31" s="23">
        <f>Icharge</f>
        <v>0.5</v>
      </c>
      <c r="K31" s="44" t="s">
        <v>51</v>
      </c>
      <c r="M31" s="22">
        <f>IF(D31&lt;10, D31*100, IF(AND(D31&gt;=10, D31&lt;100),D31*10,IF(AND(D31&gt;=100, D31&lt;1000), D31, IF(D31&gt;=1000, D31/10))))</f>
        <v>311.68831168831167</v>
      </c>
    </row>
    <row r="32" spans="2:14" ht="18" customHeight="1" x14ac:dyDescent="0.25">
      <c r="B32" s="88" t="s">
        <v>108</v>
      </c>
      <c r="C32" s="88"/>
      <c r="D32" s="53"/>
      <c r="E32" s="31"/>
      <c r="F32" s="32"/>
      <c r="J32" s="23">
        <f>Ilimit_final</f>
        <v>5.825242718446602</v>
      </c>
      <c r="K32" s="44" t="s">
        <v>90</v>
      </c>
    </row>
    <row r="33" spans="2:13" ht="18" customHeight="1" x14ac:dyDescent="0.25">
      <c r="B33" s="47" t="s">
        <v>132</v>
      </c>
      <c r="C33" s="47" t="s">
        <v>94</v>
      </c>
      <c r="D33" s="38">
        <f>G33</f>
        <v>3.09</v>
      </c>
      <c r="E33" s="42" t="s">
        <v>57</v>
      </c>
      <c r="F33" s="48">
        <f>F31</f>
        <v>0.01</v>
      </c>
      <c r="G33" s="50">
        <f>M33*D31/M31</f>
        <v>3.09</v>
      </c>
      <c r="J33" s="23" t="e">
        <f>#REF!</f>
        <v>#REF!</v>
      </c>
      <c r="K33" s="44" t="s">
        <v>89</v>
      </c>
      <c r="M33" s="22">
        <f>INDEX('Res EIA Tables'!E$5:E$196,MATCH(M31,'Res EIA Tables'!E$5:E$196))</f>
        <v>309</v>
      </c>
    </row>
    <row r="34" spans="2:13" ht="18" customHeight="1" x14ac:dyDescent="0.25">
      <c r="B34" s="15" t="s">
        <v>69</v>
      </c>
      <c r="C34" s="15" t="s">
        <v>88</v>
      </c>
      <c r="D34" s="52">
        <f>18/Rilim</f>
        <v>5.825242718446602</v>
      </c>
      <c r="E34" s="31" t="s">
        <v>4</v>
      </c>
      <c r="F34" s="90">
        <f>SQRT(M34^2+F33^2)</f>
        <v>5.0990195135927854E-2</v>
      </c>
      <c r="J34" s="23"/>
      <c r="K34" s="44"/>
      <c r="M34" s="54">
        <f>IF(Imax&lt;0.3, 0.12,0.05)</f>
        <v>0.05</v>
      </c>
    </row>
    <row r="35" spans="2:13" ht="18" customHeight="1" x14ac:dyDescent="0.25">
      <c r="B35" s="27"/>
      <c r="D35" s="19"/>
      <c r="E35" s="20"/>
      <c r="F35" s="20"/>
    </row>
    <row r="36" spans="2:13" ht="9" customHeight="1" x14ac:dyDescent="0.25">
      <c r="B36" s="27"/>
      <c r="D36" s="19"/>
      <c r="E36" s="20"/>
      <c r="F36" s="20"/>
    </row>
    <row r="37" spans="2:13" ht="31.15" customHeight="1" x14ac:dyDescent="0.25">
      <c r="B37" s="152" t="s">
        <v>222</v>
      </c>
      <c r="C37" s="152"/>
      <c r="D37" s="136"/>
      <c r="E37" s="137"/>
      <c r="F37" s="137"/>
    </row>
    <row r="38" spans="2:13" ht="18" hidden="1" customHeight="1" x14ac:dyDescent="0.25">
      <c r="B38" s="15" t="s">
        <v>150</v>
      </c>
      <c r="C38" s="15" t="s">
        <v>151</v>
      </c>
      <c r="D38" s="58">
        <f>0.5*Vinmax/24</f>
        <v>0.54166666666666663</v>
      </c>
      <c r="E38" s="42" t="s">
        <v>5</v>
      </c>
      <c r="F38" s="43"/>
    </row>
    <row r="39" spans="2:13" ht="18" customHeight="1" x14ac:dyDescent="0.25">
      <c r="B39" s="15" t="s">
        <v>152</v>
      </c>
      <c r="C39" s="15" t="s">
        <v>154</v>
      </c>
      <c r="D39" s="157">
        <f>(Cout*10^-3*OVset)/(INRUSH)</f>
        <v>52</v>
      </c>
      <c r="E39" s="42" t="s">
        <v>5</v>
      </c>
      <c r="F39" s="43"/>
    </row>
    <row r="40" spans="2:13" ht="23.25" hidden="1" x14ac:dyDescent="0.25">
      <c r="B40" s="59" t="s">
        <v>153</v>
      </c>
      <c r="C40" s="59" t="s">
        <v>163</v>
      </c>
      <c r="D40" s="60">
        <v>15</v>
      </c>
      <c r="E40" s="42" t="s">
        <v>5</v>
      </c>
      <c r="F40" s="43"/>
    </row>
    <row r="41" spans="2:13" ht="18" customHeight="1" x14ac:dyDescent="0.25">
      <c r="B41" s="15" t="s">
        <v>136</v>
      </c>
      <c r="C41" s="15" t="s">
        <v>120</v>
      </c>
      <c r="D41" s="158">
        <f>MAX(((I_dvdt*Gain_dvdt*Cout*10^-6)/INRUSH),0.022)</f>
        <v>9.6000000000000002E-2</v>
      </c>
      <c r="E41" s="42" t="s">
        <v>126</v>
      </c>
      <c r="F41" s="14">
        <f>M41</f>
        <v>0.05</v>
      </c>
      <c r="M41" s="61">
        <f>IF(Cdvdt_cal1&lt;=0.1,0.05,0.1)</f>
        <v>0.05</v>
      </c>
    </row>
    <row r="42" spans="2:13" ht="18" hidden="1" customHeight="1" x14ac:dyDescent="0.25">
      <c r="B42" s="15" t="s">
        <v>155</v>
      </c>
      <c r="C42" s="15" t="s">
        <v>156</v>
      </c>
      <c r="D42" s="158">
        <f>MAX(((Tdvdt_req*10^-3*Gain_dvdt*I_dvdt)/OVset),0.022)</f>
        <v>2.769230769230769E-2</v>
      </c>
      <c r="E42" s="42" t="s">
        <v>126</v>
      </c>
      <c r="F42" s="14">
        <v>0.05</v>
      </c>
      <c r="M42" s="61">
        <f>IF(Cdvdt_cal2&lt;=0.1,0.05,0.1)</f>
        <v>0.05</v>
      </c>
    </row>
    <row r="43" spans="2:13" ht="18" hidden="1" customHeight="1" x14ac:dyDescent="0.25">
      <c r="B43" s="153" t="s">
        <v>157</v>
      </c>
      <c r="C43" s="154"/>
      <c r="D43" s="45"/>
      <c r="E43" s="42"/>
      <c r="F43" s="43"/>
    </row>
    <row r="44" spans="2:13" ht="18" hidden="1" customHeight="1" x14ac:dyDescent="0.25">
      <c r="B44" s="29" t="s">
        <v>40</v>
      </c>
      <c r="C44" s="59" t="s">
        <v>121</v>
      </c>
      <c r="D44" s="62">
        <f>D41</f>
        <v>9.6000000000000002E-2</v>
      </c>
      <c r="E44" s="42" t="s">
        <v>126</v>
      </c>
      <c r="F44" s="63">
        <f>F41</f>
        <v>0.05</v>
      </c>
    </row>
    <row r="45" spans="2:13" ht="18" hidden="1" customHeight="1" x14ac:dyDescent="0.25">
      <c r="B45" s="15" t="s">
        <v>158</v>
      </c>
      <c r="C45" s="15" t="s">
        <v>159</v>
      </c>
      <c r="D45" s="159">
        <f>((Cdvdt*10^3*Vinmax)/(I_dvdt*Gain_dvdt))</f>
        <v>52</v>
      </c>
      <c r="E45" s="31" t="s">
        <v>5</v>
      </c>
      <c r="F45" s="90">
        <f>SQRT(F90^2+F44^2+F91^2)</f>
        <v>8.6602540378443879E-2</v>
      </c>
    </row>
    <row r="46" spans="2:13" ht="18" hidden="1" customHeight="1" x14ac:dyDescent="0.25">
      <c r="B46" s="16" t="s">
        <v>129</v>
      </c>
      <c r="C46" s="16" t="s">
        <v>125</v>
      </c>
      <c r="D46" s="52">
        <f>(Cout*10^-6*OVset)/(Tdvdt*10^-3)</f>
        <v>0.5</v>
      </c>
      <c r="E46" s="31" t="s">
        <v>4</v>
      </c>
      <c r="F46" s="43"/>
    </row>
    <row r="47" spans="2:13" ht="21" x14ac:dyDescent="0.25">
      <c r="B47" s="51" t="s">
        <v>138</v>
      </c>
      <c r="C47" s="51" t="s">
        <v>139</v>
      </c>
      <c r="D47" s="52">
        <f>(Cout*10^-6*OVset)/(Tdvdt*10^-3)+OVset/RLstart</f>
        <v>1.02</v>
      </c>
      <c r="E47" s="42" t="s">
        <v>4</v>
      </c>
      <c r="F47" s="43"/>
    </row>
    <row r="48" spans="2:13" ht="18" customHeight="1" x14ac:dyDescent="0.25">
      <c r="B48" s="27"/>
      <c r="D48" s="19"/>
      <c r="E48" s="20"/>
      <c r="F48" s="20"/>
    </row>
    <row r="49" spans="2:12" ht="18" customHeight="1" x14ac:dyDescent="0.25">
      <c r="B49" s="152" t="s">
        <v>142</v>
      </c>
      <c r="C49" s="152"/>
      <c r="D49" s="152"/>
      <c r="E49" s="152"/>
      <c r="F49" s="137"/>
    </row>
    <row r="50" spans="2:12" ht="18" customHeight="1" x14ac:dyDescent="0.25">
      <c r="B50" s="15" t="s">
        <v>14</v>
      </c>
      <c r="C50" s="15" t="s">
        <v>143</v>
      </c>
      <c r="D50" s="52">
        <f>0.5*Vinmax*Icharge</f>
        <v>6.5</v>
      </c>
      <c r="E50" s="31" t="s">
        <v>13</v>
      </c>
      <c r="F50" s="32"/>
    </row>
    <row r="51" spans="2:12" ht="18" customHeight="1" x14ac:dyDescent="0.25">
      <c r="B51" s="15" t="s">
        <v>23</v>
      </c>
      <c r="C51" s="15" t="s">
        <v>111</v>
      </c>
      <c r="D51" s="52">
        <f>(1/6)*(Vinmax^2)/RLstart</f>
        <v>2.253333333333333</v>
      </c>
      <c r="E51" s="42" t="s">
        <v>13</v>
      </c>
      <c r="F51" s="43"/>
    </row>
    <row r="52" spans="2:12" ht="18" customHeight="1" x14ac:dyDescent="0.25">
      <c r="B52" s="15" t="s">
        <v>24</v>
      </c>
      <c r="C52" s="15" t="s">
        <v>99</v>
      </c>
      <c r="D52" s="52">
        <f>D50+D51</f>
        <v>8.7533333333333339</v>
      </c>
      <c r="E52" s="42" t="s">
        <v>13</v>
      </c>
      <c r="F52" s="43"/>
    </row>
    <row r="53" spans="2:12" x14ac:dyDescent="0.25">
      <c r="B53" s="15"/>
      <c r="C53" s="15" t="s">
        <v>141</v>
      </c>
      <c r="D53" s="52">
        <f>INDEX('Thermal Shutdown Limit Plot'!A3:A26,IF(Ta="TA = 25C", (MATCH(Tdvdt,'Thermal Shutdown Limit Plot'!D3:D26,-1)), IF(Ta="TA = 85C", (MATCH(Tdvdt, 'Thermal Shutdown Limit Plot'!E3:E26,-1)), IF(Ta="TA = 125C", (MATCH(Tdvdt,'Thermal Shutdown Limit Plot'!F3:F26,-1)),IF(Ta="TA = 0C", (MATCH(Tdvdt,'Thermal Shutdown Limit Plot'!C3:C26,-1)),IF(Ta="TA = -40C", (MATCH(Tdvdt,'Thermal Shutdown Limit Plot'!B3:B26,-1)),0))))))</f>
        <v>20</v>
      </c>
      <c r="E53" s="42" t="s">
        <v>13</v>
      </c>
      <c r="F53" s="43"/>
    </row>
    <row r="54" spans="2:12" x14ac:dyDescent="0.25">
      <c r="B54" s="51"/>
      <c r="C54" s="51" t="s">
        <v>123</v>
      </c>
      <c r="D54" s="52" t="str">
        <f>IF(D52&lt;D53,"NO","YES")</f>
        <v>NO</v>
      </c>
      <c r="E54" s="42"/>
      <c r="F54" s="43"/>
    </row>
    <row r="55" spans="2:12" ht="18" customHeight="1" x14ac:dyDescent="0.25">
      <c r="B55" s="27"/>
      <c r="D55" s="19"/>
      <c r="E55" s="20"/>
      <c r="F55" s="20"/>
    </row>
    <row r="56" spans="2:12" ht="18.75" x14ac:dyDescent="0.25">
      <c r="B56" s="135" t="s">
        <v>181</v>
      </c>
      <c r="C56" s="152" t="s">
        <v>200</v>
      </c>
      <c r="D56" s="135"/>
      <c r="E56" s="135"/>
      <c r="F56" s="144"/>
    </row>
    <row r="57" spans="2:12" ht="18" customHeight="1" x14ac:dyDescent="0.25">
      <c r="B57" s="29" t="s">
        <v>189</v>
      </c>
      <c r="C57" s="29" t="s">
        <v>192</v>
      </c>
      <c r="D57" s="95">
        <v>10</v>
      </c>
      <c r="E57" s="31" t="s">
        <v>6</v>
      </c>
      <c r="F57" s="31"/>
    </row>
    <row r="58" spans="2:12" ht="18" customHeight="1" x14ac:dyDescent="0.25">
      <c r="B58" s="29" t="s">
        <v>193</v>
      </c>
      <c r="C58" s="29" t="s">
        <v>233</v>
      </c>
      <c r="D58" s="95">
        <v>499</v>
      </c>
      <c r="E58" s="42" t="s">
        <v>57</v>
      </c>
      <c r="F58" s="31"/>
    </row>
    <row r="59" spans="2:12" ht="18" customHeight="1" x14ac:dyDescent="0.25">
      <c r="B59" s="15" t="s">
        <v>194</v>
      </c>
      <c r="C59" s="15" t="s">
        <v>195</v>
      </c>
      <c r="D59" s="52">
        <f>(D58*PGTHR)/(PGSET-PGTHR)</f>
        <v>68.045454545454533</v>
      </c>
      <c r="E59" s="42" t="s">
        <v>57</v>
      </c>
      <c r="F59" s="143"/>
    </row>
    <row r="60" spans="2:12" ht="18" customHeight="1" x14ac:dyDescent="0.25">
      <c r="B60" s="15" t="s">
        <v>197</v>
      </c>
      <c r="C60" s="15" t="s">
        <v>198</v>
      </c>
      <c r="D60" s="52">
        <f>PGTHF*(D58+D59)/D59</f>
        <v>9.5000000000000018</v>
      </c>
      <c r="E60" s="42" t="s">
        <v>6</v>
      </c>
      <c r="F60" s="143"/>
    </row>
    <row r="61" spans="2:12" ht="18" customHeight="1" x14ac:dyDescent="0.25">
      <c r="B61" s="51" t="s">
        <v>196</v>
      </c>
      <c r="C61" s="51" t="s">
        <v>206</v>
      </c>
      <c r="D61" s="52">
        <f>UVset*1000/(D58+D59)</f>
        <v>15.87174348697395</v>
      </c>
      <c r="E61" s="42" t="s">
        <v>7</v>
      </c>
      <c r="F61" s="43"/>
    </row>
    <row r="62" spans="2:12" s="80" customFormat="1" ht="18" customHeight="1" x14ac:dyDescent="0.25">
      <c r="B62" s="145"/>
      <c r="C62" s="145"/>
      <c r="D62" s="146"/>
      <c r="E62" s="147"/>
      <c r="F62" s="148"/>
      <c r="G62" s="149"/>
      <c r="L62" s="150"/>
    </row>
    <row r="63" spans="2:12" ht="18" customHeight="1" x14ac:dyDescent="0.25">
      <c r="B63" s="135" t="s">
        <v>199</v>
      </c>
      <c r="C63" s="152" t="s">
        <v>201</v>
      </c>
      <c r="D63" s="135"/>
      <c r="E63" s="135"/>
      <c r="F63" s="144"/>
    </row>
    <row r="64" spans="2:12" ht="18" customHeight="1" x14ac:dyDescent="0.25">
      <c r="B64" s="29" t="s">
        <v>202</v>
      </c>
      <c r="C64" s="29" t="s">
        <v>203</v>
      </c>
      <c r="D64" s="95">
        <v>100</v>
      </c>
      <c r="E64" s="31" t="s">
        <v>13</v>
      </c>
      <c r="F64" s="31"/>
    </row>
    <row r="65" spans="2:13" ht="18" customHeight="1" x14ac:dyDescent="0.25">
      <c r="B65" s="15" t="s">
        <v>204</v>
      </c>
      <c r="C65" s="15" t="s">
        <v>205</v>
      </c>
      <c r="D65" s="52">
        <f>D64</f>
        <v>100</v>
      </c>
      <c r="E65" s="42" t="s">
        <v>57</v>
      </c>
      <c r="F65" s="143"/>
    </row>
    <row r="66" spans="2:13" ht="18" customHeight="1" x14ac:dyDescent="0.25">
      <c r="B66" s="51"/>
      <c r="C66" s="51" t="s">
        <v>208</v>
      </c>
      <c r="D66" s="151" t="str">
        <f>IF((PLIM&lt;(VINnom)*(Ilimit_final)), "YES","NO")</f>
        <v>NO</v>
      </c>
      <c r="E66" s="42"/>
      <c r="F66" s="43"/>
    </row>
    <row r="67" spans="2:13" ht="18" customHeight="1" x14ac:dyDescent="0.25">
      <c r="B67" s="27"/>
      <c r="D67" s="19"/>
      <c r="E67" s="20"/>
      <c r="F67" s="20"/>
    </row>
    <row r="68" spans="2:13" ht="21.75" customHeight="1" x14ac:dyDescent="0.25">
      <c r="B68" s="93" t="s">
        <v>26</v>
      </c>
      <c r="C68" s="93"/>
      <c r="D68" s="93"/>
      <c r="E68" s="93"/>
      <c r="F68" s="64"/>
    </row>
    <row r="69" spans="2:13" ht="18" customHeight="1" x14ac:dyDescent="0.25">
      <c r="B69" s="29" t="s">
        <v>79</v>
      </c>
      <c r="C69" s="29" t="s">
        <v>148</v>
      </c>
      <c r="D69" s="169">
        <v>4</v>
      </c>
      <c r="E69" s="42" t="s">
        <v>6</v>
      </c>
      <c r="F69" s="32"/>
      <c r="G69" s="50"/>
    </row>
    <row r="70" spans="2:13" ht="18" customHeight="1" x14ac:dyDescent="0.25">
      <c r="B70" s="15" t="s">
        <v>82</v>
      </c>
      <c r="C70" s="15" t="s">
        <v>83</v>
      </c>
      <c r="D70" s="52">
        <f>MIN((D69*1000)/(Ilimit*Gain_IMON), (MIN(4,UVset-1.5)*1000/(Gain_IMON*Ilimit_final*1.1)))</f>
        <v>22.53582758997921</v>
      </c>
      <c r="E70" s="42" t="s">
        <v>57</v>
      </c>
      <c r="F70" s="14">
        <v>0.01</v>
      </c>
      <c r="M70" s="22">
        <f>IF(D70&lt;10, D70*100, IF(AND(D70&gt;=10, D70&lt;100),D70*10,IF(AND(D70&gt;=100, D70&lt;1000), D70, IF(D70&gt;=1000, D70/10))))</f>
        <v>225.35827589979209</v>
      </c>
    </row>
    <row r="71" spans="2:13" ht="18" customHeight="1" x14ac:dyDescent="0.25">
      <c r="B71" s="88" t="s">
        <v>109</v>
      </c>
      <c r="C71" s="88"/>
      <c r="D71" s="53"/>
      <c r="E71" s="31"/>
      <c r="F71" s="32"/>
    </row>
    <row r="72" spans="2:13" ht="18" customHeight="1" x14ac:dyDescent="0.25">
      <c r="B72" s="47" t="s">
        <v>27</v>
      </c>
      <c r="C72" s="47" t="s">
        <v>95</v>
      </c>
      <c r="D72" s="38">
        <f>G72</f>
        <v>22.6</v>
      </c>
      <c r="E72" s="42" t="s">
        <v>57</v>
      </c>
      <c r="F72" s="48">
        <f>F70</f>
        <v>0.01</v>
      </c>
      <c r="G72" s="21">
        <f>M72*D70/M70</f>
        <v>22.6</v>
      </c>
      <c r="M72" s="49">
        <f>INDEX('Res EIA Tables'!E$5:E$196,2+MATCH(M70,'Res EIA Tables'!E$5:E$196))</f>
        <v>226</v>
      </c>
    </row>
    <row r="73" spans="2:13" ht="18" customHeight="1" x14ac:dyDescent="0.25">
      <c r="B73" s="51" t="s">
        <v>79</v>
      </c>
      <c r="C73" s="51" t="s">
        <v>122</v>
      </c>
      <c r="D73" s="91">
        <f>(Ilimit_final*Gain_IMON*RIMON_sel*0.001)</f>
        <v>3.646718446601942</v>
      </c>
      <c r="E73" s="31" t="s">
        <v>6</v>
      </c>
      <c r="F73" s="90">
        <f>SQRT(M34^2+F95^2+F72^2)</f>
        <v>9.4868329805051388E-2</v>
      </c>
    </row>
    <row r="74" spans="2:13" ht="18" customHeight="1" x14ac:dyDescent="0.25">
      <c r="B74" s="27"/>
      <c r="D74" s="19"/>
      <c r="E74" s="20"/>
      <c r="F74" s="20"/>
    </row>
    <row r="75" spans="2:13" ht="20.25" customHeight="1" x14ac:dyDescent="0.25">
      <c r="B75" s="93" t="s">
        <v>22</v>
      </c>
      <c r="C75" s="93"/>
      <c r="D75" s="93"/>
      <c r="E75" s="93"/>
      <c r="F75" s="39"/>
    </row>
    <row r="76" spans="2:13" ht="18" customHeight="1" x14ac:dyDescent="0.25">
      <c r="B76" s="55" t="s">
        <v>0</v>
      </c>
      <c r="C76" s="55" t="s">
        <v>1</v>
      </c>
      <c r="D76" s="56" t="s">
        <v>2</v>
      </c>
      <c r="E76" s="57" t="s">
        <v>3</v>
      </c>
      <c r="F76" s="57" t="s">
        <v>30</v>
      </c>
    </row>
    <row r="77" spans="2:13" ht="18" customHeight="1" x14ac:dyDescent="0.25">
      <c r="B77" s="15" t="s">
        <v>16</v>
      </c>
      <c r="C77" s="15" t="s">
        <v>137</v>
      </c>
      <c r="D77" s="52">
        <f>Imax*Rdson_25deg</f>
        <v>155</v>
      </c>
      <c r="E77" s="31" t="s">
        <v>17</v>
      </c>
      <c r="F77" s="32"/>
    </row>
    <row r="78" spans="2:13" ht="18" customHeight="1" x14ac:dyDescent="0.25">
      <c r="B78" s="15" t="s">
        <v>18</v>
      </c>
      <c r="C78" s="15" t="s">
        <v>84</v>
      </c>
      <c r="D78" s="52">
        <f>Imax^2*Rdson_25deg</f>
        <v>775</v>
      </c>
      <c r="E78" s="31" t="s">
        <v>19</v>
      </c>
      <c r="F78" s="32"/>
    </row>
    <row r="79" spans="2:13" ht="18" customHeight="1" x14ac:dyDescent="0.25">
      <c r="B79" s="27"/>
      <c r="D79" s="19"/>
      <c r="E79" s="20"/>
      <c r="F79" s="20"/>
    </row>
    <row r="80" spans="2:13" ht="18" customHeight="1" x14ac:dyDescent="0.25">
      <c r="B80" s="65" t="s">
        <v>15</v>
      </c>
      <c r="D80" s="19"/>
      <c r="E80" s="20"/>
      <c r="F80" s="20"/>
    </row>
    <row r="81" spans="2:10" ht="18" customHeight="1" x14ac:dyDescent="0.25">
      <c r="B81" s="66" t="s">
        <v>0</v>
      </c>
      <c r="C81" s="66" t="s">
        <v>1</v>
      </c>
      <c r="D81" s="67" t="s">
        <v>2</v>
      </c>
      <c r="E81" s="68" t="s">
        <v>3</v>
      </c>
      <c r="F81" s="68" t="s">
        <v>30</v>
      </c>
    </row>
    <row r="82" spans="2:10" ht="18" customHeight="1" x14ac:dyDescent="0.25">
      <c r="B82" s="69" t="s">
        <v>11</v>
      </c>
      <c r="C82" s="69" t="s">
        <v>112</v>
      </c>
      <c r="D82" s="70">
        <v>31</v>
      </c>
      <c r="E82" s="31" t="s">
        <v>130</v>
      </c>
      <c r="F82" s="32"/>
    </row>
    <row r="83" spans="2:10" ht="18" customHeight="1" x14ac:dyDescent="0.25">
      <c r="B83" s="69" t="s">
        <v>12</v>
      </c>
      <c r="C83" s="69" t="s">
        <v>113</v>
      </c>
      <c r="D83" s="70">
        <v>44</v>
      </c>
      <c r="E83" s="31" t="s">
        <v>130</v>
      </c>
      <c r="F83" s="32"/>
    </row>
    <row r="84" spans="2:10" ht="18" customHeight="1" x14ac:dyDescent="0.25">
      <c r="B84" s="69" t="s">
        <v>75</v>
      </c>
      <c r="C84" s="69" t="s">
        <v>114</v>
      </c>
      <c r="D84" s="70">
        <v>49</v>
      </c>
      <c r="E84" s="31" t="s">
        <v>130</v>
      </c>
      <c r="F84" s="32"/>
    </row>
    <row r="85" spans="2:10" ht="17.25" customHeight="1" x14ac:dyDescent="0.25">
      <c r="B85" s="27"/>
      <c r="D85" s="19"/>
      <c r="E85" s="71"/>
      <c r="F85" s="71"/>
    </row>
    <row r="86" spans="2:10" ht="18" customHeight="1" thickBot="1" x14ac:dyDescent="0.3">
      <c r="B86" s="65" t="s">
        <v>25</v>
      </c>
      <c r="D86" s="19"/>
      <c r="E86" s="71"/>
      <c r="F86" s="71"/>
    </row>
    <row r="87" spans="2:10" ht="18" customHeight="1" x14ac:dyDescent="0.25">
      <c r="B87" s="72" t="s">
        <v>65</v>
      </c>
      <c r="C87" s="73" t="s">
        <v>59</v>
      </c>
      <c r="D87" s="74">
        <v>1.2</v>
      </c>
      <c r="E87" s="75" t="s">
        <v>6</v>
      </c>
      <c r="F87" s="76">
        <v>0.02</v>
      </c>
    </row>
    <row r="88" spans="2:10" ht="18" customHeight="1" x14ac:dyDescent="0.25">
      <c r="B88" s="77" t="s">
        <v>67</v>
      </c>
      <c r="C88" s="69" t="s">
        <v>74</v>
      </c>
      <c r="D88" s="24">
        <v>0.06</v>
      </c>
      <c r="E88" s="31" t="s">
        <v>6</v>
      </c>
      <c r="F88" s="78"/>
    </row>
    <row r="89" spans="2:10" ht="18" customHeight="1" x14ac:dyDescent="0.25">
      <c r="B89" s="77" t="s">
        <v>66</v>
      </c>
      <c r="C89" s="79" t="s">
        <v>76</v>
      </c>
      <c r="D89" s="24">
        <v>1.2</v>
      </c>
      <c r="E89" s="31" t="s">
        <v>6</v>
      </c>
      <c r="F89" s="78">
        <v>0.02</v>
      </c>
    </row>
    <row r="90" spans="2:10" ht="18" customHeight="1" x14ac:dyDescent="0.25">
      <c r="B90" s="77" t="s">
        <v>71</v>
      </c>
      <c r="C90" s="79" t="s">
        <v>70</v>
      </c>
      <c r="D90" s="24">
        <v>2</v>
      </c>
      <c r="E90" s="31" t="s">
        <v>7</v>
      </c>
      <c r="F90" s="78">
        <v>0.05</v>
      </c>
    </row>
    <row r="91" spans="2:10" ht="18" customHeight="1" x14ac:dyDescent="0.25">
      <c r="B91" s="77" t="s">
        <v>72</v>
      </c>
      <c r="C91" s="79" t="s">
        <v>73</v>
      </c>
      <c r="D91" s="24">
        <v>24</v>
      </c>
      <c r="E91" s="31"/>
      <c r="F91" s="78">
        <v>0.05</v>
      </c>
      <c r="H91" s="80"/>
      <c r="I91" s="80"/>
      <c r="J91" s="80"/>
    </row>
    <row r="92" spans="2:10" ht="18" customHeight="1" x14ac:dyDescent="0.25">
      <c r="B92" s="77" t="s">
        <v>86</v>
      </c>
      <c r="C92" s="69" t="s">
        <v>87</v>
      </c>
      <c r="D92" s="24">
        <v>0.24</v>
      </c>
      <c r="E92" s="31" t="s">
        <v>5</v>
      </c>
      <c r="F92" s="78"/>
    </row>
    <row r="93" spans="2:10" ht="18" customHeight="1" x14ac:dyDescent="0.25">
      <c r="B93" s="138" t="s">
        <v>185</v>
      </c>
      <c r="C93" s="139" t="s">
        <v>187</v>
      </c>
      <c r="D93" s="140">
        <v>1.2</v>
      </c>
      <c r="E93" s="141" t="s">
        <v>6</v>
      </c>
      <c r="F93" s="142">
        <v>0.02</v>
      </c>
    </row>
    <row r="94" spans="2:10" ht="18" customHeight="1" x14ac:dyDescent="0.25">
      <c r="B94" s="138" t="s">
        <v>186</v>
      </c>
      <c r="C94" s="139" t="s">
        <v>188</v>
      </c>
      <c r="D94" s="140">
        <v>1.1399999999999999</v>
      </c>
      <c r="E94" s="141" t="s">
        <v>6</v>
      </c>
      <c r="F94" s="142"/>
    </row>
    <row r="95" spans="2:10" ht="18" customHeight="1" thickBot="1" x14ac:dyDescent="0.3">
      <c r="B95" s="81" t="s">
        <v>28</v>
      </c>
      <c r="C95" s="82" t="s">
        <v>77</v>
      </c>
      <c r="D95" s="83">
        <v>27.7</v>
      </c>
      <c r="E95" s="84" t="s">
        <v>85</v>
      </c>
      <c r="F95" s="85">
        <v>0.08</v>
      </c>
      <c r="H95" s="80"/>
      <c r="I95" s="80"/>
      <c r="J95" s="80"/>
    </row>
    <row r="97" spans="2:6" ht="18" customHeight="1" thickBot="1" x14ac:dyDescent="0.3">
      <c r="B97" s="65" t="s">
        <v>164</v>
      </c>
      <c r="C97" s="163" t="s">
        <v>200</v>
      </c>
      <c r="D97" s="19"/>
      <c r="E97" s="71"/>
      <c r="F97" s="71"/>
    </row>
    <row r="98" spans="2:6" ht="18" customHeight="1" thickBot="1" x14ac:dyDescent="0.3">
      <c r="B98" s="72" t="s">
        <v>165</v>
      </c>
      <c r="C98" s="73" t="s">
        <v>167</v>
      </c>
      <c r="D98" s="74">
        <f>MIN(1.2*OVset,85)</f>
        <v>31.2</v>
      </c>
      <c r="E98" s="75" t="s">
        <v>6</v>
      </c>
      <c r="F98" s="76"/>
    </row>
    <row r="99" spans="2:6" ht="18" customHeight="1" thickBot="1" x14ac:dyDescent="0.3">
      <c r="B99" s="72" t="s">
        <v>166</v>
      </c>
      <c r="C99" s="69" t="s">
        <v>168</v>
      </c>
      <c r="D99" s="24">
        <v>14</v>
      </c>
      <c r="E99" s="31" t="s">
        <v>6</v>
      </c>
      <c r="F99" s="78"/>
    </row>
    <row r="100" spans="2:6" ht="18" customHeight="1" x14ac:dyDescent="0.25">
      <c r="B100" s="72" t="s">
        <v>169</v>
      </c>
      <c r="C100" s="79" t="s">
        <v>170</v>
      </c>
      <c r="D100" s="24">
        <f>1.5*Ilimit_final</f>
        <v>8.7378640776699026</v>
      </c>
      <c r="E100" s="31" t="s">
        <v>6</v>
      </c>
      <c r="F100" s="78"/>
    </row>
    <row r="101" spans="2:6" ht="18" customHeight="1" x14ac:dyDescent="0.25">
      <c r="B101" s="124"/>
      <c r="C101" s="125" t="s">
        <v>172</v>
      </c>
      <c r="D101" s="126" t="s">
        <v>171</v>
      </c>
      <c r="E101" s="127"/>
      <c r="F101" s="128"/>
    </row>
    <row r="103" spans="2:6" ht="18" customHeight="1" thickBot="1" x14ac:dyDescent="0.3">
      <c r="B103" s="65" t="s">
        <v>173</v>
      </c>
      <c r="C103" s="163" t="s">
        <v>200</v>
      </c>
      <c r="D103" s="19"/>
      <c r="E103" s="71"/>
      <c r="F103" s="71"/>
    </row>
    <row r="104" spans="2:6" ht="18" customHeight="1" thickBot="1" x14ac:dyDescent="0.3">
      <c r="B104" s="72" t="s">
        <v>165</v>
      </c>
      <c r="C104" s="73" t="s">
        <v>167</v>
      </c>
      <c r="D104" s="74">
        <v>15</v>
      </c>
      <c r="E104" s="75" t="s">
        <v>6</v>
      </c>
      <c r="F104" s="76"/>
    </row>
    <row r="105" spans="2:6" ht="18" customHeight="1" thickBot="1" x14ac:dyDescent="0.3">
      <c r="B105" s="72" t="s">
        <v>174</v>
      </c>
      <c r="C105" s="69" t="s">
        <v>175</v>
      </c>
      <c r="D105" s="24">
        <v>3</v>
      </c>
      <c r="E105" s="31" t="s">
        <v>6</v>
      </c>
      <c r="F105" s="78"/>
    </row>
    <row r="106" spans="2:6" ht="18" customHeight="1" thickBot="1" x14ac:dyDescent="0.3">
      <c r="B106" s="72" t="s">
        <v>166</v>
      </c>
      <c r="C106" s="79" t="s">
        <v>234</v>
      </c>
      <c r="D106" s="24">
        <v>20</v>
      </c>
      <c r="E106" s="31" t="s">
        <v>6</v>
      </c>
      <c r="F106" s="78"/>
    </row>
    <row r="107" spans="2:6" ht="21" x14ac:dyDescent="0.25">
      <c r="B107" s="72" t="s">
        <v>176</v>
      </c>
      <c r="C107" s="79" t="s">
        <v>177</v>
      </c>
      <c r="D107" s="24">
        <v>50</v>
      </c>
      <c r="E107" s="31" t="s">
        <v>178</v>
      </c>
      <c r="F107" s="78"/>
    </row>
    <row r="108" spans="2:6" ht="18" customHeight="1" x14ac:dyDescent="0.25">
      <c r="B108" s="124"/>
      <c r="C108" s="125" t="s">
        <v>180</v>
      </c>
      <c r="D108" s="129" t="s">
        <v>179</v>
      </c>
      <c r="E108" s="127"/>
      <c r="F108" s="128"/>
    </row>
    <row r="110" spans="2:6" ht="18" customHeight="1" thickBot="1" x14ac:dyDescent="0.3">
      <c r="B110" s="65" t="s">
        <v>210</v>
      </c>
      <c r="C110" s="163" t="s">
        <v>200</v>
      </c>
      <c r="D110" s="19"/>
      <c r="E110" s="71"/>
      <c r="F110" s="71"/>
    </row>
    <row r="111" spans="2:6" ht="21.75" thickBot="1" x14ac:dyDescent="0.3">
      <c r="B111" s="155" t="s">
        <v>211</v>
      </c>
      <c r="C111" s="156" t="s">
        <v>217</v>
      </c>
      <c r="D111" s="170">
        <v>50</v>
      </c>
      <c r="E111" s="75" t="s">
        <v>13</v>
      </c>
      <c r="F111" s="76"/>
    </row>
    <row r="112" spans="2:6" ht="18" customHeight="1" thickBot="1" x14ac:dyDescent="0.3">
      <c r="B112" s="72" t="s">
        <v>8</v>
      </c>
      <c r="C112" s="69" t="s">
        <v>223</v>
      </c>
      <c r="D112" s="24">
        <f>1000000*(2*Pload*0.005)/(VINnom*VINnom-PGSET*PGSET)</f>
        <v>11363.636363636364</v>
      </c>
      <c r="E112" s="31" t="s">
        <v>213</v>
      </c>
      <c r="F112" s="78"/>
    </row>
    <row r="113" spans="2:6" ht="18" customHeight="1" x14ac:dyDescent="0.25">
      <c r="B113" s="72" t="s">
        <v>166</v>
      </c>
      <c r="C113" s="79" t="s">
        <v>214</v>
      </c>
      <c r="D113" s="24">
        <v>1</v>
      </c>
      <c r="E113" s="31" t="s">
        <v>213</v>
      </c>
      <c r="F113" s="78"/>
    </row>
    <row r="114" spans="2:6" ht="18" customHeight="1" x14ac:dyDescent="0.25">
      <c r="B114" s="124"/>
      <c r="C114" s="125" t="s">
        <v>218</v>
      </c>
      <c r="D114" s="129" t="s">
        <v>215</v>
      </c>
      <c r="E114" s="127"/>
      <c r="F114" s="128"/>
    </row>
    <row r="115" spans="2:6" ht="18" customHeight="1" x14ac:dyDescent="0.25">
      <c r="B115" s="124"/>
      <c r="C115" s="125" t="s">
        <v>219</v>
      </c>
      <c r="D115" s="129" t="s">
        <v>216</v>
      </c>
      <c r="E115" s="127"/>
      <c r="F115" s="128"/>
    </row>
  </sheetData>
  <sheetProtection password="DD1C" sheet="1" objects="1" scenarios="1"/>
  <protectedRanges>
    <protectedRange sqref="F10 F18 F22:F24 D18 D33 F33 D6:D15 D44 F44 D72 F72 D69 D40 D22:D24" name="Range1"/>
  </protectedRanges>
  <dataConsolidate/>
  <mergeCells count="1">
    <mergeCell ref="E2:F2"/>
  </mergeCells>
  <conditionalFormatting sqref="D54">
    <cfRule type="cellIs" dxfId="14" priority="26" operator="equal">
      <formula>"YES"</formula>
    </cfRule>
    <cfRule type="cellIs" dxfId="13" priority="27" operator="equal">
      <formula>"NO"</formula>
    </cfRule>
  </conditionalFormatting>
  <conditionalFormatting sqref="D28">
    <cfRule type="cellIs" dxfId="12" priority="24" operator="lessThan">
      <formula>2</formula>
    </cfRule>
    <cfRule type="cellIs" dxfId="11" priority="25" operator="greaterThan">
      <formula>2</formula>
    </cfRule>
  </conditionalFormatting>
  <conditionalFormatting sqref="D73">
    <cfRule type="cellIs" dxfId="10" priority="20" operator="lessThan">
      <formula>4</formula>
    </cfRule>
    <cfRule type="cellIs" dxfId="9" priority="21" operator="greaterThan">
      <formula>4</formula>
    </cfRule>
  </conditionalFormatting>
  <conditionalFormatting sqref="D47">
    <cfRule type="cellIs" dxfId="8" priority="12" operator="lessThan">
      <formula>$D$34</formula>
    </cfRule>
    <cfRule type="cellIs" dxfId="7" priority="13" operator="greaterThan">
      <formula>$D$34</formula>
    </cfRule>
  </conditionalFormatting>
  <conditionalFormatting sqref="D15">
    <cfRule type="cellIs" dxfId="6" priority="11" operator="greaterThan">
      <formula>6</formula>
    </cfRule>
  </conditionalFormatting>
  <conditionalFormatting sqref="D20">
    <cfRule type="cellIs" dxfId="5" priority="9" operator="lessThan">
      <formula>300</formula>
    </cfRule>
    <cfRule type="cellIs" dxfId="4" priority="10" operator="greaterThan">
      <formula>300</formula>
    </cfRule>
  </conditionalFormatting>
  <conditionalFormatting sqref="D66">
    <cfRule type="containsText" dxfId="3" priority="3" operator="containsText" text="NO">
      <formula>NOT(ISERROR(SEARCH("NO",D66)))</formula>
    </cfRule>
    <cfRule type="containsText" dxfId="2" priority="4" operator="containsText" text="YES">
      <formula>NOT(ISERROR(SEARCH("YES",D66)))</formula>
    </cfRule>
  </conditionalFormatting>
  <conditionalFormatting sqref="D61">
    <cfRule type="cellIs" dxfId="1" priority="1" operator="lessThan">
      <formula>2</formula>
    </cfRule>
    <cfRule type="cellIs" dxfId="0" priority="2" operator="greaterThan">
      <formula>2</formula>
    </cfRule>
  </conditionalFormatting>
  <dataValidations xWindow="920" yWindow="270" count="27">
    <dataValidation allowBlank="1" errorTitle="Error (Re-Enter)" error="Please enter a value less than RIMON_max;" promptTitle="Restriction" prompt="The resistance should be less than RIMON_max" sqref="D70" xr:uid="{00000000-0002-0000-0200-000000000000}"/>
    <dataValidation errorStyle="warning" sqref="D73" xr:uid="{00000000-0002-0000-0200-000001000000}"/>
    <dataValidation type="decimal" showErrorMessage="1" errorTitle="UVSet Error" error="Enter a value in the range from 4.3V to VIN (min)" sqref="D8" xr:uid="{00000000-0002-0000-0200-000002000000}">
      <formula1>4.5</formula1>
      <formula2>D5</formula2>
    </dataValidation>
    <dataValidation type="decimal" showErrorMessage="1" errorTitle="OVSet Error" error="Enter a value greater than VIN(max) and less than 60V" sqref="D9" xr:uid="{00000000-0002-0000-0200-000003000000}">
      <formula1>D6</formula1>
      <formula2>60</formula2>
    </dataValidation>
    <dataValidation type="custom" allowBlank="1" showInputMessage="1" showErrorMessage="1" errorTitle="Error" error="Enter a value greater than (Vinmax / Maximum Load Current)" promptTitle="Tool Help" prompt="RLstart = Vinmax / Load Current during Start-up._x000a_If there is no load during startup, set RLstart to 1000" sqref="D12" xr:uid="{00000000-0002-0000-0200-000004000000}">
      <formula1>D12&gt;=(D6/D13)</formula1>
    </dataValidation>
    <dataValidation type="decimal" allowBlank="1" showInputMessage="1" showErrorMessage="1" error="Enter a value in the range from 1k to 511k" sqref="D72" xr:uid="{00000000-0002-0000-0200-000005000000}">
      <formula1>1</formula1>
      <formula2>511</formula2>
    </dataValidation>
    <dataValidation type="decimal" allowBlank="1" showErrorMessage="1" errorTitle="VIN(nom) out of range " error="Enter a value in the range from VIN(min) to VIN(max)." sqref="D7" xr:uid="{00000000-0002-0000-0200-000006000000}">
      <formula1>D5</formula1>
      <formula2>D6</formula2>
    </dataValidation>
    <dataValidation type="decimal" allowBlank="1" showInputMessage="1" showErrorMessage="1" errorTitle="ILIM Error" error="Enter a value greater than Imax+ IINRUSH_permissible and less than 6A." sqref="D15" xr:uid="{00000000-0002-0000-0200-000007000000}">
      <formula1>D13+D14</formula1>
      <formula2>6</formula2>
    </dataValidation>
    <dataValidation type="custom" showErrorMessage="1" errorTitle="Error" error="CdVdT capacitor is not required if start-up time is less than or equal to default" sqref="D40" xr:uid="{00000000-0002-0000-0200-000008000000}">
      <formula1>D40&gt;D38</formula1>
    </dataValidation>
    <dataValidation allowBlank="1" showInputMessage="1" showErrorMessage="1" promptTitle="Tool Help" prompt="Increase R3_sel value if leakage current is not in the acceptable range" sqref="D28 D61:D62 D66" xr:uid="{00000000-0002-0000-0200-000009000000}"/>
    <dataValidation type="decimal" allowBlank="1" showInputMessage="1" showErrorMessage="1" errorTitle="Error" error="Enter a value in the range from 0.1V to 4V" sqref="D69" xr:uid="{00000000-0002-0000-0200-00000A000000}">
      <formula1>0.01</formula1>
      <formula2>4</formula2>
    </dataValidation>
    <dataValidation allowBlank="1" showInputMessage="1" promptTitle="Tool Help" prompt="Increase either RLstart value or startup time (Tstart_reg) for glitch free startup" sqref="D54 D47" xr:uid="{00000000-0002-0000-0200-00000B000000}"/>
    <dataValidation type="decimal" allowBlank="1" showInputMessage="1" showErrorMessage="1" errorTitle="Cout Error" error="Enter a value between 0.1 to 33000uF" sqref="D10" xr:uid="{00000000-0002-0000-0200-00000C000000}">
      <formula1>0.1</formula1>
      <formula2>33000</formula2>
    </dataValidation>
    <dataValidation type="decimal" allowBlank="1" showInputMessage="1" showErrorMessage="1" errorTitle="Error" error="Enter a value in the range from 5.36k to 120k" sqref="D33" xr:uid="{00000000-0002-0000-0200-00000D000000}">
      <formula1>3</formula1>
      <formula2>30</formula2>
    </dataValidation>
    <dataValidation type="decimal" operator="greaterThanOrEqual" allowBlank="1" showInputMessage="1" showErrorMessage="1" error="Enter a value greater than or equal to  0.022uF" sqref="D44" xr:uid="{00000000-0002-0000-0200-00000E000000}">
      <formula1>0.022</formula1>
    </dataValidation>
    <dataValidation type="decimal" allowBlank="1" showInputMessage="1" showErrorMessage="1" errorTitle="Error" error="Enter a value in the range from 1k to 249k" sqref="D18 D22:D24" xr:uid="{00000000-0002-0000-0200-00000F000000}">
      <formula1>1</formula1>
      <formula2>249</formula2>
    </dataValidation>
    <dataValidation type="decimal" allowBlank="1" showInputMessage="1" showErrorMessage="1" errorTitle="Error" error="Enter a value in the range from 5% to 30%" sqref="F10" xr:uid="{00000000-0002-0000-0200-000010000000}">
      <formula1>0.05</formula1>
      <formula2>0.3</formula2>
    </dataValidation>
    <dataValidation type="decimal" allowBlank="1" showInputMessage="1" showErrorMessage="1" errorTitle="Error" error="Enter a value in the range from 0.1% to 10%" sqref="F72 F18 F22:F24 F33" xr:uid="{00000000-0002-0000-0200-000011000000}">
      <formula1>0.001</formula1>
      <formula2>0.1</formula2>
    </dataValidation>
    <dataValidation type="decimal" allowBlank="1" showInputMessage="1" showErrorMessage="1" errorTitle="Error" error="Enter a value in the range from 2% to 20%" sqref="F44" xr:uid="{00000000-0002-0000-0200-000012000000}">
      <formula1>0.02</formula1>
      <formula2>0.2</formula2>
    </dataValidation>
    <dataValidation type="decimal" allowBlank="1" showInputMessage="1" showErrorMessage="1" errorTitle="Imax Error" error="Enter a value in the range from 0.6A to 5.7A" sqref="D13" xr:uid="{00000000-0002-0000-0200-000013000000}">
      <formula1>0.6</formula1>
      <formula2>5.7</formula2>
    </dataValidation>
    <dataValidation type="decimal" allowBlank="1" showInputMessage="1" showErrorMessage="1" errorTitle="INrush Error" error="Enter a value Less than Imax and greater than 0.01A" sqref="D14" xr:uid="{00000000-0002-0000-0200-000014000000}">
      <formula1>0.01</formula1>
      <formula2>D13</formula2>
    </dataValidation>
    <dataValidation type="decimal" operator="greaterThanOrEqual" allowBlank="1" showInputMessage="1" showErrorMessage="1" error="Enter a value greater than 100k" sqref="D58" xr:uid="{00000000-0002-0000-0200-000015000000}">
      <formula1>100</formula1>
    </dataValidation>
    <dataValidation type="decimal" operator="lessThanOrEqual" allowBlank="1" showInputMessage="1" showErrorMessage="1" error="Enter a value less than VINnom x ILimit" sqref="D111" xr:uid="{00000000-0002-0000-0200-000016000000}">
      <formula1>D7*D13</formula1>
    </dataValidation>
    <dataValidation type="decimal" allowBlank="1" showInputMessage="1" showErrorMessage="1" error="Enter a value between 40k to 150k" sqref="D64" xr:uid="{00000000-0002-0000-0200-000017000000}">
      <formula1>40</formula1>
      <formula2>150</formula2>
    </dataValidation>
    <dataValidation type="decimal" allowBlank="1" showInputMessage="1" showErrorMessage="1" errorTitle="VIN(min) " error="Enter Value between 4.5 to 60V" sqref="D5" xr:uid="{00000000-0002-0000-0200-000018000000}">
      <formula1>4.5</formula1>
      <formula2>60</formula2>
    </dataValidation>
    <dataValidation type="decimal" operator="greaterThan" allowBlank="1" showErrorMessage="1" errorTitle="VIN(max)&gt;OVset" error="Enter a value greater than VIN(min)." sqref="D6" xr:uid="{00000000-0002-0000-0200-000019000000}">
      <formula1>D5</formula1>
    </dataValidation>
    <dataValidation type="decimal" operator="lessThan" allowBlank="1" showInputMessage="1" showErrorMessage="1" errorTitle="PGSET Error" error="Enter a value less than VIN(min)" sqref="D57" xr:uid="{00000000-0002-0000-0200-00001A000000}">
      <formula1>D5</formula1>
    </dataValidation>
  </dataValidations>
  <hyperlinks>
    <hyperlink ref="D101" r:id="rId1" xr:uid="{00000000-0004-0000-0200-000000000000}"/>
  </hyperlinks>
  <pageMargins left="0.7" right="0.7" top="0.75" bottom="0.75" header="0.3" footer="0.3"/>
  <pageSetup orientation="portrait" r:id="rId2"/>
  <ignoredErrors>
    <ignoredError sqref="F22:F24 F33 F72 F44" unlockedFormula="1"/>
  </ignoredErrors>
  <drawing r:id="rId3"/>
  <extLst>
    <ext xmlns:x14="http://schemas.microsoft.com/office/spreadsheetml/2009/9/main" uri="{CCE6A557-97BC-4b89-ADB6-D9C93CAAB3DF}">
      <x14:dataValidations xmlns:xm="http://schemas.microsoft.com/office/excel/2006/main" xWindow="920" yWindow="270" count="1">
        <x14:dataValidation type="list" allowBlank="1" showInputMessage="1" showErrorMessage="1" errorTitle="Error" error="Select a value in the range from 25degC to 125degC" xr:uid="{00000000-0002-0000-0200-00001B000000}">
          <x14:formula1>
            <xm:f>'Thermal Shutdown Limit Plot'!$B$2:$F$2</xm:f>
          </x14:formula1>
          <xm:sqref>D11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030A0"/>
  </sheetPr>
  <dimension ref="A1:N104"/>
  <sheetViews>
    <sheetView showGridLines="0" zoomScale="70" zoomScaleNormal="70" workbookViewId="0">
      <selection activeCell="D26" sqref="D26"/>
    </sheetView>
  </sheetViews>
  <sheetFormatPr defaultColWidth="9.140625" defaultRowHeight="15" x14ac:dyDescent="0.25"/>
  <cols>
    <col min="1" max="1" width="61.140625" style="112" customWidth="1"/>
    <col min="2" max="2" width="25.140625" style="112" customWidth="1"/>
    <col min="3" max="3" width="16.5703125" style="112" customWidth="1"/>
    <col min="4" max="5" width="15.5703125" style="112" customWidth="1"/>
    <col min="6" max="6" width="12.42578125" style="101" customWidth="1"/>
    <col min="7" max="7" width="9.140625" style="101" customWidth="1"/>
    <col min="8" max="8" width="13.85546875" style="101" customWidth="1"/>
    <col min="9" max="16384" width="9.140625" style="101"/>
  </cols>
  <sheetData>
    <row r="1" spans="1:14" thickBot="1" x14ac:dyDescent="0.35">
      <c r="A1" s="98" t="s">
        <v>115</v>
      </c>
      <c r="B1" s="99"/>
      <c r="C1" s="99"/>
      <c r="D1" s="99"/>
      <c r="E1" s="100"/>
      <c r="H1" s="102" t="s">
        <v>43</v>
      </c>
      <c r="J1" s="103" t="s">
        <v>42</v>
      </c>
      <c r="K1" s="104"/>
      <c r="L1" s="104"/>
      <c r="M1" s="104"/>
      <c r="N1" s="104"/>
    </row>
    <row r="2" spans="1:14" ht="15.75" thickBot="1" x14ac:dyDescent="0.3">
      <c r="A2" s="105" t="s">
        <v>116</v>
      </c>
      <c r="B2" s="106" t="s">
        <v>100</v>
      </c>
      <c r="C2" s="106" t="s">
        <v>140</v>
      </c>
      <c r="D2" s="106" t="s">
        <v>101</v>
      </c>
      <c r="E2" s="106" t="s">
        <v>102</v>
      </c>
      <c r="F2" s="106" t="s">
        <v>103</v>
      </c>
      <c r="J2" s="107"/>
    </row>
    <row r="3" spans="1:14" x14ac:dyDescent="0.25">
      <c r="A3" s="108">
        <v>3</v>
      </c>
      <c r="B3" s="108">
        <v>2740</v>
      </c>
      <c r="C3" s="108">
        <v>2740</v>
      </c>
      <c r="D3" s="108">
        <v>2740</v>
      </c>
      <c r="E3" s="108">
        <v>2740</v>
      </c>
      <c r="F3" s="108">
        <v>590</v>
      </c>
      <c r="H3" s="109" t="s">
        <v>44</v>
      </c>
      <c r="I3" s="101" t="s">
        <v>45</v>
      </c>
      <c r="J3" s="110" t="s">
        <v>46</v>
      </c>
    </row>
    <row r="4" spans="1:14" x14ac:dyDescent="0.25">
      <c r="A4" s="108">
        <v>6</v>
      </c>
      <c r="B4" s="108">
        <v>2740</v>
      </c>
      <c r="C4" s="108">
        <v>2740</v>
      </c>
      <c r="D4" s="108">
        <v>1920</v>
      </c>
      <c r="E4" s="108">
        <v>460</v>
      </c>
      <c r="F4" s="108">
        <v>77</v>
      </c>
      <c r="I4" s="101" t="s">
        <v>47</v>
      </c>
      <c r="J4" s="110" t="s">
        <v>48</v>
      </c>
    </row>
    <row r="5" spans="1:14" x14ac:dyDescent="0.25">
      <c r="A5" s="108">
        <v>10</v>
      </c>
      <c r="B5" s="108">
        <v>2700</v>
      </c>
      <c r="C5" s="108">
        <v>960</v>
      </c>
      <c r="D5" s="108">
        <v>450</v>
      </c>
      <c r="E5" s="108">
        <v>95</v>
      </c>
      <c r="F5" s="108">
        <v>25</v>
      </c>
      <c r="J5" s="110"/>
    </row>
    <row r="6" spans="1:14" x14ac:dyDescent="0.25">
      <c r="A6" s="108">
        <v>12.5</v>
      </c>
      <c r="B6" s="108">
        <v>1050</v>
      </c>
      <c r="C6" s="108">
        <v>520</v>
      </c>
      <c r="D6" s="108">
        <v>128</v>
      </c>
      <c r="E6" s="108">
        <v>63</v>
      </c>
      <c r="F6" s="108">
        <v>16</v>
      </c>
      <c r="J6" s="107"/>
    </row>
    <row r="7" spans="1:14" x14ac:dyDescent="0.25">
      <c r="A7" s="108">
        <v>15</v>
      </c>
      <c r="B7" s="108">
        <v>590</v>
      </c>
      <c r="C7" s="108">
        <v>333</v>
      </c>
      <c r="D7" s="108">
        <v>93</v>
      </c>
      <c r="E7" s="108">
        <v>42</v>
      </c>
      <c r="F7" s="108">
        <v>8</v>
      </c>
      <c r="J7" s="107"/>
    </row>
    <row r="8" spans="1:14" x14ac:dyDescent="0.25">
      <c r="A8" s="108">
        <v>20</v>
      </c>
      <c r="B8" s="108">
        <v>282</v>
      </c>
      <c r="C8" s="108">
        <v>160</v>
      </c>
      <c r="D8" s="108">
        <v>56</v>
      </c>
      <c r="E8" s="108">
        <v>22</v>
      </c>
      <c r="F8" s="108">
        <v>6.5</v>
      </c>
      <c r="H8" s="111"/>
      <c r="J8" s="111"/>
    </row>
    <row r="9" spans="1:14" x14ac:dyDescent="0.25">
      <c r="A9" s="108">
        <v>25</v>
      </c>
      <c r="B9" s="108">
        <v>155</v>
      </c>
      <c r="C9" s="108">
        <v>73</v>
      </c>
      <c r="D9" s="108">
        <v>40</v>
      </c>
      <c r="E9" s="108">
        <v>15</v>
      </c>
      <c r="F9" s="108">
        <v>4.5</v>
      </c>
      <c r="J9" s="111"/>
    </row>
    <row r="10" spans="1:14" x14ac:dyDescent="0.25">
      <c r="A10" s="108">
        <v>30</v>
      </c>
      <c r="B10" s="108">
        <v>80</v>
      </c>
      <c r="C10" s="108">
        <v>51</v>
      </c>
      <c r="D10" s="108">
        <v>27.5</v>
      </c>
      <c r="E10" s="108">
        <v>9.4</v>
      </c>
      <c r="F10" s="108">
        <v>3.5</v>
      </c>
    </row>
    <row r="11" spans="1:14" x14ac:dyDescent="0.25">
      <c r="A11" s="108">
        <v>35</v>
      </c>
      <c r="B11" s="108">
        <v>58</v>
      </c>
      <c r="C11" s="108">
        <v>37</v>
      </c>
      <c r="D11" s="108">
        <v>23</v>
      </c>
      <c r="E11" s="108">
        <v>7</v>
      </c>
      <c r="F11" s="108">
        <v>2.8</v>
      </c>
    </row>
    <row r="12" spans="1:14" x14ac:dyDescent="0.25">
      <c r="A12" s="108">
        <v>40</v>
      </c>
      <c r="B12" s="108">
        <v>44</v>
      </c>
      <c r="C12" s="108">
        <v>28</v>
      </c>
      <c r="D12" s="108">
        <v>15.4</v>
      </c>
      <c r="E12" s="108">
        <v>5.5</v>
      </c>
      <c r="F12" s="108">
        <v>2.2999999999999998</v>
      </c>
    </row>
    <row r="13" spans="1:14" x14ac:dyDescent="0.25">
      <c r="A13" s="108">
        <v>45</v>
      </c>
      <c r="B13" s="108">
        <v>34</v>
      </c>
      <c r="C13" s="108">
        <v>22</v>
      </c>
      <c r="D13" s="108">
        <v>11.5</v>
      </c>
      <c r="E13" s="108">
        <v>4.5</v>
      </c>
      <c r="F13" s="108">
        <v>2</v>
      </c>
    </row>
    <row r="14" spans="1:14" x14ac:dyDescent="0.25">
      <c r="A14" s="108">
        <v>50</v>
      </c>
      <c r="B14" s="108">
        <v>26</v>
      </c>
      <c r="C14" s="108">
        <v>17</v>
      </c>
      <c r="D14" s="108">
        <v>10</v>
      </c>
      <c r="E14" s="108">
        <v>3.8</v>
      </c>
      <c r="F14" s="108">
        <v>1.7</v>
      </c>
    </row>
    <row r="15" spans="1:14" x14ac:dyDescent="0.25">
      <c r="A15" s="108">
        <v>55</v>
      </c>
      <c r="B15" s="108">
        <v>21</v>
      </c>
      <c r="C15" s="108">
        <v>14</v>
      </c>
      <c r="D15" s="108">
        <v>8</v>
      </c>
      <c r="E15" s="108">
        <v>3.3</v>
      </c>
      <c r="F15" s="108">
        <v>1.5</v>
      </c>
    </row>
    <row r="16" spans="1:14" x14ac:dyDescent="0.25">
      <c r="A16" s="108">
        <v>60</v>
      </c>
      <c r="B16" s="108">
        <v>18</v>
      </c>
      <c r="C16" s="108">
        <v>11.4</v>
      </c>
      <c r="D16" s="108">
        <v>7</v>
      </c>
      <c r="E16" s="108">
        <v>2.9</v>
      </c>
      <c r="F16" s="108">
        <v>1.3</v>
      </c>
    </row>
    <row r="17" spans="1:6" x14ac:dyDescent="0.25">
      <c r="A17" s="108">
        <v>90</v>
      </c>
      <c r="B17" s="108">
        <v>7</v>
      </c>
      <c r="C17" s="108">
        <v>5</v>
      </c>
      <c r="D17" s="108">
        <v>3.4</v>
      </c>
      <c r="E17" s="108">
        <v>2</v>
      </c>
      <c r="F17" s="108">
        <v>0.96</v>
      </c>
    </row>
    <row r="18" spans="1:6" x14ac:dyDescent="0.25">
      <c r="A18" s="108">
        <v>120</v>
      </c>
      <c r="B18" s="108">
        <v>4.3</v>
      </c>
      <c r="C18" s="108">
        <v>3.3</v>
      </c>
      <c r="D18" s="108">
        <v>2.2000000000000002</v>
      </c>
      <c r="E18" s="108">
        <v>1.4</v>
      </c>
      <c r="F18" s="108">
        <v>0.65</v>
      </c>
    </row>
    <row r="19" spans="1:6" x14ac:dyDescent="0.25">
      <c r="A19" s="108">
        <v>150</v>
      </c>
      <c r="B19" s="108">
        <v>3.3</v>
      </c>
      <c r="C19" s="108">
        <v>2.4</v>
      </c>
      <c r="D19" s="108">
        <v>1.8</v>
      </c>
      <c r="E19" s="108">
        <v>1</v>
      </c>
      <c r="F19" s="108">
        <v>0.54</v>
      </c>
    </row>
    <row r="20" spans="1:6" x14ac:dyDescent="0.25">
      <c r="A20" s="108">
        <v>180</v>
      </c>
      <c r="B20" s="108">
        <v>2.4</v>
      </c>
      <c r="C20" s="108">
        <v>1.8</v>
      </c>
      <c r="D20" s="108">
        <v>1.4</v>
      </c>
      <c r="E20" s="108">
        <v>0.82</v>
      </c>
      <c r="F20" s="108">
        <v>0.39</v>
      </c>
    </row>
    <row r="21" spans="1:6" x14ac:dyDescent="0.25">
      <c r="A21" s="108">
        <v>210</v>
      </c>
      <c r="B21" s="108">
        <v>1.9</v>
      </c>
      <c r="C21" s="108">
        <v>1.5</v>
      </c>
      <c r="D21" s="108">
        <v>1.1000000000000001</v>
      </c>
      <c r="E21" s="108">
        <v>0.67</v>
      </c>
      <c r="F21" s="108">
        <v>0.32</v>
      </c>
    </row>
    <row r="22" spans="1:6" x14ac:dyDescent="0.25">
      <c r="A22" s="108">
        <v>240</v>
      </c>
      <c r="B22" s="108">
        <v>1.6</v>
      </c>
      <c r="C22" s="108">
        <v>1.3</v>
      </c>
      <c r="D22" s="108">
        <v>0.9</v>
      </c>
      <c r="E22" s="108">
        <v>0.56000000000000005</v>
      </c>
      <c r="F22" s="108">
        <v>0.27</v>
      </c>
    </row>
    <row r="23" spans="1:6" x14ac:dyDescent="0.25">
      <c r="A23" s="108">
        <v>270</v>
      </c>
      <c r="B23" s="108">
        <v>1.35</v>
      </c>
      <c r="C23" s="108">
        <v>1.1000000000000001</v>
      </c>
      <c r="D23" s="108">
        <v>0.8</v>
      </c>
      <c r="E23" s="108">
        <v>0.48</v>
      </c>
      <c r="F23" s="108">
        <v>0.24</v>
      </c>
    </row>
    <row r="24" spans="1:6" x14ac:dyDescent="0.25">
      <c r="A24" s="108">
        <v>300</v>
      </c>
      <c r="B24" s="108">
        <v>1.2</v>
      </c>
      <c r="C24" s="108">
        <v>0.95</v>
      </c>
      <c r="D24" s="108">
        <v>0.76</v>
      </c>
      <c r="E24" s="108">
        <v>0.42</v>
      </c>
      <c r="F24" s="108">
        <v>0.21</v>
      </c>
    </row>
    <row r="25" spans="1:6" x14ac:dyDescent="0.25">
      <c r="A25" s="108">
        <v>330</v>
      </c>
      <c r="B25" s="108">
        <v>1.05</v>
      </c>
      <c r="C25" s="108">
        <v>0.85</v>
      </c>
      <c r="D25" s="108">
        <v>0.67</v>
      </c>
      <c r="E25" s="108">
        <v>0.37</v>
      </c>
      <c r="F25" s="108">
        <v>0.18</v>
      </c>
    </row>
    <row r="26" spans="1:6" x14ac:dyDescent="0.25">
      <c r="A26" s="112">
        <v>360</v>
      </c>
      <c r="B26" s="108">
        <v>0.94</v>
      </c>
      <c r="C26" s="108">
        <v>0.75</v>
      </c>
      <c r="D26" s="108">
        <v>0.59</v>
      </c>
      <c r="E26" s="108">
        <v>0.33</v>
      </c>
      <c r="F26" s="108">
        <v>0.17</v>
      </c>
    </row>
    <row r="27" spans="1:6" x14ac:dyDescent="0.25">
      <c r="E27" s="108"/>
    </row>
    <row r="28" spans="1:6" x14ac:dyDescent="0.25">
      <c r="E28" s="108"/>
    </row>
    <row r="29" spans="1:6" x14ac:dyDescent="0.25">
      <c r="E29" s="108"/>
    </row>
    <row r="30" spans="1:6" x14ac:dyDescent="0.25">
      <c r="D30" s="108"/>
      <c r="E30" s="108"/>
    </row>
    <row r="31" spans="1:6" x14ac:dyDescent="0.25">
      <c r="D31" s="108"/>
      <c r="E31" s="108"/>
    </row>
    <row r="32" spans="1:6" x14ac:dyDescent="0.25">
      <c r="B32" s="108"/>
      <c r="C32" s="108"/>
      <c r="D32" s="108"/>
      <c r="E32" s="108"/>
    </row>
    <row r="33" spans="1:5" x14ac:dyDescent="0.25">
      <c r="A33" s="101"/>
      <c r="B33" s="113"/>
      <c r="C33" s="114" t="s">
        <v>118</v>
      </c>
      <c r="D33" s="115" t="s">
        <v>119</v>
      </c>
      <c r="E33" s="108"/>
    </row>
    <row r="34" spans="1:5" x14ac:dyDescent="0.25">
      <c r="A34" s="101"/>
      <c r="B34" s="116" t="s">
        <v>104</v>
      </c>
      <c r="C34" s="117">
        <f>'Calculation Sheet'!D53</f>
        <v>20</v>
      </c>
      <c r="D34" s="118">
        <f>Tdvdt</f>
        <v>52</v>
      </c>
      <c r="E34" s="108"/>
    </row>
    <row r="35" spans="1:5" x14ac:dyDescent="0.25">
      <c r="A35" s="101"/>
      <c r="B35" s="119" t="s">
        <v>105</v>
      </c>
      <c r="C35" s="120">
        <f>'Calculation Sheet'!D52</f>
        <v>8.7533333333333339</v>
      </c>
      <c r="D35" s="121">
        <f>D34</f>
        <v>52</v>
      </c>
      <c r="E35" s="108"/>
    </row>
    <row r="36" spans="1:5" x14ac:dyDescent="0.25">
      <c r="A36" s="101"/>
      <c r="B36" s="108"/>
      <c r="C36" s="108"/>
      <c r="D36" s="108"/>
      <c r="E36" s="108"/>
    </row>
    <row r="37" spans="1:5" x14ac:dyDescent="0.25">
      <c r="A37" s="101"/>
      <c r="B37" s="108"/>
      <c r="C37" s="108"/>
      <c r="D37" s="108"/>
      <c r="E37" s="108"/>
    </row>
    <row r="38" spans="1:5" x14ac:dyDescent="0.25">
      <c r="A38" s="101"/>
      <c r="B38" s="108"/>
      <c r="C38" s="108"/>
      <c r="D38" s="108"/>
      <c r="E38" s="108"/>
    </row>
    <row r="39" spans="1:5" x14ac:dyDescent="0.25">
      <c r="A39" s="101"/>
      <c r="B39" s="108"/>
      <c r="C39" s="108"/>
      <c r="D39" s="108"/>
      <c r="E39" s="108"/>
    </row>
    <row r="40" spans="1:5" x14ac:dyDescent="0.25">
      <c r="A40" s="101"/>
      <c r="B40" s="108"/>
      <c r="C40" s="108"/>
      <c r="D40" s="108"/>
      <c r="E40" s="108"/>
    </row>
    <row r="41" spans="1:5" x14ac:dyDescent="0.25">
      <c r="A41" s="101"/>
      <c r="B41" s="108"/>
      <c r="C41" s="108"/>
      <c r="D41" s="108"/>
      <c r="E41" s="108"/>
    </row>
    <row r="42" spans="1:5" x14ac:dyDescent="0.25">
      <c r="A42" s="101"/>
      <c r="B42" s="108"/>
      <c r="C42" s="108"/>
      <c r="D42" s="108"/>
      <c r="E42" s="108"/>
    </row>
    <row r="43" spans="1:5" x14ac:dyDescent="0.25">
      <c r="A43" s="101"/>
      <c r="B43" s="108"/>
      <c r="C43" s="108"/>
      <c r="D43" s="108"/>
      <c r="E43" s="108"/>
    </row>
    <row r="44" spans="1:5" x14ac:dyDescent="0.25">
      <c r="A44" s="101"/>
      <c r="B44" s="108"/>
      <c r="C44" s="108"/>
      <c r="D44" s="108"/>
      <c r="E44" s="108"/>
    </row>
    <row r="45" spans="1:5" x14ac:dyDescent="0.25">
      <c r="A45" s="101"/>
      <c r="B45" s="108"/>
      <c r="C45" s="108"/>
      <c r="D45" s="108"/>
      <c r="E45" s="108"/>
    </row>
    <row r="46" spans="1:5" x14ac:dyDescent="0.25">
      <c r="A46" s="101"/>
      <c r="B46" s="108"/>
      <c r="C46" s="108"/>
      <c r="D46" s="108"/>
      <c r="E46" s="108"/>
    </row>
    <row r="47" spans="1:5" x14ac:dyDescent="0.25">
      <c r="A47" s="101"/>
      <c r="B47" s="108"/>
      <c r="C47" s="108"/>
      <c r="D47" s="108"/>
      <c r="E47" s="108"/>
    </row>
    <row r="48" spans="1:5" x14ac:dyDescent="0.25">
      <c r="A48" s="101"/>
      <c r="B48" s="108"/>
      <c r="C48" s="108"/>
      <c r="D48" s="108"/>
      <c r="E48" s="108"/>
    </row>
    <row r="49" spans="1:5" x14ac:dyDescent="0.25">
      <c r="A49" s="101"/>
      <c r="B49" s="108"/>
      <c r="C49" s="108"/>
      <c r="D49" s="108"/>
      <c r="E49" s="108"/>
    </row>
    <row r="50" spans="1:5" x14ac:dyDescent="0.25">
      <c r="A50" s="101"/>
      <c r="B50" s="108"/>
      <c r="C50" s="108"/>
      <c r="D50" s="108"/>
      <c r="E50" s="108"/>
    </row>
    <row r="51" spans="1:5" x14ac:dyDescent="0.25">
      <c r="A51" s="101"/>
      <c r="B51" s="108"/>
      <c r="C51" s="108"/>
      <c r="D51" s="108"/>
      <c r="E51" s="108"/>
    </row>
    <row r="52" spans="1:5" x14ac:dyDescent="0.25">
      <c r="A52" s="101"/>
      <c r="B52" s="108"/>
      <c r="C52" s="108"/>
      <c r="D52" s="108"/>
      <c r="E52" s="108"/>
    </row>
    <row r="53" spans="1:5" x14ac:dyDescent="0.25">
      <c r="A53" s="101"/>
      <c r="B53" s="108"/>
      <c r="C53" s="108"/>
      <c r="D53" s="108"/>
      <c r="E53" s="108"/>
    </row>
    <row r="54" spans="1:5" x14ac:dyDescent="0.25">
      <c r="A54" s="101"/>
      <c r="B54" s="108"/>
      <c r="C54" s="108"/>
      <c r="D54" s="108"/>
      <c r="E54" s="108"/>
    </row>
    <row r="55" spans="1:5" x14ac:dyDescent="0.25">
      <c r="A55" s="101"/>
      <c r="B55" s="108"/>
      <c r="C55" s="108"/>
      <c r="D55" s="108"/>
      <c r="E55" s="108"/>
    </row>
    <row r="56" spans="1:5" x14ac:dyDescent="0.25">
      <c r="A56" s="101"/>
      <c r="B56" s="108"/>
      <c r="C56" s="108"/>
      <c r="D56" s="108"/>
      <c r="E56" s="108"/>
    </row>
    <row r="57" spans="1:5" x14ac:dyDescent="0.25">
      <c r="A57" s="101"/>
      <c r="B57" s="108"/>
      <c r="C57" s="108"/>
      <c r="D57" s="108"/>
      <c r="E57" s="108"/>
    </row>
    <row r="58" spans="1:5" x14ac:dyDescent="0.25">
      <c r="A58" s="101"/>
      <c r="B58" s="108"/>
      <c r="C58" s="108"/>
      <c r="D58" s="108"/>
      <c r="E58" s="108"/>
    </row>
    <row r="59" spans="1:5" x14ac:dyDescent="0.25">
      <c r="A59" s="101"/>
      <c r="B59" s="108"/>
      <c r="C59" s="108"/>
      <c r="D59" s="108"/>
      <c r="E59" s="108"/>
    </row>
    <row r="60" spans="1:5" x14ac:dyDescent="0.25">
      <c r="A60" s="101"/>
      <c r="B60" s="108"/>
      <c r="C60" s="108"/>
      <c r="D60" s="108"/>
      <c r="E60" s="108"/>
    </row>
    <row r="61" spans="1:5" x14ac:dyDescent="0.25">
      <c r="A61" s="101"/>
      <c r="B61" s="108"/>
      <c r="C61" s="108"/>
      <c r="D61" s="108"/>
      <c r="E61" s="108"/>
    </row>
    <row r="62" spans="1:5" x14ac:dyDescent="0.25">
      <c r="A62" s="101"/>
      <c r="B62" s="108"/>
      <c r="C62" s="108"/>
      <c r="D62" s="108"/>
      <c r="E62" s="108"/>
    </row>
    <row r="63" spans="1:5" x14ac:dyDescent="0.25">
      <c r="A63" s="101"/>
      <c r="B63" s="108"/>
      <c r="C63" s="108"/>
      <c r="D63" s="108"/>
      <c r="E63" s="108"/>
    </row>
    <row r="64" spans="1:5" x14ac:dyDescent="0.25">
      <c r="A64" s="101"/>
      <c r="B64" s="108"/>
      <c r="C64" s="108"/>
      <c r="D64" s="108"/>
      <c r="E64" s="108"/>
    </row>
    <row r="65" spans="1:5" x14ac:dyDescent="0.25">
      <c r="A65" s="101"/>
      <c r="B65" s="108"/>
      <c r="C65" s="108"/>
      <c r="D65" s="108"/>
      <c r="E65" s="108"/>
    </row>
    <row r="66" spans="1:5" x14ac:dyDescent="0.25">
      <c r="A66" s="101"/>
      <c r="B66" s="108"/>
      <c r="C66" s="108"/>
      <c r="D66" s="108"/>
      <c r="E66" s="108"/>
    </row>
    <row r="67" spans="1:5" x14ac:dyDescent="0.25">
      <c r="A67" s="101"/>
      <c r="B67" s="108"/>
      <c r="C67" s="108"/>
      <c r="D67" s="108"/>
      <c r="E67" s="108"/>
    </row>
    <row r="68" spans="1:5" x14ac:dyDescent="0.25">
      <c r="A68" s="101"/>
      <c r="B68" s="108"/>
      <c r="C68" s="108"/>
      <c r="D68" s="108"/>
      <c r="E68" s="108"/>
    </row>
    <row r="69" spans="1:5" x14ac:dyDescent="0.25">
      <c r="A69" s="101"/>
      <c r="B69" s="108"/>
      <c r="C69" s="108"/>
      <c r="D69" s="108"/>
      <c r="E69" s="108"/>
    </row>
    <row r="70" spans="1:5" x14ac:dyDescent="0.25">
      <c r="A70" s="101"/>
      <c r="B70" s="108"/>
      <c r="C70" s="108"/>
      <c r="D70" s="108"/>
      <c r="E70" s="108"/>
    </row>
    <row r="71" spans="1:5" x14ac:dyDescent="0.25">
      <c r="A71" s="101"/>
      <c r="B71" s="108"/>
      <c r="C71" s="108"/>
      <c r="D71" s="108"/>
      <c r="E71" s="108"/>
    </row>
    <row r="72" spans="1:5" x14ac:dyDescent="0.25">
      <c r="A72" s="101"/>
      <c r="B72" s="108"/>
      <c r="C72" s="108"/>
      <c r="D72" s="108"/>
      <c r="E72" s="108"/>
    </row>
    <row r="73" spans="1:5" x14ac:dyDescent="0.25">
      <c r="A73" s="101"/>
      <c r="B73" s="108"/>
      <c r="C73" s="108"/>
      <c r="D73" s="108"/>
      <c r="E73" s="108"/>
    </row>
    <row r="74" spans="1:5" x14ac:dyDescent="0.25">
      <c r="A74" s="101"/>
      <c r="B74" s="108"/>
      <c r="C74" s="108"/>
      <c r="D74" s="108"/>
      <c r="E74" s="108"/>
    </row>
    <row r="75" spans="1:5" x14ac:dyDescent="0.25">
      <c r="A75" s="101"/>
      <c r="B75" s="108"/>
      <c r="C75" s="108"/>
      <c r="D75" s="108"/>
      <c r="E75" s="108"/>
    </row>
    <row r="76" spans="1:5" x14ac:dyDescent="0.25">
      <c r="A76" s="101"/>
      <c r="B76" s="108"/>
      <c r="C76" s="108"/>
      <c r="D76" s="108"/>
      <c r="E76" s="108"/>
    </row>
    <row r="77" spans="1:5" x14ac:dyDescent="0.25">
      <c r="A77" s="101"/>
      <c r="B77" s="108"/>
      <c r="C77" s="108"/>
      <c r="D77" s="108"/>
      <c r="E77" s="108"/>
    </row>
    <row r="78" spans="1:5" x14ac:dyDescent="0.25">
      <c r="A78" s="101"/>
      <c r="B78" s="108"/>
      <c r="C78" s="108"/>
      <c r="D78" s="108"/>
      <c r="E78" s="108"/>
    </row>
    <row r="79" spans="1:5" x14ac:dyDescent="0.25">
      <c r="A79" s="101"/>
      <c r="B79" s="108"/>
      <c r="C79" s="108"/>
      <c r="D79" s="108"/>
      <c r="E79" s="108"/>
    </row>
    <row r="80" spans="1:5" x14ac:dyDescent="0.25">
      <c r="A80" s="101"/>
      <c r="B80" s="108"/>
      <c r="C80" s="108"/>
      <c r="D80" s="108"/>
      <c r="E80" s="108"/>
    </row>
    <row r="81" spans="1:5" x14ac:dyDescent="0.25">
      <c r="A81" s="101"/>
      <c r="B81" s="108"/>
      <c r="C81" s="108"/>
      <c r="D81" s="108"/>
      <c r="E81" s="108"/>
    </row>
    <row r="82" spans="1:5" x14ac:dyDescent="0.25">
      <c r="A82" s="101"/>
      <c r="B82" s="108"/>
      <c r="C82" s="108"/>
      <c r="D82" s="108"/>
      <c r="E82" s="108"/>
    </row>
    <row r="83" spans="1:5" x14ac:dyDescent="0.25">
      <c r="A83" s="101"/>
      <c r="B83" s="108"/>
      <c r="C83" s="108"/>
      <c r="D83" s="108"/>
      <c r="E83" s="108"/>
    </row>
    <row r="84" spans="1:5" x14ac:dyDescent="0.25">
      <c r="A84" s="101"/>
      <c r="B84" s="108"/>
      <c r="C84" s="108"/>
      <c r="D84" s="108"/>
      <c r="E84" s="108"/>
    </row>
    <row r="85" spans="1:5" x14ac:dyDescent="0.25">
      <c r="A85" s="101"/>
      <c r="B85" s="108"/>
      <c r="C85" s="108"/>
      <c r="D85" s="108"/>
      <c r="E85" s="108"/>
    </row>
    <row r="86" spans="1:5" x14ac:dyDescent="0.25">
      <c r="A86" s="101"/>
      <c r="B86" s="108"/>
      <c r="C86" s="108"/>
      <c r="D86" s="108"/>
      <c r="E86" s="108"/>
    </row>
    <row r="87" spans="1:5" x14ac:dyDescent="0.25">
      <c r="A87" s="101"/>
      <c r="B87" s="108"/>
      <c r="C87" s="108"/>
      <c r="D87" s="108"/>
      <c r="E87" s="108"/>
    </row>
    <row r="88" spans="1:5" x14ac:dyDescent="0.25">
      <c r="A88" s="101"/>
      <c r="B88" s="108"/>
      <c r="C88" s="108"/>
      <c r="D88" s="108"/>
      <c r="E88" s="108"/>
    </row>
    <row r="89" spans="1:5" x14ac:dyDescent="0.25">
      <c r="A89" s="101"/>
      <c r="B89" s="108"/>
      <c r="C89" s="108"/>
      <c r="D89" s="108"/>
      <c r="E89" s="108"/>
    </row>
    <row r="90" spans="1:5" x14ac:dyDescent="0.25">
      <c r="A90" s="101"/>
      <c r="B90" s="108"/>
      <c r="C90" s="108"/>
      <c r="D90" s="108"/>
      <c r="E90" s="108"/>
    </row>
    <row r="91" spans="1:5" x14ac:dyDescent="0.25">
      <c r="A91" s="101"/>
      <c r="B91" s="108"/>
      <c r="C91" s="108"/>
      <c r="D91" s="108"/>
      <c r="E91" s="108"/>
    </row>
    <row r="92" spans="1:5" x14ac:dyDescent="0.25">
      <c r="A92" s="101"/>
      <c r="B92" s="108"/>
      <c r="C92" s="108"/>
      <c r="D92" s="108"/>
      <c r="E92" s="108"/>
    </row>
    <row r="93" spans="1:5" x14ac:dyDescent="0.25">
      <c r="A93" s="101"/>
      <c r="B93" s="108"/>
      <c r="C93" s="108"/>
      <c r="D93" s="108"/>
      <c r="E93" s="108"/>
    </row>
    <row r="94" spans="1:5" x14ac:dyDescent="0.25">
      <c r="A94" s="101"/>
      <c r="B94" s="108"/>
      <c r="C94" s="108"/>
      <c r="D94" s="108"/>
      <c r="E94" s="108"/>
    </row>
    <row r="95" spans="1:5" x14ac:dyDescent="0.25">
      <c r="A95" s="101"/>
      <c r="B95" s="108"/>
      <c r="C95" s="108"/>
      <c r="D95" s="108"/>
      <c r="E95" s="108"/>
    </row>
    <row r="96" spans="1:5" x14ac:dyDescent="0.25">
      <c r="A96" s="101"/>
      <c r="B96" s="108"/>
      <c r="C96" s="108"/>
      <c r="D96" s="108"/>
      <c r="E96" s="108"/>
    </row>
    <row r="97" spans="1:5" x14ac:dyDescent="0.25">
      <c r="B97" s="108"/>
      <c r="C97" s="108"/>
      <c r="D97" s="108"/>
      <c r="E97" s="108"/>
    </row>
    <row r="98" spans="1:5" x14ac:dyDescent="0.25">
      <c r="B98" s="108"/>
      <c r="C98" s="108"/>
      <c r="D98" s="108"/>
      <c r="E98" s="108"/>
    </row>
    <row r="99" spans="1:5" x14ac:dyDescent="0.25">
      <c r="B99" s="108"/>
      <c r="C99" s="108"/>
      <c r="D99" s="108"/>
      <c r="E99" s="108"/>
    </row>
    <row r="100" spans="1:5" x14ac:dyDescent="0.25">
      <c r="B100" s="108"/>
      <c r="C100" s="108"/>
      <c r="D100" s="108"/>
      <c r="E100" s="108"/>
    </row>
    <row r="101" spans="1:5" x14ac:dyDescent="0.25">
      <c r="B101" s="108"/>
      <c r="C101" s="108"/>
      <c r="D101" s="108"/>
      <c r="E101" s="108"/>
    </row>
    <row r="102" spans="1:5" x14ac:dyDescent="0.25">
      <c r="B102" s="108"/>
      <c r="C102" s="108"/>
      <c r="D102" s="108"/>
      <c r="E102" s="108"/>
    </row>
    <row r="103" spans="1:5" x14ac:dyDescent="0.25">
      <c r="A103" s="108"/>
      <c r="B103" s="108"/>
      <c r="C103" s="108"/>
      <c r="D103" s="108"/>
      <c r="E103" s="108"/>
    </row>
    <row r="104" spans="1:5" x14ac:dyDescent="0.25">
      <c r="A104" s="108"/>
      <c r="B104" s="108"/>
      <c r="C104" s="108"/>
      <c r="D104" s="108"/>
      <c r="E104" s="108"/>
    </row>
  </sheetData>
  <sheetProtection password="DD1C" sheet="1" objects="1" scenarios="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tabColor rgb="FF0070C0"/>
  </sheetPr>
  <dimension ref="A1:I196"/>
  <sheetViews>
    <sheetView zoomScale="70" zoomScaleNormal="70" workbookViewId="0">
      <pane ySplit="4" topLeftCell="A163" activePane="bottomLeft" state="frozen"/>
      <selection activeCell="G170" sqref="G170"/>
      <selection pane="bottomLeft" activeCell="F140" sqref="F140"/>
    </sheetView>
  </sheetViews>
  <sheetFormatPr defaultRowHeight="15" x14ac:dyDescent="0.25"/>
  <cols>
    <col min="1" max="6" width="18.7109375" customWidth="1"/>
    <col min="257" max="262" width="18.7109375" customWidth="1"/>
    <col min="513" max="518" width="18.7109375" customWidth="1"/>
    <col min="769" max="774" width="18.7109375" customWidth="1"/>
    <col min="1025" max="1030" width="18.7109375" customWidth="1"/>
    <col min="1281" max="1286" width="18.7109375" customWidth="1"/>
    <col min="1537" max="1542" width="18.7109375" customWidth="1"/>
    <col min="1793" max="1798" width="18.7109375" customWidth="1"/>
    <col min="2049" max="2054" width="18.7109375" customWidth="1"/>
    <col min="2305" max="2310" width="18.7109375" customWidth="1"/>
    <col min="2561" max="2566" width="18.7109375" customWidth="1"/>
    <col min="2817" max="2822" width="18.7109375" customWidth="1"/>
    <col min="3073" max="3078" width="18.7109375" customWidth="1"/>
    <col min="3329" max="3334" width="18.7109375" customWidth="1"/>
    <col min="3585" max="3590" width="18.7109375" customWidth="1"/>
    <col min="3841" max="3846" width="18.7109375" customWidth="1"/>
    <col min="4097" max="4102" width="18.7109375" customWidth="1"/>
    <col min="4353" max="4358" width="18.7109375" customWidth="1"/>
    <col min="4609" max="4614" width="18.7109375" customWidth="1"/>
    <col min="4865" max="4870" width="18.7109375" customWidth="1"/>
    <col min="5121" max="5126" width="18.7109375" customWidth="1"/>
    <col min="5377" max="5382" width="18.7109375" customWidth="1"/>
    <col min="5633" max="5638" width="18.7109375" customWidth="1"/>
    <col min="5889" max="5894" width="18.7109375" customWidth="1"/>
    <col min="6145" max="6150" width="18.7109375" customWidth="1"/>
    <col min="6401" max="6406" width="18.7109375" customWidth="1"/>
    <col min="6657" max="6662" width="18.7109375" customWidth="1"/>
    <col min="6913" max="6918" width="18.7109375" customWidth="1"/>
    <col min="7169" max="7174" width="18.7109375" customWidth="1"/>
    <col min="7425" max="7430" width="18.7109375" customWidth="1"/>
    <col min="7681" max="7686" width="18.7109375" customWidth="1"/>
    <col min="7937" max="7942" width="18.7109375" customWidth="1"/>
    <col min="8193" max="8198" width="18.7109375" customWidth="1"/>
    <col min="8449" max="8454" width="18.7109375" customWidth="1"/>
    <col min="8705" max="8710" width="18.7109375" customWidth="1"/>
    <col min="8961" max="8966" width="18.7109375" customWidth="1"/>
    <col min="9217" max="9222" width="18.7109375" customWidth="1"/>
    <col min="9473" max="9478" width="18.7109375" customWidth="1"/>
    <col min="9729" max="9734" width="18.7109375" customWidth="1"/>
    <col min="9985" max="9990" width="18.7109375" customWidth="1"/>
    <col min="10241" max="10246" width="18.7109375" customWidth="1"/>
    <col min="10497" max="10502" width="18.7109375" customWidth="1"/>
    <col min="10753" max="10758" width="18.7109375" customWidth="1"/>
    <col min="11009" max="11014" width="18.7109375" customWidth="1"/>
    <col min="11265" max="11270" width="18.7109375" customWidth="1"/>
    <col min="11521" max="11526" width="18.7109375" customWidth="1"/>
    <col min="11777" max="11782" width="18.7109375" customWidth="1"/>
    <col min="12033" max="12038" width="18.7109375" customWidth="1"/>
    <col min="12289" max="12294" width="18.7109375" customWidth="1"/>
    <col min="12545" max="12550" width="18.7109375" customWidth="1"/>
    <col min="12801" max="12806" width="18.7109375" customWidth="1"/>
    <col min="13057" max="13062" width="18.7109375" customWidth="1"/>
    <col min="13313" max="13318" width="18.7109375" customWidth="1"/>
    <col min="13569" max="13574" width="18.7109375" customWidth="1"/>
    <col min="13825" max="13830" width="18.7109375" customWidth="1"/>
    <col min="14081" max="14086" width="18.7109375" customWidth="1"/>
    <col min="14337" max="14342" width="18.7109375" customWidth="1"/>
    <col min="14593" max="14598" width="18.7109375" customWidth="1"/>
    <col min="14849" max="14854" width="18.7109375" customWidth="1"/>
    <col min="15105" max="15110" width="18.7109375" customWidth="1"/>
    <col min="15361" max="15366" width="18.7109375" customWidth="1"/>
    <col min="15617" max="15622" width="18.7109375" customWidth="1"/>
    <col min="15873" max="15878" width="18.7109375" customWidth="1"/>
    <col min="16129" max="16134" width="18.7109375" customWidth="1"/>
  </cols>
  <sheetData>
    <row r="1" spans="1:9" ht="21" x14ac:dyDescent="0.35">
      <c r="A1" s="178" t="s">
        <v>31</v>
      </c>
      <c r="B1" s="178"/>
      <c r="C1" s="178"/>
      <c r="D1" s="178"/>
      <c r="E1" s="178"/>
      <c r="F1" s="178"/>
    </row>
    <row r="3" spans="1:9" x14ac:dyDescent="0.25">
      <c r="A3" s="2">
        <v>0.2</v>
      </c>
      <c r="B3" s="2">
        <v>0.1</v>
      </c>
      <c r="C3" s="2">
        <v>0.05</v>
      </c>
      <c r="D3" s="2">
        <v>0.02</v>
      </c>
      <c r="E3" s="2">
        <v>0.01</v>
      </c>
      <c r="F3" s="3" t="s">
        <v>32</v>
      </c>
    </row>
    <row r="4" spans="1:9" x14ac:dyDescent="0.25">
      <c r="A4" s="4" t="s">
        <v>33</v>
      </c>
      <c r="B4" s="4" t="s">
        <v>34</v>
      </c>
      <c r="C4" s="4" t="s">
        <v>35</v>
      </c>
      <c r="D4" s="4" t="s">
        <v>36</v>
      </c>
      <c r="E4" s="4" t="s">
        <v>37</v>
      </c>
      <c r="F4" s="4" t="s">
        <v>38</v>
      </c>
    </row>
    <row r="5" spans="1:9" x14ac:dyDescent="0.25">
      <c r="A5" s="179">
        <v>100</v>
      </c>
      <c r="B5" s="180">
        <v>100</v>
      </c>
      <c r="C5" s="175">
        <v>100</v>
      </c>
      <c r="D5" s="176">
        <v>100</v>
      </c>
      <c r="E5" s="177">
        <v>100</v>
      </c>
      <c r="F5" s="5">
        <v>100</v>
      </c>
    </row>
    <row r="6" spans="1:9" x14ac:dyDescent="0.25">
      <c r="A6" s="179"/>
      <c r="B6" s="180"/>
      <c r="C6" s="175"/>
      <c r="D6" s="176"/>
      <c r="E6" s="177"/>
      <c r="F6" s="5">
        <v>101</v>
      </c>
    </row>
    <row r="7" spans="1:9" x14ac:dyDescent="0.25">
      <c r="A7" s="179"/>
      <c r="B7" s="180"/>
      <c r="C7" s="175"/>
      <c r="D7" s="176"/>
      <c r="E7" s="177">
        <v>102</v>
      </c>
      <c r="F7" s="5">
        <v>102</v>
      </c>
    </row>
    <row r="8" spans="1:9" x14ac:dyDescent="0.25">
      <c r="A8" s="179"/>
      <c r="B8" s="180"/>
      <c r="C8" s="175"/>
      <c r="D8" s="176"/>
      <c r="E8" s="177"/>
      <c r="F8" s="5">
        <v>104</v>
      </c>
    </row>
    <row r="9" spans="1:9" x14ac:dyDescent="0.25">
      <c r="A9" s="179"/>
      <c r="B9" s="180"/>
      <c r="C9" s="175"/>
      <c r="D9" s="176">
        <v>105</v>
      </c>
      <c r="E9" s="177">
        <v>105</v>
      </c>
      <c r="F9" s="5">
        <v>105</v>
      </c>
    </row>
    <row r="10" spans="1:9" x14ac:dyDescent="0.25">
      <c r="A10" s="179"/>
      <c r="B10" s="180"/>
      <c r="C10" s="175"/>
      <c r="D10" s="176"/>
      <c r="E10" s="177"/>
      <c r="F10" s="5">
        <v>106</v>
      </c>
      <c r="I10" s="1"/>
    </row>
    <row r="11" spans="1:9" x14ac:dyDescent="0.25">
      <c r="A11" s="179"/>
      <c r="B11" s="180"/>
      <c r="C11" s="175"/>
      <c r="D11" s="176"/>
      <c r="E11" s="177">
        <v>107</v>
      </c>
      <c r="F11" s="5">
        <v>107</v>
      </c>
    </row>
    <row r="12" spans="1:9" x14ac:dyDescent="0.25">
      <c r="A12" s="179"/>
      <c r="B12" s="180"/>
      <c r="C12" s="175"/>
      <c r="D12" s="176"/>
      <c r="E12" s="177"/>
      <c r="F12" s="5">
        <v>109</v>
      </c>
    </row>
    <row r="13" spans="1:9" x14ac:dyDescent="0.25">
      <c r="A13" s="179"/>
      <c r="B13" s="180"/>
      <c r="C13" s="175">
        <v>110</v>
      </c>
      <c r="D13" s="176">
        <v>110</v>
      </c>
      <c r="E13" s="177">
        <v>110</v>
      </c>
      <c r="F13" s="5">
        <v>110</v>
      </c>
    </row>
    <row r="14" spans="1:9" x14ac:dyDescent="0.25">
      <c r="A14" s="179"/>
      <c r="B14" s="180"/>
      <c r="C14" s="175"/>
      <c r="D14" s="176"/>
      <c r="E14" s="177"/>
      <c r="F14" s="5">
        <v>111</v>
      </c>
    </row>
    <row r="15" spans="1:9" x14ac:dyDescent="0.25">
      <c r="A15" s="179"/>
      <c r="B15" s="180"/>
      <c r="C15" s="175"/>
      <c r="D15" s="176"/>
      <c r="E15" s="177">
        <v>113</v>
      </c>
      <c r="F15" s="5">
        <v>113</v>
      </c>
    </row>
    <row r="16" spans="1:9" x14ac:dyDescent="0.25">
      <c r="A16" s="179"/>
      <c r="B16" s="180"/>
      <c r="C16" s="175"/>
      <c r="D16" s="176"/>
      <c r="E16" s="177"/>
      <c r="F16" s="5">
        <v>114</v>
      </c>
    </row>
    <row r="17" spans="1:6" x14ac:dyDescent="0.25">
      <c r="A17" s="179"/>
      <c r="B17" s="180"/>
      <c r="C17" s="175"/>
      <c r="D17" s="176">
        <v>115</v>
      </c>
      <c r="E17" s="177">
        <v>115</v>
      </c>
      <c r="F17" s="5">
        <v>115</v>
      </c>
    </row>
    <row r="18" spans="1:6" x14ac:dyDescent="0.25">
      <c r="A18" s="179"/>
      <c r="B18" s="180"/>
      <c r="C18" s="175"/>
      <c r="D18" s="176"/>
      <c r="E18" s="177"/>
      <c r="F18" s="5">
        <v>117</v>
      </c>
    </row>
    <row r="19" spans="1:6" x14ac:dyDescent="0.25">
      <c r="A19" s="179"/>
      <c r="B19" s="180"/>
      <c r="C19" s="175"/>
      <c r="D19" s="176"/>
      <c r="E19" s="177">
        <v>118</v>
      </c>
      <c r="F19" s="5">
        <v>118</v>
      </c>
    </row>
    <row r="20" spans="1:6" x14ac:dyDescent="0.25">
      <c r="A20" s="179"/>
      <c r="B20" s="180"/>
      <c r="C20" s="175"/>
      <c r="D20" s="176"/>
      <c r="E20" s="177"/>
      <c r="F20" s="5">
        <v>120</v>
      </c>
    </row>
    <row r="21" spans="1:6" x14ac:dyDescent="0.25">
      <c r="A21" s="179"/>
      <c r="B21" s="180">
        <v>120</v>
      </c>
      <c r="C21" s="175">
        <v>120</v>
      </c>
      <c r="D21" s="176">
        <v>121</v>
      </c>
      <c r="E21" s="177">
        <v>121</v>
      </c>
      <c r="F21" s="5">
        <v>121</v>
      </c>
    </row>
    <row r="22" spans="1:6" x14ac:dyDescent="0.25">
      <c r="A22" s="179"/>
      <c r="B22" s="180"/>
      <c r="C22" s="175"/>
      <c r="D22" s="176"/>
      <c r="E22" s="177"/>
      <c r="F22" s="5">
        <v>123</v>
      </c>
    </row>
    <row r="23" spans="1:6" x14ac:dyDescent="0.25">
      <c r="A23" s="179"/>
      <c r="B23" s="180"/>
      <c r="C23" s="175"/>
      <c r="D23" s="176"/>
      <c r="E23" s="177">
        <v>124</v>
      </c>
      <c r="F23" s="5">
        <v>124</v>
      </c>
    </row>
    <row r="24" spans="1:6" x14ac:dyDescent="0.25">
      <c r="A24" s="179"/>
      <c r="B24" s="180"/>
      <c r="C24" s="175"/>
      <c r="D24" s="176"/>
      <c r="E24" s="177"/>
      <c r="F24" s="5">
        <v>126</v>
      </c>
    </row>
    <row r="25" spans="1:6" x14ac:dyDescent="0.25">
      <c r="A25" s="179"/>
      <c r="B25" s="180"/>
      <c r="C25" s="175"/>
      <c r="D25" s="176">
        <v>127</v>
      </c>
      <c r="E25" s="177">
        <v>127</v>
      </c>
      <c r="F25" s="5">
        <v>127</v>
      </c>
    </row>
    <row r="26" spans="1:6" x14ac:dyDescent="0.25">
      <c r="A26" s="179"/>
      <c r="B26" s="180"/>
      <c r="C26" s="175"/>
      <c r="D26" s="176"/>
      <c r="E26" s="177"/>
      <c r="F26" s="5">
        <v>129</v>
      </c>
    </row>
    <row r="27" spans="1:6" x14ac:dyDescent="0.25">
      <c r="A27" s="179"/>
      <c r="B27" s="180"/>
      <c r="C27" s="175"/>
      <c r="D27" s="176"/>
      <c r="E27" s="177">
        <v>130</v>
      </c>
      <c r="F27" s="5">
        <v>130</v>
      </c>
    </row>
    <row r="28" spans="1:6" x14ac:dyDescent="0.25">
      <c r="A28" s="179"/>
      <c r="B28" s="180"/>
      <c r="C28" s="175"/>
      <c r="D28" s="176"/>
      <c r="E28" s="177"/>
      <c r="F28" s="5">
        <v>132</v>
      </c>
    </row>
    <row r="29" spans="1:6" x14ac:dyDescent="0.25">
      <c r="A29" s="179"/>
      <c r="B29" s="180"/>
      <c r="C29" s="175">
        <v>130</v>
      </c>
      <c r="D29" s="176">
        <v>133</v>
      </c>
      <c r="E29" s="177">
        <v>133</v>
      </c>
      <c r="F29" s="5">
        <v>133</v>
      </c>
    </row>
    <row r="30" spans="1:6" x14ac:dyDescent="0.25">
      <c r="A30" s="179"/>
      <c r="B30" s="180"/>
      <c r="C30" s="175"/>
      <c r="D30" s="176"/>
      <c r="E30" s="177"/>
      <c r="F30" s="5">
        <v>135</v>
      </c>
    </row>
    <row r="31" spans="1:6" x14ac:dyDescent="0.25">
      <c r="A31" s="179"/>
      <c r="B31" s="180"/>
      <c r="C31" s="175"/>
      <c r="D31" s="176"/>
      <c r="E31" s="177">
        <v>137</v>
      </c>
      <c r="F31" s="5">
        <v>137</v>
      </c>
    </row>
    <row r="32" spans="1:6" x14ac:dyDescent="0.25">
      <c r="A32" s="179"/>
      <c r="B32" s="180"/>
      <c r="C32" s="175"/>
      <c r="D32" s="176"/>
      <c r="E32" s="177"/>
      <c r="F32" s="5">
        <v>138</v>
      </c>
    </row>
    <row r="33" spans="1:6" x14ac:dyDescent="0.25">
      <c r="A33" s="179"/>
      <c r="B33" s="180"/>
      <c r="C33" s="175"/>
      <c r="D33" s="176">
        <v>140</v>
      </c>
      <c r="E33" s="177">
        <v>140</v>
      </c>
      <c r="F33" s="5">
        <v>140</v>
      </c>
    </row>
    <row r="34" spans="1:6" x14ac:dyDescent="0.25">
      <c r="A34" s="179"/>
      <c r="B34" s="180"/>
      <c r="C34" s="175"/>
      <c r="D34" s="176"/>
      <c r="E34" s="177"/>
      <c r="F34" s="5">
        <v>142</v>
      </c>
    </row>
    <row r="35" spans="1:6" x14ac:dyDescent="0.25">
      <c r="A35" s="179"/>
      <c r="B35" s="180"/>
      <c r="C35" s="175"/>
      <c r="D35" s="176"/>
      <c r="E35" s="177">
        <v>143</v>
      </c>
      <c r="F35" s="5">
        <v>143</v>
      </c>
    </row>
    <row r="36" spans="1:6" x14ac:dyDescent="0.25">
      <c r="A36" s="179"/>
      <c r="B36" s="180"/>
      <c r="C36" s="175"/>
      <c r="D36" s="176"/>
      <c r="E36" s="177"/>
      <c r="F36" s="5">
        <v>145</v>
      </c>
    </row>
    <row r="37" spans="1:6" x14ac:dyDescent="0.25">
      <c r="A37" s="179">
        <v>150</v>
      </c>
      <c r="B37" s="180">
        <v>150</v>
      </c>
      <c r="C37" s="175">
        <v>150</v>
      </c>
      <c r="D37" s="176">
        <v>147</v>
      </c>
      <c r="E37" s="177">
        <v>147</v>
      </c>
      <c r="F37" s="5">
        <v>147</v>
      </c>
    </row>
    <row r="38" spans="1:6" x14ac:dyDescent="0.25">
      <c r="A38" s="179"/>
      <c r="B38" s="180"/>
      <c r="C38" s="175"/>
      <c r="D38" s="176"/>
      <c r="E38" s="177"/>
      <c r="F38" s="5">
        <v>149</v>
      </c>
    </row>
    <row r="39" spans="1:6" x14ac:dyDescent="0.25">
      <c r="A39" s="179"/>
      <c r="B39" s="180"/>
      <c r="C39" s="175"/>
      <c r="D39" s="176"/>
      <c r="E39" s="177">
        <v>150</v>
      </c>
      <c r="F39" s="5">
        <v>150</v>
      </c>
    </row>
    <row r="40" spans="1:6" x14ac:dyDescent="0.25">
      <c r="A40" s="179"/>
      <c r="B40" s="180"/>
      <c r="C40" s="175"/>
      <c r="D40" s="176"/>
      <c r="E40" s="177"/>
      <c r="F40" s="5">
        <v>152</v>
      </c>
    </row>
    <row r="41" spans="1:6" x14ac:dyDescent="0.25">
      <c r="A41" s="179"/>
      <c r="B41" s="180"/>
      <c r="C41" s="175"/>
      <c r="D41" s="176">
        <v>154</v>
      </c>
      <c r="E41" s="177">
        <v>154</v>
      </c>
      <c r="F41" s="5">
        <v>154</v>
      </c>
    </row>
    <row r="42" spans="1:6" x14ac:dyDescent="0.25">
      <c r="A42" s="179"/>
      <c r="B42" s="180"/>
      <c r="C42" s="175"/>
      <c r="D42" s="176"/>
      <c r="E42" s="177"/>
      <c r="F42" s="5">
        <v>156</v>
      </c>
    </row>
    <row r="43" spans="1:6" x14ac:dyDescent="0.25">
      <c r="A43" s="179"/>
      <c r="B43" s="180"/>
      <c r="C43" s="175"/>
      <c r="D43" s="176"/>
      <c r="E43" s="177">
        <v>158</v>
      </c>
      <c r="F43" s="5">
        <v>158</v>
      </c>
    </row>
    <row r="44" spans="1:6" x14ac:dyDescent="0.25">
      <c r="A44" s="179"/>
      <c r="B44" s="180"/>
      <c r="C44" s="175"/>
      <c r="D44" s="176"/>
      <c r="E44" s="177"/>
      <c r="F44" s="5">
        <v>160</v>
      </c>
    </row>
    <row r="45" spans="1:6" x14ac:dyDescent="0.25">
      <c r="A45" s="179"/>
      <c r="B45" s="180"/>
      <c r="C45" s="175">
        <v>160</v>
      </c>
      <c r="D45" s="176">
        <v>162</v>
      </c>
      <c r="E45" s="177">
        <v>162</v>
      </c>
      <c r="F45" s="5">
        <v>162</v>
      </c>
    </row>
    <row r="46" spans="1:6" x14ac:dyDescent="0.25">
      <c r="A46" s="179"/>
      <c r="B46" s="180"/>
      <c r="C46" s="175"/>
      <c r="D46" s="176"/>
      <c r="E46" s="177"/>
      <c r="F46" s="5">
        <v>164</v>
      </c>
    </row>
    <row r="47" spans="1:6" x14ac:dyDescent="0.25">
      <c r="A47" s="179"/>
      <c r="B47" s="180"/>
      <c r="C47" s="175"/>
      <c r="D47" s="176"/>
      <c r="E47" s="177">
        <v>165</v>
      </c>
      <c r="F47" s="5">
        <v>165</v>
      </c>
    </row>
    <row r="48" spans="1:6" x14ac:dyDescent="0.25">
      <c r="A48" s="179"/>
      <c r="B48" s="180"/>
      <c r="C48" s="175"/>
      <c r="D48" s="176"/>
      <c r="E48" s="177"/>
      <c r="F48" s="5">
        <v>167</v>
      </c>
    </row>
    <row r="49" spans="1:6" x14ac:dyDescent="0.25">
      <c r="A49" s="179"/>
      <c r="B49" s="180"/>
      <c r="C49" s="175"/>
      <c r="D49" s="176">
        <v>169</v>
      </c>
      <c r="E49" s="177">
        <v>169</v>
      </c>
      <c r="F49" s="5">
        <v>169</v>
      </c>
    </row>
    <row r="50" spans="1:6" x14ac:dyDescent="0.25">
      <c r="A50" s="179"/>
      <c r="B50" s="180"/>
      <c r="C50" s="175"/>
      <c r="D50" s="176"/>
      <c r="E50" s="177"/>
      <c r="F50" s="5">
        <v>172</v>
      </c>
    </row>
    <row r="51" spans="1:6" x14ac:dyDescent="0.25">
      <c r="A51" s="179"/>
      <c r="B51" s="180"/>
      <c r="C51" s="175"/>
      <c r="D51" s="176"/>
      <c r="E51" s="177">
        <v>174</v>
      </c>
      <c r="F51" s="5">
        <v>174</v>
      </c>
    </row>
    <row r="52" spans="1:6" x14ac:dyDescent="0.25">
      <c r="A52" s="179"/>
      <c r="B52" s="180"/>
      <c r="C52" s="175"/>
      <c r="D52" s="176"/>
      <c r="E52" s="177"/>
      <c r="F52" s="5">
        <v>176</v>
      </c>
    </row>
    <row r="53" spans="1:6" x14ac:dyDescent="0.25">
      <c r="A53" s="179"/>
      <c r="B53" s="180">
        <v>180</v>
      </c>
      <c r="C53" s="175">
        <v>180</v>
      </c>
      <c r="D53" s="176">
        <v>178</v>
      </c>
      <c r="E53" s="177">
        <v>178</v>
      </c>
      <c r="F53" s="5">
        <v>178</v>
      </c>
    </row>
    <row r="54" spans="1:6" x14ac:dyDescent="0.25">
      <c r="A54" s="179"/>
      <c r="B54" s="180"/>
      <c r="C54" s="175"/>
      <c r="D54" s="176"/>
      <c r="E54" s="177"/>
      <c r="F54" s="5">
        <v>180</v>
      </c>
    </row>
    <row r="55" spans="1:6" x14ac:dyDescent="0.25">
      <c r="A55" s="179"/>
      <c r="B55" s="180"/>
      <c r="C55" s="175"/>
      <c r="D55" s="176"/>
      <c r="E55" s="177">
        <v>182</v>
      </c>
      <c r="F55" s="5">
        <v>182</v>
      </c>
    </row>
    <row r="56" spans="1:6" x14ac:dyDescent="0.25">
      <c r="A56" s="179"/>
      <c r="B56" s="180"/>
      <c r="C56" s="175"/>
      <c r="D56" s="176"/>
      <c r="E56" s="177"/>
      <c r="F56" s="5">
        <v>184</v>
      </c>
    </row>
    <row r="57" spans="1:6" x14ac:dyDescent="0.25">
      <c r="A57" s="179"/>
      <c r="B57" s="180"/>
      <c r="C57" s="175"/>
      <c r="D57" s="176">
        <v>187</v>
      </c>
      <c r="E57" s="177">
        <v>187</v>
      </c>
      <c r="F57" s="5">
        <v>187</v>
      </c>
    </row>
    <row r="58" spans="1:6" x14ac:dyDescent="0.25">
      <c r="A58" s="179"/>
      <c r="B58" s="180"/>
      <c r="C58" s="175"/>
      <c r="D58" s="176"/>
      <c r="E58" s="177"/>
      <c r="F58" s="5">
        <v>189</v>
      </c>
    </row>
    <row r="59" spans="1:6" x14ac:dyDescent="0.25">
      <c r="A59" s="179"/>
      <c r="B59" s="180"/>
      <c r="C59" s="175"/>
      <c r="D59" s="176"/>
      <c r="E59" s="177">
        <v>191</v>
      </c>
      <c r="F59" s="5">
        <v>191</v>
      </c>
    </row>
    <row r="60" spans="1:6" x14ac:dyDescent="0.25">
      <c r="A60" s="179"/>
      <c r="B60" s="180"/>
      <c r="C60" s="175"/>
      <c r="D60" s="176"/>
      <c r="E60" s="177"/>
      <c r="F60" s="5">
        <v>193</v>
      </c>
    </row>
    <row r="61" spans="1:6" x14ac:dyDescent="0.25">
      <c r="A61" s="179"/>
      <c r="B61" s="180"/>
      <c r="C61" s="175">
        <v>200</v>
      </c>
      <c r="D61" s="176">
        <v>196</v>
      </c>
      <c r="E61" s="177">
        <v>196</v>
      </c>
      <c r="F61" s="5">
        <v>196</v>
      </c>
    </row>
    <row r="62" spans="1:6" x14ac:dyDescent="0.25">
      <c r="A62" s="179"/>
      <c r="B62" s="180"/>
      <c r="C62" s="175"/>
      <c r="D62" s="176"/>
      <c r="E62" s="177"/>
      <c r="F62" s="5">
        <v>198</v>
      </c>
    </row>
    <row r="63" spans="1:6" x14ac:dyDescent="0.25">
      <c r="A63" s="179"/>
      <c r="B63" s="180"/>
      <c r="C63" s="175"/>
      <c r="D63" s="176"/>
      <c r="E63" s="177">
        <v>200</v>
      </c>
      <c r="F63" s="5">
        <v>200</v>
      </c>
    </row>
    <row r="64" spans="1:6" x14ac:dyDescent="0.25">
      <c r="A64" s="179"/>
      <c r="B64" s="180"/>
      <c r="C64" s="175"/>
      <c r="D64" s="176"/>
      <c r="E64" s="177"/>
      <c r="F64" s="5">
        <v>203</v>
      </c>
    </row>
    <row r="65" spans="1:6" x14ac:dyDescent="0.25">
      <c r="A65" s="179"/>
      <c r="B65" s="180"/>
      <c r="C65" s="175"/>
      <c r="D65" s="176">
        <v>205</v>
      </c>
      <c r="E65" s="177">
        <v>205</v>
      </c>
      <c r="F65" s="5">
        <v>205</v>
      </c>
    </row>
    <row r="66" spans="1:6" x14ac:dyDescent="0.25">
      <c r="A66" s="179"/>
      <c r="B66" s="180"/>
      <c r="C66" s="175"/>
      <c r="D66" s="176"/>
      <c r="E66" s="177"/>
      <c r="F66" s="5">
        <v>208</v>
      </c>
    </row>
    <row r="67" spans="1:6" x14ac:dyDescent="0.25">
      <c r="A67" s="179"/>
      <c r="B67" s="180"/>
      <c r="C67" s="175"/>
      <c r="D67" s="176"/>
      <c r="E67" s="177">
        <v>210</v>
      </c>
      <c r="F67" s="5">
        <v>210</v>
      </c>
    </row>
    <row r="68" spans="1:6" x14ac:dyDescent="0.25">
      <c r="A68" s="179"/>
      <c r="B68" s="180"/>
      <c r="C68" s="175"/>
      <c r="D68" s="176"/>
      <c r="E68" s="177"/>
      <c r="F68" s="5">
        <v>213</v>
      </c>
    </row>
    <row r="69" spans="1:6" x14ac:dyDescent="0.25">
      <c r="A69" s="179">
        <v>220</v>
      </c>
      <c r="B69" s="180">
        <v>220</v>
      </c>
      <c r="C69" s="175">
        <v>220</v>
      </c>
      <c r="D69" s="176">
        <v>215</v>
      </c>
      <c r="E69" s="177">
        <v>215</v>
      </c>
      <c r="F69" s="5">
        <v>215</v>
      </c>
    </row>
    <row r="70" spans="1:6" x14ac:dyDescent="0.25">
      <c r="A70" s="179"/>
      <c r="B70" s="180"/>
      <c r="C70" s="175"/>
      <c r="D70" s="176"/>
      <c r="E70" s="177"/>
      <c r="F70" s="5">
        <v>218</v>
      </c>
    </row>
    <row r="71" spans="1:6" x14ac:dyDescent="0.25">
      <c r="A71" s="179"/>
      <c r="B71" s="180"/>
      <c r="C71" s="175"/>
      <c r="D71" s="176"/>
      <c r="E71" s="177">
        <v>221</v>
      </c>
      <c r="F71" s="5">
        <v>221</v>
      </c>
    </row>
    <row r="72" spans="1:6" x14ac:dyDescent="0.25">
      <c r="A72" s="179"/>
      <c r="B72" s="180"/>
      <c r="C72" s="175"/>
      <c r="D72" s="176"/>
      <c r="E72" s="177"/>
      <c r="F72" s="5">
        <v>223</v>
      </c>
    </row>
    <row r="73" spans="1:6" x14ac:dyDescent="0.25">
      <c r="A73" s="179"/>
      <c r="B73" s="180"/>
      <c r="C73" s="175"/>
      <c r="D73" s="176">
        <v>226</v>
      </c>
      <c r="E73" s="177">
        <v>226</v>
      </c>
      <c r="F73" s="5">
        <v>226</v>
      </c>
    </row>
    <row r="74" spans="1:6" x14ac:dyDescent="0.25">
      <c r="A74" s="179"/>
      <c r="B74" s="180"/>
      <c r="C74" s="175"/>
      <c r="D74" s="176"/>
      <c r="E74" s="177"/>
      <c r="F74" s="5">
        <v>229</v>
      </c>
    </row>
    <row r="75" spans="1:6" x14ac:dyDescent="0.25">
      <c r="A75" s="179"/>
      <c r="B75" s="180"/>
      <c r="C75" s="175"/>
      <c r="D75" s="176"/>
      <c r="E75" s="177">
        <v>232</v>
      </c>
      <c r="F75" s="5">
        <v>232</v>
      </c>
    </row>
    <row r="76" spans="1:6" x14ac:dyDescent="0.25">
      <c r="A76" s="179"/>
      <c r="B76" s="180"/>
      <c r="C76" s="175"/>
      <c r="D76" s="176"/>
      <c r="E76" s="177"/>
      <c r="F76" s="5">
        <v>234</v>
      </c>
    </row>
    <row r="77" spans="1:6" x14ac:dyDescent="0.25">
      <c r="A77" s="179"/>
      <c r="B77" s="180"/>
      <c r="C77" s="175">
        <v>240</v>
      </c>
      <c r="D77" s="176">
        <v>237</v>
      </c>
      <c r="E77" s="177">
        <v>237</v>
      </c>
      <c r="F77" s="5">
        <v>237</v>
      </c>
    </row>
    <row r="78" spans="1:6" x14ac:dyDescent="0.25">
      <c r="A78" s="179"/>
      <c r="B78" s="180"/>
      <c r="C78" s="175"/>
      <c r="D78" s="176"/>
      <c r="E78" s="177"/>
      <c r="F78" s="5">
        <v>240</v>
      </c>
    </row>
    <row r="79" spans="1:6" x14ac:dyDescent="0.25">
      <c r="A79" s="179"/>
      <c r="B79" s="180"/>
      <c r="C79" s="175"/>
      <c r="D79" s="176"/>
      <c r="E79" s="177">
        <v>243</v>
      </c>
      <c r="F79" s="5">
        <v>243</v>
      </c>
    </row>
    <row r="80" spans="1:6" x14ac:dyDescent="0.25">
      <c r="A80" s="179"/>
      <c r="B80" s="180"/>
      <c r="C80" s="175"/>
      <c r="D80" s="176"/>
      <c r="E80" s="177"/>
      <c r="F80" s="5">
        <v>246</v>
      </c>
    </row>
    <row r="81" spans="1:6" x14ac:dyDescent="0.25">
      <c r="A81" s="179"/>
      <c r="B81" s="180"/>
      <c r="C81" s="175"/>
      <c r="D81" s="176">
        <v>249</v>
      </c>
      <c r="E81" s="177">
        <v>249</v>
      </c>
      <c r="F81" s="5">
        <v>249</v>
      </c>
    </row>
    <row r="82" spans="1:6" x14ac:dyDescent="0.25">
      <c r="A82" s="179"/>
      <c r="B82" s="180"/>
      <c r="C82" s="175"/>
      <c r="D82" s="176"/>
      <c r="E82" s="177"/>
      <c r="F82" s="5">
        <v>252</v>
      </c>
    </row>
    <row r="83" spans="1:6" x14ac:dyDescent="0.25">
      <c r="A83" s="179"/>
      <c r="B83" s="180"/>
      <c r="C83" s="175"/>
      <c r="D83" s="176"/>
      <c r="E83" s="177">
        <v>255</v>
      </c>
      <c r="F83" s="5">
        <v>255</v>
      </c>
    </row>
    <row r="84" spans="1:6" x14ac:dyDescent="0.25">
      <c r="A84" s="179"/>
      <c r="B84" s="180"/>
      <c r="C84" s="175"/>
      <c r="D84" s="176"/>
      <c r="E84" s="177"/>
      <c r="F84" s="5">
        <v>258</v>
      </c>
    </row>
    <row r="85" spans="1:6" x14ac:dyDescent="0.25">
      <c r="A85" s="179"/>
      <c r="B85" s="180">
        <v>270</v>
      </c>
      <c r="C85" s="175">
        <v>270</v>
      </c>
      <c r="D85" s="176">
        <v>261</v>
      </c>
      <c r="E85" s="177">
        <v>261</v>
      </c>
      <c r="F85" s="5">
        <v>261</v>
      </c>
    </row>
    <row r="86" spans="1:6" x14ac:dyDescent="0.25">
      <c r="A86" s="179"/>
      <c r="B86" s="180"/>
      <c r="C86" s="175"/>
      <c r="D86" s="176"/>
      <c r="E86" s="177"/>
      <c r="F86" s="5">
        <v>264</v>
      </c>
    </row>
    <row r="87" spans="1:6" x14ac:dyDescent="0.25">
      <c r="A87" s="179"/>
      <c r="B87" s="180"/>
      <c r="C87" s="175"/>
      <c r="D87" s="176"/>
      <c r="E87" s="177">
        <v>267</v>
      </c>
      <c r="F87" s="5">
        <v>267</v>
      </c>
    </row>
    <row r="88" spans="1:6" x14ac:dyDescent="0.25">
      <c r="A88" s="179"/>
      <c r="B88" s="180"/>
      <c r="C88" s="175"/>
      <c r="D88" s="176"/>
      <c r="E88" s="177"/>
      <c r="F88" s="5">
        <v>271</v>
      </c>
    </row>
    <row r="89" spans="1:6" x14ac:dyDescent="0.25">
      <c r="A89" s="179"/>
      <c r="B89" s="180"/>
      <c r="C89" s="175"/>
      <c r="D89" s="176">
        <v>274</v>
      </c>
      <c r="E89" s="177">
        <v>274</v>
      </c>
      <c r="F89" s="5">
        <v>274</v>
      </c>
    </row>
    <row r="90" spans="1:6" x14ac:dyDescent="0.25">
      <c r="A90" s="179"/>
      <c r="B90" s="180"/>
      <c r="C90" s="175"/>
      <c r="D90" s="176"/>
      <c r="E90" s="177"/>
      <c r="F90" s="5">
        <v>277</v>
      </c>
    </row>
    <row r="91" spans="1:6" x14ac:dyDescent="0.25">
      <c r="A91" s="179"/>
      <c r="B91" s="180"/>
      <c r="C91" s="175"/>
      <c r="D91" s="176"/>
      <c r="E91" s="177">
        <v>280</v>
      </c>
      <c r="F91" s="5">
        <v>280</v>
      </c>
    </row>
    <row r="92" spans="1:6" x14ac:dyDescent="0.25">
      <c r="A92" s="179"/>
      <c r="B92" s="180"/>
      <c r="C92" s="175"/>
      <c r="D92" s="176"/>
      <c r="E92" s="177"/>
      <c r="F92" s="5">
        <v>284</v>
      </c>
    </row>
    <row r="93" spans="1:6" x14ac:dyDescent="0.25">
      <c r="A93" s="179"/>
      <c r="B93" s="180"/>
      <c r="C93" s="175">
        <v>300</v>
      </c>
      <c r="D93" s="176">
        <v>287</v>
      </c>
      <c r="E93" s="177">
        <v>287</v>
      </c>
      <c r="F93" s="5">
        <v>287</v>
      </c>
    </row>
    <row r="94" spans="1:6" x14ac:dyDescent="0.25">
      <c r="A94" s="179"/>
      <c r="B94" s="180"/>
      <c r="C94" s="175"/>
      <c r="D94" s="176"/>
      <c r="E94" s="177"/>
      <c r="F94" s="5">
        <v>291</v>
      </c>
    </row>
    <row r="95" spans="1:6" x14ac:dyDescent="0.25">
      <c r="A95" s="179"/>
      <c r="B95" s="180"/>
      <c r="C95" s="175"/>
      <c r="D95" s="176"/>
      <c r="E95" s="177">
        <v>294</v>
      </c>
      <c r="F95" s="5">
        <v>294</v>
      </c>
    </row>
    <row r="96" spans="1:6" x14ac:dyDescent="0.25">
      <c r="A96" s="179"/>
      <c r="B96" s="180"/>
      <c r="C96" s="175"/>
      <c r="D96" s="176"/>
      <c r="E96" s="177"/>
      <c r="F96" s="5">
        <v>298</v>
      </c>
    </row>
    <row r="97" spans="1:6" x14ac:dyDescent="0.25">
      <c r="A97" s="179"/>
      <c r="B97" s="180"/>
      <c r="C97" s="175"/>
      <c r="D97" s="176">
        <v>301</v>
      </c>
      <c r="E97" s="177">
        <v>301</v>
      </c>
      <c r="F97" s="5">
        <v>301</v>
      </c>
    </row>
    <row r="98" spans="1:6" x14ac:dyDescent="0.25">
      <c r="A98" s="179"/>
      <c r="B98" s="180"/>
      <c r="C98" s="175"/>
      <c r="D98" s="176"/>
      <c r="E98" s="177"/>
      <c r="F98" s="5">
        <v>305</v>
      </c>
    </row>
    <row r="99" spans="1:6" x14ac:dyDescent="0.25">
      <c r="A99" s="179"/>
      <c r="B99" s="180"/>
      <c r="C99" s="175"/>
      <c r="D99" s="176"/>
      <c r="E99" s="177">
        <v>309</v>
      </c>
      <c r="F99" s="5">
        <v>309</v>
      </c>
    </row>
    <row r="100" spans="1:6" x14ac:dyDescent="0.25">
      <c r="A100" s="179"/>
      <c r="B100" s="180"/>
      <c r="C100" s="175"/>
      <c r="D100" s="176"/>
      <c r="E100" s="177"/>
      <c r="F100" s="5">
        <v>312</v>
      </c>
    </row>
    <row r="101" spans="1:6" x14ac:dyDescent="0.25">
      <c r="A101" s="179">
        <v>330</v>
      </c>
      <c r="B101" s="180">
        <v>330</v>
      </c>
      <c r="C101" s="175">
        <v>330</v>
      </c>
      <c r="D101" s="176">
        <v>316</v>
      </c>
      <c r="E101" s="177">
        <v>316</v>
      </c>
      <c r="F101" s="5">
        <v>316</v>
      </c>
    </row>
    <row r="102" spans="1:6" x14ac:dyDescent="0.25">
      <c r="A102" s="179"/>
      <c r="B102" s="180"/>
      <c r="C102" s="175"/>
      <c r="D102" s="176"/>
      <c r="E102" s="177"/>
      <c r="F102" s="5">
        <v>320</v>
      </c>
    </row>
    <row r="103" spans="1:6" x14ac:dyDescent="0.25">
      <c r="A103" s="179"/>
      <c r="B103" s="180"/>
      <c r="C103" s="175"/>
      <c r="D103" s="176"/>
      <c r="E103" s="177">
        <v>324</v>
      </c>
      <c r="F103" s="5">
        <v>324</v>
      </c>
    </row>
    <row r="104" spans="1:6" x14ac:dyDescent="0.25">
      <c r="A104" s="179"/>
      <c r="B104" s="180"/>
      <c r="C104" s="175"/>
      <c r="D104" s="176"/>
      <c r="E104" s="177"/>
      <c r="F104" s="5">
        <v>328</v>
      </c>
    </row>
    <row r="105" spans="1:6" x14ac:dyDescent="0.25">
      <c r="A105" s="179"/>
      <c r="B105" s="180"/>
      <c r="C105" s="175"/>
      <c r="D105" s="176">
        <v>332</v>
      </c>
      <c r="E105" s="177">
        <v>332</v>
      </c>
      <c r="F105" s="5">
        <v>332</v>
      </c>
    </row>
    <row r="106" spans="1:6" x14ac:dyDescent="0.25">
      <c r="A106" s="179"/>
      <c r="B106" s="180"/>
      <c r="C106" s="175"/>
      <c r="D106" s="176"/>
      <c r="E106" s="177"/>
      <c r="F106" s="5">
        <v>336</v>
      </c>
    </row>
    <row r="107" spans="1:6" x14ac:dyDescent="0.25">
      <c r="A107" s="179"/>
      <c r="B107" s="180"/>
      <c r="C107" s="175"/>
      <c r="D107" s="176"/>
      <c r="E107" s="177">
        <v>340</v>
      </c>
      <c r="F107" s="5">
        <v>340</v>
      </c>
    </row>
    <row r="108" spans="1:6" x14ac:dyDescent="0.25">
      <c r="A108" s="179"/>
      <c r="B108" s="180"/>
      <c r="C108" s="175"/>
      <c r="D108" s="176"/>
      <c r="E108" s="177"/>
      <c r="F108" s="5">
        <v>344</v>
      </c>
    </row>
    <row r="109" spans="1:6" x14ac:dyDescent="0.25">
      <c r="A109" s="179"/>
      <c r="B109" s="180"/>
      <c r="C109" s="175">
        <v>360</v>
      </c>
      <c r="D109" s="176">
        <v>348</v>
      </c>
      <c r="E109" s="177">
        <v>348</v>
      </c>
      <c r="F109" s="5">
        <v>348</v>
      </c>
    </row>
    <row r="110" spans="1:6" x14ac:dyDescent="0.25">
      <c r="A110" s="179"/>
      <c r="B110" s="180"/>
      <c r="C110" s="175"/>
      <c r="D110" s="176"/>
      <c r="E110" s="177"/>
      <c r="F110" s="5">
        <v>352</v>
      </c>
    </row>
    <row r="111" spans="1:6" x14ac:dyDescent="0.25">
      <c r="A111" s="179"/>
      <c r="B111" s="180"/>
      <c r="C111" s="175"/>
      <c r="D111" s="176"/>
      <c r="E111" s="177">
        <v>357</v>
      </c>
      <c r="F111" s="5">
        <v>357</v>
      </c>
    </row>
    <row r="112" spans="1:6" x14ac:dyDescent="0.25">
      <c r="A112" s="179"/>
      <c r="B112" s="180"/>
      <c r="C112" s="175"/>
      <c r="D112" s="176"/>
      <c r="E112" s="177"/>
      <c r="F112" s="5">
        <v>361</v>
      </c>
    </row>
    <row r="113" spans="1:6" x14ac:dyDescent="0.25">
      <c r="A113" s="179"/>
      <c r="B113" s="180"/>
      <c r="C113" s="175"/>
      <c r="D113" s="176">
        <v>365</v>
      </c>
      <c r="E113" s="177">
        <v>365</v>
      </c>
      <c r="F113" s="5">
        <v>365</v>
      </c>
    </row>
    <row r="114" spans="1:6" x14ac:dyDescent="0.25">
      <c r="A114" s="179"/>
      <c r="B114" s="180"/>
      <c r="C114" s="175"/>
      <c r="D114" s="176"/>
      <c r="E114" s="177"/>
      <c r="F114" s="5">
        <v>370</v>
      </c>
    </row>
    <row r="115" spans="1:6" x14ac:dyDescent="0.25">
      <c r="A115" s="179"/>
      <c r="B115" s="180"/>
      <c r="C115" s="175"/>
      <c r="D115" s="176"/>
      <c r="E115" s="177">
        <v>374</v>
      </c>
      <c r="F115" s="5">
        <v>374</v>
      </c>
    </row>
    <row r="116" spans="1:6" x14ac:dyDescent="0.25">
      <c r="A116" s="179"/>
      <c r="B116" s="180"/>
      <c r="C116" s="175"/>
      <c r="D116" s="176"/>
      <c r="E116" s="177"/>
      <c r="F116" s="5">
        <v>379</v>
      </c>
    </row>
    <row r="117" spans="1:6" x14ac:dyDescent="0.25">
      <c r="A117" s="179"/>
      <c r="B117" s="180">
        <v>390</v>
      </c>
      <c r="C117" s="175">
        <v>390</v>
      </c>
      <c r="D117" s="176">
        <v>383</v>
      </c>
      <c r="E117" s="177">
        <v>383</v>
      </c>
      <c r="F117" s="5">
        <v>383</v>
      </c>
    </row>
    <row r="118" spans="1:6" x14ac:dyDescent="0.25">
      <c r="A118" s="179"/>
      <c r="B118" s="180"/>
      <c r="C118" s="175"/>
      <c r="D118" s="176"/>
      <c r="E118" s="177"/>
      <c r="F118" s="5">
        <v>388</v>
      </c>
    </row>
    <row r="119" spans="1:6" x14ac:dyDescent="0.25">
      <c r="A119" s="179"/>
      <c r="B119" s="180"/>
      <c r="C119" s="175"/>
      <c r="D119" s="176"/>
      <c r="E119" s="177">
        <v>392</v>
      </c>
      <c r="F119" s="5">
        <v>392</v>
      </c>
    </row>
    <row r="120" spans="1:6" x14ac:dyDescent="0.25">
      <c r="A120" s="179"/>
      <c r="B120" s="180"/>
      <c r="C120" s="175"/>
      <c r="D120" s="176"/>
      <c r="E120" s="177"/>
      <c r="F120" s="5">
        <v>397</v>
      </c>
    </row>
    <row r="121" spans="1:6" x14ac:dyDescent="0.25">
      <c r="A121" s="179"/>
      <c r="B121" s="180"/>
      <c r="C121" s="175"/>
      <c r="D121" s="176">
        <v>402</v>
      </c>
      <c r="E121" s="177">
        <v>402</v>
      </c>
      <c r="F121" s="5">
        <v>402</v>
      </c>
    </row>
    <row r="122" spans="1:6" x14ac:dyDescent="0.25">
      <c r="A122" s="179"/>
      <c r="B122" s="180"/>
      <c r="C122" s="175"/>
      <c r="D122" s="176"/>
      <c r="E122" s="177"/>
      <c r="F122" s="5">
        <v>407</v>
      </c>
    </row>
    <row r="123" spans="1:6" x14ac:dyDescent="0.25">
      <c r="A123" s="179"/>
      <c r="B123" s="180"/>
      <c r="C123" s="175"/>
      <c r="D123" s="176"/>
      <c r="E123" s="177">
        <v>412</v>
      </c>
      <c r="F123" s="5">
        <v>412</v>
      </c>
    </row>
    <row r="124" spans="1:6" x14ac:dyDescent="0.25">
      <c r="A124" s="179"/>
      <c r="B124" s="180"/>
      <c r="C124" s="175"/>
      <c r="D124" s="176"/>
      <c r="E124" s="177"/>
      <c r="F124" s="5">
        <v>417</v>
      </c>
    </row>
    <row r="125" spans="1:6" x14ac:dyDescent="0.25">
      <c r="A125" s="179"/>
      <c r="B125" s="180"/>
      <c r="C125" s="175">
        <v>430</v>
      </c>
      <c r="D125" s="176">
        <v>422</v>
      </c>
      <c r="E125" s="177">
        <v>422</v>
      </c>
      <c r="F125" s="5">
        <v>422</v>
      </c>
    </row>
    <row r="126" spans="1:6" x14ac:dyDescent="0.25">
      <c r="A126" s="179"/>
      <c r="B126" s="180"/>
      <c r="C126" s="175"/>
      <c r="D126" s="176"/>
      <c r="E126" s="177"/>
      <c r="F126" s="5">
        <v>427</v>
      </c>
    </row>
    <row r="127" spans="1:6" x14ac:dyDescent="0.25">
      <c r="A127" s="179"/>
      <c r="B127" s="180"/>
      <c r="C127" s="175"/>
      <c r="D127" s="176"/>
      <c r="E127" s="177">
        <v>432</v>
      </c>
      <c r="F127" s="5">
        <v>432</v>
      </c>
    </row>
    <row r="128" spans="1:6" x14ac:dyDescent="0.25">
      <c r="A128" s="179"/>
      <c r="B128" s="180"/>
      <c r="C128" s="175"/>
      <c r="D128" s="176"/>
      <c r="E128" s="177"/>
      <c r="F128" s="5">
        <v>437</v>
      </c>
    </row>
    <row r="129" spans="1:6" x14ac:dyDescent="0.25">
      <c r="A129" s="179"/>
      <c r="B129" s="180"/>
      <c r="C129" s="175"/>
      <c r="D129" s="176">
        <v>442</v>
      </c>
      <c r="E129" s="177">
        <v>442</v>
      </c>
      <c r="F129" s="5">
        <v>442</v>
      </c>
    </row>
    <row r="130" spans="1:6" x14ac:dyDescent="0.25">
      <c r="A130" s="179"/>
      <c r="B130" s="180"/>
      <c r="C130" s="175"/>
      <c r="D130" s="176"/>
      <c r="E130" s="177"/>
      <c r="F130" s="5">
        <v>448</v>
      </c>
    </row>
    <row r="131" spans="1:6" x14ac:dyDescent="0.25">
      <c r="A131" s="179"/>
      <c r="B131" s="180"/>
      <c r="C131" s="175"/>
      <c r="D131" s="176"/>
      <c r="E131" s="177">
        <v>453</v>
      </c>
      <c r="F131" s="5">
        <v>453</v>
      </c>
    </row>
    <row r="132" spans="1:6" x14ac:dyDescent="0.25">
      <c r="A132" s="179"/>
      <c r="B132" s="180"/>
      <c r="C132" s="175"/>
      <c r="D132" s="176"/>
      <c r="E132" s="177"/>
      <c r="F132" s="5">
        <v>459</v>
      </c>
    </row>
    <row r="133" spans="1:6" x14ac:dyDescent="0.25">
      <c r="A133" s="179">
        <v>470</v>
      </c>
      <c r="B133" s="180">
        <v>470</v>
      </c>
      <c r="C133" s="175">
        <v>470</v>
      </c>
      <c r="D133" s="176">
        <v>464</v>
      </c>
      <c r="E133" s="177">
        <v>464</v>
      </c>
      <c r="F133" s="5">
        <v>464</v>
      </c>
    </row>
    <row r="134" spans="1:6" x14ac:dyDescent="0.25">
      <c r="A134" s="179"/>
      <c r="B134" s="180"/>
      <c r="C134" s="175"/>
      <c r="D134" s="176"/>
      <c r="E134" s="177"/>
      <c r="F134" s="5">
        <v>470</v>
      </c>
    </row>
    <row r="135" spans="1:6" x14ac:dyDescent="0.25">
      <c r="A135" s="179"/>
      <c r="B135" s="180"/>
      <c r="C135" s="175"/>
      <c r="D135" s="176"/>
      <c r="E135" s="177">
        <v>475</v>
      </c>
      <c r="F135" s="5">
        <v>475</v>
      </c>
    </row>
    <row r="136" spans="1:6" x14ac:dyDescent="0.25">
      <c r="A136" s="179"/>
      <c r="B136" s="180"/>
      <c r="C136" s="175"/>
      <c r="D136" s="176"/>
      <c r="E136" s="177"/>
      <c r="F136" s="5">
        <v>481</v>
      </c>
    </row>
    <row r="137" spans="1:6" x14ac:dyDescent="0.25">
      <c r="A137" s="179"/>
      <c r="B137" s="180"/>
      <c r="C137" s="175"/>
      <c r="D137" s="176">
        <v>487</v>
      </c>
      <c r="E137" s="177">
        <v>487</v>
      </c>
      <c r="F137" s="5">
        <v>487</v>
      </c>
    </row>
    <row r="138" spans="1:6" x14ac:dyDescent="0.25">
      <c r="A138" s="179"/>
      <c r="B138" s="180"/>
      <c r="C138" s="175"/>
      <c r="D138" s="176"/>
      <c r="E138" s="177"/>
      <c r="F138" s="5">
        <v>493</v>
      </c>
    </row>
    <row r="139" spans="1:6" x14ac:dyDescent="0.25">
      <c r="A139" s="179"/>
      <c r="B139" s="180"/>
      <c r="C139" s="175"/>
      <c r="D139" s="176"/>
      <c r="E139" s="177">
        <v>499</v>
      </c>
      <c r="F139" s="5">
        <v>499</v>
      </c>
    </row>
    <row r="140" spans="1:6" x14ac:dyDescent="0.25">
      <c r="A140" s="179"/>
      <c r="B140" s="180"/>
      <c r="C140" s="175"/>
      <c r="D140" s="176"/>
      <c r="E140" s="177"/>
      <c r="F140" s="5">
        <v>505</v>
      </c>
    </row>
    <row r="141" spans="1:6" x14ac:dyDescent="0.25">
      <c r="A141" s="179"/>
      <c r="B141" s="180"/>
      <c r="C141" s="175">
        <v>510</v>
      </c>
      <c r="D141" s="176">
        <v>511</v>
      </c>
      <c r="E141" s="177">
        <v>511</v>
      </c>
      <c r="F141" s="5">
        <v>511</v>
      </c>
    </row>
    <row r="142" spans="1:6" x14ac:dyDescent="0.25">
      <c r="A142" s="179"/>
      <c r="B142" s="180"/>
      <c r="C142" s="175"/>
      <c r="D142" s="176"/>
      <c r="E142" s="177"/>
      <c r="F142" s="5">
        <v>517</v>
      </c>
    </row>
    <row r="143" spans="1:6" x14ac:dyDescent="0.25">
      <c r="A143" s="179"/>
      <c r="B143" s="180"/>
      <c r="C143" s="175"/>
      <c r="D143" s="176"/>
      <c r="E143" s="177">
        <v>523</v>
      </c>
      <c r="F143" s="5">
        <v>523</v>
      </c>
    </row>
    <row r="144" spans="1:6" x14ac:dyDescent="0.25">
      <c r="A144" s="179"/>
      <c r="B144" s="180"/>
      <c r="C144" s="175"/>
      <c r="D144" s="176"/>
      <c r="E144" s="177"/>
      <c r="F144" s="5">
        <v>530</v>
      </c>
    </row>
    <row r="145" spans="1:6" x14ac:dyDescent="0.25">
      <c r="A145" s="179"/>
      <c r="B145" s="180"/>
      <c r="C145" s="175"/>
      <c r="D145" s="176">
        <v>536</v>
      </c>
      <c r="E145" s="177">
        <v>536</v>
      </c>
      <c r="F145" s="5">
        <v>536</v>
      </c>
    </row>
    <row r="146" spans="1:6" x14ac:dyDescent="0.25">
      <c r="A146" s="179"/>
      <c r="B146" s="180"/>
      <c r="C146" s="175"/>
      <c r="D146" s="176"/>
      <c r="E146" s="177"/>
      <c r="F146" s="5">
        <v>542</v>
      </c>
    </row>
    <row r="147" spans="1:6" x14ac:dyDescent="0.25">
      <c r="A147" s="179"/>
      <c r="B147" s="180"/>
      <c r="C147" s="175"/>
      <c r="D147" s="176"/>
      <c r="E147" s="177">
        <v>549</v>
      </c>
      <c r="F147" s="5">
        <v>549</v>
      </c>
    </row>
    <row r="148" spans="1:6" x14ac:dyDescent="0.25">
      <c r="A148" s="179"/>
      <c r="B148" s="180"/>
      <c r="C148" s="175"/>
      <c r="D148" s="176"/>
      <c r="E148" s="177"/>
      <c r="F148" s="5">
        <v>556</v>
      </c>
    </row>
    <row r="149" spans="1:6" x14ac:dyDescent="0.25">
      <c r="A149" s="179"/>
      <c r="B149" s="180">
        <v>560</v>
      </c>
      <c r="C149" s="175">
        <v>560</v>
      </c>
      <c r="D149" s="176">
        <v>562</v>
      </c>
      <c r="E149" s="177">
        <v>562</v>
      </c>
      <c r="F149" s="5">
        <v>562</v>
      </c>
    </row>
    <row r="150" spans="1:6" x14ac:dyDescent="0.25">
      <c r="A150" s="179"/>
      <c r="B150" s="180"/>
      <c r="C150" s="175"/>
      <c r="D150" s="176"/>
      <c r="E150" s="177"/>
      <c r="F150" s="5">
        <v>569</v>
      </c>
    </row>
    <row r="151" spans="1:6" x14ac:dyDescent="0.25">
      <c r="A151" s="179"/>
      <c r="B151" s="180"/>
      <c r="C151" s="175"/>
      <c r="D151" s="176"/>
      <c r="E151" s="177">
        <v>576</v>
      </c>
      <c r="F151" s="5">
        <v>576</v>
      </c>
    </row>
    <row r="152" spans="1:6" x14ac:dyDescent="0.25">
      <c r="A152" s="179"/>
      <c r="B152" s="180"/>
      <c r="C152" s="175"/>
      <c r="D152" s="176"/>
      <c r="E152" s="177"/>
      <c r="F152" s="5">
        <v>583</v>
      </c>
    </row>
    <row r="153" spans="1:6" x14ac:dyDescent="0.25">
      <c r="A153" s="179"/>
      <c r="B153" s="180"/>
      <c r="C153" s="175"/>
      <c r="D153" s="176">
        <v>590</v>
      </c>
      <c r="E153" s="177">
        <v>590</v>
      </c>
      <c r="F153" s="5">
        <v>590</v>
      </c>
    </row>
    <row r="154" spans="1:6" x14ac:dyDescent="0.25">
      <c r="A154" s="179"/>
      <c r="B154" s="180"/>
      <c r="C154" s="175"/>
      <c r="D154" s="176"/>
      <c r="E154" s="177"/>
      <c r="F154" s="5">
        <v>597</v>
      </c>
    </row>
    <row r="155" spans="1:6" x14ac:dyDescent="0.25">
      <c r="A155" s="179"/>
      <c r="B155" s="180"/>
      <c r="C155" s="175"/>
      <c r="D155" s="176"/>
      <c r="E155" s="177">
        <v>604</v>
      </c>
      <c r="F155" s="5">
        <v>604</v>
      </c>
    </row>
    <row r="156" spans="1:6" x14ac:dyDescent="0.25">
      <c r="A156" s="179"/>
      <c r="B156" s="180"/>
      <c r="C156" s="175"/>
      <c r="D156" s="176"/>
      <c r="E156" s="177"/>
      <c r="F156" s="5">
        <v>612</v>
      </c>
    </row>
    <row r="157" spans="1:6" x14ac:dyDescent="0.25">
      <c r="A157" s="179"/>
      <c r="B157" s="180"/>
      <c r="C157" s="175">
        <v>620</v>
      </c>
      <c r="D157" s="176">
        <v>619</v>
      </c>
      <c r="E157" s="177">
        <v>619</v>
      </c>
      <c r="F157" s="5">
        <v>619</v>
      </c>
    </row>
    <row r="158" spans="1:6" x14ac:dyDescent="0.25">
      <c r="A158" s="179"/>
      <c r="B158" s="180"/>
      <c r="C158" s="175"/>
      <c r="D158" s="176"/>
      <c r="E158" s="177"/>
      <c r="F158" s="5">
        <v>626</v>
      </c>
    </row>
    <row r="159" spans="1:6" x14ac:dyDescent="0.25">
      <c r="A159" s="179"/>
      <c r="B159" s="180"/>
      <c r="C159" s="175"/>
      <c r="D159" s="176"/>
      <c r="E159" s="177">
        <v>634</v>
      </c>
      <c r="F159" s="5">
        <v>634</v>
      </c>
    </row>
    <row r="160" spans="1:6" x14ac:dyDescent="0.25">
      <c r="A160" s="179"/>
      <c r="B160" s="180"/>
      <c r="C160" s="175"/>
      <c r="D160" s="176"/>
      <c r="E160" s="177"/>
      <c r="F160" s="5">
        <v>642</v>
      </c>
    </row>
    <row r="161" spans="1:6" x14ac:dyDescent="0.25">
      <c r="A161" s="179"/>
      <c r="B161" s="180"/>
      <c r="C161" s="175"/>
      <c r="D161" s="176">
        <v>649</v>
      </c>
      <c r="E161" s="177">
        <v>649</v>
      </c>
      <c r="F161" s="5">
        <v>649</v>
      </c>
    </row>
    <row r="162" spans="1:6" x14ac:dyDescent="0.25">
      <c r="A162" s="179"/>
      <c r="B162" s="180"/>
      <c r="C162" s="175"/>
      <c r="D162" s="176"/>
      <c r="E162" s="177"/>
      <c r="F162" s="5">
        <v>657</v>
      </c>
    </row>
    <row r="163" spans="1:6" x14ac:dyDescent="0.25">
      <c r="A163" s="179"/>
      <c r="B163" s="180"/>
      <c r="C163" s="175"/>
      <c r="D163" s="176"/>
      <c r="E163" s="177">
        <v>665</v>
      </c>
      <c r="F163" s="5">
        <v>665</v>
      </c>
    </row>
    <row r="164" spans="1:6" x14ac:dyDescent="0.25">
      <c r="A164" s="179"/>
      <c r="B164" s="180"/>
      <c r="C164" s="175"/>
      <c r="D164" s="176"/>
      <c r="E164" s="177"/>
      <c r="F164" s="5">
        <v>673</v>
      </c>
    </row>
    <row r="165" spans="1:6" x14ac:dyDescent="0.25">
      <c r="A165" s="179">
        <v>680</v>
      </c>
      <c r="B165" s="180">
        <v>680</v>
      </c>
      <c r="C165" s="175">
        <v>680</v>
      </c>
      <c r="D165" s="176">
        <v>681</v>
      </c>
      <c r="E165" s="177">
        <v>681</v>
      </c>
      <c r="F165" s="5">
        <v>681</v>
      </c>
    </row>
    <row r="166" spans="1:6" x14ac:dyDescent="0.25">
      <c r="A166" s="179"/>
      <c r="B166" s="180"/>
      <c r="C166" s="175"/>
      <c r="D166" s="176"/>
      <c r="E166" s="177"/>
      <c r="F166" s="5">
        <v>690</v>
      </c>
    </row>
    <row r="167" spans="1:6" x14ac:dyDescent="0.25">
      <c r="A167" s="179"/>
      <c r="B167" s="180"/>
      <c r="C167" s="175"/>
      <c r="D167" s="176"/>
      <c r="E167" s="177">
        <v>698</v>
      </c>
      <c r="F167" s="5">
        <v>698</v>
      </c>
    </row>
    <row r="168" spans="1:6" x14ac:dyDescent="0.25">
      <c r="A168" s="179"/>
      <c r="B168" s="180"/>
      <c r="C168" s="175"/>
      <c r="D168" s="176"/>
      <c r="E168" s="177"/>
      <c r="F168" s="5">
        <v>706</v>
      </c>
    </row>
    <row r="169" spans="1:6" x14ac:dyDescent="0.25">
      <c r="A169" s="179"/>
      <c r="B169" s="180"/>
      <c r="C169" s="175"/>
      <c r="D169" s="176">
        <v>715</v>
      </c>
      <c r="E169" s="177">
        <v>715</v>
      </c>
      <c r="F169" s="5">
        <v>715</v>
      </c>
    </row>
    <row r="170" spans="1:6" x14ac:dyDescent="0.25">
      <c r="A170" s="179"/>
      <c r="B170" s="180"/>
      <c r="C170" s="175"/>
      <c r="D170" s="176"/>
      <c r="E170" s="177"/>
      <c r="F170" s="5">
        <v>723</v>
      </c>
    </row>
    <row r="171" spans="1:6" x14ac:dyDescent="0.25">
      <c r="A171" s="179"/>
      <c r="B171" s="180"/>
      <c r="C171" s="175"/>
      <c r="D171" s="176"/>
      <c r="E171" s="177">
        <v>732</v>
      </c>
      <c r="F171" s="5">
        <v>732</v>
      </c>
    </row>
    <row r="172" spans="1:6" x14ac:dyDescent="0.25">
      <c r="A172" s="179"/>
      <c r="B172" s="180"/>
      <c r="C172" s="175"/>
      <c r="D172" s="176"/>
      <c r="E172" s="177"/>
      <c r="F172" s="5">
        <v>741</v>
      </c>
    </row>
    <row r="173" spans="1:6" x14ac:dyDescent="0.25">
      <c r="A173" s="179"/>
      <c r="B173" s="180"/>
      <c r="C173" s="175">
        <v>750</v>
      </c>
      <c r="D173" s="176">
        <v>750</v>
      </c>
      <c r="E173" s="177">
        <v>750</v>
      </c>
      <c r="F173" s="5">
        <v>750</v>
      </c>
    </row>
    <row r="174" spans="1:6" x14ac:dyDescent="0.25">
      <c r="A174" s="179"/>
      <c r="B174" s="180"/>
      <c r="C174" s="175"/>
      <c r="D174" s="176"/>
      <c r="E174" s="177"/>
      <c r="F174" s="5">
        <v>759</v>
      </c>
    </row>
    <row r="175" spans="1:6" x14ac:dyDescent="0.25">
      <c r="A175" s="179"/>
      <c r="B175" s="180"/>
      <c r="C175" s="175"/>
      <c r="D175" s="176"/>
      <c r="E175" s="177">
        <v>768</v>
      </c>
      <c r="F175" s="5">
        <v>768</v>
      </c>
    </row>
    <row r="176" spans="1:6" x14ac:dyDescent="0.25">
      <c r="A176" s="179"/>
      <c r="B176" s="180"/>
      <c r="C176" s="175"/>
      <c r="D176" s="176"/>
      <c r="E176" s="177"/>
      <c r="F176" s="5">
        <v>777</v>
      </c>
    </row>
    <row r="177" spans="1:6" x14ac:dyDescent="0.25">
      <c r="A177" s="179"/>
      <c r="B177" s="180"/>
      <c r="C177" s="175"/>
      <c r="D177" s="176">
        <v>787</v>
      </c>
      <c r="E177" s="177">
        <v>787</v>
      </c>
      <c r="F177" s="5">
        <v>787</v>
      </c>
    </row>
    <row r="178" spans="1:6" x14ac:dyDescent="0.25">
      <c r="A178" s="179"/>
      <c r="B178" s="180"/>
      <c r="C178" s="175"/>
      <c r="D178" s="176"/>
      <c r="E178" s="177"/>
      <c r="F178" s="5">
        <v>796</v>
      </c>
    </row>
    <row r="179" spans="1:6" x14ac:dyDescent="0.25">
      <c r="A179" s="179"/>
      <c r="B179" s="180"/>
      <c r="C179" s="175"/>
      <c r="D179" s="176"/>
      <c r="E179" s="177">
        <v>806</v>
      </c>
      <c r="F179" s="5">
        <v>806</v>
      </c>
    </row>
    <row r="180" spans="1:6" x14ac:dyDescent="0.25">
      <c r="A180" s="179"/>
      <c r="B180" s="180"/>
      <c r="C180" s="175"/>
      <c r="D180" s="176"/>
      <c r="E180" s="177"/>
      <c r="F180" s="5">
        <v>816</v>
      </c>
    </row>
    <row r="181" spans="1:6" x14ac:dyDescent="0.25">
      <c r="A181" s="179"/>
      <c r="B181" s="180">
        <v>820</v>
      </c>
      <c r="C181" s="175">
        <v>820</v>
      </c>
      <c r="D181" s="176">
        <v>825</v>
      </c>
      <c r="E181" s="177">
        <v>825</v>
      </c>
      <c r="F181" s="5">
        <v>825</v>
      </c>
    </row>
    <row r="182" spans="1:6" x14ac:dyDescent="0.25">
      <c r="A182" s="179"/>
      <c r="B182" s="180"/>
      <c r="C182" s="175"/>
      <c r="D182" s="176"/>
      <c r="E182" s="177"/>
      <c r="F182" s="5">
        <v>835</v>
      </c>
    </row>
    <row r="183" spans="1:6" x14ac:dyDescent="0.25">
      <c r="A183" s="179"/>
      <c r="B183" s="180"/>
      <c r="C183" s="175"/>
      <c r="D183" s="176"/>
      <c r="E183" s="177">
        <v>845</v>
      </c>
      <c r="F183" s="5">
        <v>845</v>
      </c>
    </row>
    <row r="184" spans="1:6" x14ac:dyDescent="0.25">
      <c r="A184" s="179"/>
      <c r="B184" s="180"/>
      <c r="C184" s="175"/>
      <c r="D184" s="176"/>
      <c r="E184" s="177"/>
      <c r="F184" s="5">
        <v>856</v>
      </c>
    </row>
    <row r="185" spans="1:6" x14ac:dyDescent="0.25">
      <c r="A185" s="179"/>
      <c r="B185" s="180"/>
      <c r="C185" s="175"/>
      <c r="D185" s="176">
        <v>866</v>
      </c>
      <c r="E185" s="177">
        <v>866</v>
      </c>
      <c r="F185" s="5">
        <v>866</v>
      </c>
    </row>
    <row r="186" spans="1:6" x14ac:dyDescent="0.25">
      <c r="A186" s="179"/>
      <c r="B186" s="180"/>
      <c r="C186" s="175"/>
      <c r="D186" s="176"/>
      <c r="E186" s="177"/>
      <c r="F186" s="5">
        <v>876</v>
      </c>
    </row>
    <row r="187" spans="1:6" x14ac:dyDescent="0.25">
      <c r="A187" s="179"/>
      <c r="B187" s="180"/>
      <c r="C187" s="175"/>
      <c r="D187" s="176"/>
      <c r="E187" s="177">
        <v>887</v>
      </c>
      <c r="F187" s="5">
        <v>887</v>
      </c>
    </row>
    <row r="188" spans="1:6" x14ac:dyDescent="0.25">
      <c r="A188" s="179"/>
      <c r="B188" s="180"/>
      <c r="C188" s="175"/>
      <c r="D188" s="176"/>
      <c r="E188" s="177"/>
      <c r="F188" s="5">
        <v>898</v>
      </c>
    </row>
    <row r="189" spans="1:6" x14ac:dyDescent="0.25">
      <c r="A189" s="179"/>
      <c r="B189" s="180"/>
      <c r="C189" s="175">
        <v>910</v>
      </c>
      <c r="D189" s="176">
        <v>909</v>
      </c>
      <c r="E189" s="177">
        <v>909</v>
      </c>
      <c r="F189" s="5">
        <v>909</v>
      </c>
    </row>
    <row r="190" spans="1:6" x14ac:dyDescent="0.25">
      <c r="A190" s="179"/>
      <c r="B190" s="180"/>
      <c r="C190" s="175"/>
      <c r="D190" s="176"/>
      <c r="E190" s="177"/>
      <c r="F190" s="5">
        <v>920</v>
      </c>
    </row>
    <row r="191" spans="1:6" x14ac:dyDescent="0.25">
      <c r="A191" s="179"/>
      <c r="B191" s="180"/>
      <c r="C191" s="175"/>
      <c r="D191" s="176"/>
      <c r="E191" s="177">
        <v>931</v>
      </c>
      <c r="F191" s="5">
        <v>931</v>
      </c>
    </row>
    <row r="192" spans="1:6" x14ac:dyDescent="0.25">
      <c r="A192" s="179"/>
      <c r="B192" s="180"/>
      <c r="C192" s="175"/>
      <c r="D192" s="176"/>
      <c r="E192" s="177"/>
      <c r="F192" s="5">
        <v>942</v>
      </c>
    </row>
    <row r="193" spans="1:6" x14ac:dyDescent="0.25">
      <c r="A193" s="179"/>
      <c r="B193" s="180"/>
      <c r="C193" s="175"/>
      <c r="D193" s="176">
        <v>953</v>
      </c>
      <c r="E193" s="177">
        <v>953</v>
      </c>
      <c r="F193" s="5">
        <v>953</v>
      </c>
    </row>
    <row r="194" spans="1:6" x14ac:dyDescent="0.25">
      <c r="A194" s="179"/>
      <c r="B194" s="180"/>
      <c r="C194" s="175"/>
      <c r="D194" s="176"/>
      <c r="E194" s="177"/>
      <c r="F194" s="5">
        <v>965</v>
      </c>
    </row>
    <row r="195" spans="1:6" x14ac:dyDescent="0.25">
      <c r="A195" s="179"/>
      <c r="B195" s="180"/>
      <c r="C195" s="175"/>
      <c r="D195" s="176"/>
      <c r="E195" s="177">
        <v>976</v>
      </c>
      <c r="F195" s="5">
        <v>976</v>
      </c>
    </row>
    <row r="196" spans="1:6" x14ac:dyDescent="0.25">
      <c r="A196" s="179"/>
      <c r="B196" s="180"/>
      <c r="C196" s="175"/>
      <c r="D196" s="176"/>
      <c r="E196" s="177"/>
      <c r="F196" s="5">
        <v>988</v>
      </c>
    </row>
  </sheetData>
  <sheetProtection password="8553" sheet="1" objects="1" scenarios="1"/>
  <mergeCells count="187">
    <mergeCell ref="E177:E178"/>
    <mergeCell ref="D189:D192"/>
    <mergeCell ref="E189:E190"/>
    <mergeCell ref="E191:E192"/>
    <mergeCell ref="D193:D196"/>
    <mergeCell ref="E193:E194"/>
    <mergeCell ref="E195:E196"/>
    <mergeCell ref="E179:E180"/>
    <mergeCell ref="B181:B196"/>
    <mergeCell ref="C181:C188"/>
    <mergeCell ref="D181:D184"/>
    <mergeCell ref="E181:E182"/>
    <mergeCell ref="E183:E184"/>
    <mergeCell ref="D185:D188"/>
    <mergeCell ref="E185:E186"/>
    <mergeCell ref="E187:E188"/>
    <mergeCell ref="C189:C196"/>
    <mergeCell ref="A165:A196"/>
    <mergeCell ref="B165:B180"/>
    <mergeCell ref="C165:C172"/>
    <mergeCell ref="D165:D168"/>
    <mergeCell ref="E165:E166"/>
    <mergeCell ref="B149:B164"/>
    <mergeCell ref="C149:C156"/>
    <mergeCell ref="D149:D152"/>
    <mergeCell ref="E149:E150"/>
    <mergeCell ref="E151:E152"/>
    <mergeCell ref="D153:D156"/>
    <mergeCell ref="E153:E154"/>
    <mergeCell ref="E155:E156"/>
    <mergeCell ref="C157:C164"/>
    <mergeCell ref="D157:D160"/>
    <mergeCell ref="E167:E168"/>
    <mergeCell ref="D169:D172"/>
    <mergeCell ref="E169:E170"/>
    <mergeCell ref="E171:E172"/>
    <mergeCell ref="C173:C180"/>
    <mergeCell ref="D173:D176"/>
    <mergeCell ref="E173:E174"/>
    <mergeCell ref="E175:E176"/>
    <mergeCell ref="D177:D180"/>
    <mergeCell ref="D141:D144"/>
    <mergeCell ref="E141:E142"/>
    <mergeCell ref="E143:E144"/>
    <mergeCell ref="D145:D148"/>
    <mergeCell ref="E145:E146"/>
    <mergeCell ref="E147:E148"/>
    <mergeCell ref="A133:A164"/>
    <mergeCell ref="B133:B148"/>
    <mergeCell ref="C133:C140"/>
    <mergeCell ref="D133:D136"/>
    <mergeCell ref="E133:E134"/>
    <mergeCell ref="E135:E136"/>
    <mergeCell ref="D137:D140"/>
    <mergeCell ref="E137:E138"/>
    <mergeCell ref="E139:E140"/>
    <mergeCell ref="C141:C148"/>
    <mergeCell ref="E157:E158"/>
    <mergeCell ref="E159:E160"/>
    <mergeCell ref="D161:D164"/>
    <mergeCell ref="E161:E162"/>
    <mergeCell ref="E163:E164"/>
    <mergeCell ref="E113:E114"/>
    <mergeCell ref="D125:D128"/>
    <mergeCell ref="E125:E126"/>
    <mergeCell ref="E127:E128"/>
    <mergeCell ref="D129:D132"/>
    <mergeCell ref="E129:E130"/>
    <mergeCell ref="E131:E132"/>
    <mergeCell ref="E115:E116"/>
    <mergeCell ref="B117:B132"/>
    <mergeCell ref="C117:C124"/>
    <mergeCell ref="D117:D120"/>
    <mergeCell ref="E117:E118"/>
    <mergeCell ref="E119:E120"/>
    <mergeCell ref="D121:D124"/>
    <mergeCell ref="E121:E122"/>
    <mergeCell ref="E123:E124"/>
    <mergeCell ref="C125:C132"/>
    <mergeCell ref="A101:A132"/>
    <mergeCell ref="B101:B116"/>
    <mergeCell ref="C101:C108"/>
    <mergeCell ref="D101:D104"/>
    <mergeCell ref="E101:E102"/>
    <mergeCell ref="B85:B100"/>
    <mergeCell ref="C85:C92"/>
    <mergeCell ref="D85:D88"/>
    <mergeCell ref="E85:E86"/>
    <mergeCell ref="E87:E88"/>
    <mergeCell ref="D89:D92"/>
    <mergeCell ref="E89:E90"/>
    <mergeCell ref="E91:E92"/>
    <mergeCell ref="C93:C100"/>
    <mergeCell ref="D93:D96"/>
    <mergeCell ref="E103:E104"/>
    <mergeCell ref="D105:D108"/>
    <mergeCell ref="E105:E106"/>
    <mergeCell ref="E107:E108"/>
    <mergeCell ref="C109:C116"/>
    <mergeCell ref="D109:D112"/>
    <mergeCell ref="E109:E110"/>
    <mergeCell ref="E111:E112"/>
    <mergeCell ref="D113:D116"/>
    <mergeCell ref="D77:D80"/>
    <mergeCell ref="E77:E78"/>
    <mergeCell ref="E79:E80"/>
    <mergeCell ref="D81:D84"/>
    <mergeCell ref="E81:E82"/>
    <mergeCell ref="E83:E84"/>
    <mergeCell ref="A69:A100"/>
    <mergeCell ref="B69:B84"/>
    <mergeCell ref="C69:C76"/>
    <mergeCell ref="D69:D72"/>
    <mergeCell ref="E69:E70"/>
    <mergeCell ref="E71:E72"/>
    <mergeCell ref="D73:D76"/>
    <mergeCell ref="E73:E74"/>
    <mergeCell ref="E75:E76"/>
    <mergeCell ref="C77:C84"/>
    <mergeCell ref="E93:E94"/>
    <mergeCell ref="E95:E96"/>
    <mergeCell ref="D97:D100"/>
    <mergeCell ref="E97:E98"/>
    <mergeCell ref="E99:E100"/>
    <mergeCell ref="E49:E50"/>
    <mergeCell ref="D61:D64"/>
    <mergeCell ref="E61:E62"/>
    <mergeCell ref="E63:E64"/>
    <mergeCell ref="D65:D68"/>
    <mergeCell ref="E65:E66"/>
    <mergeCell ref="E67:E68"/>
    <mergeCell ref="E51:E52"/>
    <mergeCell ref="B53:B68"/>
    <mergeCell ref="C53:C60"/>
    <mergeCell ref="D53:D56"/>
    <mergeCell ref="E53:E54"/>
    <mergeCell ref="E55:E56"/>
    <mergeCell ref="D57:D60"/>
    <mergeCell ref="E57:E58"/>
    <mergeCell ref="E59:E60"/>
    <mergeCell ref="C61:C68"/>
    <mergeCell ref="A37:A68"/>
    <mergeCell ref="B37:B52"/>
    <mergeCell ref="C37:C44"/>
    <mergeCell ref="D37:D40"/>
    <mergeCell ref="E37:E38"/>
    <mergeCell ref="B21:B36"/>
    <mergeCell ref="C21:C28"/>
    <mergeCell ref="D21:D24"/>
    <mergeCell ref="E21:E22"/>
    <mergeCell ref="E23:E24"/>
    <mergeCell ref="D25:D28"/>
    <mergeCell ref="E25:E26"/>
    <mergeCell ref="E27:E28"/>
    <mergeCell ref="C29:C36"/>
    <mergeCell ref="D29:D32"/>
    <mergeCell ref="E39:E40"/>
    <mergeCell ref="D41:D44"/>
    <mergeCell ref="E41:E42"/>
    <mergeCell ref="E43:E44"/>
    <mergeCell ref="C45:C52"/>
    <mergeCell ref="D45:D48"/>
    <mergeCell ref="E45:E46"/>
    <mergeCell ref="E47:E48"/>
    <mergeCell ref="D49:D52"/>
    <mergeCell ref="C13:C20"/>
    <mergeCell ref="D13:D16"/>
    <mergeCell ref="E13:E14"/>
    <mergeCell ref="E15:E16"/>
    <mergeCell ref="D17:D20"/>
    <mergeCell ref="E17:E18"/>
    <mergeCell ref="E19:E20"/>
    <mergeCell ref="A1:F1"/>
    <mergeCell ref="A5:A36"/>
    <mergeCell ref="B5:B20"/>
    <mergeCell ref="C5:C12"/>
    <mergeCell ref="D5:D8"/>
    <mergeCell ref="E5:E6"/>
    <mergeCell ref="E7:E8"/>
    <mergeCell ref="D9:D12"/>
    <mergeCell ref="E9:E10"/>
    <mergeCell ref="E11:E12"/>
    <mergeCell ref="E29:E30"/>
    <mergeCell ref="E31:E32"/>
    <mergeCell ref="D33:D36"/>
    <mergeCell ref="E33:E34"/>
    <mergeCell ref="E35:E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002060"/>
  </sheetPr>
  <dimension ref="A1:A27"/>
  <sheetViews>
    <sheetView zoomScale="90" zoomScaleNormal="90" workbookViewId="0">
      <pane ySplit="2" topLeftCell="A3" activePane="bottomLeft" state="frozen"/>
      <selection pane="bottomLeft" activeCell="A12" sqref="A12"/>
    </sheetView>
  </sheetViews>
  <sheetFormatPr defaultRowHeight="15" x14ac:dyDescent="0.25"/>
  <cols>
    <col min="1" max="4" width="9.28515625" bestFit="1" customWidth="1"/>
  </cols>
  <sheetData>
    <row r="1" spans="1:1" ht="31.15" x14ac:dyDescent="0.6">
      <c r="A1" s="10" t="s">
        <v>81</v>
      </c>
    </row>
    <row r="2" spans="1:1" x14ac:dyDescent="0.25">
      <c r="A2" s="6" t="s">
        <v>80</v>
      </c>
    </row>
    <row r="3" spans="1:1" ht="14.45" x14ac:dyDescent="0.3">
      <c r="A3" s="8">
        <v>0.01</v>
      </c>
    </row>
    <row r="4" spans="1:1" ht="14.45" x14ac:dyDescent="0.3">
      <c r="A4" s="8">
        <v>1.4999999999999999E-2</v>
      </c>
    </row>
    <row r="5" spans="1:1" ht="14.45" x14ac:dyDescent="0.3">
      <c r="A5" s="8">
        <v>2.1999999999999999E-2</v>
      </c>
    </row>
    <row r="6" spans="1:1" ht="14.45" x14ac:dyDescent="0.3">
      <c r="A6" s="8">
        <v>3.3000000000000002E-2</v>
      </c>
    </row>
    <row r="7" spans="1:1" ht="14.45" x14ac:dyDescent="0.3">
      <c r="A7" s="8">
        <v>4.7E-2</v>
      </c>
    </row>
    <row r="8" spans="1:1" ht="14.45" x14ac:dyDescent="0.3">
      <c r="A8" s="8">
        <v>6.8000000000000005E-2</v>
      </c>
    </row>
    <row r="9" spans="1:1" ht="14.45" x14ac:dyDescent="0.3">
      <c r="A9" s="9">
        <v>0.1</v>
      </c>
    </row>
    <row r="10" spans="1:1" ht="14.45" x14ac:dyDescent="0.3">
      <c r="A10" s="9">
        <v>0.15</v>
      </c>
    </row>
    <row r="11" spans="1:1" ht="14.45" x14ac:dyDescent="0.3">
      <c r="A11" s="9">
        <v>0.22</v>
      </c>
    </row>
    <row r="12" spans="1:1" ht="14.45" x14ac:dyDescent="0.3">
      <c r="A12" s="9">
        <v>0.33</v>
      </c>
    </row>
    <row r="13" spans="1:1" ht="14.45" x14ac:dyDescent="0.3">
      <c r="A13" s="9">
        <v>0.47</v>
      </c>
    </row>
    <row r="14" spans="1:1" ht="14.45" x14ac:dyDescent="0.3">
      <c r="A14" s="9">
        <v>0.68</v>
      </c>
    </row>
    <row r="15" spans="1:1" ht="14.45" x14ac:dyDescent="0.3">
      <c r="A15" s="9">
        <v>1</v>
      </c>
    </row>
    <row r="16" spans="1:1" ht="14.45" x14ac:dyDescent="0.3">
      <c r="A16" s="9">
        <v>1.5</v>
      </c>
    </row>
    <row r="17" spans="1:1" ht="14.45" x14ac:dyDescent="0.3">
      <c r="A17" s="9">
        <v>2.2000000000000002</v>
      </c>
    </row>
    <row r="18" spans="1:1" ht="14.45" x14ac:dyDescent="0.3">
      <c r="A18" s="9">
        <v>3.3</v>
      </c>
    </row>
    <row r="19" spans="1:1" x14ac:dyDescent="0.25">
      <c r="A19" s="9">
        <v>4.7</v>
      </c>
    </row>
    <row r="20" spans="1:1" x14ac:dyDescent="0.25">
      <c r="A20" s="7">
        <v>6.8</v>
      </c>
    </row>
    <row r="21" spans="1:1" x14ac:dyDescent="0.25">
      <c r="A21" s="7">
        <v>10</v>
      </c>
    </row>
    <row r="22" spans="1:1" x14ac:dyDescent="0.25">
      <c r="A22" s="7">
        <v>15</v>
      </c>
    </row>
    <row r="23" spans="1:1" x14ac:dyDescent="0.25">
      <c r="A23" s="7">
        <v>22</v>
      </c>
    </row>
    <row r="24" spans="1:1" x14ac:dyDescent="0.25">
      <c r="A24" s="11">
        <v>33</v>
      </c>
    </row>
    <row r="25" spans="1:1" x14ac:dyDescent="0.25">
      <c r="A25" s="12">
        <v>47</v>
      </c>
    </row>
    <row r="26" spans="1:1" x14ac:dyDescent="0.25">
      <c r="A26" s="12">
        <v>68</v>
      </c>
    </row>
    <row r="27" spans="1:1" x14ac:dyDescent="0.25">
      <c r="A27" s="12">
        <v>100</v>
      </c>
    </row>
  </sheetData>
  <sheetProtection password="8553"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
  <sheetViews>
    <sheetView workbookViewId="0">
      <selection activeCell="D4" sqref="D4"/>
    </sheetView>
  </sheetViews>
  <sheetFormatPr defaultRowHeight="15" x14ac:dyDescent="0.25"/>
  <cols>
    <col min="1" max="1" width="10" customWidth="1"/>
    <col min="2" max="2" width="14.7109375" customWidth="1"/>
  </cols>
  <sheetData>
    <row r="1" spans="1:6" ht="15.75" customHeight="1" thickBot="1" x14ac:dyDescent="0.3">
      <c r="A1" s="162"/>
      <c r="B1" s="164" t="s">
        <v>232</v>
      </c>
      <c r="C1" s="165" t="s">
        <v>225</v>
      </c>
      <c r="D1" s="165" t="s">
        <v>226</v>
      </c>
      <c r="E1" s="165" t="s">
        <v>227</v>
      </c>
      <c r="F1" s="165" t="s">
        <v>228</v>
      </c>
    </row>
    <row r="2" spans="1:6" ht="15.75" thickBot="1" x14ac:dyDescent="0.3">
      <c r="A2" s="166" t="s">
        <v>231</v>
      </c>
      <c r="B2" s="165"/>
      <c r="C2" s="165"/>
      <c r="D2" s="165"/>
      <c r="E2" s="165"/>
      <c r="F2" s="165"/>
    </row>
    <row r="3" spans="1:6" ht="30.75" customHeight="1" thickBot="1" x14ac:dyDescent="0.3">
      <c r="A3" s="167">
        <v>4.5</v>
      </c>
      <c r="B3" s="168"/>
      <c r="C3" s="168" t="s">
        <v>229</v>
      </c>
      <c r="D3" s="168" t="s">
        <v>229</v>
      </c>
      <c r="E3" s="168" t="s">
        <v>229</v>
      </c>
      <c r="F3" s="168" t="s">
        <v>229</v>
      </c>
    </row>
    <row r="4" spans="1:6" ht="30.75" customHeight="1" thickBot="1" x14ac:dyDescent="0.3">
      <c r="A4" s="167">
        <v>18</v>
      </c>
      <c r="B4" s="168"/>
      <c r="C4" s="168" t="s">
        <v>229</v>
      </c>
      <c r="D4" s="168" t="s">
        <v>229</v>
      </c>
      <c r="E4" s="168" t="s">
        <v>229</v>
      </c>
      <c r="F4" s="168" t="s">
        <v>229</v>
      </c>
    </row>
    <row r="5" spans="1:6" ht="30.75" customHeight="1" thickBot="1" x14ac:dyDescent="0.3">
      <c r="A5" s="167">
        <v>32</v>
      </c>
      <c r="B5" s="168"/>
      <c r="C5" s="168" t="s">
        <v>229</v>
      </c>
      <c r="D5" s="168" t="s">
        <v>229</v>
      </c>
      <c r="E5" s="168" t="s">
        <v>229</v>
      </c>
      <c r="F5" s="168" t="s">
        <v>230</v>
      </c>
    </row>
  </sheetData>
  <sheetProtection password="DD1C"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39</vt:i4>
      </vt:variant>
    </vt:vector>
  </HeadingPairs>
  <TitlesOfParts>
    <vt:vector size="46" baseType="lpstr">
      <vt:lpstr>Instructions</vt:lpstr>
      <vt:lpstr>Typical_App_Circuit</vt:lpstr>
      <vt:lpstr>Calculation Sheet</vt:lpstr>
      <vt:lpstr>Thermal Shutdown Limit Plot</vt:lpstr>
      <vt:lpstr>Res EIA Tables</vt:lpstr>
      <vt:lpstr>Cap Tables</vt:lpstr>
      <vt:lpstr>Max_Cap_charging</vt:lpstr>
      <vt:lpstr>Cdvdt</vt:lpstr>
      <vt:lpstr>Cdvdt_cal1</vt:lpstr>
      <vt:lpstr>Cdvdt_cal2</vt:lpstr>
      <vt:lpstr>Cout</vt:lpstr>
      <vt:lpstr>Gain_dvdt</vt:lpstr>
      <vt:lpstr>Gain_IMON</vt:lpstr>
      <vt:lpstr>I_dvdt</vt:lpstr>
      <vt:lpstr>Icharge</vt:lpstr>
      <vt:lpstr>Ilimit</vt:lpstr>
      <vt:lpstr>Ilimit_final</vt:lpstr>
      <vt:lpstr>Imax</vt:lpstr>
      <vt:lpstr>INRUSH</vt:lpstr>
      <vt:lpstr>OVPref</vt:lpstr>
      <vt:lpstr>OVset</vt:lpstr>
      <vt:lpstr>PGSET</vt:lpstr>
      <vt:lpstr>PGTHF</vt:lpstr>
      <vt:lpstr>PGTHR</vt:lpstr>
      <vt:lpstr>PLIM</vt:lpstr>
      <vt:lpstr>Pload</vt:lpstr>
      <vt:lpstr>Rdson_125deg</vt:lpstr>
      <vt:lpstr>Rdson_25deg</vt:lpstr>
      <vt:lpstr>Rdson_85deg</vt:lpstr>
      <vt:lpstr>Rilim</vt:lpstr>
      <vt:lpstr>RIMON_sel</vt:lpstr>
      <vt:lpstr>RIN</vt:lpstr>
      <vt:lpstr>Rlimit</vt:lpstr>
      <vt:lpstr>RLstart</vt:lpstr>
      <vt:lpstr>ROVP</vt:lpstr>
      <vt:lpstr>RUVLO</vt:lpstr>
      <vt:lpstr>Ta</vt:lpstr>
      <vt:lpstr>Tdvdt</vt:lpstr>
      <vt:lpstr>Tdvdt_default</vt:lpstr>
      <vt:lpstr>Tdvdt_req</vt:lpstr>
      <vt:lpstr>UVLOhys</vt:lpstr>
      <vt:lpstr>UVLOref</vt:lpstr>
      <vt:lpstr>UVset</vt:lpstr>
      <vt:lpstr>Vinmax</vt:lpstr>
      <vt:lpstr>VINmin</vt:lpstr>
      <vt:lpstr>VINnom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a0393740</dc:creator>
  <cp:lastModifiedBy>lucas</cp:lastModifiedBy>
  <cp:lastPrinted>2013-06-05T10:58:25Z</cp:lastPrinted>
  <dcterms:created xsi:type="dcterms:W3CDTF">2013-05-30T14:28:05Z</dcterms:created>
  <dcterms:modified xsi:type="dcterms:W3CDTF">2019-07-18T21:17:23Z</dcterms:modified>
</cp:coreProperties>
</file>