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grus\Documents\Oxford\Engineering\Year 3\3YP\"/>
    </mc:Choice>
  </mc:AlternateContent>
  <xr:revisionPtr revIDLastSave="0" documentId="13_ncr:1_{D616D689-F03B-4268-A3B4-4A4C56FCBE1A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Cash flow simplified " sheetId="2" r:id="rId2"/>
    <sheet name="Discounted Cash Flow (full)" sheetId="3" r:id="rId3"/>
    <sheet name="Discounted Cash Flow (GVEC)" sheetId="4" r:id="rId4"/>
    <sheet name="Percentage costs break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C5" i="3"/>
  <c r="B24" i="1"/>
  <c r="B15" i="1"/>
  <c r="B8" i="2" l="1"/>
  <c r="C8" i="2" s="1"/>
  <c r="D8" i="2" s="1"/>
  <c r="E8" i="2" s="1"/>
  <c r="D17" i="2"/>
  <c r="E17" i="2" s="1"/>
  <c r="C17" i="2"/>
  <c r="S20" i="4"/>
  <c r="U19" i="3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I4" i="5"/>
  <c r="I2" i="5"/>
  <c r="F8" i="2" l="1"/>
  <c r="F17" i="2"/>
  <c r="B16" i="2"/>
  <c r="G8" i="2" l="1"/>
  <c r="G17" i="2"/>
  <c r="C18" i="4"/>
  <c r="D2" i="5"/>
  <c r="C11" i="4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H2" i="1"/>
  <c r="D3" i="5" s="1"/>
  <c r="B4" i="2"/>
  <c r="E4" i="2" s="1"/>
  <c r="E12" i="2" s="1"/>
  <c r="C21" i="5"/>
  <c r="D20" i="5"/>
  <c r="D19" i="5"/>
  <c r="D18" i="5"/>
  <c r="C16" i="2"/>
  <c r="D16" i="2" s="1"/>
  <c r="D4" i="2"/>
  <c r="D12" i="2" s="1"/>
  <c r="D18" i="2" s="1"/>
  <c r="H4" i="2"/>
  <c r="Y3" i="2"/>
  <c r="C15" i="5"/>
  <c r="C14" i="5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4"/>
  <c r="S9" i="4"/>
  <c r="T9" i="4"/>
  <c r="U9" i="4"/>
  <c r="V9" i="4"/>
  <c r="R9" i="3"/>
  <c r="S9" i="3"/>
  <c r="T9" i="3"/>
  <c r="U9" i="3"/>
  <c r="V9" i="3"/>
  <c r="R11" i="3" l="1"/>
  <c r="S11" i="3" s="1"/>
  <c r="T11" i="3" s="1"/>
  <c r="U11" i="3" s="1"/>
  <c r="V11" i="3" s="1"/>
  <c r="C19" i="3"/>
  <c r="C21" i="3" s="1"/>
  <c r="C31" i="3" s="1"/>
  <c r="C33" i="3" s="1"/>
  <c r="B3" i="2"/>
  <c r="C18" i="3"/>
  <c r="B12" i="2"/>
  <c r="B18" i="2" s="1"/>
  <c r="Q19" i="4"/>
  <c r="Q19" i="3"/>
  <c r="P4" i="2"/>
  <c r="O4" i="2"/>
  <c r="H8" i="2"/>
  <c r="H17" i="2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R19" i="4" s="1"/>
  <c r="S19" i="4" s="1"/>
  <c r="T19" i="4" s="1"/>
  <c r="U19" i="4" s="1"/>
  <c r="V19" i="4" s="1"/>
  <c r="V4" i="2"/>
  <c r="N4" i="2"/>
  <c r="U4" i="2"/>
  <c r="J4" i="2"/>
  <c r="T4" i="2"/>
  <c r="I4" i="2"/>
  <c r="S4" i="2"/>
  <c r="M4" i="2"/>
  <c r="G4" i="2"/>
  <c r="G12" i="2" s="1"/>
  <c r="B25" i="2"/>
  <c r="L4" i="2"/>
  <c r="F4" i="2"/>
  <c r="F12" i="2" s="1"/>
  <c r="R4" i="2"/>
  <c r="C4" i="2"/>
  <c r="C12" i="2" s="1"/>
  <c r="C18" i="2" s="1"/>
  <c r="D19" i="2" s="1"/>
  <c r="Q4" i="2"/>
  <c r="K4" i="2"/>
  <c r="E16" i="2"/>
  <c r="E18" i="2" s="1"/>
  <c r="D12" i="3" l="1"/>
  <c r="D12" i="4"/>
  <c r="E19" i="2"/>
  <c r="H12" i="2"/>
  <c r="I8" i="2"/>
  <c r="I17" i="2"/>
  <c r="B23" i="2"/>
  <c r="C23" i="2" s="1"/>
  <c r="D23" i="2" s="1"/>
  <c r="B21" i="2"/>
  <c r="C3" i="3"/>
  <c r="C10" i="3" s="1"/>
  <c r="C21" i="4"/>
  <c r="D4" i="5"/>
  <c r="C3" i="4"/>
  <c r="F16" i="2"/>
  <c r="F18" i="2" s="1"/>
  <c r="F19" i="2" s="1"/>
  <c r="E12" i="3" l="1"/>
  <c r="E12" i="4"/>
  <c r="F12" i="3"/>
  <c r="F12" i="4"/>
  <c r="C6" i="3"/>
  <c r="I12" i="2"/>
  <c r="J8" i="2"/>
  <c r="J17" i="2"/>
  <c r="E23" i="2"/>
  <c r="F23" i="2" s="1"/>
  <c r="D7" i="5"/>
  <c r="E4" i="5" s="1"/>
  <c r="F14" i="5"/>
  <c r="C10" i="4"/>
  <c r="C6" i="4"/>
  <c r="G16" i="2"/>
  <c r="G18" i="2" s="1"/>
  <c r="G19" i="2" s="1"/>
  <c r="C13" i="3"/>
  <c r="D10" i="3"/>
  <c r="G12" i="4" l="1"/>
  <c r="G12" i="3"/>
  <c r="K8" i="2"/>
  <c r="J12" i="2"/>
  <c r="K17" i="2"/>
  <c r="E2" i="5"/>
  <c r="E5" i="5"/>
  <c r="E3" i="5"/>
  <c r="D10" i="4"/>
  <c r="C13" i="4"/>
  <c r="C24" i="4" s="1"/>
  <c r="E10" i="3"/>
  <c r="D13" i="3"/>
  <c r="G23" i="2"/>
  <c r="H16" i="2"/>
  <c r="H18" i="2" s="1"/>
  <c r="H19" i="2" s="1"/>
  <c r="C24" i="3"/>
  <c r="H12" i="4" l="1"/>
  <c r="H12" i="3"/>
  <c r="K12" i="2"/>
  <c r="L8" i="2"/>
  <c r="L17" i="2"/>
  <c r="D24" i="3"/>
  <c r="D13" i="4"/>
  <c r="D24" i="4" s="1"/>
  <c r="E10" i="4"/>
  <c r="H23" i="2"/>
  <c r="I16" i="2"/>
  <c r="I18" i="2" s="1"/>
  <c r="I19" i="2" s="1"/>
  <c r="E13" i="3"/>
  <c r="F10" i="3"/>
  <c r="I12" i="3" l="1"/>
  <c r="I12" i="4"/>
  <c r="M8" i="2"/>
  <c r="L12" i="2"/>
  <c r="M17" i="2"/>
  <c r="F10" i="4"/>
  <c r="E13" i="4"/>
  <c r="E24" i="4" s="1"/>
  <c r="F13" i="3"/>
  <c r="G10" i="3"/>
  <c r="E24" i="3"/>
  <c r="J16" i="2"/>
  <c r="J18" i="2" s="1"/>
  <c r="J19" i="2" s="1"/>
  <c r="I23" i="2"/>
  <c r="J12" i="4" l="1"/>
  <c r="J12" i="3"/>
  <c r="M12" i="2"/>
  <c r="N8" i="2"/>
  <c r="N17" i="2"/>
  <c r="F24" i="3"/>
  <c r="G10" i="4"/>
  <c r="F13" i="4"/>
  <c r="F24" i="4" s="1"/>
  <c r="J23" i="2"/>
  <c r="K16" i="2"/>
  <c r="K18" i="2" s="1"/>
  <c r="K19" i="2" s="1"/>
  <c r="G13" i="3"/>
  <c r="H10" i="3"/>
  <c r="G24" i="3" l="1"/>
  <c r="K12" i="3"/>
  <c r="K12" i="4"/>
  <c r="O8" i="2"/>
  <c r="N12" i="2"/>
  <c r="O17" i="2"/>
  <c r="G13" i="4"/>
  <c r="G24" i="4" s="1"/>
  <c r="H10" i="4"/>
  <c r="I10" i="3"/>
  <c r="H13" i="3"/>
  <c r="H24" i="3" s="1"/>
  <c r="K23" i="2"/>
  <c r="L16" i="2"/>
  <c r="L18" i="2" s="1"/>
  <c r="L19" i="2" s="1"/>
  <c r="L12" i="3" l="1"/>
  <c r="L12" i="4"/>
  <c r="P8" i="2"/>
  <c r="O12" i="2"/>
  <c r="P17" i="2"/>
  <c r="I10" i="4"/>
  <c r="H13" i="4"/>
  <c r="H24" i="4" s="1"/>
  <c r="J10" i="3"/>
  <c r="I13" i="3"/>
  <c r="I24" i="3" s="1"/>
  <c r="M16" i="2"/>
  <c r="M18" i="2" s="1"/>
  <c r="M19" i="2" s="1"/>
  <c r="L23" i="2"/>
  <c r="M12" i="3" l="1"/>
  <c r="M12" i="4"/>
  <c r="Q8" i="2"/>
  <c r="P12" i="2"/>
  <c r="Q17" i="2"/>
  <c r="J10" i="4"/>
  <c r="I13" i="4"/>
  <c r="I24" i="4" s="1"/>
  <c r="N16" i="2"/>
  <c r="N18" i="2" s="1"/>
  <c r="N19" i="2" s="1"/>
  <c r="M23" i="2"/>
  <c r="J13" i="3"/>
  <c r="J24" i="3" s="1"/>
  <c r="K10" i="3"/>
  <c r="N12" i="4" l="1"/>
  <c r="N12" i="3"/>
  <c r="R8" i="2"/>
  <c r="Q12" i="2"/>
  <c r="R17" i="2"/>
  <c r="K10" i="4"/>
  <c r="J13" i="4"/>
  <c r="J24" i="4" s="1"/>
  <c r="O16" i="2"/>
  <c r="O18" i="2" s="1"/>
  <c r="O19" i="2" s="1"/>
  <c r="N23" i="2"/>
  <c r="K13" i="3"/>
  <c r="K24" i="3" s="1"/>
  <c r="L10" i="3"/>
  <c r="O12" i="4" l="1"/>
  <c r="O12" i="3"/>
  <c r="R12" i="2"/>
  <c r="S8" i="2"/>
  <c r="S17" i="2"/>
  <c r="L10" i="4"/>
  <c r="K13" i="4"/>
  <c r="K24" i="4" s="1"/>
  <c r="M10" i="3"/>
  <c r="L13" i="3"/>
  <c r="L24" i="3" s="1"/>
  <c r="P16" i="2"/>
  <c r="P18" i="2" s="1"/>
  <c r="P19" i="2" s="1"/>
  <c r="O23" i="2"/>
  <c r="P12" i="4" l="1"/>
  <c r="P12" i="3"/>
  <c r="S12" i="2"/>
  <c r="T8" i="2"/>
  <c r="T17" i="2"/>
  <c r="L13" i="4"/>
  <c r="L24" i="4" s="1"/>
  <c r="M10" i="4"/>
  <c r="P23" i="2"/>
  <c r="Q16" i="2"/>
  <c r="Q18" i="2" s="1"/>
  <c r="Q19" i="2" s="1"/>
  <c r="M13" i="3"/>
  <c r="M24" i="3" s="1"/>
  <c r="N10" i="3"/>
  <c r="Q12" i="3" l="1"/>
  <c r="Q12" i="4"/>
  <c r="T12" i="2"/>
  <c r="U8" i="2"/>
  <c r="U17" i="2"/>
  <c r="N10" i="4"/>
  <c r="M13" i="4"/>
  <c r="M24" i="4" s="1"/>
  <c r="N13" i="3"/>
  <c r="N24" i="3" s="1"/>
  <c r="O10" i="3"/>
  <c r="Q23" i="2"/>
  <c r="R16" i="2"/>
  <c r="R18" i="2" s="1"/>
  <c r="R19" i="2" s="1"/>
  <c r="R12" i="3" l="1"/>
  <c r="R12" i="4"/>
  <c r="U12" i="2"/>
  <c r="V8" i="2"/>
  <c r="V12" i="2" s="1"/>
  <c r="V17" i="2"/>
  <c r="O10" i="4"/>
  <c r="N13" i="4"/>
  <c r="N24" i="4" s="1"/>
  <c r="R23" i="2"/>
  <c r="S16" i="2"/>
  <c r="S18" i="2" s="1"/>
  <c r="S19" i="2" s="1"/>
  <c r="O13" i="3"/>
  <c r="O24" i="3" s="1"/>
  <c r="P10" i="3"/>
  <c r="S12" i="4" l="1"/>
  <c r="S12" i="3"/>
  <c r="P10" i="4"/>
  <c r="O13" i="4"/>
  <c r="O24" i="4" s="1"/>
  <c r="P13" i="3"/>
  <c r="P24" i="3" s="1"/>
  <c r="Q10" i="3"/>
  <c r="S23" i="2"/>
  <c r="T16" i="2"/>
  <c r="T18" i="2" s="1"/>
  <c r="T19" i="2" s="1"/>
  <c r="T12" i="4" l="1"/>
  <c r="T12" i="3"/>
  <c r="P13" i="4"/>
  <c r="P24" i="4" s="1"/>
  <c r="Q10" i="4"/>
  <c r="R10" i="3"/>
  <c r="Q13" i="3"/>
  <c r="Q24" i="3" s="1"/>
  <c r="T23" i="2"/>
  <c r="U16" i="2"/>
  <c r="U18" i="2" s="1"/>
  <c r="U19" i="2" s="1"/>
  <c r="U12" i="3" l="1"/>
  <c r="U12" i="4"/>
  <c r="R10" i="4"/>
  <c r="Q13" i="4"/>
  <c r="Q24" i="4" s="1"/>
  <c r="R13" i="3"/>
  <c r="R24" i="3" s="1"/>
  <c r="S10" i="3"/>
  <c r="U23" i="2"/>
  <c r="V16" i="2"/>
  <c r="V18" i="2" s="1"/>
  <c r="V19" i="2" s="1"/>
  <c r="V12" i="3" l="1"/>
  <c r="V12" i="4"/>
  <c r="V23" i="2"/>
  <c r="S10" i="4"/>
  <c r="R13" i="4"/>
  <c r="R24" i="4" s="1"/>
  <c r="T10" i="3"/>
  <c r="S13" i="3"/>
  <c r="S24" i="3" s="1"/>
  <c r="T10" i="4" l="1"/>
  <c r="S13" i="4"/>
  <c r="S24" i="4" s="1"/>
  <c r="T13" i="3"/>
  <c r="T24" i="3" s="1"/>
  <c r="U10" i="3"/>
  <c r="U10" i="4" l="1"/>
  <c r="T13" i="4"/>
  <c r="T24" i="4" s="1"/>
  <c r="U13" i="3"/>
  <c r="U24" i="3" s="1"/>
  <c r="V10" i="3"/>
  <c r="V13" i="3" s="1"/>
  <c r="C15" i="3" l="1"/>
  <c r="C28" i="3" s="1"/>
  <c r="C27" i="3" s="1"/>
  <c r="U13" i="4"/>
  <c r="V10" i="4"/>
  <c r="V13" i="4" s="1"/>
  <c r="V24" i="3"/>
  <c r="U24" i="4" l="1"/>
  <c r="V24" i="4" s="1"/>
  <c r="C15" i="4"/>
  <c r="C28" i="4" s="1"/>
  <c r="C27" i="4" s="1"/>
  <c r="J19" i="3"/>
  <c r="G19" i="3"/>
  <c r="F19" i="3"/>
  <c r="M19" i="3"/>
  <c r="L19" i="3"/>
  <c r="D19" i="3"/>
  <c r="N19" i="3"/>
  <c r="K19" i="3"/>
  <c r="H19" i="3"/>
  <c r="E19" i="3"/>
  <c r="I19" i="3"/>
  <c r="O19" i="3"/>
  <c r="P19" i="3"/>
  <c r="R19" i="3"/>
  <c r="T19" i="3"/>
  <c r="V19" i="3"/>
</calcChain>
</file>

<file path=xl/sharedStrings.xml><?xml version="1.0" encoding="utf-8"?>
<sst xmlns="http://schemas.openxmlformats.org/spreadsheetml/2006/main" count="96" uniqueCount="70">
  <si>
    <t>Houses</t>
  </si>
  <si>
    <t>Science Park</t>
  </si>
  <si>
    <t>Parking</t>
  </si>
  <si>
    <t>Battery Size (MWh)</t>
  </si>
  <si>
    <t>PVs (MW)</t>
  </si>
  <si>
    <t>Price Battery (£/kWh)</t>
  </si>
  <si>
    <t>Number of houses</t>
  </si>
  <si>
    <t>Price PV (£/kWp)</t>
  </si>
  <si>
    <t>Capital expenditure</t>
  </si>
  <si>
    <t>Installation</t>
  </si>
  <si>
    <t>Operation expenditure</t>
  </si>
  <si>
    <t>Replacement cycle</t>
  </si>
  <si>
    <t>Net cash outflows</t>
  </si>
  <si>
    <t>Other costs</t>
  </si>
  <si>
    <t>Net cash inflows</t>
  </si>
  <si>
    <t>Present value of income</t>
  </si>
  <si>
    <t>Initial capital cost</t>
  </si>
  <si>
    <t>ROI</t>
  </si>
  <si>
    <t>Total</t>
  </si>
  <si>
    <t>Buying electicity</t>
  </si>
  <si>
    <t>Energy sell worth</t>
  </si>
  <si>
    <t>Energy in worth</t>
  </si>
  <si>
    <t>Income from selling electricity</t>
  </si>
  <si>
    <t>Year</t>
  </si>
  <si>
    <t>Net present value (GBP)</t>
  </si>
  <si>
    <t>Interest rate</t>
  </si>
  <si>
    <t>When cash flows are the same in each period</t>
  </si>
  <si>
    <t>Cash flows</t>
  </si>
  <si>
    <t>t (periods)</t>
  </si>
  <si>
    <t>r (discount rate)</t>
  </si>
  <si>
    <t>Present value</t>
  </si>
  <si>
    <t>When cash flows are not the same in each period</t>
  </si>
  <si>
    <t>Period (t)</t>
  </si>
  <si>
    <t>Discount rate (r)</t>
  </si>
  <si>
    <t>Sum of present values</t>
  </si>
  <si>
    <t>Investment value</t>
  </si>
  <si>
    <t>Installation cost</t>
  </si>
  <si>
    <t>Sum of investment value</t>
  </si>
  <si>
    <t>ROI (20 years)</t>
  </si>
  <si>
    <t>Battery installation (0 years)</t>
  </si>
  <si>
    <t>Net present value</t>
  </si>
  <si>
    <t>Per household</t>
  </si>
  <si>
    <t>% value</t>
  </si>
  <si>
    <t>Average household value</t>
  </si>
  <si>
    <t>Houses cost</t>
  </si>
  <si>
    <t>Cost</t>
  </si>
  <si>
    <t>Savings</t>
  </si>
  <si>
    <t>PV</t>
  </si>
  <si>
    <t>Battery</t>
  </si>
  <si>
    <t>Houses battery proportion</t>
  </si>
  <si>
    <t>Houses pv proportion</t>
  </si>
  <si>
    <t>House cost</t>
  </si>
  <si>
    <t>Battery replacement (15 years)</t>
  </si>
  <si>
    <t>H</t>
  </si>
  <si>
    <t>SP</t>
  </si>
  <si>
    <t>PR</t>
  </si>
  <si>
    <t>EV Charging infrastructure</t>
  </si>
  <si>
    <t>Income from P&amp;R</t>
  </si>
  <si>
    <t>Annual maintenance (battery)</t>
  </si>
  <si>
    <t>Annual maintenance (PV)</t>
  </si>
  <si>
    <t>Percentage of year one earnings</t>
  </si>
  <si>
    <t>Percentage of year 1 earnings</t>
  </si>
  <si>
    <t>Percentage inflows</t>
  </si>
  <si>
    <t>Maintenance (PV homes/kWh)</t>
  </si>
  <si>
    <t>Maintenance (PV science park/p&amp;r/kWh)</t>
  </si>
  <si>
    <t>Annual battery maintenance/kWh</t>
  </si>
  <si>
    <t>Annual battery maintenance (total)</t>
  </si>
  <si>
    <t>Houses number</t>
  </si>
  <si>
    <t>Percentage breakdown (battery)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</si>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</sst>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);\(#,##0.0\);@_)"/>
    <numFmt numFmtId="165" formatCode="#,##0_);\(#,##0\);@_)"/>
    <numFmt numFmtId="166" formatCode="0%_);\(0%\);@_)"/>
    <numFmt numFmtId="167" formatCode="0.0%"/>
    <numFmt numFmtId="168" formatCode="_-* #,##0.00\ _z_ł_-;\-* #,##0.00\ _z_ł_-;_-* &quot;-&quot;??\ _z_ł_-;_-@_-"/>
    <numFmt numFmtId="17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0" fontId="0" fillId="0" borderId="0" xfId="0" applyNumberFormat="1"/>
    <xf numFmtId="0" fontId="4" fillId="0" borderId="0" xfId="0" applyFont="1"/>
    <xf numFmtId="0" fontId="2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4" fontId="6" fillId="0" borderId="0" xfId="0" applyNumberFormat="1" applyFont="1"/>
    <xf numFmtId="0" fontId="4" fillId="0" borderId="1" xfId="0" applyFont="1" applyBorder="1"/>
    <xf numFmtId="9" fontId="5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/>
    <xf numFmtId="0" fontId="0" fillId="0" borderId="0" xfId="0" applyFont="1"/>
    <xf numFmtId="10" fontId="7" fillId="0" borderId="0" xfId="0" applyNumberFormat="1" applyFont="1"/>
    <xf numFmtId="0" fontId="3" fillId="0" borderId="0" xfId="0" applyFont="1"/>
    <xf numFmtId="4" fontId="3" fillId="0" borderId="0" xfId="0" applyNumberFormat="1" applyFont="1"/>
    <xf numFmtId="9" fontId="0" fillId="0" borderId="0" xfId="1" applyFont="1"/>
    <xf numFmtId="0" fontId="1" fillId="0" borderId="0" xfId="0" applyFont="1"/>
    <xf numFmtId="4" fontId="1" fillId="0" borderId="0" xfId="0" applyNumberFormat="1" applyFont="1"/>
    <xf numFmtId="14" fontId="4" fillId="0" borderId="1" xfId="0" applyNumberFormat="1" applyFont="1" applyBorder="1"/>
    <xf numFmtId="167" fontId="0" fillId="0" borderId="0" xfId="1" applyNumberFormat="1" applyFont="1"/>
    <xf numFmtId="168" fontId="0" fillId="0" borderId="0" xfId="0" applyNumberFormat="1"/>
    <xf numFmtId="9" fontId="0" fillId="0" borderId="0" xfId="0" applyNumberFormat="1"/>
    <xf numFmtId="168" fontId="3" fillId="0" borderId="0" xfId="0" applyNumberFormat="1" applyFont="1"/>
    <xf numFmtId="176" fontId="0" fillId="0" borderId="0" xfId="0" applyNumberFormat="1"/>
    <xf numFmtId="0" fontId="3" fillId="0" borderId="0" xfId="0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'Cash flow simplified '!$A$23</c:f>
              <c:strCache>
                <c:ptCount val="1"/>
                <c:pt idx="0">
                  <c:v>Net present value (GBP)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'Cash flow simplified '!$B$1:$V$1</c:f>
              <c:numCache>
                <c:formatCode>General</c:formatCode>
                <c:ptCount val="21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  <c:pt idx="3">
                  <c:v>2033</c:v>
                </c:pt>
                <c:pt idx="4">
                  <c:v>2034</c:v>
                </c:pt>
                <c:pt idx="5">
                  <c:v>2035</c:v>
                </c:pt>
                <c:pt idx="6">
                  <c:v>2036</c:v>
                </c:pt>
                <c:pt idx="7">
                  <c:v>2037</c:v>
                </c:pt>
                <c:pt idx="8">
                  <c:v>2038</c:v>
                </c:pt>
                <c:pt idx="9">
                  <c:v>2039</c:v>
                </c:pt>
                <c:pt idx="10">
                  <c:v>2040</c:v>
                </c:pt>
                <c:pt idx="11">
                  <c:v>2041</c:v>
                </c:pt>
                <c:pt idx="12">
                  <c:v>2042</c:v>
                </c:pt>
                <c:pt idx="13">
                  <c:v>2043</c:v>
                </c:pt>
                <c:pt idx="14">
                  <c:v>2044</c:v>
                </c:pt>
                <c:pt idx="15">
                  <c:v>2045</c:v>
                </c:pt>
                <c:pt idx="16">
                  <c:v>2046</c:v>
                </c:pt>
                <c:pt idx="17">
                  <c:v>2047</c:v>
                </c:pt>
                <c:pt idx="18">
                  <c:v>2048</c:v>
                </c:pt>
                <c:pt idx="19">
                  <c:v>2049</c:v>
                </c:pt>
                <c:pt idx="20">
                  <c:v>2050</c:v>
                </c:pt>
              </c:numCache>
            </c:numRef>
          </c:xVal>
          <c:yVal>
            <c:numRef>
              <c:f>'Cash flow simplified '!$B$23:$V$23</c:f>
              <c:numCache>
                <c:formatCode>#,##0</c:formatCode>
                <c:ptCount val="21"/>
                <c:pt idx="0">
                  <c:v>-73088220</c:v>
                </c:pt>
                <c:pt idx="1">
                  <c:v>-71290940</c:v>
                </c:pt>
                <c:pt idx="2">
                  <c:v>-69493660</c:v>
                </c:pt>
                <c:pt idx="3">
                  <c:v>-67696380</c:v>
                </c:pt>
                <c:pt idx="4">
                  <c:v>-65899100</c:v>
                </c:pt>
                <c:pt idx="5">
                  <c:v>-64101820</c:v>
                </c:pt>
                <c:pt idx="6">
                  <c:v>-62304540</c:v>
                </c:pt>
                <c:pt idx="7">
                  <c:v>-60507260</c:v>
                </c:pt>
                <c:pt idx="8">
                  <c:v>-58709980</c:v>
                </c:pt>
                <c:pt idx="9">
                  <c:v>-56912700</c:v>
                </c:pt>
                <c:pt idx="10">
                  <c:v>-55115420</c:v>
                </c:pt>
                <c:pt idx="11">
                  <c:v>-53318140</c:v>
                </c:pt>
                <c:pt idx="12">
                  <c:v>-51520860</c:v>
                </c:pt>
                <c:pt idx="13">
                  <c:v>-49723580</c:v>
                </c:pt>
                <c:pt idx="14">
                  <c:v>-47926300</c:v>
                </c:pt>
                <c:pt idx="15">
                  <c:v>-46129020</c:v>
                </c:pt>
                <c:pt idx="16">
                  <c:v>-44331740</c:v>
                </c:pt>
                <c:pt idx="17">
                  <c:v>-42534460</c:v>
                </c:pt>
                <c:pt idx="18">
                  <c:v>-40737180</c:v>
                </c:pt>
                <c:pt idx="19">
                  <c:v>-38939900</c:v>
                </c:pt>
                <c:pt idx="20">
                  <c:v>-37142620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4-4D6E-87F9-95747369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67968"/>
        <c:axId val="1109959776"/>
      </c:scatterChart>
      <c:valAx>
        <c:axId val="11063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9959776"/>
        <c:crosses val="autoZero"/>
        <c:crossBetween val="midCat"/>
      </c:valAx>
      <c:valAx>
        <c:axId val="11099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£ </a:t>
            </a:r>
            <a:r>
              <a:rPr lang="pl-PL"/>
              <a:t>Value of the investment </a:t>
            </a:r>
          </a:p>
          <a:p>
            <a:pPr>
              <a:defRPr/>
            </a:pPr>
            <a:r>
              <a:rPr lang="pl-PL"/>
              <a:t>(PV</a:t>
            </a:r>
            <a:r>
              <a:rPr lang="pl-PL" baseline="0"/>
              <a:t> + battery)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'Discounted Cash Flow (full)'!$C$23:$V$23</c:f>
              <c:numCache>
                <c:formatCode>m/d/yyyy</c:formatCode>
                <c:ptCount val="20"/>
                <c:pt idx="0">
                  <c:v>47676</c:v>
                </c:pt>
                <c:pt idx="1">
                  <c:v>48041</c:v>
                </c:pt>
                <c:pt idx="2">
                  <c:v>48407</c:v>
                </c:pt>
                <c:pt idx="3">
                  <c:v>48772</c:v>
                </c:pt>
                <c:pt idx="4">
                  <c:v>49137</c:v>
                </c:pt>
                <c:pt idx="5">
                  <c:v>49502</c:v>
                </c:pt>
                <c:pt idx="6">
                  <c:v>49868</c:v>
                </c:pt>
                <c:pt idx="7">
                  <c:v>50233</c:v>
                </c:pt>
                <c:pt idx="8">
                  <c:v>50598</c:v>
                </c:pt>
                <c:pt idx="9">
                  <c:v>50963</c:v>
                </c:pt>
                <c:pt idx="10">
                  <c:v>51329</c:v>
                </c:pt>
                <c:pt idx="11">
                  <c:v>51694</c:v>
                </c:pt>
                <c:pt idx="12">
                  <c:v>52059</c:v>
                </c:pt>
                <c:pt idx="13">
                  <c:v>52424</c:v>
                </c:pt>
                <c:pt idx="14">
                  <c:v>52790</c:v>
                </c:pt>
                <c:pt idx="15">
                  <c:v>53155</c:v>
                </c:pt>
                <c:pt idx="16">
                  <c:v>53520</c:v>
                </c:pt>
                <c:pt idx="17">
                  <c:v>53885</c:v>
                </c:pt>
                <c:pt idx="18">
                  <c:v>54251</c:v>
                </c:pt>
                <c:pt idx="19">
                  <c:v>54616</c:v>
                </c:pt>
              </c:numCache>
            </c:numRef>
          </c:cat>
          <c:val>
            <c:numRef>
              <c:f>'Discounted Cash Flow (full)'!$C$24:$V$24</c:f>
              <c:numCache>
                <c:formatCode>#,##0.00</c:formatCode>
                <c:ptCount val="20"/>
                <c:pt idx="0">
                  <c:v>-73017346.15384616</c:v>
                </c:pt>
                <c:pt idx="1">
                  <c:v>-71355659.763313621</c:v>
                </c:pt>
                <c:pt idx="2">
                  <c:v>-69757884.387801558</c:v>
                </c:pt>
                <c:pt idx="3">
                  <c:v>-68221561.911347657</c:v>
                </c:pt>
                <c:pt idx="4">
                  <c:v>-66744328.760911211</c:v>
                </c:pt>
                <c:pt idx="5">
                  <c:v>-65323912.270106934</c:v>
                </c:pt>
                <c:pt idx="6">
                  <c:v>-63958127.18279513</c:v>
                </c:pt>
                <c:pt idx="7">
                  <c:v>-62644872.291149162</c:v>
                </c:pt>
                <c:pt idx="8">
                  <c:v>-61382127.203028038</c:v>
                </c:pt>
                <c:pt idx="9">
                  <c:v>-60167949.233680807</c:v>
                </c:pt>
                <c:pt idx="10">
                  <c:v>-59000470.417000778</c:v>
                </c:pt>
                <c:pt idx="11">
                  <c:v>-57877894.631731518</c:v>
                </c:pt>
                <c:pt idx="12">
                  <c:v>-56798494.838203385</c:v>
                </c:pt>
                <c:pt idx="13">
                  <c:v>-55760610.421349414</c:v>
                </c:pt>
                <c:pt idx="14">
                  <c:v>-58250144.635912903</c:v>
                </c:pt>
                <c:pt idx="15">
                  <c:v>-57290562.149916254</c:v>
                </c:pt>
                <c:pt idx="16">
                  <c:v>-56367886.682611786</c:v>
                </c:pt>
                <c:pt idx="17">
                  <c:v>-55480698.733280562</c:v>
                </c:pt>
                <c:pt idx="18">
                  <c:v>-54627633.397385158</c:v>
                </c:pt>
                <c:pt idx="19">
                  <c:v>-53807378.266716503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7-471D-95C1-57DBB5F3F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1938288"/>
        <c:axId val="771531632"/>
      </c:barChart>
      <c:dateAx>
        <c:axId val="77193828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531632"/>
        <c:crosses val="autoZero"/>
        <c:auto val="1"/>
        <c:lblOffset val="100"/>
        <c:baseTimeUnit val="years"/>
      </c:dateAx>
      <c:valAx>
        <c:axId val="771531632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9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£ </a:t>
            </a:r>
            <a:r>
              <a:rPr lang="pl-PL"/>
              <a:t>Value of the Garden Village Energy Company investment (battery)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'Discounted Cash Flow (GVEC)'!$B$24</c:f>
              <c:strCache>
                <c:ptCount val="1"/>
                <c:pt idx="0">
                  <c:v>Net present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'Discounted Cash Flow (GVEC)'!$C$23:$V$23</c:f>
              <c:numCache>
                <c:formatCode>m/d/yyyy</c:formatCode>
                <c:ptCount val="20"/>
                <c:pt idx="0">
                  <c:v>47676</c:v>
                </c:pt>
                <c:pt idx="1">
                  <c:v>48041</c:v>
                </c:pt>
                <c:pt idx="2">
                  <c:v>48407</c:v>
                </c:pt>
                <c:pt idx="3">
                  <c:v>48772</c:v>
                </c:pt>
                <c:pt idx="4">
                  <c:v>49137</c:v>
                </c:pt>
                <c:pt idx="5">
                  <c:v>49502</c:v>
                </c:pt>
                <c:pt idx="6">
                  <c:v>49868</c:v>
                </c:pt>
                <c:pt idx="7">
                  <c:v>50233</c:v>
                </c:pt>
                <c:pt idx="8">
                  <c:v>50598</c:v>
                </c:pt>
                <c:pt idx="9">
                  <c:v>50963</c:v>
                </c:pt>
                <c:pt idx="10">
                  <c:v>51329</c:v>
                </c:pt>
                <c:pt idx="11">
                  <c:v>51694</c:v>
                </c:pt>
                <c:pt idx="12">
                  <c:v>52059</c:v>
                </c:pt>
                <c:pt idx="13">
                  <c:v>52424</c:v>
                </c:pt>
                <c:pt idx="14">
                  <c:v>52790</c:v>
                </c:pt>
                <c:pt idx="15">
                  <c:v>53155</c:v>
                </c:pt>
                <c:pt idx="16">
                  <c:v>53520</c:v>
                </c:pt>
                <c:pt idx="17">
                  <c:v>53885</c:v>
                </c:pt>
                <c:pt idx="18">
                  <c:v>54251</c:v>
                </c:pt>
                <c:pt idx="19">
                  <c:v>54616</c:v>
                </c:pt>
              </c:numCache>
            </c:numRef>
          </c:cat>
          <c:val>
            <c:numRef>
              <c:f>'Discounted Cash Flow (GVEC)'!$C$24:$V$24</c:f>
              <c:numCache>
                <c:formatCode>#,##0.00</c:formatCode>
                <c:ptCount val="20"/>
                <c:pt idx="0">
                  <c:v>-5246846.153846154</c:v>
                </c:pt>
                <c:pt idx="1">
                  <c:v>-3585159.7633136101</c:v>
                </c:pt>
                <c:pt idx="2">
                  <c:v>-1987384.3878015482</c:v>
                </c:pt>
                <c:pt idx="3">
                  <c:v>-451061.91134764277</c:v>
                </c:pt>
                <c:pt idx="4">
                  <c:v>1026171.2390888045</c:v>
                </c:pt>
                <c:pt idx="5">
                  <c:v>2446587.7298930809</c:v>
                </c:pt>
                <c:pt idx="6">
                  <c:v>3812372.8172048852</c:v>
                </c:pt>
                <c:pt idx="7">
                  <c:v>5125627.7088508504</c:v>
                </c:pt>
                <c:pt idx="8">
                  <c:v>6388372.7969719712</c:v>
                </c:pt>
                <c:pt idx="9">
                  <c:v>7602550.7663192023</c:v>
                </c:pt>
                <c:pt idx="10">
                  <c:v>8770029.5829992332</c:v>
                </c:pt>
                <c:pt idx="11">
                  <c:v>9892605.3682684936</c:v>
                </c:pt>
                <c:pt idx="12">
                  <c:v>10972005.161796628</c:v>
                </c:pt>
                <c:pt idx="13">
                  <c:v>12009889.578650603</c:v>
                </c:pt>
                <c:pt idx="14">
                  <c:v>9520355.3640871178</c:v>
                </c:pt>
                <c:pt idx="15">
                  <c:v>10479937.850083767</c:v>
                </c:pt>
                <c:pt idx="16">
                  <c:v>11402613.317388237</c:v>
                </c:pt>
                <c:pt idx="17">
                  <c:v>12289801.266719457</c:v>
                </c:pt>
                <c:pt idx="18">
                  <c:v>13142866.602614861</c:v>
                </c:pt>
                <c:pt idx="19">
                  <c:v>13963121.73328352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8-4149-99B3-B22565A5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087680"/>
        <c:axId val="1040183440"/>
      </c:barChart>
      <c:dateAx>
        <c:axId val="10400876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183440"/>
        <c:crosses val="autoZero"/>
        <c:auto val="1"/>
        <c:lblOffset val="100"/>
        <c:baseTimeUnit val="years"/>
      </c:dateAx>
      <c:valAx>
        <c:axId val="10401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00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B-4732-8561-03E1F32D8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B-4732-8561-03E1F32D8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5B-4732-8561-03E1F32D8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5B-4732-8561-03E1F32D8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costs breakdown'!$B$2:$B$5</c:f>
              <c:strCache>
                <c:ptCount val="4"/>
                <c:pt idx="0">
                  <c:v>Houses cost</c:v>
                </c:pt>
                <c:pt idx="1">
                  <c:v>PV</c:v>
                </c:pt>
                <c:pt idx="2">
                  <c:v>Battery</c:v>
                </c:pt>
                <c:pt idx="3">
                  <c:v>EV Charging infrastructure</c:v>
                </c:pt>
              </c:strCache>
            </c:strRef>
          </c:cat>
          <c:val>
            <c:numRef>
              <c:f>'Percentage costs breakdown'!$E$2:$E$5</c:f>
              <c:numCache>
                <c:formatCode>0.0%</c:formatCode>
                <c:ptCount val="4"/>
                <c:pt idx="0">
                  <c:v>0.80633520398749325</c:v>
                </c:pt>
                <c:pt idx="1">
                  <c:v>0.17012995000571113</c:v>
                </c:pt>
                <c:pt idx="2">
                  <c:v>1.7509925429055932E-2</c:v>
                </c:pt>
                <c:pt idx="3">
                  <c:v>6.024920577739676E-3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0-4BF2-B592-DA77DE1AF9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26</xdr:row>
      <xdr:rowOff>49530</xdr:rowOff>
    </xdr:from>
    <xdr:to>
      <xdr:col>9</xdr:col>
      <xdr:colOff>464820</xdr:colOff>
      <xdr:row>41</xdr:row>
      <xdr:rowOff>49530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428347-76B3-4CD3-A046-6B99700DE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791351</xdr:colOff>
      <xdr:row>26</xdr:row>
      <xdr:rowOff>61665</xdr:rowOff>
    </xdr:from>
    <xdr:to>
      <xdr:col>10</xdr:col>
      <xdr:colOff>821831</xdr:colOff>
      <xdr:row>46</xdr:row>
      <xdr:rowOff>93698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F83E93D-38B0-48B4-AA0A-D5C5F7C3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1152341</xdr:colOff>
      <xdr:row>26</xdr:row>
      <xdr:rowOff>4055</xdr:rowOff>
    </xdr:from>
    <xdr:to>
      <xdr:col>11</xdr:col>
      <xdr:colOff>573220</xdr:colOff>
      <xdr:row>47</xdr:row>
      <xdr:rowOff>15485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A08899-BFF3-4345-8F03-D5F2A88A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604417</xdr:colOff>
      <xdr:row>7</xdr:row>
      <xdr:rowOff>6817</xdr:rowOff>
    </xdr:from>
    <xdr:to>
      <xdr:col>13</xdr:col>
      <xdr:colOff>253896</xdr:colOff>
      <xdr:row>23</xdr:row>
      <xdr:rowOff>6817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DFE307-5BA7-45A8-A6FE-E753D4B6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B26" sqref="B26"/>
    </sheetView>
  </sheetViews>
  <sheetFormatPr defaultRowHeight="14.4" x14ac:dyDescent="0.3"/>
  <cols>
    <col min="1" max="1" width="28.88671875" customWidth="1"/>
    <col min="2" max="2" width="12.33203125" bestFit="1" customWidth="1"/>
    <col min="5" max="5" width="18.44140625" customWidth="1"/>
  </cols>
  <sheetData>
    <row r="1" spans="1:9" x14ac:dyDescent="0.3">
      <c r="B1" t="s">
        <v>4</v>
      </c>
      <c r="C1" t="s">
        <v>3</v>
      </c>
      <c r="H1" t="s">
        <v>4</v>
      </c>
      <c r="I1" t="s">
        <v>3</v>
      </c>
    </row>
    <row r="2" spans="1:9" x14ac:dyDescent="0.3">
      <c r="A2" t="s">
        <v>0</v>
      </c>
      <c r="B2" s="18">
        <v>41.7</v>
      </c>
      <c r="C2" s="18">
        <v>45</v>
      </c>
      <c r="G2" t="s">
        <v>18</v>
      </c>
      <c r="H2" s="18">
        <f>SUM(B2:B4)</f>
        <v>59.5</v>
      </c>
      <c r="I2" s="18">
        <v>45</v>
      </c>
    </row>
    <row r="3" spans="1:9" x14ac:dyDescent="0.3">
      <c r="A3" t="s">
        <v>1</v>
      </c>
      <c r="B3" s="29">
        <v>15.8</v>
      </c>
    </row>
    <row r="4" spans="1:9" x14ac:dyDescent="0.3">
      <c r="A4" t="s">
        <v>2</v>
      </c>
      <c r="B4" s="18">
        <v>2</v>
      </c>
    </row>
    <row r="6" spans="1:9" x14ac:dyDescent="0.3">
      <c r="A6" t="s">
        <v>5</v>
      </c>
      <c r="B6">
        <v>155</v>
      </c>
    </row>
    <row r="7" spans="1:9" x14ac:dyDescent="0.3">
      <c r="A7" t="s">
        <v>7</v>
      </c>
      <c r="B7">
        <v>1139</v>
      </c>
    </row>
    <row r="9" spans="1:9" x14ac:dyDescent="0.3">
      <c r="A9" t="s">
        <v>6</v>
      </c>
      <c r="B9">
        <v>2200</v>
      </c>
    </row>
    <row r="12" spans="1:9" x14ac:dyDescent="0.3">
      <c r="A12" t="s">
        <v>21</v>
      </c>
      <c r="B12">
        <v>2060915</v>
      </c>
    </row>
    <row r="13" spans="1:9" x14ac:dyDescent="0.3">
      <c r="A13" t="s">
        <v>20</v>
      </c>
      <c r="B13">
        <v>4106670</v>
      </c>
    </row>
    <row r="15" spans="1:9" x14ac:dyDescent="0.3">
      <c r="A15" t="s">
        <v>65</v>
      </c>
      <c r="B15">
        <f>2.5%*Data!I2*1000*Data!B6</f>
        <v>174375</v>
      </c>
    </row>
    <row r="17" spans="1:2" x14ac:dyDescent="0.3">
      <c r="A17" t="s">
        <v>25</v>
      </c>
      <c r="B17" s="5">
        <v>7.4999999999999997E-3</v>
      </c>
    </row>
    <row r="19" spans="1:2" x14ac:dyDescent="0.3">
      <c r="A19" t="s">
        <v>43</v>
      </c>
      <c r="B19">
        <v>412414</v>
      </c>
    </row>
    <row r="21" spans="1:2" x14ac:dyDescent="0.3">
      <c r="A21" t="s">
        <v>63</v>
      </c>
      <c r="B21">
        <v>3</v>
      </c>
    </row>
    <row r="22" spans="1:2" x14ac:dyDescent="0.3">
      <c r="A22" t="s">
        <v>64</v>
      </c>
      <c r="B22">
        <v>5</v>
      </c>
    </row>
    <row r="24" spans="1:2" x14ac:dyDescent="0.3">
      <c r="A24" t="s">
        <v>66</v>
      </c>
      <c r="B24" s="2">
        <f>Data!B21*Data!B2*1000+Data!B22*(Data!B3+Data!B4)*1000</f>
        <v>214100</v>
      </c>
    </row>
    <row r="26" spans="1:2" x14ac:dyDescent="0.3">
      <c r="A26" t="s">
        <v>69</v>
      </c>
      <c r="B26" s="26">
        <v>0.04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6353-D7E0-4DFD-A18A-D977D8A12D91}">
  <dimension ref="A1:Y25"/>
  <sheetViews>
    <sheetView workbookViewId="0">
      <selection activeCell="B10" sqref="B10"/>
    </sheetView>
  </sheetViews>
  <sheetFormatPr defaultRowHeight="14.4" x14ac:dyDescent="0.3"/>
  <cols>
    <col min="1" max="1" width="25.33203125" customWidth="1"/>
    <col min="2" max="2" width="15.77734375" customWidth="1"/>
    <col min="3" max="22" width="12.77734375" customWidth="1"/>
  </cols>
  <sheetData>
    <row r="1" spans="1:25" x14ac:dyDescent="0.3">
      <c r="A1" t="s">
        <v>23</v>
      </c>
      <c r="B1">
        <v>2030</v>
      </c>
      <c r="C1">
        <v>2031</v>
      </c>
      <c r="D1">
        <v>2032</v>
      </c>
      <c r="E1">
        <v>2033</v>
      </c>
      <c r="F1">
        <v>2034</v>
      </c>
      <c r="G1">
        <v>2035</v>
      </c>
      <c r="H1">
        <v>2036</v>
      </c>
      <c r="I1">
        <v>2037</v>
      </c>
      <c r="J1">
        <v>2038</v>
      </c>
      <c r="K1">
        <v>2039</v>
      </c>
      <c r="L1">
        <v>2040</v>
      </c>
      <c r="M1">
        <v>2041</v>
      </c>
      <c r="N1">
        <v>2042</v>
      </c>
      <c r="O1">
        <v>2043</v>
      </c>
      <c r="P1">
        <v>2044</v>
      </c>
      <c r="Q1">
        <v>2045</v>
      </c>
      <c r="R1">
        <v>2046</v>
      </c>
      <c r="S1">
        <v>2047</v>
      </c>
      <c r="T1">
        <v>2048</v>
      </c>
      <c r="U1">
        <v>2049</v>
      </c>
      <c r="V1">
        <v>2050</v>
      </c>
    </row>
    <row r="2" spans="1:25" x14ac:dyDescent="0.3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x14ac:dyDescent="0.3">
      <c r="A3" t="s">
        <v>9</v>
      </c>
      <c r="B3" s="2">
        <f>Data!H2*Data!B7*1000+Data!I2*Data!B6*1000</f>
        <v>74745500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Y3" s="2">
        <f>0.5*Data!I2*1000*Data!B6</f>
        <v>3487500</v>
      </c>
    </row>
    <row r="4" spans="1:25" x14ac:dyDescent="0.3">
      <c r="A4" t="s">
        <v>19</v>
      </c>
      <c r="B4" s="2">
        <f>Data!B12</f>
        <v>2060915</v>
      </c>
      <c r="C4" s="2">
        <f>$B$4</f>
        <v>2060915</v>
      </c>
      <c r="D4" s="2">
        <f t="shared" ref="D4:V4" si="0">$B$4</f>
        <v>2060915</v>
      </c>
      <c r="E4" s="2">
        <f t="shared" si="0"/>
        <v>2060915</v>
      </c>
      <c r="F4" s="2">
        <f t="shared" si="0"/>
        <v>2060915</v>
      </c>
      <c r="G4" s="2">
        <f t="shared" si="0"/>
        <v>2060915</v>
      </c>
      <c r="H4" s="2">
        <f t="shared" si="0"/>
        <v>2060915</v>
      </c>
      <c r="I4" s="2">
        <f t="shared" si="0"/>
        <v>2060915</v>
      </c>
      <c r="J4" s="2">
        <f t="shared" si="0"/>
        <v>2060915</v>
      </c>
      <c r="K4" s="2">
        <f t="shared" si="0"/>
        <v>2060915</v>
      </c>
      <c r="L4" s="2">
        <f t="shared" si="0"/>
        <v>2060915</v>
      </c>
      <c r="M4" s="2">
        <f t="shared" si="0"/>
        <v>2060915</v>
      </c>
      <c r="N4" s="2">
        <f t="shared" si="0"/>
        <v>2060915</v>
      </c>
      <c r="O4" s="2">
        <f t="shared" si="0"/>
        <v>2060915</v>
      </c>
      <c r="P4" s="2">
        <f t="shared" si="0"/>
        <v>2060915</v>
      </c>
      <c r="Q4" s="2">
        <f t="shared" si="0"/>
        <v>2060915</v>
      </c>
      <c r="R4" s="2">
        <f t="shared" si="0"/>
        <v>2060915</v>
      </c>
      <c r="S4" s="2">
        <f t="shared" si="0"/>
        <v>2060915</v>
      </c>
      <c r="T4" s="2">
        <f t="shared" si="0"/>
        <v>2060915</v>
      </c>
      <c r="U4" s="2">
        <f t="shared" si="0"/>
        <v>2060915</v>
      </c>
      <c r="V4" s="2">
        <f t="shared" si="0"/>
        <v>2060915</v>
      </c>
    </row>
    <row r="5" spans="1:25" x14ac:dyDescent="0.3">
      <c r="A5" t="s">
        <v>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3">
      <c r="A7" s="3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" x14ac:dyDescent="0.3">
      <c r="A8" t="s">
        <v>58</v>
      </c>
      <c r="B8" s="2">
        <f>2.5%*Data!I2*1000*Data!B6</f>
        <v>174375</v>
      </c>
      <c r="C8" s="2">
        <f>B8</f>
        <v>174375</v>
      </c>
      <c r="D8" s="2">
        <f t="shared" ref="D8:V8" si="1">C8</f>
        <v>174375</v>
      </c>
      <c r="E8" s="2">
        <f t="shared" si="1"/>
        <v>174375</v>
      </c>
      <c r="F8" s="2">
        <f t="shared" si="1"/>
        <v>174375</v>
      </c>
      <c r="G8" s="2">
        <f t="shared" si="1"/>
        <v>174375</v>
      </c>
      <c r="H8" s="2">
        <f t="shared" si="1"/>
        <v>174375</v>
      </c>
      <c r="I8" s="2">
        <f t="shared" si="1"/>
        <v>174375</v>
      </c>
      <c r="J8" s="2">
        <f t="shared" si="1"/>
        <v>174375</v>
      </c>
      <c r="K8" s="2">
        <f t="shared" si="1"/>
        <v>174375</v>
      </c>
      <c r="L8" s="2">
        <f t="shared" si="1"/>
        <v>174375</v>
      </c>
      <c r="M8" s="2">
        <f t="shared" si="1"/>
        <v>174375</v>
      </c>
      <c r="N8" s="2">
        <f t="shared" si="1"/>
        <v>174375</v>
      </c>
      <c r="O8" s="2">
        <f t="shared" si="1"/>
        <v>174375</v>
      </c>
      <c r="P8" s="2">
        <f t="shared" si="1"/>
        <v>174375</v>
      </c>
      <c r="Q8" s="2">
        <f t="shared" si="1"/>
        <v>174375</v>
      </c>
      <c r="R8" s="2">
        <f t="shared" si="1"/>
        <v>174375</v>
      </c>
      <c r="S8" s="2">
        <f t="shared" si="1"/>
        <v>174375</v>
      </c>
      <c r="T8" s="2">
        <f t="shared" si="1"/>
        <v>174375</v>
      </c>
      <c r="U8" s="2">
        <f t="shared" si="1"/>
        <v>174375</v>
      </c>
      <c r="V8" s="2">
        <f t="shared" si="1"/>
        <v>174375</v>
      </c>
    </row>
    <row r="9" spans="1:25" x14ac:dyDescent="0.3">
      <c r="A9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5" x14ac:dyDescent="0.3">
      <c r="A10" t="s">
        <v>59</v>
      </c>
      <c r="B10" s="2">
        <f>Data!B21*Data!B2*1000+Data!B22*(Data!B3+Data!B4)*1000</f>
        <v>214100</v>
      </c>
      <c r="C10" s="2">
        <f>B10</f>
        <v>214100</v>
      </c>
      <c r="D10" s="2">
        <f t="shared" ref="D10:V10" si="2">C10</f>
        <v>214100</v>
      </c>
      <c r="E10" s="2">
        <f t="shared" si="2"/>
        <v>214100</v>
      </c>
      <c r="F10" s="2">
        <f t="shared" si="2"/>
        <v>214100</v>
      </c>
      <c r="G10" s="2">
        <f t="shared" si="2"/>
        <v>214100</v>
      </c>
      <c r="H10" s="2">
        <f t="shared" si="2"/>
        <v>214100</v>
      </c>
      <c r="I10" s="2">
        <f t="shared" si="2"/>
        <v>214100</v>
      </c>
      <c r="J10" s="2">
        <f t="shared" si="2"/>
        <v>214100</v>
      </c>
      <c r="K10" s="2">
        <f t="shared" si="2"/>
        <v>214100</v>
      </c>
      <c r="L10" s="2">
        <f t="shared" si="2"/>
        <v>214100</v>
      </c>
      <c r="M10" s="2">
        <f t="shared" si="2"/>
        <v>214100</v>
      </c>
      <c r="N10" s="2">
        <f t="shared" si="2"/>
        <v>214100</v>
      </c>
      <c r="O10" s="2">
        <f t="shared" si="2"/>
        <v>214100</v>
      </c>
      <c r="P10" s="2">
        <f t="shared" si="2"/>
        <v>214100</v>
      </c>
      <c r="Q10" s="2">
        <f t="shared" si="2"/>
        <v>214100</v>
      </c>
      <c r="R10" s="2">
        <f t="shared" si="2"/>
        <v>214100</v>
      </c>
      <c r="S10" s="2">
        <f t="shared" si="2"/>
        <v>214100</v>
      </c>
      <c r="T10" s="2">
        <f t="shared" si="2"/>
        <v>214100</v>
      </c>
      <c r="U10" s="2">
        <f t="shared" si="2"/>
        <v>214100</v>
      </c>
      <c r="V10" s="2">
        <f t="shared" si="2"/>
        <v>214100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5" x14ac:dyDescent="0.3">
      <c r="A12" t="s">
        <v>12</v>
      </c>
      <c r="B12" s="2">
        <f>SUM(B3:B10)</f>
        <v>77194890</v>
      </c>
      <c r="C12" s="2">
        <f t="shared" ref="C12:V12" si="3">SUM(C3:C10)</f>
        <v>2449390</v>
      </c>
      <c r="D12" s="2">
        <f t="shared" si="3"/>
        <v>2449390</v>
      </c>
      <c r="E12" s="2">
        <f t="shared" si="3"/>
        <v>2449390</v>
      </c>
      <c r="F12" s="2">
        <f t="shared" si="3"/>
        <v>2449390</v>
      </c>
      <c r="G12" s="2">
        <f t="shared" si="3"/>
        <v>2449390</v>
      </c>
      <c r="H12" s="2">
        <f t="shared" si="3"/>
        <v>2449390</v>
      </c>
      <c r="I12" s="2">
        <f t="shared" si="3"/>
        <v>2449390</v>
      </c>
      <c r="J12" s="2">
        <f t="shared" si="3"/>
        <v>2449390</v>
      </c>
      <c r="K12" s="2">
        <f t="shared" si="3"/>
        <v>2449390</v>
      </c>
      <c r="L12" s="2">
        <f t="shared" si="3"/>
        <v>2449390</v>
      </c>
      <c r="M12" s="2">
        <f t="shared" si="3"/>
        <v>2449390</v>
      </c>
      <c r="N12" s="2">
        <f t="shared" si="3"/>
        <v>2449390</v>
      </c>
      <c r="O12" s="2">
        <f t="shared" si="3"/>
        <v>2449390</v>
      </c>
      <c r="P12" s="2">
        <f t="shared" si="3"/>
        <v>2449390</v>
      </c>
      <c r="Q12" s="2">
        <f t="shared" si="3"/>
        <v>2449390</v>
      </c>
      <c r="R12" s="2">
        <f t="shared" si="3"/>
        <v>2449390</v>
      </c>
      <c r="S12" s="2">
        <f t="shared" si="3"/>
        <v>2449390</v>
      </c>
      <c r="T12" s="2">
        <f t="shared" si="3"/>
        <v>2449390</v>
      </c>
      <c r="U12" s="2">
        <f t="shared" si="3"/>
        <v>2449390</v>
      </c>
      <c r="V12" s="2">
        <f t="shared" si="3"/>
        <v>2449390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5" x14ac:dyDescent="0.3">
      <c r="A16" t="s">
        <v>22</v>
      </c>
      <c r="B16" s="2">
        <f>Data!B13</f>
        <v>4106670</v>
      </c>
      <c r="C16" s="2">
        <f>B16</f>
        <v>4106670</v>
      </c>
      <c r="D16" s="2">
        <f>C16</f>
        <v>4106670</v>
      </c>
      <c r="E16" s="2">
        <f t="shared" ref="E16:V17" si="4">D16</f>
        <v>4106670</v>
      </c>
      <c r="F16" s="2">
        <f t="shared" si="4"/>
        <v>4106670</v>
      </c>
      <c r="G16" s="2">
        <f t="shared" si="4"/>
        <v>4106670</v>
      </c>
      <c r="H16" s="2">
        <f t="shared" si="4"/>
        <v>4106670</v>
      </c>
      <c r="I16" s="2">
        <f t="shared" si="4"/>
        <v>4106670</v>
      </c>
      <c r="J16" s="2">
        <f t="shared" si="4"/>
        <v>4106670</v>
      </c>
      <c r="K16" s="2">
        <f t="shared" si="4"/>
        <v>4106670</v>
      </c>
      <c r="L16" s="2">
        <f t="shared" si="4"/>
        <v>4106670</v>
      </c>
      <c r="M16" s="2">
        <f t="shared" si="4"/>
        <v>4106670</v>
      </c>
      <c r="N16" s="2">
        <f t="shared" si="4"/>
        <v>4106670</v>
      </c>
      <c r="O16" s="2">
        <f t="shared" si="4"/>
        <v>4106670</v>
      </c>
      <c r="P16" s="2">
        <f t="shared" si="4"/>
        <v>4106670</v>
      </c>
      <c r="Q16" s="2">
        <f t="shared" si="4"/>
        <v>4106670</v>
      </c>
      <c r="R16" s="2">
        <f t="shared" si="4"/>
        <v>4106670</v>
      </c>
      <c r="S16" s="2">
        <f t="shared" si="4"/>
        <v>4106670</v>
      </c>
      <c r="T16" s="2">
        <f t="shared" si="4"/>
        <v>4106670</v>
      </c>
      <c r="U16" s="2">
        <f t="shared" si="4"/>
        <v>4106670</v>
      </c>
      <c r="V16" s="2">
        <f t="shared" si="4"/>
        <v>4106670</v>
      </c>
    </row>
    <row r="17" spans="1:22" x14ac:dyDescent="0.3">
      <c r="A17" t="s">
        <v>57</v>
      </c>
      <c r="B17" s="2">
        <v>140000</v>
      </c>
      <c r="C17" s="2">
        <f>B17</f>
        <v>140000</v>
      </c>
      <c r="D17" s="2">
        <f>C17</f>
        <v>140000</v>
      </c>
      <c r="E17" s="2">
        <f t="shared" si="4"/>
        <v>140000</v>
      </c>
      <c r="F17" s="2">
        <f t="shared" si="4"/>
        <v>140000</v>
      </c>
      <c r="G17" s="2">
        <f t="shared" si="4"/>
        <v>140000</v>
      </c>
      <c r="H17" s="2">
        <f t="shared" si="4"/>
        <v>140000</v>
      </c>
      <c r="I17" s="2">
        <f t="shared" si="4"/>
        <v>140000</v>
      </c>
      <c r="J17" s="2">
        <f t="shared" si="4"/>
        <v>140000</v>
      </c>
      <c r="K17" s="2">
        <f t="shared" si="4"/>
        <v>140000</v>
      </c>
      <c r="L17" s="2">
        <f t="shared" si="4"/>
        <v>140000</v>
      </c>
      <c r="M17" s="2">
        <f t="shared" si="4"/>
        <v>140000</v>
      </c>
      <c r="N17" s="2">
        <f t="shared" si="4"/>
        <v>140000</v>
      </c>
      <c r="O17" s="2">
        <f t="shared" si="4"/>
        <v>140000</v>
      </c>
      <c r="P17" s="2">
        <f t="shared" si="4"/>
        <v>140000</v>
      </c>
      <c r="Q17" s="2">
        <f t="shared" si="4"/>
        <v>140000</v>
      </c>
      <c r="R17" s="2">
        <f t="shared" si="4"/>
        <v>140000</v>
      </c>
      <c r="S17" s="2">
        <f t="shared" si="4"/>
        <v>140000</v>
      </c>
      <c r="T17" s="2">
        <f t="shared" si="4"/>
        <v>140000</v>
      </c>
      <c r="U17" s="2">
        <f t="shared" si="4"/>
        <v>140000</v>
      </c>
      <c r="V17" s="2">
        <f t="shared" si="4"/>
        <v>140000</v>
      </c>
    </row>
    <row r="18" spans="1:22" x14ac:dyDescent="0.3">
      <c r="A18" t="s">
        <v>14</v>
      </c>
      <c r="B18" s="2">
        <f>B16+B17-B12</f>
        <v>-72948220</v>
      </c>
      <c r="C18" s="2">
        <f t="shared" ref="C18:V18" si="5">C16+C17-C12</f>
        <v>1797280</v>
      </c>
      <c r="D18" s="2">
        <f t="shared" si="5"/>
        <v>1797280</v>
      </c>
      <c r="E18" s="2">
        <f t="shared" si="5"/>
        <v>1797280</v>
      </c>
      <c r="F18" s="2">
        <f t="shared" si="5"/>
        <v>1797280</v>
      </c>
      <c r="G18" s="2">
        <f t="shared" si="5"/>
        <v>1797280</v>
      </c>
      <c r="H18" s="2">
        <f t="shared" si="5"/>
        <v>1797280</v>
      </c>
      <c r="I18" s="2">
        <f t="shared" si="5"/>
        <v>1797280</v>
      </c>
      <c r="J18" s="2">
        <f t="shared" si="5"/>
        <v>1797280</v>
      </c>
      <c r="K18" s="2">
        <f t="shared" si="5"/>
        <v>1797280</v>
      </c>
      <c r="L18" s="2">
        <f t="shared" si="5"/>
        <v>1797280</v>
      </c>
      <c r="M18" s="2">
        <f t="shared" si="5"/>
        <v>1797280</v>
      </c>
      <c r="N18" s="2">
        <f t="shared" si="5"/>
        <v>1797280</v>
      </c>
      <c r="O18" s="2">
        <f t="shared" si="5"/>
        <v>1797280</v>
      </c>
      <c r="P18" s="2">
        <f t="shared" si="5"/>
        <v>1797280</v>
      </c>
      <c r="Q18" s="2">
        <f t="shared" si="5"/>
        <v>1797280</v>
      </c>
      <c r="R18" s="2">
        <f t="shared" si="5"/>
        <v>1797280</v>
      </c>
      <c r="S18" s="2">
        <f t="shared" si="5"/>
        <v>1797280</v>
      </c>
      <c r="T18" s="2">
        <f t="shared" si="5"/>
        <v>1797280</v>
      </c>
      <c r="U18" s="2">
        <f t="shared" si="5"/>
        <v>1797280</v>
      </c>
      <c r="V18" s="2">
        <f t="shared" si="5"/>
        <v>1797280</v>
      </c>
    </row>
    <row r="19" spans="1:22" x14ac:dyDescent="0.3">
      <c r="A19" t="s">
        <v>62</v>
      </c>
      <c r="B19" s="2"/>
      <c r="C19" s="2"/>
      <c r="D19" s="2">
        <f>D18/$C$18</f>
        <v>1</v>
      </c>
      <c r="E19" s="2">
        <f t="shared" ref="E19:V19" si="6">E18/$C$18</f>
        <v>1</v>
      </c>
      <c r="F19" s="2">
        <f t="shared" si="6"/>
        <v>1</v>
      </c>
      <c r="G19" s="2">
        <f t="shared" si="6"/>
        <v>1</v>
      </c>
      <c r="H19" s="2">
        <f t="shared" si="6"/>
        <v>1</v>
      </c>
      <c r="I19" s="2">
        <f t="shared" si="6"/>
        <v>1</v>
      </c>
      <c r="J19" s="2">
        <f t="shared" si="6"/>
        <v>1</v>
      </c>
      <c r="K19" s="2">
        <f t="shared" si="6"/>
        <v>1</v>
      </c>
      <c r="L19" s="2">
        <f t="shared" si="6"/>
        <v>1</v>
      </c>
      <c r="M19" s="2">
        <f t="shared" si="6"/>
        <v>1</v>
      </c>
      <c r="N19" s="2">
        <f t="shared" si="6"/>
        <v>1</v>
      </c>
      <c r="O19" s="2">
        <f t="shared" si="6"/>
        <v>1</v>
      </c>
      <c r="P19" s="2">
        <f t="shared" si="6"/>
        <v>1</v>
      </c>
      <c r="Q19" s="2">
        <f t="shared" si="6"/>
        <v>1</v>
      </c>
      <c r="R19" s="2">
        <f t="shared" si="6"/>
        <v>1</v>
      </c>
      <c r="S19" s="2">
        <f t="shared" si="6"/>
        <v>1</v>
      </c>
      <c r="T19" s="2">
        <f t="shared" si="6"/>
        <v>1</v>
      </c>
      <c r="U19" s="2">
        <f t="shared" si="6"/>
        <v>1</v>
      </c>
      <c r="V19" s="2">
        <f t="shared" si="6"/>
        <v>1</v>
      </c>
    </row>
    <row r="20" spans="1:22" x14ac:dyDescent="0.3">
      <c r="A20" s="3" t="s">
        <v>15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">
      <c r="A21" t="s">
        <v>16</v>
      </c>
      <c r="B21" s="2">
        <f>B12</f>
        <v>77194890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3">
      <c r="A23" t="s">
        <v>24</v>
      </c>
      <c r="B23" s="1">
        <f>-B12+B16</f>
        <v>-73088220</v>
      </c>
      <c r="C23" s="1">
        <f>B23+C18</f>
        <v>-71290940</v>
      </c>
      <c r="D23" s="1">
        <f t="shared" ref="D23:V23" si="7">C23+D18</f>
        <v>-69493660</v>
      </c>
      <c r="E23" s="1">
        <f t="shared" si="7"/>
        <v>-67696380</v>
      </c>
      <c r="F23" s="1">
        <f t="shared" si="7"/>
        <v>-65899100</v>
      </c>
      <c r="G23" s="1">
        <f t="shared" si="7"/>
        <v>-64101820</v>
      </c>
      <c r="H23" s="1">
        <f t="shared" si="7"/>
        <v>-62304540</v>
      </c>
      <c r="I23" s="1">
        <f t="shared" si="7"/>
        <v>-60507260</v>
      </c>
      <c r="J23" s="1">
        <f t="shared" si="7"/>
        <v>-58709980</v>
      </c>
      <c r="K23" s="1">
        <f t="shared" si="7"/>
        <v>-56912700</v>
      </c>
      <c r="L23" s="1">
        <f t="shared" si="7"/>
        <v>-55115420</v>
      </c>
      <c r="M23" s="1">
        <f t="shared" si="7"/>
        <v>-53318140</v>
      </c>
      <c r="N23" s="1">
        <f t="shared" si="7"/>
        <v>-51520860</v>
      </c>
      <c r="O23" s="1">
        <f t="shared" si="7"/>
        <v>-49723580</v>
      </c>
      <c r="P23" s="1">
        <f t="shared" si="7"/>
        <v>-47926300</v>
      </c>
      <c r="Q23" s="1">
        <f t="shared" si="7"/>
        <v>-46129020</v>
      </c>
      <c r="R23" s="1">
        <f t="shared" si="7"/>
        <v>-44331740</v>
      </c>
      <c r="S23" s="1">
        <f t="shared" si="7"/>
        <v>-42534460</v>
      </c>
      <c r="T23" s="1">
        <f t="shared" si="7"/>
        <v>-40737180</v>
      </c>
      <c r="U23" s="1">
        <f t="shared" si="7"/>
        <v>-38939900</v>
      </c>
      <c r="V23" s="1">
        <f t="shared" si="7"/>
        <v>-37142620</v>
      </c>
    </row>
    <row r="24" spans="1:22" x14ac:dyDescent="0.3">
      <c r="A24" t="s">
        <v>17</v>
      </c>
    </row>
    <row r="25" spans="1:22" x14ac:dyDescent="0.3">
      <c r="B25" s="2">
        <f>B16-B4-B8</f>
        <v>1871380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2E13-7D78-4231-98E4-D1FF4F68836D}">
  <dimension ref="A2:V33"/>
  <sheetViews>
    <sheetView zoomScale="98" zoomScaleNormal="85" workbookViewId="0">
      <selection activeCell="C6" sqref="C6"/>
    </sheetView>
  </sheetViews>
  <sheetFormatPr defaultRowHeight="14.4" x14ac:dyDescent="0.3"/>
  <cols>
    <col min="2" max="2" width="27.33203125" customWidth="1"/>
    <col min="3" max="22" width="16.77734375" customWidth="1"/>
  </cols>
  <sheetData>
    <row r="2" spans="2:22" x14ac:dyDescent="0.3">
      <c r="B2" s="6" t="s">
        <v>26</v>
      </c>
      <c r="C2" s="7"/>
    </row>
    <row r="3" spans="2:22" x14ac:dyDescent="0.3">
      <c r="B3" s="7" t="s">
        <v>27</v>
      </c>
      <c r="C3" s="8">
        <f>'Cash flow simplified '!C18</f>
        <v>1797280</v>
      </c>
    </row>
    <row r="4" spans="2:22" x14ac:dyDescent="0.3">
      <c r="B4" s="7" t="s">
        <v>28</v>
      </c>
      <c r="C4" s="9">
        <v>20</v>
      </c>
    </row>
    <row r="5" spans="2:22" x14ac:dyDescent="0.3">
      <c r="B5" s="7" t="s">
        <v>29</v>
      </c>
      <c r="C5" s="10">
        <f>Data!B26</f>
        <v>0.04</v>
      </c>
    </row>
    <row r="6" spans="2:22" x14ac:dyDescent="0.3">
      <c r="B6" s="6" t="s">
        <v>30</v>
      </c>
      <c r="C6" s="11">
        <f>-(PV(C5,C4,C3))</f>
        <v>24425621.733283546</v>
      </c>
    </row>
    <row r="8" spans="2:22" ht="15" thickBot="1" x14ac:dyDescent="0.35">
      <c r="B8" s="6" t="s">
        <v>31</v>
      </c>
      <c r="C8" s="7"/>
      <c r="D8" s="7"/>
      <c r="E8" s="7"/>
      <c r="F8" s="7"/>
      <c r="G8" s="7"/>
    </row>
    <row r="9" spans="2:22" ht="15" thickBot="1" x14ac:dyDescent="0.35">
      <c r="B9" s="12" t="s">
        <v>32</v>
      </c>
      <c r="C9" s="12">
        <v>1</v>
      </c>
      <c r="D9" s="12">
        <f t="shared" ref="D9:V9" si="0">C9+1</f>
        <v>2</v>
      </c>
      <c r="E9" s="12">
        <f t="shared" si="0"/>
        <v>3</v>
      </c>
      <c r="F9" s="12">
        <f t="shared" si="0"/>
        <v>4</v>
      </c>
      <c r="G9" s="12">
        <f t="shared" si="0"/>
        <v>5</v>
      </c>
      <c r="H9" s="12">
        <f t="shared" si="0"/>
        <v>6</v>
      </c>
      <c r="I9" s="12">
        <f t="shared" si="0"/>
        <v>7</v>
      </c>
      <c r="J9" s="12">
        <f t="shared" si="0"/>
        <v>8</v>
      </c>
      <c r="K9" s="12">
        <f t="shared" si="0"/>
        <v>9</v>
      </c>
      <c r="L9" s="12">
        <f t="shared" si="0"/>
        <v>10</v>
      </c>
      <c r="M9" s="12">
        <f t="shared" si="0"/>
        <v>11</v>
      </c>
      <c r="N9" s="12">
        <f t="shared" si="0"/>
        <v>12</v>
      </c>
      <c r="O9" s="12">
        <f t="shared" si="0"/>
        <v>13</v>
      </c>
      <c r="P9" s="12">
        <f t="shared" si="0"/>
        <v>14</v>
      </c>
      <c r="Q9" s="12">
        <f t="shared" si="0"/>
        <v>15</v>
      </c>
      <c r="R9" s="12">
        <f t="shared" si="0"/>
        <v>16</v>
      </c>
      <c r="S9" s="12">
        <f t="shared" si="0"/>
        <v>17</v>
      </c>
      <c r="T9" s="12">
        <f t="shared" si="0"/>
        <v>18</v>
      </c>
      <c r="U9" s="12">
        <f t="shared" si="0"/>
        <v>19</v>
      </c>
      <c r="V9" s="12">
        <f t="shared" si="0"/>
        <v>20</v>
      </c>
    </row>
    <row r="10" spans="2:22" x14ac:dyDescent="0.3">
      <c r="B10" s="7" t="s">
        <v>27</v>
      </c>
      <c r="C10" s="8">
        <f>C3</f>
        <v>1797280</v>
      </c>
      <c r="D10" s="8">
        <f>C10*D12</f>
        <v>1797280</v>
      </c>
      <c r="E10" s="8">
        <f t="shared" ref="E10:V10" si="1">D10*E12</f>
        <v>1797280</v>
      </c>
      <c r="F10" s="8">
        <f t="shared" si="1"/>
        <v>1797280</v>
      </c>
      <c r="G10" s="8">
        <f t="shared" si="1"/>
        <v>1797280</v>
      </c>
      <c r="H10" s="8">
        <f t="shared" si="1"/>
        <v>1797280</v>
      </c>
      <c r="I10" s="8">
        <f t="shared" si="1"/>
        <v>1797280</v>
      </c>
      <c r="J10" s="8">
        <f t="shared" si="1"/>
        <v>1797280</v>
      </c>
      <c r="K10" s="8">
        <f t="shared" si="1"/>
        <v>1797280</v>
      </c>
      <c r="L10" s="8">
        <f t="shared" si="1"/>
        <v>1797280</v>
      </c>
      <c r="M10" s="8">
        <f t="shared" si="1"/>
        <v>1797280</v>
      </c>
      <c r="N10" s="8">
        <f t="shared" si="1"/>
        <v>1797280</v>
      </c>
      <c r="O10" s="8">
        <f t="shared" si="1"/>
        <v>1797280</v>
      </c>
      <c r="P10" s="8">
        <f t="shared" si="1"/>
        <v>1797280</v>
      </c>
      <c r="Q10" s="8">
        <f t="shared" si="1"/>
        <v>1797280</v>
      </c>
      <c r="R10" s="8">
        <f t="shared" si="1"/>
        <v>1797280</v>
      </c>
      <c r="S10" s="8">
        <f t="shared" si="1"/>
        <v>1797280</v>
      </c>
      <c r="T10" s="8">
        <f t="shared" si="1"/>
        <v>1797280</v>
      </c>
      <c r="U10" s="8">
        <f t="shared" si="1"/>
        <v>1797280</v>
      </c>
      <c r="V10" s="8">
        <f t="shared" si="1"/>
        <v>1797280</v>
      </c>
    </row>
    <row r="11" spans="2:22" x14ac:dyDescent="0.3">
      <c r="B11" s="7" t="s">
        <v>33</v>
      </c>
      <c r="C11" s="13">
        <f>C5</f>
        <v>0.04</v>
      </c>
      <c r="D11" s="13">
        <f>C11</f>
        <v>0.04</v>
      </c>
      <c r="E11" s="13">
        <f t="shared" ref="E11:V11" si="2">D11</f>
        <v>0.04</v>
      </c>
      <c r="F11" s="13">
        <f t="shared" si="2"/>
        <v>0.04</v>
      </c>
      <c r="G11" s="13">
        <f t="shared" si="2"/>
        <v>0.04</v>
      </c>
      <c r="H11" s="13">
        <f t="shared" si="2"/>
        <v>0.04</v>
      </c>
      <c r="I11" s="13">
        <f t="shared" si="2"/>
        <v>0.04</v>
      </c>
      <c r="J11" s="13">
        <f t="shared" si="2"/>
        <v>0.04</v>
      </c>
      <c r="K11" s="13">
        <f t="shared" si="2"/>
        <v>0.04</v>
      </c>
      <c r="L11" s="13">
        <f t="shared" si="2"/>
        <v>0.04</v>
      </c>
      <c r="M11" s="13">
        <f t="shared" si="2"/>
        <v>0.04</v>
      </c>
      <c r="N11" s="13">
        <f t="shared" si="2"/>
        <v>0.04</v>
      </c>
      <c r="O11" s="13">
        <f t="shared" si="2"/>
        <v>0.04</v>
      </c>
      <c r="P11" s="13">
        <f t="shared" si="2"/>
        <v>0.04</v>
      </c>
      <c r="Q11" s="13">
        <f t="shared" si="2"/>
        <v>0.04</v>
      </c>
      <c r="R11" s="13">
        <f t="shared" si="2"/>
        <v>0.04</v>
      </c>
      <c r="S11" s="13">
        <f t="shared" si="2"/>
        <v>0.04</v>
      </c>
      <c r="T11" s="13">
        <f t="shared" si="2"/>
        <v>0.04</v>
      </c>
      <c r="U11" s="13">
        <f t="shared" si="2"/>
        <v>0.04</v>
      </c>
      <c r="V11" s="13">
        <f t="shared" si="2"/>
        <v>0.04</v>
      </c>
    </row>
    <row r="12" spans="2:22" x14ac:dyDescent="0.3">
      <c r="B12" s="16" t="s">
        <v>60</v>
      </c>
      <c r="C12" s="17">
        <v>1</v>
      </c>
      <c r="D12" s="17">
        <f>'Cash flow simplified '!D19</f>
        <v>1</v>
      </c>
      <c r="E12" s="17">
        <f>'Cash flow simplified '!E19</f>
        <v>1</v>
      </c>
      <c r="F12" s="17">
        <f>'Cash flow simplified '!F19</f>
        <v>1</v>
      </c>
      <c r="G12" s="17">
        <f>'Cash flow simplified '!G19</f>
        <v>1</v>
      </c>
      <c r="H12" s="17">
        <f>'Cash flow simplified '!H19</f>
        <v>1</v>
      </c>
      <c r="I12" s="17">
        <f>'Cash flow simplified '!I19</f>
        <v>1</v>
      </c>
      <c r="J12" s="17">
        <f>'Cash flow simplified '!J19</f>
        <v>1</v>
      </c>
      <c r="K12" s="17">
        <f>'Cash flow simplified '!K19</f>
        <v>1</v>
      </c>
      <c r="L12" s="17">
        <f>'Cash flow simplified '!L19</f>
        <v>1</v>
      </c>
      <c r="M12" s="17">
        <f>'Cash flow simplified '!M19</f>
        <v>1</v>
      </c>
      <c r="N12" s="17">
        <f>'Cash flow simplified '!N19</f>
        <v>1</v>
      </c>
      <c r="O12" s="17">
        <f>'Cash flow simplified '!O19</f>
        <v>1</v>
      </c>
      <c r="P12" s="17">
        <f>'Cash flow simplified '!P19</f>
        <v>1</v>
      </c>
      <c r="Q12" s="17">
        <f>'Cash flow simplified '!Q19</f>
        <v>1</v>
      </c>
      <c r="R12" s="17">
        <f>'Cash flow simplified '!R19</f>
        <v>1</v>
      </c>
      <c r="S12" s="17">
        <f>'Cash flow simplified '!S19</f>
        <v>1</v>
      </c>
      <c r="T12" s="17">
        <f>'Cash flow simplified '!T19</f>
        <v>1</v>
      </c>
      <c r="U12" s="17">
        <f>'Cash flow simplified '!U19</f>
        <v>1</v>
      </c>
      <c r="V12" s="17">
        <f>'Cash flow simplified '!V19</f>
        <v>1</v>
      </c>
    </row>
    <row r="13" spans="2:22" x14ac:dyDescent="0.3">
      <c r="B13" s="16" t="s">
        <v>30</v>
      </c>
      <c r="C13" s="14">
        <f>C10/(1+C11)^C9</f>
        <v>1728153.846153846</v>
      </c>
      <c r="D13" s="14">
        <f t="shared" ref="D13:V13" si="3">D10/(1+D11)^D9</f>
        <v>1661686.3905325441</v>
      </c>
      <c r="E13" s="14">
        <f t="shared" si="3"/>
        <v>1597775.3755120619</v>
      </c>
      <c r="F13" s="14">
        <f t="shared" si="3"/>
        <v>1536322.4764539055</v>
      </c>
      <c r="G13" s="14">
        <f t="shared" si="3"/>
        <v>1477233.1504364472</v>
      </c>
      <c r="H13" s="14">
        <f t="shared" si="3"/>
        <v>1420416.4908042762</v>
      </c>
      <c r="I13" s="14">
        <f t="shared" si="3"/>
        <v>1365785.0873118043</v>
      </c>
      <c r="J13" s="14">
        <f t="shared" si="3"/>
        <v>1313254.8916459654</v>
      </c>
      <c r="K13" s="14">
        <f t="shared" si="3"/>
        <v>1262745.0881211204</v>
      </c>
      <c r="L13" s="14">
        <f t="shared" si="3"/>
        <v>1214177.9693472313</v>
      </c>
      <c r="M13" s="14">
        <f t="shared" si="3"/>
        <v>1167478.8166800302</v>
      </c>
      <c r="N13" s="14">
        <f t="shared" si="3"/>
        <v>1122575.7852692595</v>
      </c>
      <c r="O13" s="14">
        <f t="shared" si="3"/>
        <v>1079399.793528134</v>
      </c>
      <c r="P13" s="14">
        <f t="shared" si="3"/>
        <v>1037884.416853975</v>
      </c>
      <c r="Q13" s="14">
        <f t="shared" si="3"/>
        <v>997965.78543651453</v>
      </c>
      <c r="R13" s="14">
        <f t="shared" si="3"/>
        <v>959582.48599664844</v>
      </c>
      <c r="S13" s="14">
        <f t="shared" si="3"/>
        <v>922675.46730446967</v>
      </c>
      <c r="T13" s="14">
        <f t="shared" si="3"/>
        <v>887187.94933122071</v>
      </c>
      <c r="U13" s="14">
        <f t="shared" si="3"/>
        <v>853065.33589540457</v>
      </c>
      <c r="V13" s="14">
        <f t="shared" si="3"/>
        <v>820255.13066865818</v>
      </c>
    </row>
    <row r="14" spans="2:22" x14ac:dyDescent="0.3">
      <c r="B14" s="7"/>
      <c r="C14" s="7"/>
      <c r="D14" s="7"/>
      <c r="E14" s="7"/>
      <c r="F14" s="7"/>
      <c r="G14" s="7"/>
    </row>
    <row r="15" spans="2:22" x14ac:dyDescent="0.3">
      <c r="B15" s="6" t="s">
        <v>34</v>
      </c>
      <c r="C15" s="15">
        <f>SUM(C13:V13)</f>
        <v>24425621.73328352</v>
      </c>
      <c r="D15" s="7"/>
      <c r="E15" s="7"/>
      <c r="F15" s="7"/>
      <c r="G15" s="7"/>
    </row>
    <row r="17" spans="1:22" x14ac:dyDescent="0.3">
      <c r="B17" s="18" t="s">
        <v>35</v>
      </c>
    </row>
    <row r="18" spans="1:22" x14ac:dyDescent="0.3">
      <c r="B18" t="s">
        <v>36</v>
      </c>
      <c r="C18" s="2">
        <f>'Cash flow simplified '!B3</f>
        <v>74745500</v>
      </c>
    </row>
    <row r="19" spans="1:22" x14ac:dyDescent="0.3">
      <c r="B19" t="s">
        <v>52</v>
      </c>
      <c r="C19" s="2">
        <f>'Cash flow simplified '!L3/(1+Q11)^Q9</f>
        <v>0</v>
      </c>
      <c r="D19" s="2">
        <f ca="1">C19:D19</f>
        <v>0</v>
      </c>
      <c r="E19" s="2">
        <f t="shared" ref="E19:P19" ca="1" si="4">D19:E19</f>
        <v>0</v>
      </c>
      <c r="F19" s="2">
        <f t="shared" ca="1" si="4"/>
        <v>0</v>
      </c>
      <c r="G19" s="2">
        <f t="shared" ca="1" si="4"/>
        <v>0</v>
      </c>
      <c r="H19" s="2">
        <f t="shared" ca="1" si="4"/>
        <v>0</v>
      </c>
      <c r="I19" s="2">
        <f t="shared" ca="1" si="4"/>
        <v>0</v>
      </c>
      <c r="J19" s="2">
        <f t="shared" ca="1" si="4"/>
        <v>0</v>
      </c>
      <c r="K19" s="2">
        <f t="shared" ca="1" si="4"/>
        <v>0</v>
      </c>
      <c r="L19" s="2">
        <f t="shared" ca="1" si="4"/>
        <v>0</v>
      </c>
      <c r="M19" s="2">
        <f t="shared" ca="1" si="4"/>
        <v>0</v>
      </c>
      <c r="N19" s="2">
        <f t="shared" ca="1" si="4"/>
        <v>0</v>
      </c>
      <c r="O19" s="2">
        <f t="shared" ca="1" si="4"/>
        <v>0</v>
      </c>
      <c r="P19" s="2">
        <f t="shared" ca="1" si="4"/>
        <v>0</v>
      </c>
      <c r="Q19" s="2">
        <f>'Cash flow simplified '!Y3</f>
        <v>3487500</v>
      </c>
      <c r="R19" s="2">
        <f ca="1">P19</f>
        <v>0</v>
      </c>
      <c r="S19" s="2">
        <v>0</v>
      </c>
      <c r="T19" s="2">
        <f ca="1">R19</f>
        <v>0</v>
      </c>
      <c r="U19" s="2">
        <f>S19</f>
        <v>0</v>
      </c>
      <c r="V19" s="2">
        <f ca="1">T19</f>
        <v>0</v>
      </c>
    </row>
    <row r="21" spans="1:22" x14ac:dyDescent="0.3">
      <c r="B21" s="18" t="s">
        <v>37</v>
      </c>
      <c r="C21" s="19">
        <f>SUM(C18:C19)</f>
        <v>74745500</v>
      </c>
    </row>
    <row r="22" spans="1:22" ht="15" thickBot="1" x14ac:dyDescent="0.35">
      <c r="B22" s="18"/>
      <c r="C22" s="19"/>
    </row>
    <row r="23" spans="1:22" ht="15" thickBot="1" x14ac:dyDescent="0.35">
      <c r="B23" s="12" t="s">
        <v>32</v>
      </c>
      <c r="C23" s="23">
        <v>47676</v>
      </c>
      <c r="D23" s="23">
        <v>48041</v>
      </c>
      <c r="E23" s="23">
        <v>48407</v>
      </c>
      <c r="F23" s="23">
        <v>48772</v>
      </c>
      <c r="G23" s="23">
        <v>49137</v>
      </c>
      <c r="H23" s="23">
        <v>49502</v>
      </c>
      <c r="I23" s="23">
        <v>49868</v>
      </c>
      <c r="J23" s="23">
        <v>50233</v>
      </c>
      <c r="K23" s="23">
        <v>50598</v>
      </c>
      <c r="L23" s="23">
        <v>50963</v>
      </c>
      <c r="M23" s="23">
        <v>51329</v>
      </c>
      <c r="N23" s="23">
        <v>51694</v>
      </c>
      <c r="O23" s="23">
        <v>52059</v>
      </c>
      <c r="P23" s="23">
        <v>52424</v>
      </c>
      <c r="Q23" s="23">
        <v>52790</v>
      </c>
      <c r="R23" s="23">
        <v>53155</v>
      </c>
      <c r="S23" s="23">
        <v>53520</v>
      </c>
      <c r="T23" s="23">
        <v>53885</v>
      </c>
      <c r="U23" s="23">
        <v>54251</v>
      </c>
      <c r="V23" s="23">
        <v>54616</v>
      </c>
    </row>
    <row r="24" spans="1:22" s="21" customFormat="1" x14ac:dyDescent="0.3">
      <c r="A24"/>
      <c r="B24" s="21" t="s">
        <v>40</v>
      </c>
      <c r="C24" s="22">
        <f>C13-C18</f>
        <v>-73017346.15384616</v>
      </c>
      <c r="D24" s="22">
        <f>C24+D13</f>
        <v>-71355659.763313621</v>
      </c>
      <c r="E24" s="22">
        <f t="shared" ref="E24:V24" si="5">D24+E13</f>
        <v>-69757884.387801558</v>
      </c>
      <c r="F24" s="22">
        <f t="shared" si="5"/>
        <v>-68221561.911347657</v>
      </c>
      <c r="G24" s="22">
        <f t="shared" si="5"/>
        <v>-66744328.760911211</v>
      </c>
      <c r="H24" s="22">
        <f t="shared" si="5"/>
        <v>-65323912.270106934</v>
      </c>
      <c r="I24" s="22">
        <f t="shared" si="5"/>
        <v>-63958127.18279513</v>
      </c>
      <c r="J24" s="22">
        <f t="shared" si="5"/>
        <v>-62644872.291149162</v>
      </c>
      <c r="K24" s="22">
        <f t="shared" si="5"/>
        <v>-61382127.203028038</v>
      </c>
      <c r="L24" s="22">
        <f>K24+L13</f>
        <v>-60167949.233680807</v>
      </c>
      <c r="M24" s="22">
        <f t="shared" si="5"/>
        <v>-59000470.417000778</v>
      </c>
      <c r="N24" s="22">
        <f t="shared" si="5"/>
        <v>-57877894.631731518</v>
      </c>
      <c r="O24" s="22">
        <f t="shared" si="5"/>
        <v>-56798494.838203385</v>
      </c>
      <c r="P24" s="22">
        <f t="shared" si="5"/>
        <v>-55760610.421349414</v>
      </c>
      <c r="Q24" s="22">
        <f>P24+Q13-C19-Q19</f>
        <v>-58250144.635912903</v>
      </c>
      <c r="R24" s="22">
        <f t="shared" si="5"/>
        <v>-57290562.149916254</v>
      </c>
      <c r="S24" s="22">
        <f t="shared" si="5"/>
        <v>-56367886.682611786</v>
      </c>
      <c r="T24" s="22">
        <f t="shared" si="5"/>
        <v>-55480698.733280562</v>
      </c>
      <c r="U24" s="22">
        <f t="shared" si="5"/>
        <v>-54627633.397385158</v>
      </c>
      <c r="V24" s="22">
        <f t="shared" si="5"/>
        <v>-53807378.266716503</v>
      </c>
    </row>
    <row r="27" spans="1:22" x14ac:dyDescent="0.3">
      <c r="B27" t="s">
        <v>17</v>
      </c>
      <c r="C27" s="20">
        <f>C28/20</f>
        <v>-3.3660807852456995E-2</v>
      </c>
    </row>
    <row r="28" spans="1:22" x14ac:dyDescent="0.3">
      <c r="B28" t="s">
        <v>38</v>
      </c>
      <c r="C28" s="20">
        <f>(C15-C21)/C21</f>
        <v>-0.67321615704913984</v>
      </c>
    </row>
    <row r="31" spans="1:22" x14ac:dyDescent="0.3">
      <c r="B31" t="s">
        <v>41</v>
      </c>
      <c r="C31">
        <f>C21/2200</f>
        <v>33975.227272727272</v>
      </c>
    </row>
    <row r="33" spans="2:3" x14ac:dyDescent="0.3">
      <c r="B33" t="s">
        <v>42</v>
      </c>
      <c r="C33" s="24">
        <f>C31/Data!B19</f>
        <v>8.2381362593722016E-2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4158-CFA6-4170-A203-F2C56FE9BEAA}">
  <dimension ref="B2:V28"/>
  <sheetViews>
    <sheetView tabSelected="1" topLeftCell="A17" zoomScale="91" workbookViewId="0">
      <selection activeCell="C27" sqref="C27"/>
    </sheetView>
  </sheetViews>
  <sheetFormatPr defaultRowHeight="14.4" x14ac:dyDescent="0.3"/>
  <cols>
    <col min="2" max="2" width="40" customWidth="1"/>
    <col min="3" max="22" width="16.77734375" customWidth="1"/>
  </cols>
  <sheetData>
    <row r="2" spans="2:22" x14ac:dyDescent="0.3">
      <c r="B2" s="6" t="s">
        <v>26</v>
      </c>
      <c r="C2" s="7"/>
    </row>
    <row r="3" spans="2:22" x14ac:dyDescent="0.3">
      <c r="B3" s="7" t="s">
        <v>27</v>
      </c>
      <c r="C3" s="8">
        <f>'Cash flow simplified '!C18</f>
        <v>1797280</v>
      </c>
    </row>
    <row r="4" spans="2:22" x14ac:dyDescent="0.3">
      <c r="B4" s="7" t="s">
        <v>28</v>
      </c>
      <c r="C4" s="9">
        <v>20</v>
      </c>
    </row>
    <row r="5" spans="2:22" x14ac:dyDescent="0.3">
      <c r="B5" s="7" t="s">
        <v>29</v>
      </c>
      <c r="C5" s="10">
        <f>Data!B26</f>
        <v>0.04</v>
      </c>
      <c r="F5" s="26"/>
    </row>
    <row r="6" spans="2:22" x14ac:dyDescent="0.3">
      <c r="B6" s="6" t="s">
        <v>30</v>
      </c>
      <c r="C6" s="11">
        <f>-(PV(C5,C4,C3))</f>
        <v>24425621.733283546</v>
      </c>
      <c r="F6" s="11"/>
    </row>
    <row r="8" spans="2:22" ht="15" thickBot="1" x14ac:dyDescent="0.35">
      <c r="B8" s="6" t="s">
        <v>31</v>
      </c>
      <c r="C8" s="7"/>
      <c r="D8" s="7"/>
      <c r="E8" s="7"/>
      <c r="F8" s="7"/>
      <c r="G8" s="7"/>
    </row>
    <row r="9" spans="2:22" ht="15" thickBot="1" x14ac:dyDescent="0.35">
      <c r="B9" s="12" t="s">
        <v>32</v>
      </c>
      <c r="C9" s="12">
        <v>1</v>
      </c>
      <c r="D9" s="12">
        <f>C9+1</f>
        <v>2</v>
      </c>
      <c r="E9" s="12">
        <f t="shared" ref="E9:V9" si="0">D9+1</f>
        <v>3</v>
      </c>
      <c r="F9" s="12">
        <f t="shared" si="0"/>
        <v>4</v>
      </c>
      <c r="G9" s="12">
        <f t="shared" si="0"/>
        <v>5</v>
      </c>
      <c r="H9" s="12">
        <f t="shared" si="0"/>
        <v>6</v>
      </c>
      <c r="I9" s="12">
        <f t="shared" si="0"/>
        <v>7</v>
      </c>
      <c r="J9" s="12">
        <f t="shared" si="0"/>
        <v>8</v>
      </c>
      <c r="K9" s="12">
        <f t="shared" si="0"/>
        <v>9</v>
      </c>
      <c r="L9" s="12">
        <f t="shared" si="0"/>
        <v>10</v>
      </c>
      <c r="M9" s="12">
        <f t="shared" si="0"/>
        <v>11</v>
      </c>
      <c r="N9" s="12">
        <f t="shared" si="0"/>
        <v>12</v>
      </c>
      <c r="O9" s="12">
        <f t="shared" si="0"/>
        <v>13</v>
      </c>
      <c r="P9" s="12">
        <f t="shared" si="0"/>
        <v>14</v>
      </c>
      <c r="Q9" s="12">
        <f t="shared" si="0"/>
        <v>15</v>
      </c>
      <c r="R9" s="12">
        <f t="shared" si="0"/>
        <v>16</v>
      </c>
      <c r="S9" s="12">
        <f t="shared" si="0"/>
        <v>17</v>
      </c>
      <c r="T9" s="12">
        <f t="shared" si="0"/>
        <v>18</v>
      </c>
      <c r="U9" s="12">
        <f t="shared" si="0"/>
        <v>19</v>
      </c>
      <c r="V9" s="12">
        <f t="shared" si="0"/>
        <v>20</v>
      </c>
    </row>
    <row r="10" spans="2:22" x14ac:dyDescent="0.3">
      <c r="B10" s="7" t="s">
        <v>27</v>
      </c>
      <c r="C10" s="8">
        <f>C3</f>
        <v>1797280</v>
      </c>
      <c r="D10" s="8">
        <f>C10*D12</f>
        <v>1797280</v>
      </c>
      <c r="E10" s="8">
        <f t="shared" ref="E10:V10" si="1">D10*E12</f>
        <v>1797280</v>
      </c>
      <c r="F10" s="8">
        <f t="shared" si="1"/>
        <v>1797280</v>
      </c>
      <c r="G10" s="8">
        <f t="shared" si="1"/>
        <v>1797280</v>
      </c>
      <c r="H10" s="8">
        <f t="shared" si="1"/>
        <v>1797280</v>
      </c>
      <c r="I10" s="8">
        <f t="shared" si="1"/>
        <v>1797280</v>
      </c>
      <c r="J10" s="8">
        <f t="shared" si="1"/>
        <v>1797280</v>
      </c>
      <c r="K10" s="8">
        <f t="shared" si="1"/>
        <v>1797280</v>
      </c>
      <c r="L10" s="8">
        <f t="shared" si="1"/>
        <v>1797280</v>
      </c>
      <c r="M10" s="8">
        <f t="shared" si="1"/>
        <v>1797280</v>
      </c>
      <c r="N10" s="8">
        <f t="shared" si="1"/>
        <v>1797280</v>
      </c>
      <c r="O10" s="8">
        <f t="shared" si="1"/>
        <v>1797280</v>
      </c>
      <c r="P10" s="8">
        <f t="shared" si="1"/>
        <v>1797280</v>
      </c>
      <c r="Q10" s="8">
        <f t="shared" si="1"/>
        <v>1797280</v>
      </c>
      <c r="R10" s="8">
        <f t="shared" si="1"/>
        <v>1797280</v>
      </c>
      <c r="S10" s="8">
        <f t="shared" si="1"/>
        <v>1797280</v>
      </c>
      <c r="T10" s="8">
        <f t="shared" si="1"/>
        <v>1797280</v>
      </c>
      <c r="U10" s="8">
        <f t="shared" si="1"/>
        <v>1797280</v>
      </c>
      <c r="V10" s="8">
        <f t="shared" si="1"/>
        <v>1797280</v>
      </c>
    </row>
    <row r="11" spans="2:22" x14ac:dyDescent="0.3">
      <c r="B11" s="7" t="s">
        <v>33</v>
      </c>
      <c r="C11" s="13">
        <f>C5</f>
        <v>0.04</v>
      </c>
      <c r="D11" s="13">
        <f>C11</f>
        <v>0.04</v>
      </c>
      <c r="E11" s="13">
        <f t="shared" ref="E11:V11" si="2">D11</f>
        <v>0.04</v>
      </c>
      <c r="F11" s="13">
        <f t="shared" si="2"/>
        <v>0.04</v>
      </c>
      <c r="G11" s="13">
        <f t="shared" si="2"/>
        <v>0.04</v>
      </c>
      <c r="H11" s="13">
        <f t="shared" si="2"/>
        <v>0.04</v>
      </c>
      <c r="I11" s="13">
        <f t="shared" si="2"/>
        <v>0.04</v>
      </c>
      <c r="J11" s="13">
        <f t="shared" si="2"/>
        <v>0.04</v>
      </c>
      <c r="K11" s="13">
        <f t="shared" si="2"/>
        <v>0.04</v>
      </c>
      <c r="L11" s="13">
        <f t="shared" si="2"/>
        <v>0.04</v>
      </c>
      <c r="M11" s="13">
        <f t="shared" si="2"/>
        <v>0.04</v>
      </c>
      <c r="N11" s="13">
        <f t="shared" si="2"/>
        <v>0.04</v>
      </c>
      <c r="O11" s="13">
        <f t="shared" si="2"/>
        <v>0.04</v>
      </c>
      <c r="P11" s="13">
        <f t="shared" si="2"/>
        <v>0.04</v>
      </c>
      <c r="Q11" s="13">
        <f t="shared" si="2"/>
        <v>0.04</v>
      </c>
      <c r="R11" s="13">
        <f t="shared" si="2"/>
        <v>0.04</v>
      </c>
      <c r="S11" s="13">
        <f t="shared" si="2"/>
        <v>0.04</v>
      </c>
      <c r="T11" s="13">
        <f t="shared" si="2"/>
        <v>0.04</v>
      </c>
      <c r="U11" s="13">
        <f t="shared" si="2"/>
        <v>0.04</v>
      </c>
      <c r="V11" s="13">
        <f t="shared" si="2"/>
        <v>0.04</v>
      </c>
    </row>
    <row r="12" spans="2:22" x14ac:dyDescent="0.3">
      <c r="B12" s="16" t="s">
        <v>61</v>
      </c>
      <c r="C12" s="17">
        <v>1</v>
      </c>
      <c r="D12" s="17">
        <f>'Cash flow simplified '!D19</f>
        <v>1</v>
      </c>
      <c r="E12" s="17">
        <f>'Cash flow simplified '!E19</f>
        <v>1</v>
      </c>
      <c r="F12" s="17">
        <f>'Cash flow simplified '!F19</f>
        <v>1</v>
      </c>
      <c r="G12" s="17">
        <f>'Cash flow simplified '!G19</f>
        <v>1</v>
      </c>
      <c r="H12" s="17">
        <f>'Cash flow simplified '!H19</f>
        <v>1</v>
      </c>
      <c r="I12" s="17">
        <f>'Cash flow simplified '!I19</f>
        <v>1</v>
      </c>
      <c r="J12" s="17">
        <f>'Cash flow simplified '!J19</f>
        <v>1</v>
      </c>
      <c r="K12" s="17">
        <f>'Cash flow simplified '!K19</f>
        <v>1</v>
      </c>
      <c r="L12" s="17">
        <f>'Cash flow simplified '!L19</f>
        <v>1</v>
      </c>
      <c r="M12" s="17">
        <f>'Cash flow simplified '!M19</f>
        <v>1</v>
      </c>
      <c r="N12" s="17">
        <f>'Cash flow simplified '!N19</f>
        <v>1</v>
      </c>
      <c r="O12" s="17">
        <f>'Cash flow simplified '!O19</f>
        <v>1</v>
      </c>
      <c r="P12" s="17">
        <f>'Cash flow simplified '!P19</f>
        <v>1</v>
      </c>
      <c r="Q12" s="17">
        <f>'Cash flow simplified '!Q19</f>
        <v>1</v>
      </c>
      <c r="R12" s="17">
        <f>'Cash flow simplified '!R19</f>
        <v>1</v>
      </c>
      <c r="S12" s="17">
        <f>'Cash flow simplified '!S19</f>
        <v>1</v>
      </c>
      <c r="T12" s="17">
        <f>'Cash flow simplified '!T19</f>
        <v>1</v>
      </c>
      <c r="U12" s="17">
        <f>'Cash flow simplified '!U19</f>
        <v>1</v>
      </c>
      <c r="V12" s="17">
        <f>'Cash flow simplified '!V19</f>
        <v>1</v>
      </c>
    </row>
    <row r="13" spans="2:22" x14ac:dyDescent="0.3">
      <c r="B13" s="16" t="s">
        <v>30</v>
      </c>
      <c r="C13" s="14">
        <f>C10/(1+C11)^C9</f>
        <v>1728153.846153846</v>
      </c>
      <c r="D13" s="14">
        <f t="shared" ref="D13:V13" si="3">D10/(1+D11)^D9</f>
        <v>1661686.3905325441</v>
      </c>
      <c r="E13" s="14">
        <f t="shared" si="3"/>
        <v>1597775.3755120619</v>
      </c>
      <c r="F13" s="14">
        <f t="shared" si="3"/>
        <v>1536322.4764539055</v>
      </c>
      <c r="G13" s="14">
        <f t="shared" si="3"/>
        <v>1477233.1504364472</v>
      </c>
      <c r="H13" s="14">
        <f t="shared" si="3"/>
        <v>1420416.4908042762</v>
      </c>
      <c r="I13" s="14">
        <f t="shared" si="3"/>
        <v>1365785.0873118043</v>
      </c>
      <c r="J13" s="14">
        <f t="shared" si="3"/>
        <v>1313254.8916459654</v>
      </c>
      <c r="K13" s="14">
        <f t="shared" si="3"/>
        <v>1262745.0881211204</v>
      </c>
      <c r="L13" s="14">
        <f t="shared" si="3"/>
        <v>1214177.9693472313</v>
      </c>
      <c r="M13" s="14">
        <f t="shared" si="3"/>
        <v>1167478.8166800302</v>
      </c>
      <c r="N13" s="14">
        <f t="shared" si="3"/>
        <v>1122575.7852692595</v>
      </c>
      <c r="O13" s="14">
        <f t="shared" si="3"/>
        <v>1079399.793528134</v>
      </c>
      <c r="P13" s="14">
        <f t="shared" si="3"/>
        <v>1037884.416853975</v>
      </c>
      <c r="Q13" s="14">
        <f t="shared" si="3"/>
        <v>997965.78543651453</v>
      </c>
      <c r="R13" s="14">
        <f t="shared" si="3"/>
        <v>959582.48599664844</v>
      </c>
      <c r="S13" s="14">
        <f t="shared" si="3"/>
        <v>922675.46730446967</v>
      </c>
      <c r="T13" s="14">
        <f t="shared" si="3"/>
        <v>887187.94933122071</v>
      </c>
      <c r="U13" s="14">
        <f t="shared" si="3"/>
        <v>853065.33589540457</v>
      </c>
      <c r="V13" s="14">
        <f t="shared" si="3"/>
        <v>820255.13066865818</v>
      </c>
    </row>
    <row r="14" spans="2:22" x14ac:dyDescent="0.3">
      <c r="B14" s="7"/>
      <c r="C14" s="7"/>
      <c r="D14" s="7"/>
      <c r="E14" s="7"/>
      <c r="F14" s="7"/>
      <c r="G14" s="7"/>
    </row>
    <row r="15" spans="2:22" x14ac:dyDescent="0.3">
      <c r="B15" s="6" t="s">
        <v>34</v>
      </c>
      <c r="C15" s="15">
        <f>SUM(C13:V13)</f>
        <v>24425621.73328352</v>
      </c>
      <c r="D15" s="7"/>
      <c r="E15" s="7"/>
      <c r="F15" s="7"/>
      <c r="G15" s="7"/>
    </row>
    <row r="17" spans="2:22" x14ac:dyDescent="0.3">
      <c r="B17" s="18" t="s">
        <v>35</v>
      </c>
    </row>
    <row r="18" spans="2:22" x14ac:dyDescent="0.3">
      <c r="B18" t="s">
        <v>39</v>
      </c>
      <c r="C18" s="2">
        <f>Data!I2*Data!B6*1000</f>
        <v>6975000</v>
      </c>
    </row>
    <row r="19" spans="2:22" x14ac:dyDescent="0.3">
      <c r="B19" t="s">
        <v>52</v>
      </c>
      <c r="C19" s="2">
        <f>'Cash flow simplified '!L3/(1+Q11)^Q9</f>
        <v>0</v>
      </c>
      <c r="D19" s="2">
        <f>C19</f>
        <v>0</v>
      </c>
      <c r="E19" s="2">
        <f t="shared" ref="E19:P19" si="4">D19</f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 t="shared" si="4"/>
        <v>0</v>
      </c>
      <c r="P19" s="2">
        <f t="shared" si="4"/>
        <v>0</v>
      </c>
      <c r="Q19" s="2">
        <f>'Cash flow simplified '!Y3</f>
        <v>3487500</v>
      </c>
      <c r="R19" s="2">
        <f>P19</f>
        <v>0</v>
      </c>
      <c r="S19" s="2">
        <f>R19</f>
        <v>0</v>
      </c>
      <c r="T19" s="2">
        <f>S19</f>
        <v>0</v>
      </c>
      <c r="U19" s="2">
        <f>T19</f>
        <v>0</v>
      </c>
      <c r="V19" s="2">
        <f>U19</f>
        <v>0</v>
      </c>
    </row>
    <row r="20" spans="2:22" x14ac:dyDescent="0.3">
      <c r="S20" s="2">
        <f>R20</f>
        <v>0</v>
      </c>
    </row>
    <row r="21" spans="2:22" x14ac:dyDescent="0.3">
      <c r="B21" s="18" t="s">
        <v>37</v>
      </c>
      <c r="C21" s="19">
        <f>SUM(C18:C19)</f>
        <v>6975000</v>
      </c>
    </row>
    <row r="22" spans="2:22" ht="15" thickBot="1" x14ac:dyDescent="0.35"/>
    <row r="23" spans="2:22" ht="15" thickBot="1" x14ac:dyDescent="0.35">
      <c r="B23" s="12" t="s">
        <v>32</v>
      </c>
      <c r="C23" s="23">
        <v>47676</v>
      </c>
      <c r="D23" s="23">
        <v>48041</v>
      </c>
      <c r="E23" s="23">
        <v>48407</v>
      </c>
      <c r="F23" s="23">
        <v>48772</v>
      </c>
      <c r="G23" s="23">
        <v>49137</v>
      </c>
      <c r="H23" s="23">
        <v>49502</v>
      </c>
      <c r="I23" s="23">
        <v>49868</v>
      </c>
      <c r="J23" s="23">
        <v>50233</v>
      </c>
      <c r="K23" s="23">
        <v>50598</v>
      </c>
      <c r="L23" s="23">
        <v>50963</v>
      </c>
      <c r="M23" s="23">
        <v>51329</v>
      </c>
      <c r="N23" s="23">
        <v>51694</v>
      </c>
      <c r="O23" s="23">
        <v>52059</v>
      </c>
      <c r="P23" s="23">
        <v>52424</v>
      </c>
      <c r="Q23" s="23">
        <v>52790</v>
      </c>
      <c r="R23" s="23">
        <v>53155</v>
      </c>
      <c r="S23" s="23">
        <v>53520</v>
      </c>
      <c r="T23" s="23">
        <v>53885</v>
      </c>
      <c r="U23" s="23">
        <v>54251</v>
      </c>
      <c r="V23" s="23">
        <v>54616</v>
      </c>
    </row>
    <row r="24" spans="2:22" x14ac:dyDescent="0.3">
      <c r="B24" s="21" t="s">
        <v>40</v>
      </c>
      <c r="C24" s="22">
        <f>C13-C18</f>
        <v>-5246846.153846154</v>
      </c>
      <c r="D24" s="22">
        <f>C24+D13</f>
        <v>-3585159.7633136101</v>
      </c>
      <c r="E24" s="22">
        <f t="shared" ref="E24:V24" si="5">D24+E13</f>
        <v>-1987384.3878015482</v>
      </c>
      <c r="F24" s="22">
        <f t="shared" si="5"/>
        <v>-451061.91134764277</v>
      </c>
      <c r="G24" s="22">
        <f t="shared" si="5"/>
        <v>1026171.2390888045</v>
      </c>
      <c r="H24" s="22">
        <f t="shared" si="5"/>
        <v>2446587.7298930809</v>
      </c>
      <c r="I24" s="22">
        <f t="shared" si="5"/>
        <v>3812372.8172048852</v>
      </c>
      <c r="J24" s="22">
        <f t="shared" si="5"/>
        <v>5125627.7088508504</v>
      </c>
      <c r="K24" s="22">
        <f t="shared" si="5"/>
        <v>6388372.7969719712</v>
      </c>
      <c r="L24" s="22">
        <f>K24+L13</f>
        <v>7602550.7663192023</v>
      </c>
      <c r="M24" s="22">
        <f t="shared" si="5"/>
        <v>8770029.5829992332</v>
      </c>
      <c r="N24" s="22">
        <f t="shared" si="5"/>
        <v>9892605.3682684936</v>
      </c>
      <c r="O24" s="22">
        <f t="shared" si="5"/>
        <v>10972005.161796628</v>
      </c>
      <c r="P24" s="22">
        <f t="shared" si="5"/>
        <v>12009889.578650603</v>
      </c>
      <c r="Q24" s="22">
        <f>P24+Q13-C19-Q19</f>
        <v>9520355.3640871178</v>
      </c>
      <c r="R24" s="22">
        <f t="shared" si="5"/>
        <v>10479937.850083767</v>
      </c>
      <c r="S24" s="22">
        <f t="shared" si="5"/>
        <v>11402613.317388237</v>
      </c>
      <c r="T24" s="22">
        <f t="shared" si="5"/>
        <v>12289801.266719457</v>
      </c>
      <c r="U24" s="22">
        <f t="shared" si="5"/>
        <v>13142866.602614861</v>
      </c>
      <c r="V24" s="22">
        <f t="shared" si="5"/>
        <v>13963121.73328352</v>
      </c>
    </row>
    <row r="27" spans="2:22" x14ac:dyDescent="0.3">
      <c r="B27" t="s">
        <v>17</v>
      </c>
      <c r="C27" s="24">
        <f>C28/20</f>
        <v>0.12509406260418293</v>
      </c>
    </row>
    <row r="28" spans="2:22" x14ac:dyDescent="0.3">
      <c r="B28" t="s">
        <v>38</v>
      </c>
      <c r="C28" s="20">
        <f>(C15-C21)/C21</f>
        <v>2.5018812520836589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7CE1-2162-4785-88C7-B1C34E2D7E46}">
  <dimension ref="B1:I21"/>
  <sheetViews>
    <sheetView zoomScaleNormal="100" workbookViewId="0">
      <selection activeCell="A9" sqref="A9"/>
    </sheetView>
  </sheetViews>
  <sheetFormatPr defaultRowHeight="14.4" x14ac:dyDescent="0.3"/>
  <cols>
    <col min="2" max="2" width="25" customWidth="1"/>
    <col min="3" max="3" width="15.5546875" bestFit="1" customWidth="1"/>
    <col min="4" max="4" width="21.77734375" customWidth="1"/>
    <col min="5" max="5" width="9" bestFit="1" customWidth="1"/>
    <col min="6" max="6" width="13.44140625" bestFit="1" customWidth="1"/>
    <col min="8" max="8" width="17.5546875" customWidth="1"/>
    <col min="9" max="9" width="19.88671875" customWidth="1"/>
  </cols>
  <sheetData>
    <row r="1" spans="2:9" x14ac:dyDescent="0.3">
      <c r="C1" t="s">
        <v>45</v>
      </c>
      <c r="H1" t="s">
        <v>46</v>
      </c>
    </row>
    <row r="2" spans="2:9" x14ac:dyDescent="0.3">
      <c r="B2" t="s">
        <v>44</v>
      </c>
      <c r="C2" s="25">
        <v>146000</v>
      </c>
      <c r="D2" s="25">
        <f>C2*C11</f>
        <v>321200000</v>
      </c>
      <c r="E2" s="24">
        <f>D2/$D$7</f>
        <v>0.80633520398749325</v>
      </c>
      <c r="H2" s="25">
        <v>29404</v>
      </c>
      <c r="I2" s="25">
        <f>H2*C11</f>
        <v>64688800</v>
      </c>
    </row>
    <row r="3" spans="2:9" x14ac:dyDescent="0.3">
      <c r="B3" t="s">
        <v>47</v>
      </c>
      <c r="D3" s="25">
        <f>Data!B7*Data!H2*1000</f>
        <v>67770500</v>
      </c>
      <c r="E3" s="24">
        <f>D3/$D$7</f>
        <v>0.17012995000571113</v>
      </c>
      <c r="H3" s="25"/>
      <c r="I3" s="25">
        <v>65000000</v>
      </c>
    </row>
    <row r="4" spans="2:9" x14ac:dyDescent="0.3">
      <c r="B4" t="s">
        <v>48</v>
      </c>
      <c r="C4" s="25"/>
      <c r="D4" s="25">
        <f>Data!I2*Data!B6*1000+'Discounted Cash Flow (GVEC)'!C19</f>
        <v>6975000</v>
      </c>
      <c r="E4" s="24">
        <f>D4/$D$7</f>
        <v>1.7509925429055932E-2</v>
      </c>
      <c r="H4" s="25" t="s">
        <v>18</v>
      </c>
      <c r="I4" s="27">
        <f>SUM(I2:I3)</f>
        <v>129688800</v>
      </c>
    </row>
    <row r="5" spans="2:9" x14ac:dyDescent="0.3">
      <c r="B5" t="s">
        <v>56</v>
      </c>
      <c r="C5" s="25"/>
      <c r="D5" s="25">
        <v>2400000</v>
      </c>
      <c r="E5" s="24">
        <f>D5/$D$7</f>
        <v>6.024920577739676E-3</v>
      </c>
      <c r="H5" s="25"/>
      <c r="I5" s="25"/>
    </row>
    <row r="6" spans="2:9" x14ac:dyDescent="0.3">
      <c r="H6" s="25"/>
      <c r="I6" s="25"/>
    </row>
    <row r="7" spans="2:9" x14ac:dyDescent="0.3">
      <c r="B7" t="s">
        <v>18</v>
      </c>
      <c r="D7" s="27">
        <f>SUM(D2:D5)</f>
        <v>398345500</v>
      </c>
      <c r="H7" s="25"/>
      <c r="I7" s="25"/>
    </row>
    <row r="9" spans="2:9" x14ac:dyDescent="0.3">
      <c r="C9" s="25"/>
      <c r="D9" s="25"/>
    </row>
    <row r="11" spans="2:9" x14ac:dyDescent="0.3">
      <c r="B11" t="s">
        <v>67</v>
      </c>
      <c r="C11">
        <v>2200</v>
      </c>
      <c r="D11" s="25"/>
    </row>
    <row r="14" spans="2:9" x14ac:dyDescent="0.3">
      <c r="B14" t="s">
        <v>49</v>
      </c>
      <c r="C14" s="20">
        <f>25.7/45.3</f>
        <v>0.56732891832229582</v>
      </c>
      <c r="E14" t="s">
        <v>51</v>
      </c>
      <c r="F14" s="25">
        <f>C2+(D3*C15+D4*C14)/2200</f>
        <v>174520.28031296341</v>
      </c>
    </row>
    <row r="15" spans="2:9" x14ac:dyDescent="0.3">
      <c r="B15" t="s">
        <v>50</v>
      </c>
      <c r="C15" s="20">
        <f>51.7/59.6</f>
        <v>0.8674496644295302</v>
      </c>
    </row>
    <row r="17" spans="2:4" x14ac:dyDescent="0.3">
      <c r="C17" t="s">
        <v>68</v>
      </c>
      <c r="D17">
        <v>45</v>
      </c>
    </row>
    <row r="18" spans="2:4" x14ac:dyDescent="0.3">
      <c r="B18" t="s">
        <v>53</v>
      </c>
      <c r="C18">
        <v>25.7</v>
      </c>
      <c r="D18" s="28">
        <f>D17*(C18/C21)</f>
        <v>24.978401727861772</v>
      </c>
    </row>
    <row r="19" spans="2:4" x14ac:dyDescent="0.3">
      <c r="B19" t="s">
        <v>54</v>
      </c>
      <c r="C19">
        <v>19.600000000000001</v>
      </c>
      <c r="D19" s="28">
        <f>D17*C19/C21</f>
        <v>19.049676025917929</v>
      </c>
    </row>
    <row r="20" spans="2:4" x14ac:dyDescent="0.3">
      <c r="B20" t="s">
        <v>55</v>
      </c>
      <c r="C20">
        <v>1</v>
      </c>
      <c r="D20" s="28">
        <f>D17*C20/C21</f>
        <v>0.97192224622030243</v>
      </c>
    </row>
    <row r="21" spans="2:4" x14ac:dyDescent="0.3">
      <c r="C21">
        <f>SUM(C18:C20)</f>
        <v>46.3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Data</vt:lpstr>
      <vt:lpstr>Cash flow simplified </vt:lpstr>
      <vt:lpstr>Discounted Cash Flow (full)</vt:lpstr>
      <vt:lpstr>Discounted Cash Flow (GVEC)</vt:lpstr>
      <vt:lpstr>Percentage costs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Gruszczyński</dc:creator>
  <cp:lastModifiedBy>Jan Gruszczyński</cp:lastModifiedBy>
  <dcterms:created xsi:type="dcterms:W3CDTF">2015-06-05T18:19:34Z</dcterms:created>
  <dcterms:modified xsi:type="dcterms:W3CDTF">2020-05-20T11:22:42Z</dcterms:modified>
</cp:coreProperties>
</file>